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horva\Desktop\Practica\Practica_covid19_UTCN\Script_generare_date\caz\"/>
    </mc:Choice>
  </mc:AlternateContent>
  <xr:revisionPtr revIDLastSave="0" documentId="13_ncr:1_{D9662C90-4959-49D6-A60B-F3A07AE8C13B}" xr6:coauthVersionLast="43" xr6:coauthVersionMax="43" xr10:uidLastSave="{00000000-0000-0000-0000-000000000000}"/>
  <bookViews>
    <workbookView xWindow="1980" yWindow="1350" windowWidth="27220" windowHeight="16320" xr2:uid="{00000000-000D-0000-FFFF-FFFF00000000}"/>
  </bookViews>
  <sheets>
    <sheet name="Cazuri individuale cu dată spec" sheetId="1" r:id="rId1"/>
    <sheet name="Cazuri fără dată specificată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18" i="1" l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T2111" i="1"/>
  <c r="S2111" i="1"/>
  <c r="R2111" i="1"/>
  <c r="K2111" i="1"/>
  <c r="E2111" i="1"/>
  <c r="D2111" i="1"/>
  <c r="C2111" i="1"/>
  <c r="A2111" i="1"/>
  <c r="T2110" i="1"/>
  <c r="S2110" i="1"/>
  <c r="R2110" i="1"/>
  <c r="K2110" i="1"/>
  <c r="E2110" i="1"/>
  <c r="D2110" i="1"/>
  <c r="C2110" i="1"/>
  <c r="A2110" i="1"/>
  <c r="T2109" i="1"/>
  <c r="S2109" i="1"/>
  <c r="R2109" i="1"/>
  <c r="K2109" i="1"/>
  <c r="E2109" i="1"/>
  <c r="D2109" i="1"/>
  <c r="C2109" i="1"/>
  <c r="A2109" i="1"/>
  <c r="T2108" i="1"/>
  <c r="S2108" i="1"/>
  <c r="R2108" i="1"/>
  <c r="K2108" i="1"/>
  <c r="E2108" i="1"/>
  <c r="D2108" i="1"/>
  <c r="C2108" i="1"/>
  <c r="A2108" i="1"/>
  <c r="T2107" i="1"/>
  <c r="S2107" i="1"/>
  <c r="R2107" i="1"/>
  <c r="M2107" i="1"/>
  <c r="K2107" i="1"/>
  <c r="E2107" i="1"/>
  <c r="D2107" i="1"/>
  <c r="C2107" i="1"/>
  <c r="A2107" i="1"/>
  <c r="T2106" i="1"/>
  <c r="S2106" i="1"/>
  <c r="R2106" i="1"/>
  <c r="M2106" i="1"/>
  <c r="K2106" i="1"/>
  <c r="E2106" i="1"/>
  <c r="D2106" i="1"/>
  <c r="C2106" i="1"/>
  <c r="A2106" i="1"/>
  <c r="T2105" i="1"/>
  <c r="S2105" i="1"/>
  <c r="R2105" i="1"/>
  <c r="M2105" i="1"/>
  <c r="K2105" i="1"/>
  <c r="E2105" i="1"/>
  <c r="D2105" i="1"/>
  <c r="C2105" i="1"/>
  <c r="A2105" i="1"/>
  <c r="T2104" i="1"/>
  <c r="S2104" i="1"/>
  <c r="R2104" i="1"/>
  <c r="M2104" i="1"/>
  <c r="K2104" i="1"/>
  <c r="E2104" i="1"/>
  <c r="D2104" i="1"/>
  <c r="C2104" i="1"/>
  <c r="A2104" i="1"/>
  <c r="T2103" i="1"/>
  <c r="S2103" i="1"/>
  <c r="R2103" i="1"/>
  <c r="M2103" i="1"/>
  <c r="K2103" i="1"/>
  <c r="E2103" i="1"/>
  <c r="D2103" i="1"/>
  <c r="C2103" i="1"/>
  <c r="A2103" i="1"/>
  <c r="T2102" i="1"/>
  <c r="S2102" i="1"/>
  <c r="R2102" i="1"/>
  <c r="M2102" i="1"/>
  <c r="K2102" i="1"/>
  <c r="E2102" i="1"/>
  <c r="D2102" i="1"/>
  <c r="C2102" i="1"/>
  <c r="A2102" i="1"/>
  <c r="T2101" i="1"/>
  <c r="S2101" i="1"/>
  <c r="R2101" i="1"/>
  <c r="M2101" i="1"/>
  <c r="K2101" i="1"/>
  <c r="E2101" i="1"/>
  <c r="D2101" i="1"/>
  <c r="C2101" i="1"/>
  <c r="A2101" i="1"/>
  <c r="T2100" i="1"/>
  <c r="S2100" i="1"/>
  <c r="R2100" i="1"/>
  <c r="M2100" i="1"/>
  <c r="K2100" i="1"/>
  <c r="E2100" i="1"/>
  <c r="D2100" i="1"/>
  <c r="C2100" i="1"/>
  <c r="A2100" i="1"/>
  <c r="T2099" i="1"/>
  <c r="S2099" i="1"/>
  <c r="R2099" i="1"/>
  <c r="M2099" i="1"/>
  <c r="K2099" i="1"/>
  <c r="E2099" i="1"/>
  <c r="D2099" i="1"/>
  <c r="C2099" i="1"/>
  <c r="A2099" i="1"/>
  <c r="T2098" i="1"/>
  <c r="S2098" i="1"/>
  <c r="R2098" i="1"/>
  <c r="Q2098" i="1"/>
  <c r="P2098" i="1"/>
  <c r="M2098" i="1"/>
  <c r="K2098" i="1"/>
  <c r="E2098" i="1"/>
  <c r="D2098" i="1"/>
  <c r="C2098" i="1"/>
  <c r="A2098" i="1"/>
  <c r="T2097" i="1"/>
  <c r="S2097" i="1"/>
  <c r="R2097" i="1"/>
  <c r="Q2097" i="1"/>
  <c r="P2097" i="1"/>
  <c r="M2097" i="1"/>
  <c r="K2097" i="1"/>
  <c r="E2097" i="1"/>
  <c r="D2097" i="1"/>
  <c r="C2097" i="1"/>
  <c r="B2097" i="1"/>
  <c r="A2097" i="1"/>
  <c r="T2096" i="1"/>
  <c r="S2096" i="1"/>
  <c r="R2096" i="1"/>
  <c r="Q2096" i="1"/>
  <c r="P2096" i="1"/>
  <c r="M2096" i="1"/>
  <c r="K2096" i="1"/>
  <c r="E2096" i="1"/>
  <c r="D2096" i="1"/>
  <c r="C2096" i="1"/>
  <c r="A2096" i="1"/>
  <c r="T2095" i="1"/>
  <c r="S2095" i="1"/>
  <c r="R2095" i="1"/>
  <c r="Q2095" i="1"/>
  <c r="P2095" i="1"/>
  <c r="M2095" i="1"/>
  <c r="K2095" i="1"/>
  <c r="E2095" i="1"/>
  <c r="D2095" i="1"/>
  <c r="C2095" i="1"/>
  <c r="B2095" i="1"/>
  <c r="A2095" i="1"/>
  <c r="T2094" i="1"/>
  <c r="S2094" i="1"/>
  <c r="R2094" i="1"/>
  <c r="Q2094" i="1"/>
  <c r="P2094" i="1"/>
  <c r="M2094" i="1"/>
  <c r="K2094" i="1"/>
  <c r="E2094" i="1"/>
  <c r="D2094" i="1"/>
  <c r="C2094" i="1"/>
  <c r="B2094" i="1"/>
  <c r="A2094" i="1"/>
  <c r="T2093" i="1"/>
  <c r="S2093" i="1"/>
  <c r="R2093" i="1"/>
  <c r="Q2093" i="1"/>
  <c r="P2093" i="1"/>
  <c r="M2093" i="1"/>
  <c r="K2093" i="1"/>
  <c r="E2093" i="1"/>
  <c r="D2093" i="1"/>
  <c r="C2093" i="1"/>
  <c r="A2093" i="1"/>
  <c r="T2092" i="1"/>
  <c r="S2092" i="1"/>
  <c r="R2092" i="1"/>
  <c r="Q2092" i="1"/>
  <c r="P2092" i="1"/>
  <c r="M2092" i="1"/>
  <c r="K2092" i="1"/>
  <c r="E2092" i="1"/>
  <c r="D2092" i="1"/>
  <c r="C2092" i="1"/>
  <c r="B2092" i="1"/>
  <c r="A2092" i="1"/>
  <c r="T2091" i="1"/>
  <c r="S2091" i="1"/>
  <c r="R2091" i="1"/>
  <c r="Q2091" i="1"/>
  <c r="P2091" i="1"/>
  <c r="M2091" i="1"/>
  <c r="K2091" i="1"/>
  <c r="E2091" i="1"/>
  <c r="D2091" i="1"/>
  <c r="C2091" i="1"/>
  <c r="B2091" i="1"/>
  <c r="A2091" i="1"/>
  <c r="T2090" i="1"/>
  <c r="S2090" i="1"/>
  <c r="R2090" i="1"/>
  <c r="Q2090" i="1"/>
  <c r="P2090" i="1"/>
  <c r="M2090" i="1"/>
  <c r="K2090" i="1"/>
  <c r="E2090" i="1"/>
  <c r="D2090" i="1"/>
  <c r="C2090" i="1"/>
  <c r="B2090" i="1"/>
  <c r="A2090" i="1"/>
  <c r="T2089" i="1"/>
  <c r="S2089" i="1"/>
  <c r="R2089" i="1"/>
  <c r="Q2089" i="1"/>
  <c r="P2089" i="1"/>
  <c r="M2089" i="1"/>
  <c r="K2089" i="1"/>
  <c r="E2089" i="1"/>
  <c r="D2089" i="1"/>
  <c r="C2089" i="1"/>
  <c r="B2089" i="1"/>
  <c r="A2089" i="1"/>
  <c r="T2088" i="1"/>
  <c r="S2088" i="1"/>
  <c r="R2088" i="1"/>
  <c r="Q2088" i="1"/>
  <c r="P2088" i="1"/>
  <c r="M2088" i="1"/>
  <c r="K2088" i="1"/>
  <c r="E2088" i="1"/>
  <c r="D2088" i="1"/>
  <c r="C2088" i="1"/>
  <c r="B2088" i="1"/>
  <c r="A2088" i="1"/>
  <c r="T2087" i="1"/>
  <c r="S2087" i="1"/>
  <c r="R2087" i="1"/>
  <c r="Q2087" i="1"/>
  <c r="P2087" i="1"/>
  <c r="M2087" i="1"/>
  <c r="K2087" i="1"/>
  <c r="E2087" i="1"/>
  <c r="D2087" i="1"/>
  <c r="C2087" i="1"/>
  <c r="A2087" i="1"/>
  <c r="T2086" i="1"/>
  <c r="S2086" i="1"/>
  <c r="R2086" i="1"/>
  <c r="Q2086" i="1"/>
  <c r="P2086" i="1"/>
  <c r="M2086" i="1"/>
  <c r="K2086" i="1"/>
  <c r="E2086" i="1"/>
  <c r="D2086" i="1"/>
  <c r="C2086" i="1"/>
  <c r="B2086" i="1"/>
  <c r="A2086" i="1"/>
  <c r="T2085" i="1"/>
  <c r="S2085" i="1"/>
  <c r="R2085" i="1"/>
  <c r="Q2085" i="1"/>
  <c r="P2085" i="1"/>
  <c r="M2085" i="1"/>
  <c r="K2085" i="1"/>
  <c r="E2085" i="1"/>
  <c r="D2085" i="1"/>
  <c r="C2085" i="1"/>
  <c r="B2085" i="1"/>
  <c r="A2085" i="1"/>
  <c r="T2084" i="1"/>
  <c r="S2084" i="1"/>
  <c r="R2084" i="1"/>
  <c r="Q2084" i="1"/>
  <c r="P2084" i="1"/>
  <c r="M2084" i="1"/>
  <c r="K2084" i="1"/>
  <c r="E2084" i="1"/>
  <c r="D2084" i="1"/>
  <c r="C2084" i="1"/>
  <c r="A2084" i="1"/>
  <c r="T2083" i="1"/>
  <c r="S2083" i="1"/>
  <c r="R2083" i="1"/>
  <c r="K2083" i="1"/>
  <c r="E2083" i="1"/>
  <c r="D2083" i="1"/>
  <c r="C2083" i="1"/>
  <c r="A2083" i="1"/>
  <c r="T2082" i="1"/>
  <c r="S2082" i="1"/>
  <c r="R2082" i="1"/>
  <c r="K2082" i="1"/>
  <c r="E2082" i="1"/>
  <c r="D2082" i="1"/>
  <c r="C2082" i="1"/>
  <c r="A2082" i="1"/>
  <c r="T2081" i="1"/>
  <c r="S2081" i="1"/>
  <c r="R2081" i="1"/>
  <c r="K2081" i="1"/>
  <c r="E2081" i="1"/>
  <c r="D2081" i="1"/>
  <c r="C2081" i="1"/>
  <c r="A2081" i="1"/>
  <c r="T2080" i="1"/>
  <c r="S2080" i="1"/>
  <c r="R2080" i="1"/>
  <c r="K2080" i="1"/>
  <c r="E2080" i="1"/>
  <c r="D2080" i="1"/>
  <c r="C2080" i="1"/>
  <c r="A2080" i="1"/>
  <c r="T2079" i="1"/>
  <c r="S2079" i="1"/>
  <c r="R2079" i="1"/>
  <c r="K2079" i="1"/>
  <c r="E2079" i="1"/>
  <c r="D2079" i="1"/>
  <c r="C2079" i="1"/>
  <c r="A2079" i="1"/>
  <c r="T2078" i="1"/>
  <c r="S2078" i="1"/>
  <c r="R2078" i="1"/>
  <c r="K2078" i="1"/>
  <c r="E2078" i="1"/>
  <c r="D2078" i="1"/>
  <c r="C2078" i="1"/>
  <c r="A2078" i="1"/>
  <c r="T2077" i="1"/>
  <c r="S2077" i="1"/>
  <c r="R2077" i="1"/>
  <c r="K2077" i="1"/>
  <c r="E2077" i="1"/>
  <c r="D2077" i="1"/>
  <c r="C2077" i="1"/>
  <c r="A2077" i="1"/>
  <c r="T2076" i="1"/>
  <c r="S2076" i="1"/>
  <c r="R2076" i="1"/>
  <c r="K2076" i="1"/>
  <c r="E2076" i="1"/>
  <c r="D2076" i="1"/>
  <c r="C2076" i="1"/>
  <c r="A2076" i="1"/>
  <c r="T2075" i="1"/>
  <c r="S2075" i="1"/>
  <c r="R2075" i="1"/>
  <c r="K2075" i="1"/>
  <c r="E2075" i="1"/>
  <c r="D2075" i="1"/>
  <c r="C2075" i="1"/>
  <c r="A2075" i="1"/>
  <c r="T2074" i="1"/>
  <c r="S2074" i="1"/>
  <c r="R2074" i="1"/>
  <c r="K2074" i="1"/>
  <c r="E2074" i="1"/>
  <c r="D2074" i="1"/>
  <c r="C2074" i="1"/>
  <c r="A2074" i="1"/>
  <c r="T2073" i="1"/>
  <c r="S2073" i="1"/>
  <c r="R2073" i="1"/>
  <c r="M2073" i="1"/>
  <c r="K2073" i="1"/>
  <c r="E2073" i="1"/>
  <c r="D2073" i="1"/>
  <c r="C2073" i="1"/>
  <c r="A2073" i="1"/>
  <c r="T2072" i="1"/>
  <c r="S2072" i="1"/>
  <c r="R2072" i="1"/>
  <c r="M2072" i="1"/>
  <c r="K2072" i="1"/>
  <c r="E2072" i="1"/>
  <c r="D2072" i="1"/>
  <c r="C2072" i="1"/>
  <c r="A2072" i="1"/>
  <c r="T2071" i="1"/>
  <c r="S2071" i="1"/>
  <c r="R2071" i="1"/>
  <c r="M2071" i="1"/>
  <c r="K2071" i="1"/>
  <c r="E2071" i="1"/>
  <c r="D2071" i="1"/>
  <c r="C2071" i="1"/>
  <c r="A2071" i="1"/>
  <c r="T2070" i="1"/>
  <c r="S2070" i="1"/>
  <c r="R2070" i="1"/>
  <c r="M2070" i="1"/>
  <c r="K2070" i="1"/>
  <c r="E2070" i="1"/>
  <c r="D2070" i="1"/>
  <c r="C2070" i="1"/>
  <c r="A2070" i="1"/>
  <c r="T2069" i="1"/>
  <c r="S2069" i="1"/>
  <c r="R2069" i="1"/>
  <c r="M2069" i="1"/>
  <c r="K2069" i="1"/>
  <c r="E2069" i="1"/>
  <c r="D2069" i="1"/>
  <c r="C2069" i="1"/>
  <c r="A2069" i="1"/>
  <c r="T2068" i="1"/>
  <c r="S2068" i="1"/>
  <c r="R2068" i="1"/>
  <c r="M2068" i="1"/>
  <c r="K2068" i="1"/>
  <c r="E2068" i="1"/>
  <c r="D2068" i="1"/>
  <c r="C2068" i="1"/>
  <c r="A2068" i="1"/>
  <c r="T2067" i="1"/>
  <c r="S2067" i="1"/>
  <c r="R2067" i="1"/>
  <c r="M2067" i="1"/>
  <c r="K2067" i="1"/>
  <c r="E2067" i="1"/>
  <c r="D2067" i="1"/>
  <c r="C2067" i="1"/>
  <c r="A2067" i="1"/>
  <c r="T2066" i="1"/>
  <c r="S2066" i="1"/>
  <c r="R2066" i="1"/>
  <c r="M2066" i="1"/>
  <c r="K2066" i="1"/>
  <c r="E2066" i="1"/>
  <c r="D2066" i="1"/>
  <c r="C2066" i="1"/>
  <c r="A2066" i="1"/>
  <c r="T2065" i="1"/>
  <c r="S2065" i="1"/>
  <c r="R2065" i="1"/>
  <c r="M2065" i="1"/>
  <c r="K2065" i="1"/>
  <c r="E2065" i="1"/>
  <c r="D2065" i="1"/>
  <c r="C2065" i="1"/>
  <c r="A2065" i="1"/>
  <c r="T2064" i="1"/>
  <c r="S2064" i="1"/>
  <c r="R2064" i="1"/>
  <c r="M2064" i="1"/>
  <c r="K2064" i="1"/>
  <c r="E2064" i="1"/>
  <c r="D2064" i="1"/>
  <c r="C2064" i="1"/>
  <c r="A2064" i="1"/>
  <c r="T2063" i="1"/>
  <c r="S2063" i="1"/>
  <c r="R2063" i="1"/>
  <c r="M2063" i="1"/>
  <c r="K2063" i="1"/>
  <c r="E2063" i="1"/>
  <c r="D2063" i="1"/>
  <c r="C2063" i="1"/>
  <c r="A2063" i="1"/>
  <c r="T2062" i="1"/>
  <c r="S2062" i="1"/>
  <c r="R2062" i="1"/>
  <c r="Q2062" i="1"/>
  <c r="P2062" i="1"/>
  <c r="M2062" i="1"/>
  <c r="K2062" i="1"/>
  <c r="E2062" i="1"/>
  <c r="D2062" i="1"/>
  <c r="C2062" i="1"/>
  <c r="A2062" i="1"/>
  <c r="T2061" i="1"/>
  <c r="S2061" i="1"/>
  <c r="R2061" i="1"/>
  <c r="Q2061" i="1"/>
  <c r="P2061" i="1"/>
  <c r="M2061" i="1"/>
  <c r="K2061" i="1"/>
  <c r="E2061" i="1"/>
  <c r="D2061" i="1"/>
  <c r="C2061" i="1"/>
  <c r="A2061" i="1"/>
  <c r="T2060" i="1"/>
  <c r="S2060" i="1"/>
  <c r="R2060" i="1"/>
  <c r="Q2060" i="1"/>
  <c r="P2060" i="1"/>
  <c r="M2060" i="1"/>
  <c r="K2060" i="1"/>
  <c r="E2060" i="1"/>
  <c r="D2060" i="1"/>
  <c r="C2060" i="1"/>
  <c r="A2060" i="1"/>
  <c r="T2059" i="1"/>
  <c r="S2059" i="1"/>
  <c r="R2059" i="1"/>
  <c r="Q2059" i="1"/>
  <c r="P2059" i="1"/>
  <c r="M2059" i="1"/>
  <c r="K2059" i="1"/>
  <c r="E2059" i="1"/>
  <c r="D2059" i="1"/>
  <c r="C2059" i="1"/>
  <c r="A2059" i="1"/>
  <c r="T2058" i="1"/>
  <c r="S2058" i="1"/>
  <c r="R2058" i="1"/>
  <c r="Q2058" i="1"/>
  <c r="P2058" i="1"/>
  <c r="M2058" i="1"/>
  <c r="K2058" i="1"/>
  <c r="E2058" i="1"/>
  <c r="D2058" i="1"/>
  <c r="C2058" i="1"/>
  <c r="A2058" i="1"/>
  <c r="T2057" i="1"/>
  <c r="S2057" i="1"/>
  <c r="R2057" i="1"/>
  <c r="Q2057" i="1"/>
  <c r="P2057" i="1"/>
  <c r="M2057" i="1"/>
  <c r="K2057" i="1"/>
  <c r="E2057" i="1"/>
  <c r="D2057" i="1"/>
  <c r="C2057" i="1"/>
  <c r="B2057" i="1"/>
  <c r="A2057" i="1"/>
  <c r="T2056" i="1"/>
  <c r="S2056" i="1"/>
  <c r="R2056" i="1"/>
  <c r="Q2056" i="1"/>
  <c r="P2056" i="1"/>
  <c r="M2056" i="1"/>
  <c r="K2056" i="1"/>
  <c r="E2056" i="1"/>
  <c r="D2056" i="1"/>
  <c r="C2056" i="1"/>
  <c r="B2056" i="1"/>
  <c r="A2056" i="1"/>
  <c r="T2055" i="1"/>
  <c r="S2055" i="1"/>
  <c r="R2055" i="1"/>
  <c r="Q2055" i="1"/>
  <c r="P2055" i="1"/>
  <c r="M2055" i="1"/>
  <c r="K2055" i="1"/>
  <c r="E2055" i="1"/>
  <c r="D2055" i="1"/>
  <c r="C2055" i="1"/>
  <c r="B2055" i="1"/>
  <c r="A2055" i="1"/>
  <c r="T2054" i="1"/>
  <c r="S2054" i="1"/>
  <c r="R2054" i="1"/>
  <c r="Q2054" i="1"/>
  <c r="P2054" i="1"/>
  <c r="M2054" i="1"/>
  <c r="K2054" i="1"/>
  <c r="E2054" i="1"/>
  <c r="D2054" i="1"/>
  <c r="C2054" i="1"/>
  <c r="B2054" i="1"/>
  <c r="A2054" i="1"/>
  <c r="T2053" i="1"/>
  <c r="S2053" i="1"/>
  <c r="R2053" i="1"/>
  <c r="Q2053" i="1"/>
  <c r="P2053" i="1"/>
  <c r="M2053" i="1"/>
  <c r="K2053" i="1"/>
  <c r="E2053" i="1"/>
  <c r="D2053" i="1"/>
  <c r="C2053" i="1"/>
  <c r="B2053" i="1"/>
  <c r="A2053" i="1"/>
  <c r="T2052" i="1"/>
  <c r="S2052" i="1"/>
  <c r="R2052" i="1"/>
  <c r="Q2052" i="1"/>
  <c r="P2052" i="1"/>
  <c r="M2052" i="1"/>
  <c r="K2052" i="1"/>
  <c r="E2052" i="1"/>
  <c r="D2052" i="1"/>
  <c r="C2052" i="1"/>
  <c r="B2052" i="1"/>
  <c r="A2052" i="1"/>
  <c r="T2051" i="1"/>
  <c r="S2051" i="1"/>
  <c r="R2051" i="1"/>
  <c r="Q2051" i="1"/>
  <c r="P2051" i="1"/>
  <c r="M2051" i="1"/>
  <c r="K2051" i="1"/>
  <c r="E2051" i="1"/>
  <c r="D2051" i="1"/>
  <c r="C2051" i="1"/>
  <c r="B2051" i="1"/>
  <c r="A2051" i="1"/>
  <c r="T2050" i="1"/>
  <c r="S2050" i="1"/>
  <c r="R2050" i="1"/>
  <c r="Q2050" i="1"/>
  <c r="P2050" i="1"/>
  <c r="M2050" i="1"/>
  <c r="K2050" i="1"/>
  <c r="E2050" i="1"/>
  <c r="D2050" i="1"/>
  <c r="C2050" i="1"/>
  <c r="B2050" i="1"/>
  <c r="A2050" i="1"/>
  <c r="T2049" i="1"/>
  <c r="S2049" i="1"/>
  <c r="R2049" i="1"/>
  <c r="Q2049" i="1"/>
  <c r="P2049" i="1"/>
  <c r="M2049" i="1"/>
  <c r="K2049" i="1"/>
  <c r="E2049" i="1"/>
  <c r="D2049" i="1"/>
  <c r="C2049" i="1"/>
  <c r="B2049" i="1"/>
  <c r="A2049" i="1"/>
  <c r="T2048" i="1"/>
  <c r="S2048" i="1"/>
  <c r="R2048" i="1"/>
  <c r="Q2048" i="1"/>
  <c r="P2048" i="1"/>
  <c r="M2048" i="1"/>
  <c r="K2048" i="1"/>
  <c r="I2048" i="1"/>
  <c r="E2048" i="1"/>
  <c r="D2048" i="1"/>
  <c r="C2048" i="1"/>
  <c r="A2048" i="1"/>
  <c r="T2047" i="1"/>
  <c r="S2047" i="1"/>
  <c r="R2047" i="1"/>
  <c r="Q2047" i="1"/>
  <c r="P2047" i="1"/>
  <c r="M2047" i="1"/>
  <c r="K2047" i="1"/>
  <c r="I2047" i="1"/>
  <c r="E2047" i="1"/>
  <c r="D2047" i="1"/>
  <c r="C2047" i="1"/>
  <c r="A2047" i="1"/>
  <c r="T2046" i="1"/>
  <c r="S2046" i="1"/>
  <c r="R2046" i="1"/>
  <c r="K2046" i="1"/>
  <c r="E2046" i="1"/>
  <c r="D2046" i="1"/>
  <c r="C2046" i="1"/>
  <c r="A2046" i="1"/>
  <c r="T2045" i="1"/>
  <c r="S2045" i="1"/>
  <c r="R2045" i="1"/>
  <c r="K2045" i="1"/>
  <c r="E2045" i="1"/>
  <c r="D2045" i="1"/>
  <c r="C2045" i="1"/>
  <c r="A2045" i="1"/>
  <c r="T2044" i="1"/>
  <c r="S2044" i="1"/>
  <c r="R2044" i="1"/>
  <c r="K2044" i="1"/>
  <c r="E2044" i="1"/>
  <c r="D2044" i="1"/>
  <c r="C2044" i="1"/>
  <c r="A2044" i="1"/>
  <c r="T2043" i="1"/>
  <c r="S2043" i="1"/>
  <c r="R2043" i="1"/>
  <c r="K2043" i="1"/>
  <c r="E2043" i="1"/>
  <c r="D2043" i="1"/>
  <c r="C2043" i="1"/>
  <c r="A2043" i="1"/>
  <c r="T2042" i="1"/>
  <c r="S2042" i="1"/>
  <c r="R2042" i="1"/>
  <c r="K2042" i="1"/>
  <c r="E2042" i="1"/>
  <c r="D2042" i="1"/>
  <c r="C2042" i="1"/>
  <c r="A2042" i="1"/>
  <c r="T2041" i="1"/>
  <c r="S2041" i="1"/>
  <c r="R2041" i="1"/>
  <c r="K2041" i="1"/>
  <c r="E2041" i="1"/>
  <c r="D2041" i="1"/>
  <c r="C2041" i="1"/>
  <c r="A2041" i="1"/>
  <c r="T2040" i="1"/>
  <c r="S2040" i="1"/>
  <c r="R2040" i="1"/>
  <c r="Q2040" i="1"/>
  <c r="P2040" i="1"/>
  <c r="M2040" i="1"/>
  <c r="K2040" i="1"/>
  <c r="E2040" i="1"/>
  <c r="D2040" i="1"/>
  <c r="C2040" i="1"/>
  <c r="B2040" i="1"/>
  <c r="A2040" i="1"/>
  <c r="T2039" i="1"/>
  <c r="S2039" i="1"/>
  <c r="R2039" i="1"/>
  <c r="Q2039" i="1"/>
  <c r="P2039" i="1"/>
  <c r="M2039" i="1"/>
  <c r="K2039" i="1"/>
  <c r="E2039" i="1"/>
  <c r="D2039" i="1"/>
  <c r="C2039" i="1"/>
  <c r="B2039" i="1"/>
  <c r="A2039" i="1"/>
  <c r="T2038" i="1"/>
  <c r="S2038" i="1"/>
  <c r="R2038" i="1"/>
  <c r="Q2038" i="1"/>
  <c r="P2038" i="1"/>
  <c r="M2038" i="1"/>
  <c r="K2038" i="1"/>
  <c r="E2038" i="1"/>
  <c r="D2038" i="1"/>
  <c r="C2038" i="1"/>
  <c r="B2038" i="1"/>
  <c r="A2038" i="1"/>
  <c r="T2037" i="1"/>
  <c r="S2037" i="1"/>
  <c r="R2037" i="1"/>
  <c r="Q2037" i="1"/>
  <c r="P2037" i="1"/>
  <c r="M2037" i="1"/>
  <c r="K2037" i="1"/>
  <c r="E2037" i="1"/>
  <c r="D2037" i="1"/>
  <c r="C2037" i="1"/>
  <c r="B2037" i="1"/>
  <c r="A2037" i="1"/>
  <c r="T2036" i="1"/>
  <c r="S2036" i="1"/>
  <c r="R2036" i="1"/>
  <c r="Q2036" i="1"/>
  <c r="P2036" i="1"/>
  <c r="M2036" i="1"/>
  <c r="K2036" i="1"/>
  <c r="E2036" i="1"/>
  <c r="D2036" i="1"/>
  <c r="C2036" i="1"/>
  <c r="B2036" i="1"/>
  <c r="A2036" i="1"/>
  <c r="T2035" i="1"/>
  <c r="S2035" i="1"/>
  <c r="R2035" i="1"/>
  <c r="Q2035" i="1"/>
  <c r="P2035" i="1"/>
  <c r="M2035" i="1"/>
  <c r="K2035" i="1"/>
  <c r="E2035" i="1"/>
  <c r="D2035" i="1"/>
  <c r="C2035" i="1"/>
  <c r="A2035" i="1"/>
  <c r="T2034" i="1"/>
  <c r="S2034" i="1"/>
  <c r="R2034" i="1"/>
  <c r="M2034" i="1"/>
  <c r="K2034" i="1"/>
  <c r="E2034" i="1"/>
  <c r="D2034" i="1"/>
  <c r="C2034" i="1"/>
  <c r="A2034" i="1"/>
  <c r="T2033" i="1"/>
  <c r="S2033" i="1"/>
  <c r="R2033" i="1"/>
  <c r="M2033" i="1"/>
  <c r="K2033" i="1"/>
  <c r="E2033" i="1"/>
  <c r="D2033" i="1"/>
  <c r="C2033" i="1"/>
  <c r="A2033" i="1"/>
  <c r="T2032" i="1"/>
  <c r="S2032" i="1"/>
  <c r="R2032" i="1"/>
  <c r="M2032" i="1"/>
  <c r="K2032" i="1"/>
  <c r="E2032" i="1"/>
  <c r="D2032" i="1"/>
  <c r="C2032" i="1"/>
  <c r="A2032" i="1"/>
  <c r="T2031" i="1"/>
  <c r="S2031" i="1"/>
  <c r="R2031" i="1"/>
  <c r="M2031" i="1"/>
  <c r="K2031" i="1"/>
  <c r="E2031" i="1"/>
  <c r="D2031" i="1"/>
  <c r="C2031" i="1"/>
  <c r="A2031" i="1"/>
  <c r="T2030" i="1"/>
  <c r="S2030" i="1"/>
  <c r="R2030" i="1"/>
  <c r="Q2030" i="1"/>
  <c r="P2030" i="1"/>
  <c r="M2030" i="1"/>
  <c r="K2030" i="1"/>
  <c r="E2030" i="1"/>
  <c r="D2030" i="1"/>
  <c r="C2030" i="1"/>
  <c r="A2030" i="1"/>
  <c r="T2029" i="1"/>
  <c r="S2029" i="1"/>
  <c r="R2029" i="1"/>
  <c r="Q2029" i="1"/>
  <c r="P2029" i="1"/>
  <c r="M2029" i="1"/>
  <c r="K2029" i="1"/>
  <c r="E2029" i="1"/>
  <c r="D2029" i="1"/>
  <c r="C2029" i="1"/>
  <c r="A2029" i="1"/>
  <c r="T2028" i="1"/>
  <c r="S2028" i="1"/>
  <c r="R2028" i="1"/>
  <c r="Q2028" i="1"/>
  <c r="P2028" i="1"/>
  <c r="M2028" i="1"/>
  <c r="K2028" i="1"/>
  <c r="E2028" i="1"/>
  <c r="D2028" i="1"/>
  <c r="C2028" i="1"/>
  <c r="A2028" i="1"/>
  <c r="T2027" i="1"/>
  <c r="S2027" i="1"/>
  <c r="R2027" i="1"/>
  <c r="Q2027" i="1"/>
  <c r="P2027" i="1"/>
  <c r="M2027" i="1"/>
  <c r="K2027" i="1"/>
  <c r="E2027" i="1"/>
  <c r="D2027" i="1"/>
  <c r="C2027" i="1"/>
  <c r="A2027" i="1"/>
  <c r="T2026" i="1"/>
  <c r="S2026" i="1"/>
  <c r="R2026" i="1"/>
  <c r="Q2026" i="1"/>
  <c r="P2026" i="1"/>
  <c r="M2026" i="1"/>
  <c r="K2026" i="1"/>
  <c r="E2026" i="1"/>
  <c r="D2026" i="1"/>
  <c r="C2026" i="1"/>
  <c r="A2026" i="1"/>
  <c r="T2025" i="1"/>
  <c r="S2025" i="1"/>
  <c r="R2025" i="1"/>
  <c r="Q2025" i="1"/>
  <c r="P2025" i="1"/>
  <c r="M2025" i="1"/>
  <c r="K2025" i="1"/>
  <c r="E2025" i="1"/>
  <c r="D2025" i="1"/>
  <c r="C2025" i="1"/>
  <c r="A2025" i="1"/>
  <c r="T2024" i="1"/>
  <c r="S2024" i="1"/>
  <c r="R2024" i="1"/>
  <c r="Q2024" i="1"/>
  <c r="P2024" i="1"/>
  <c r="M2024" i="1"/>
  <c r="K2024" i="1"/>
  <c r="E2024" i="1"/>
  <c r="D2024" i="1"/>
  <c r="C2024" i="1"/>
  <c r="A2024" i="1"/>
  <c r="T2023" i="1"/>
  <c r="S2023" i="1"/>
  <c r="R2023" i="1"/>
  <c r="Q2023" i="1"/>
  <c r="P2023" i="1"/>
  <c r="M2023" i="1"/>
  <c r="K2023" i="1"/>
  <c r="E2023" i="1"/>
  <c r="D2023" i="1"/>
  <c r="C2023" i="1"/>
  <c r="A2023" i="1"/>
  <c r="T2022" i="1"/>
  <c r="S2022" i="1"/>
  <c r="R2022" i="1"/>
  <c r="Q2022" i="1"/>
  <c r="P2022" i="1"/>
  <c r="M2022" i="1"/>
  <c r="K2022" i="1"/>
  <c r="E2022" i="1"/>
  <c r="D2022" i="1"/>
  <c r="C2022" i="1"/>
  <c r="A2022" i="1"/>
  <c r="T2021" i="1"/>
  <c r="S2021" i="1"/>
  <c r="R2021" i="1"/>
  <c r="Q2021" i="1"/>
  <c r="P2021" i="1"/>
  <c r="M2021" i="1"/>
  <c r="K2021" i="1"/>
  <c r="E2021" i="1"/>
  <c r="D2021" i="1"/>
  <c r="C2021" i="1"/>
  <c r="A2021" i="1"/>
  <c r="T2020" i="1"/>
  <c r="S2020" i="1"/>
  <c r="R2020" i="1"/>
  <c r="Q2020" i="1"/>
  <c r="P2020" i="1"/>
  <c r="M2020" i="1"/>
  <c r="K2020" i="1"/>
  <c r="E2020" i="1"/>
  <c r="D2020" i="1"/>
  <c r="C2020" i="1"/>
  <c r="A2020" i="1"/>
  <c r="T2019" i="1"/>
  <c r="S2019" i="1"/>
  <c r="R2019" i="1"/>
  <c r="K2019" i="1"/>
  <c r="E2019" i="1"/>
  <c r="D2019" i="1"/>
  <c r="C2019" i="1"/>
  <c r="A2019" i="1"/>
  <c r="T2018" i="1"/>
  <c r="S2018" i="1"/>
  <c r="R2018" i="1"/>
  <c r="K2018" i="1"/>
  <c r="E2018" i="1"/>
  <c r="D2018" i="1"/>
  <c r="C2018" i="1"/>
  <c r="A2018" i="1"/>
  <c r="T2017" i="1"/>
  <c r="S2017" i="1"/>
  <c r="R2017" i="1"/>
  <c r="K2017" i="1"/>
  <c r="E2017" i="1"/>
  <c r="D2017" i="1"/>
  <c r="C2017" i="1"/>
  <c r="A2017" i="1"/>
  <c r="T2016" i="1"/>
  <c r="S2016" i="1"/>
  <c r="R2016" i="1"/>
  <c r="K2016" i="1"/>
  <c r="E2016" i="1"/>
  <c r="D2016" i="1"/>
  <c r="C2016" i="1"/>
  <c r="A2016" i="1"/>
  <c r="T2015" i="1"/>
  <c r="S2015" i="1"/>
  <c r="R2015" i="1"/>
  <c r="K2015" i="1"/>
  <c r="E2015" i="1"/>
  <c r="D2015" i="1"/>
  <c r="C2015" i="1"/>
  <c r="A2015" i="1"/>
  <c r="T2014" i="1"/>
  <c r="S2014" i="1"/>
  <c r="R2014" i="1"/>
  <c r="K2014" i="1"/>
  <c r="E2014" i="1"/>
  <c r="D2014" i="1"/>
  <c r="C2014" i="1"/>
  <c r="A2014" i="1"/>
  <c r="T2013" i="1"/>
  <c r="S2013" i="1"/>
  <c r="R2013" i="1"/>
  <c r="K2013" i="1"/>
  <c r="E2013" i="1"/>
  <c r="D2013" i="1"/>
  <c r="C2013" i="1"/>
  <c r="A2013" i="1"/>
  <c r="T2012" i="1"/>
  <c r="S2012" i="1"/>
  <c r="R2012" i="1"/>
  <c r="K2012" i="1"/>
  <c r="E2012" i="1"/>
  <c r="D2012" i="1"/>
  <c r="C2012" i="1"/>
  <c r="A2012" i="1"/>
  <c r="T2011" i="1"/>
  <c r="S2011" i="1"/>
  <c r="R2011" i="1"/>
  <c r="K2011" i="1"/>
  <c r="E2011" i="1"/>
  <c r="D2011" i="1"/>
  <c r="C2011" i="1"/>
  <c r="A2011" i="1"/>
  <c r="T2010" i="1"/>
  <c r="S2010" i="1"/>
  <c r="R2010" i="1"/>
  <c r="M2010" i="1"/>
  <c r="K2010" i="1"/>
  <c r="E2010" i="1"/>
  <c r="D2010" i="1"/>
  <c r="C2010" i="1"/>
  <c r="A2010" i="1"/>
  <c r="T2009" i="1"/>
  <c r="S2009" i="1"/>
  <c r="R2009" i="1"/>
  <c r="M2009" i="1"/>
  <c r="K2009" i="1"/>
  <c r="E2009" i="1"/>
  <c r="D2009" i="1"/>
  <c r="C2009" i="1"/>
  <c r="A2009" i="1"/>
  <c r="T2008" i="1"/>
  <c r="S2008" i="1"/>
  <c r="R2008" i="1"/>
  <c r="M2008" i="1"/>
  <c r="K2008" i="1"/>
  <c r="E2008" i="1"/>
  <c r="D2008" i="1"/>
  <c r="C2008" i="1"/>
  <c r="A2008" i="1"/>
  <c r="T2007" i="1"/>
  <c r="S2007" i="1"/>
  <c r="R2007" i="1"/>
  <c r="M2007" i="1"/>
  <c r="K2007" i="1"/>
  <c r="E2007" i="1"/>
  <c r="D2007" i="1"/>
  <c r="C2007" i="1"/>
  <c r="A2007" i="1"/>
  <c r="T2006" i="1"/>
  <c r="S2006" i="1"/>
  <c r="R2006" i="1"/>
  <c r="M2006" i="1"/>
  <c r="K2006" i="1"/>
  <c r="E2006" i="1"/>
  <c r="D2006" i="1"/>
  <c r="C2006" i="1"/>
  <c r="A2006" i="1"/>
  <c r="T2005" i="1"/>
  <c r="S2005" i="1"/>
  <c r="R2005" i="1"/>
  <c r="M2005" i="1"/>
  <c r="K2005" i="1"/>
  <c r="E2005" i="1"/>
  <c r="D2005" i="1"/>
  <c r="C2005" i="1"/>
  <c r="A2005" i="1"/>
  <c r="T2004" i="1"/>
  <c r="S2004" i="1"/>
  <c r="R2004" i="1"/>
  <c r="M2004" i="1"/>
  <c r="K2004" i="1"/>
  <c r="E2004" i="1"/>
  <c r="D2004" i="1"/>
  <c r="C2004" i="1"/>
  <c r="A2004" i="1"/>
  <c r="T2003" i="1"/>
  <c r="S2003" i="1"/>
  <c r="R2003" i="1"/>
  <c r="M2003" i="1"/>
  <c r="K2003" i="1"/>
  <c r="E2003" i="1"/>
  <c r="D2003" i="1"/>
  <c r="C2003" i="1"/>
  <c r="A2003" i="1"/>
  <c r="T2002" i="1"/>
  <c r="S2002" i="1"/>
  <c r="R2002" i="1"/>
  <c r="M2002" i="1"/>
  <c r="K2002" i="1"/>
  <c r="E2002" i="1"/>
  <c r="D2002" i="1"/>
  <c r="C2002" i="1"/>
  <c r="A2002" i="1"/>
  <c r="T2001" i="1"/>
  <c r="S2001" i="1"/>
  <c r="R2001" i="1"/>
  <c r="M2001" i="1"/>
  <c r="K2001" i="1"/>
  <c r="E2001" i="1"/>
  <c r="D2001" i="1"/>
  <c r="C2001" i="1"/>
  <c r="A2001" i="1"/>
  <c r="T2000" i="1"/>
  <c r="S2000" i="1"/>
  <c r="R2000" i="1"/>
  <c r="M2000" i="1"/>
  <c r="K2000" i="1"/>
  <c r="E2000" i="1"/>
  <c r="D2000" i="1"/>
  <c r="C2000" i="1"/>
  <c r="A2000" i="1"/>
  <c r="T1999" i="1"/>
  <c r="S1999" i="1"/>
  <c r="R1999" i="1"/>
  <c r="M1999" i="1"/>
  <c r="K1999" i="1"/>
  <c r="E1999" i="1"/>
  <c r="D1999" i="1"/>
  <c r="C1999" i="1"/>
  <c r="A1999" i="1"/>
  <c r="T1998" i="1"/>
  <c r="S1998" i="1"/>
  <c r="R1998" i="1"/>
  <c r="M1998" i="1"/>
  <c r="K1998" i="1"/>
  <c r="E1998" i="1"/>
  <c r="D1998" i="1"/>
  <c r="C1998" i="1"/>
  <c r="A1998" i="1"/>
  <c r="T1997" i="1"/>
  <c r="S1997" i="1"/>
  <c r="R1997" i="1"/>
  <c r="M1997" i="1"/>
  <c r="K1997" i="1"/>
  <c r="E1997" i="1"/>
  <c r="D1997" i="1"/>
  <c r="C1997" i="1"/>
  <c r="A1997" i="1"/>
  <c r="T1996" i="1"/>
  <c r="S1996" i="1"/>
  <c r="R1996" i="1"/>
  <c r="Q1996" i="1"/>
  <c r="P1996" i="1"/>
  <c r="M1996" i="1"/>
  <c r="K1996" i="1"/>
  <c r="E1996" i="1"/>
  <c r="D1996" i="1"/>
  <c r="C1996" i="1"/>
  <c r="A1996" i="1"/>
  <c r="T1995" i="1"/>
  <c r="S1995" i="1"/>
  <c r="R1995" i="1"/>
  <c r="Q1995" i="1"/>
  <c r="P1995" i="1"/>
  <c r="M1995" i="1"/>
  <c r="K1995" i="1"/>
  <c r="E1995" i="1"/>
  <c r="D1995" i="1"/>
  <c r="C1995" i="1"/>
  <c r="A1995" i="1"/>
  <c r="T1994" i="1"/>
  <c r="S1994" i="1"/>
  <c r="R1994" i="1"/>
  <c r="Q1994" i="1"/>
  <c r="P1994" i="1"/>
  <c r="M1994" i="1"/>
  <c r="K1994" i="1"/>
  <c r="E1994" i="1"/>
  <c r="D1994" i="1"/>
  <c r="C1994" i="1"/>
  <c r="A1994" i="1"/>
  <c r="T1993" i="1"/>
  <c r="S1993" i="1"/>
  <c r="R1993" i="1"/>
  <c r="Q1993" i="1"/>
  <c r="P1993" i="1"/>
  <c r="M1993" i="1"/>
  <c r="K1993" i="1"/>
  <c r="E1993" i="1"/>
  <c r="D1993" i="1"/>
  <c r="C1993" i="1"/>
  <c r="A1993" i="1"/>
  <c r="T1992" i="1"/>
  <c r="S1992" i="1"/>
  <c r="R1992" i="1"/>
  <c r="Q1992" i="1"/>
  <c r="P1992" i="1"/>
  <c r="M1992" i="1"/>
  <c r="K1992" i="1"/>
  <c r="E1992" i="1"/>
  <c r="D1992" i="1"/>
  <c r="C1992" i="1"/>
  <c r="A1992" i="1"/>
  <c r="T1991" i="1"/>
  <c r="S1991" i="1"/>
  <c r="R1991" i="1"/>
  <c r="Q1991" i="1"/>
  <c r="P1991" i="1"/>
  <c r="M1991" i="1"/>
  <c r="K1991" i="1"/>
  <c r="E1991" i="1"/>
  <c r="D1991" i="1"/>
  <c r="C1991" i="1"/>
  <c r="A1991" i="1"/>
  <c r="T1990" i="1"/>
  <c r="S1990" i="1"/>
  <c r="R1990" i="1"/>
  <c r="Q1990" i="1"/>
  <c r="P1990" i="1"/>
  <c r="M1990" i="1"/>
  <c r="K1990" i="1"/>
  <c r="E1990" i="1"/>
  <c r="D1990" i="1"/>
  <c r="C1990" i="1"/>
  <c r="A1990" i="1"/>
  <c r="T1989" i="1"/>
  <c r="S1989" i="1"/>
  <c r="R1989" i="1"/>
  <c r="Q1989" i="1"/>
  <c r="P1989" i="1"/>
  <c r="M1989" i="1"/>
  <c r="K1989" i="1"/>
  <c r="E1989" i="1"/>
  <c r="D1989" i="1"/>
  <c r="C1989" i="1"/>
  <c r="A1989" i="1"/>
  <c r="T1988" i="1"/>
  <c r="S1988" i="1"/>
  <c r="R1988" i="1"/>
  <c r="K1988" i="1"/>
  <c r="E1988" i="1"/>
  <c r="D1988" i="1"/>
  <c r="C1988" i="1"/>
  <c r="A1988" i="1"/>
  <c r="T1987" i="1"/>
  <c r="S1987" i="1"/>
  <c r="R1987" i="1"/>
  <c r="K1987" i="1"/>
  <c r="E1987" i="1"/>
  <c r="D1987" i="1"/>
  <c r="C1987" i="1"/>
  <c r="A1987" i="1"/>
  <c r="T1986" i="1"/>
  <c r="S1986" i="1"/>
  <c r="R1986" i="1"/>
  <c r="K1986" i="1"/>
  <c r="E1986" i="1"/>
  <c r="D1986" i="1"/>
  <c r="C1986" i="1"/>
  <c r="A1986" i="1"/>
  <c r="T1985" i="1"/>
  <c r="S1985" i="1"/>
  <c r="R1985" i="1"/>
  <c r="K1985" i="1"/>
  <c r="E1985" i="1"/>
  <c r="D1985" i="1"/>
  <c r="C1985" i="1"/>
  <c r="A1985" i="1"/>
  <c r="T1984" i="1"/>
  <c r="S1984" i="1"/>
  <c r="R1984" i="1"/>
  <c r="K1984" i="1"/>
  <c r="E1984" i="1"/>
  <c r="D1984" i="1"/>
  <c r="C1984" i="1"/>
  <c r="A1984" i="1"/>
  <c r="T1983" i="1"/>
  <c r="S1983" i="1"/>
  <c r="R1983" i="1"/>
  <c r="K1983" i="1"/>
  <c r="E1983" i="1"/>
  <c r="D1983" i="1"/>
  <c r="C1983" i="1"/>
  <c r="A1983" i="1"/>
  <c r="T1982" i="1"/>
  <c r="S1982" i="1"/>
  <c r="R1982" i="1"/>
  <c r="K1982" i="1"/>
  <c r="E1982" i="1"/>
  <c r="D1982" i="1"/>
  <c r="C1982" i="1"/>
  <c r="A1982" i="1"/>
  <c r="T1981" i="1"/>
  <c r="S1981" i="1"/>
  <c r="R1981" i="1"/>
  <c r="K1981" i="1"/>
  <c r="E1981" i="1"/>
  <c r="D1981" i="1"/>
  <c r="C1981" i="1"/>
  <c r="A1981" i="1"/>
  <c r="T1980" i="1"/>
  <c r="S1980" i="1"/>
  <c r="R1980" i="1"/>
  <c r="K1980" i="1"/>
  <c r="E1980" i="1"/>
  <c r="D1980" i="1"/>
  <c r="C1980" i="1"/>
  <c r="A1980" i="1"/>
  <c r="T1979" i="1"/>
  <c r="S1979" i="1"/>
  <c r="R1979" i="1"/>
  <c r="K1979" i="1"/>
  <c r="E1979" i="1"/>
  <c r="D1979" i="1"/>
  <c r="C1979" i="1"/>
  <c r="A1979" i="1"/>
  <c r="T1978" i="1"/>
  <c r="S1978" i="1"/>
  <c r="R1978" i="1"/>
  <c r="K1978" i="1"/>
  <c r="E1978" i="1"/>
  <c r="D1978" i="1"/>
  <c r="C1978" i="1"/>
  <c r="A1978" i="1"/>
  <c r="T1977" i="1"/>
  <c r="S1977" i="1"/>
  <c r="R1977" i="1"/>
  <c r="K1977" i="1"/>
  <c r="E1977" i="1"/>
  <c r="D1977" i="1"/>
  <c r="C1977" i="1"/>
  <c r="A1977" i="1"/>
  <c r="T1976" i="1"/>
  <c r="S1976" i="1"/>
  <c r="R1976" i="1"/>
  <c r="K1976" i="1"/>
  <c r="E1976" i="1"/>
  <c r="D1976" i="1"/>
  <c r="C1976" i="1"/>
  <c r="A1976" i="1"/>
  <c r="T1975" i="1"/>
  <c r="S1975" i="1"/>
  <c r="R1975" i="1"/>
  <c r="K1975" i="1"/>
  <c r="E1975" i="1"/>
  <c r="D1975" i="1"/>
  <c r="C1975" i="1"/>
  <c r="A1975" i="1"/>
  <c r="T1974" i="1"/>
  <c r="S1974" i="1"/>
  <c r="R1974" i="1"/>
  <c r="K1974" i="1"/>
  <c r="E1974" i="1"/>
  <c r="D1974" i="1"/>
  <c r="C1974" i="1"/>
  <c r="A1974" i="1"/>
  <c r="T1973" i="1"/>
  <c r="S1973" i="1"/>
  <c r="R1973" i="1"/>
  <c r="K1973" i="1"/>
  <c r="E1973" i="1"/>
  <c r="D1973" i="1"/>
  <c r="C1973" i="1"/>
  <c r="A1973" i="1"/>
  <c r="T1972" i="1"/>
  <c r="S1972" i="1"/>
  <c r="R1972" i="1"/>
  <c r="K1972" i="1"/>
  <c r="E1972" i="1"/>
  <c r="D1972" i="1"/>
  <c r="C1972" i="1"/>
  <c r="A1972" i="1"/>
  <c r="T1971" i="1"/>
  <c r="S1971" i="1"/>
  <c r="R1971" i="1"/>
  <c r="M1971" i="1"/>
  <c r="K1971" i="1"/>
  <c r="E1971" i="1"/>
  <c r="D1971" i="1"/>
  <c r="C1971" i="1"/>
  <c r="A1971" i="1"/>
  <c r="T1970" i="1"/>
  <c r="S1970" i="1"/>
  <c r="R1970" i="1"/>
  <c r="M1970" i="1"/>
  <c r="K1970" i="1"/>
  <c r="E1970" i="1"/>
  <c r="D1970" i="1"/>
  <c r="C1970" i="1"/>
  <c r="A1970" i="1"/>
  <c r="T1969" i="1"/>
  <c r="S1969" i="1"/>
  <c r="R1969" i="1"/>
  <c r="M1969" i="1"/>
  <c r="K1969" i="1"/>
  <c r="E1969" i="1"/>
  <c r="D1969" i="1"/>
  <c r="C1969" i="1"/>
  <c r="A1969" i="1"/>
  <c r="T1968" i="1"/>
  <c r="S1968" i="1"/>
  <c r="R1968" i="1"/>
  <c r="M1968" i="1"/>
  <c r="K1968" i="1"/>
  <c r="E1968" i="1"/>
  <c r="D1968" i="1"/>
  <c r="C1968" i="1"/>
  <c r="A1968" i="1"/>
  <c r="T1967" i="1"/>
  <c r="S1967" i="1"/>
  <c r="R1967" i="1"/>
  <c r="M1967" i="1"/>
  <c r="K1967" i="1"/>
  <c r="E1967" i="1"/>
  <c r="D1967" i="1"/>
  <c r="C1967" i="1"/>
  <c r="A1967" i="1"/>
  <c r="T1966" i="1"/>
  <c r="S1966" i="1"/>
  <c r="R1966" i="1"/>
  <c r="M1966" i="1"/>
  <c r="K1966" i="1"/>
  <c r="E1966" i="1"/>
  <c r="D1966" i="1"/>
  <c r="C1966" i="1"/>
  <c r="A1966" i="1"/>
  <c r="T1965" i="1"/>
  <c r="S1965" i="1"/>
  <c r="R1965" i="1"/>
  <c r="M1965" i="1"/>
  <c r="K1965" i="1"/>
  <c r="E1965" i="1"/>
  <c r="D1965" i="1"/>
  <c r="C1965" i="1"/>
  <c r="A1965" i="1"/>
  <c r="T1964" i="1"/>
  <c r="S1964" i="1"/>
  <c r="R1964" i="1"/>
  <c r="M1964" i="1"/>
  <c r="K1964" i="1"/>
  <c r="E1964" i="1"/>
  <c r="D1964" i="1"/>
  <c r="C1964" i="1"/>
  <c r="A1964" i="1"/>
  <c r="T1963" i="1"/>
  <c r="S1963" i="1"/>
  <c r="R1963" i="1"/>
  <c r="M1963" i="1"/>
  <c r="K1963" i="1"/>
  <c r="E1963" i="1"/>
  <c r="D1963" i="1"/>
  <c r="C1963" i="1"/>
  <c r="A1963" i="1"/>
  <c r="T1962" i="1"/>
  <c r="S1962" i="1"/>
  <c r="R1962" i="1"/>
  <c r="M1962" i="1"/>
  <c r="K1962" i="1"/>
  <c r="E1962" i="1"/>
  <c r="D1962" i="1"/>
  <c r="C1962" i="1"/>
  <c r="A1962" i="1"/>
  <c r="T1961" i="1"/>
  <c r="S1961" i="1"/>
  <c r="R1961" i="1"/>
  <c r="Q1961" i="1"/>
  <c r="P1961" i="1"/>
  <c r="M1961" i="1"/>
  <c r="K1961" i="1"/>
  <c r="E1961" i="1"/>
  <c r="D1961" i="1"/>
  <c r="C1961" i="1"/>
  <c r="A1961" i="1"/>
  <c r="T1960" i="1"/>
  <c r="S1960" i="1"/>
  <c r="R1960" i="1"/>
  <c r="Q1960" i="1"/>
  <c r="P1960" i="1"/>
  <c r="M1960" i="1"/>
  <c r="K1960" i="1"/>
  <c r="E1960" i="1"/>
  <c r="D1960" i="1"/>
  <c r="C1960" i="1"/>
  <c r="A1960" i="1"/>
  <c r="T1959" i="1"/>
  <c r="S1959" i="1"/>
  <c r="R1959" i="1"/>
  <c r="Q1959" i="1"/>
  <c r="P1959" i="1"/>
  <c r="M1959" i="1"/>
  <c r="K1959" i="1"/>
  <c r="E1959" i="1"/>
  <c r="D1959" i="1"/>
  <c r="C1959" i="1"/>
  <c r="A1959" i="1"/>
  <c r="T1958" i="1"/>
  <c r="S1958" i="1"/>
  <c r="R1958" i="1"/>
  <c r="Q1958" i="1"/>
  <c r="P1958" i="1"/>
  <c r="M1958" i="1"/>
  <c r="K1958" i="1"/>
  <c r="E1958" i="1"/>
  <c r="D1958" i="1"/>
  <c r="C1958" i="1"/>
  <c r="A1958" i="1"/>
  <c r="T1957" i="1"/>
  <c r="S1957" i="1"/>
  <c r="R1957" i="1"/>
  <c r="Q1957" i="1"/>
  <c r="P1957" i="1"/>
  <c r="M1957" i="1"/>
  <c r="K1957" i="1"/>
  <c r="E1957" i="1"/>
  <c r="D1957" i="1"/>
  <c r="C1957" i="1"/>
  <c r="A1957" i="1"/>
  <c r="T1956" i="1"/>
  <c r="S1956" i="1"/>
  <c r="R1956" i="1"/>
  <c r="Q1956" i="1"/>
  <c r="P1956" i="1"/>
  <c r="M1956" i="1"/>
  <c r="K1956" i="1"/>
  <c r="E1956" i="1"/>
  <c r="D1956" i="1"/>
  <c r="C1956" i="1"/>
  <c r="A1956" i="1"/>
  <c r="T1955" i="1"/>
  <c r="S1955" i="1"/>
  <c r="R1955" i="1"/>
  <c r="Q1955" i="1"/>
  <c r="P1955" i="1"/>
  <c r="M1955" i="1"/>
  <c r="K1955" i="1"/>
  <c r="E1955" i="1"/>
  <c r="D1955" i="1"/>
  <c r="C1955" i="1"/>
  <c r="A1955" i="1"/>
  <c r="T1954" i="1"/>
  <c r="S1954" i="1"/>
  <c r="R1954" i="1"/>
  <c r="Q1954" i="1"/>
  <c r="P1954" i="1"/>
  <c r="M1954" i="1"/>
  <c r="K1954" i="1"/>
  <c r="E1954" i="1"/>
  <c r="D1954" i="1"/>
  <c r="C1954" i="1"/>
  <c r="A1954" i="1"/>
  <c r="T1953" i="1"/>
  <c r="S1953" i="1"/>
  <c r="R1953" i="1"/>
  <c r="Q1953" i="1"/>
  <c r="P1953" i="1"/>
  <c r="M1953" i="1"/>
  <c r="K1953" i="1"/>
  <c r="E1953" i="1"/>
  <c r="D1953" i="1"/>
  <c r="C1953" i="1"/>
  <c r="A1953" i="1"/>
  <c r="T1952" i="1"/>
  <c r="S1952" i="1"/>
  <c r="R1952" i="1"/>
  <c r="Q1952" i="1"/>
  <c r="P1952" i="1"/>
  <c r="M1952" i="1"/>
  <c r="K1952" i="1"/>
  <c r="E1952" i="1"/>
  <c r="D1952" i="1"/>
  <c r="C1952" i="1"/>
  <c r="A1952" i="1"/>
  <c r="T1951" i="1"/>
  <c r="S1951" i="1"/>
  <c r="R1951" i="1"/>
  <c r="Q1951" i="1"/>
  <c r="P1951" i="1"/>
  <c r="M1951" i="1"/>
  <c r="K1951" i="1"/>
  <c r="E1951" i="1"/>
  <c r="D1951" i="1"/>
  <c r="C1951" i="1"/>
  <c r="A1951" i="1"/>
  <c r="T1950" i="1"/>
  <c r="S1950" i="1"/>
  <c r="R1950" i="1"/>
  <c r="Q1950" i="1"/>
  <c r="P1950" i="1"/>
  <c r="M1950" i="1"/>
  <c r="K1950" i="1"/>
  <c r="E1950" i="1"/>
  <c r="D1950" i="1"/>
  <c r="C1950" i="1"/>
  <c r="A1950" i="1"/>
  <c r="T1949" i="1"/>
  <c r="S1949" i="1"/>
  <c r="R1949" i="1"/>
  <c r="Q1949" i="1"/>
  <c r="P1949" i="1"/>
  <c r="M1949" i="1"/>
  <c r="K1949" i="1"/>
  <c r="E1949" i="1"/>
  <c r="D1949" i="1"/>
  <c r="C1949" i="1"/>
  <c r="A1949" i="1"/>
  <c r="T1948" i="1"/>
  <c r="S1948" i="1"/>
  <c r="R1948" i="1"/>
  <c r="K1948" i="1"/>
  <c r="E1948" i="1"/>
  <c r="D1948" i="1"/>
  <c r="C1948" i="1"/>
  <c r="A1948" i="1"/>
  <c r="T1947" i="1"/>
  <c r="S1947" i="1"/>
  <c r="R1947" i="1"/>
  <c r="K1947" i="1"/>
  <c r="E1947" i="1"/>
  <c r="D1947" i="1"/>
  <c r="C1947" i="1"/>
  <c r="A1947" i="1"/>
  <c r="T1946" i="1"/>
  <c r="S1946" i="1"/>
  <c r="R1946" i="1"/>
  <c r="K1946" i="1"/>
  <c r="E1946" i="1"/>
  <c r="D1946" i="1"/>
  <c r="C1946" i="1"/>
  <c r="A1946" i="1"/>
  <c r="T1945" i="1"/>
  <c r="S1945" i="1"/>
  <c r="R1945" i="1"/>
  <c r="K1945" i="1"/>
  <c r="E1945" i="1"/>
  <c r="D1945" i="1"/>
  <c r="C1945" i="1"/>
  <c r="A1945" i="1"/>
  <c r="T1944" i="1"/>
  <c r="S1944" i="1"/>
  <c r="R1944" i="1"/>
  <c r="K1944" i="1"/>
  <c r="E1944" i="1"/>
  <c r="D1944" i="1"/>
  <c r="C1944" i="1"/>
  <c r="A1944" i="1"/>
  <c r="T1943" i="1"/>
  <c r="S1943" i="1"/>
  <c r="R1943" i="1"/>
  <c r="K1943" i="1"/>
  <c r="E1943" i="1"/>
  <c r="D1943" i="1"/>
  <c r="C1943" i="1"/>
  <c r="A1943" i="1"/>
  <c r="T1942" i="1"/>
  <c r="S1942" i="1"/>
  <c r="R1942" i="1"/>
  <c r="K1942" i="1"/>
  <c r="E1942" i="1"/>
  <c r="D1942" i="1"/>
  <c r="C1942" i="1"/>
  <c r="A1942" i="1"/>
  <c r="T1941" i="1"/>
  <c r="S1941" i="1"/>
  <c r="R1941" i="1"/>
  <c r="K1941" i="1"/>
  <c r="E1941" i="1"/>
  <c r="D1941" i="1"/>
  <c r="C1941" i="1"/>
  <c r="A1941" i="1"/>
  <c r="T1940" i="1"/>
  <c r="S1940" i="1"/>
  <c r="R1940" i="1"/>
  <c r="K1940" i="1"/>
  <c r="E1940" i="1"/>
  <c r="D1940" i="1"/>
  <c r="C1940" i="1"/>
  <c r="A1940" i="1"/>
  <c r="T1939" i="1"/>
  <c r="S1939" i="1"/>
  <c r="R1939" i="1"/>
  <c r="K1939" i="1"/>
  <c r="E1939" i="1"/>
  <c r="D1939" i="1"/>
  <c r="C1939" i="1"/>
  <c r="A1939" i="1"/>
  <c r="T1938" i="1"/>
  <c r="S1938" i="1"/>
  <c r="R1938" i="1"/>
  <c r="K1938" i="1"/>
  <c r="E1938" i="1"/>
  <c r="D1938" i="1"/>
  <c r="C1938" i="1"/>
  <c r="A1938" i="1"/>
  <c r="T1937" i="1"/>
  <c r="S1937" i="1"/>
  <c r="R1937" i="1"/>
  <c r="K1937" i="1"/>
  <c r="E1937" i="1"/>
  <c r="D1937" i="1"/>
  <c r="C1937" i="1"/>
  <c r="A1937" i="1"/>
  <c r="T1936" i="1"/>
  <c r="S1936" i="1"/>
  <c r="R1936" i="1"/>
  <c r="K1936" i="1"/>
  <c r="E1936" i="1"/>
  <c r="D1936" i="1"/>
  <c r="C1936" i="1"/>
  <c r="A1936" i="1"/>
  <c r="T1935" i="1"/>
  <c r="S1935" i="1"/>
  <c r="R1935" i="1"/>
  <c r="K1935" i="1"/>
  <c r="E1935" i="1"/>
  <c r="D1935" i="1"/>
  <c r="C1935" i="1"/>
  <c r="A1935" i="1"/>
  <c r="T1934" i="1"/>
  <c r="S1934" i="1"/>
  <c r="R1934" i="1"/>
  <c r="K1934" i="1"/>
  <c r="E1934" i="1"/>
  <c r="D1934" i="1"/>
  <c r="C1934" i="1"/>
  <c r="A1934" i="1"/>
  <c r="T1933" i="1"/>
  <c r="S1933" i="1"/>
  <c r="R1933" i="1"/>
  <c r="K1933" i="1"/>
  <c r="E1933" i="1"/>
  <c r="D1933" i="1"/>
  <c r="C1933" i="1"/>
  <c r="A1933" i="1"/>
  <c r="T1932" i="1"/>
  <c r="S1932" i="1"/>
  <c r="R1932" i="1"/>
  <c r="K1932" i="1"/>
  <c r="E1932" i="1"/>
  <c r="D1932" i="1"/>
  <c r="C1932" i="1"/>
  <c r="A1932" i="1"/>
  <c r="T1931" i="1"/>
  <c r="S1931" i="1"/>
  <c r="R1931" i="1"/>
  <c r="K1931" i="1"/>
  <c r="E1931" i="1"/>
  <c r="D1931" i="1"/>
  <c r="C1931" i="1"/>
  <c r="A1931" i="1"/>
  <c r="T1930" i="1"/>
  <c r="S1930" i="1"/>
  <c r="R1930" i="1"/>
  <c r="K1930" i="1"/>
  <c r="E1930" i="1"/>
  <c r="D1930" i="1"/>
  <c r="C1930" i="1"/>
  <c r="A1930" i="1"/>
  <c r="T1929" i="1"/>
  <c r="S1929" i="1"/>
  <c r="R1929" i="1"/>
  <c r="K1929" i="1"/>
  <c r="E1929" i="1"/>
  <c r="D1929" i="1"/>
  <c r="C1929" i="1"/>
  <c r="A1929" i="1"/>
  <c r="T1928" i="1"/>
  <c r="S1928" i="1"/>
  <c r="R1928" i="1"/>
  <c r="K1928" i="1"/>
  <c r="E1928" i="1"/>
  <c r="D1928" i="1"/>
  <c r="C1928" i="1"/>
  <c r="A1928" i="1"/>
  <c r="T1927" i="1"/>
  <c r="S1927" i="1"/>
  <c r="R1927" i="1"/>
  <c r="K1927" i="1"/>
  <c r="E1927" i="1"/>
  <c r="D1927" i="1"/>
  <c r="C1927" i="1"/>
  <c r="A1927" i="1"/>
  <c r="T1926" i="1"/>
  <c r="S1926" i="1"/>
  <c r="R1926" i="1"/>
  <c r="K1926" i="1"/>
  <c r="E1926" i="1"/>
  <c r="D1926" i="1"/>
  <c r="C1926" i="1"/>
  <c r="A1926" i="1"/>
  <c r="T1925" i="1"/>
  <c r="S1925" i="1"/>
  <c r="R1925" i="1"/>
  <c r="K1925" i="1"/>
  <c r="E1925" i="1"/>
  <c r="D1925" i="1"/>
  <c r="C1925" i="1"/>
  <c r="A1925" i="1"/>
  <c r="T1924" i="1"/>
  <c r="S1924" i="1"/>
  <c r="R1924" i="1"/>
  <c r="K1924" i="1"/>
  <c r="E1924" i="1"/>
  <c r="D1924" i="1"/>
  <c r="C1924" i="1"/>
  <c r="A1924" i="1"/>
  <c r="T1923" i="1"/>
  <c r="S1923" i="1"/>
  <c r="R1923" i="1"/>
  <c r="K1923" i="1"/>
  <c r="E1923" i="1"/>
  <c r="D1923" i="1"/>
  <c r="C1923" i="1"/>
  <c r="A1923" i="1"/>
  <c r="T1922" i="1"/>
  <c r="S1922" i="1"/>
  <c r="R1922" i="1"/>
  <c r="K1922" i="1"/>
  <c r="E1922" i="1"/>
  <c r="D1922" i="1"/>
  <c r="C1922" i="1"/>
  <c r="A1922" i="1"/>
  <c r="T1921" i="1"/>
  <c r="S1921" i="1"/>
  <c r="R1921" i="1"/>
  <c r="K1921" i="1"/>
  <c r="E1921" i="1"/>
  <c r="D1921" i="1"/>
  <c r="C1921" i="1"/>
  <c r="A1921" i="1"/>
  <c r="T1920" i="1"/>
  <c r="S1920" i="1"/>
  <c r="R1920" i="1"/>
  <c r="K1920" i="1"/>
  <c r="E1920" i="1"/>
  <c r="D1920" i="1"/>
  <c r="C1920" i="1"/>
  <c r="A1920" i="1"/>
  <c r="T1919" i="1"/>
  <c r="S1919" i="1"/>
  <c r="R1919" i="1"/>
  <c r="K1919" i="1"/>
  <c r="E1919" i="1"/>
  <c r="D1919" i="1"/>
  <c r="C1919" i="1"/>
  <c r="A1919" i="1"/>
  <c r="T1918" i="1"/>
  <c r="S1918" i="1"/>
  <c r="R1918" i="1"/>
  <c r="K1918" i="1"/>
  <c r="E1918" i="1"/>
  <c r="D1918" i="1"/>
  <c r="C1918" i="1"/>
  <c r="A1918" i="1"/>
  <c r="T1917" i="1"/>
  <c r="S1917" i="1"/>
  <c r="R1917" i="1"/>
  <c r="K1917" i="1"/>
  <c r="E1917" i="1"/>
  <c r="D1917" i="1"/>
  <c r="C1917" i="1"/>
  <c r="A1917" i="1"/>
  <c r="T1916" i="1"/>
  <c r="S1916" i="1"/>
  <c r="R1916" i="1"/>
  <c r="M1916" i="1"/>
  <c r="K1916" i="1"/>
  <c r="E1916" i="1"/>
  <c r="D1916" i="1"/>
  <c r="C1916" i="1"/>
  <c r="A1916" i="1"/>
  <c r="T1915" i="1"/>
  <c r="S1915" i="1"/>
  <c r="R1915" i="1"/>
  <c r="M1915" i="1"/>
  <c r="K1915" i="1"/>
  <c r="E1915" i="1"/>
  <c r="D1915" i="1"/>
  <c r="C1915" i="1"/>
  <c r="A1915" i="1"/>
  <c r="T1914" i="1"/>
  <c r="S1914" i="1"/>
  <c r="R1914" i="1"/>
  <c r="M1914" i="1"/>
  <c r="K1914" i="1"/>
  <c r="E1914" i="1"/>
  <c r="D1914" i="1"/>
  <c r="C1914" i="1"/>
  <c r="A1914" i="1"/>
  <c r="T1913" i="1"/>
  <c r="S1913" i="1"/>
  <c r="R1913" i="1"/>
  <c r="M1913" i="1"/>
  <c r="K1913" i="1"/>
  <c r="E1913" i="1"/>
  <c r="D1913" i="1"/>
  <c r="C1913" i="1"/>
  <c r="A1913" i="1"/>
  <c r="T1912" i="1"/>
  <c r="S1912" i="1"/>
  <c r="R1912" i="1"/>
  <c r="M1912" i="1"/>
  <c r="K1912" i="1"/>
  <c r="E1912" i="1"/>
  <c r="D1912" i="1"/>
  <c r="C1912" i="1"/>
  <c r="A1912" i="1"/>
  <c r="T1911" i="1"/>
  <c r="S1911" i="1"/>
  <c r="R1911" i="1"/>
  <c r="M1911" i="1"/>
  <c r="K1911" i="1"/>
  <c r="E1911" i="1"/>
  <c r="D1911" i="1"/>
  <c r="C1911" i="1"/>
  <c r="A1911" i="1"/>
  <c r="T1910" i="1"/>
  <c r="S1910" i="1"/>
  <c r="R1910" i="1"/>
  <c r="M1910" i="1"/>
  <c r="K1910" i="1"/>
  <c r="E1910" i="1"/>
  <c r="D1910" i="1"/>
  <c r="C1910" i="1"/>
  <c r="A1910" i="1"/>
  <c r="T1909" i="1"/>
  <c r="S1909" i="1"/>
  <c r="R1909" i="1"/>
  <c r="M1909" i="1"/>
  <c r="K1909" i="1"/>
  <c r="E1909" i="1"/>
  <c r="D1909" i="1"/>
  <c r="C1909" i="1"/>
  <c r="A1909" i="1"/>
  <c r="T1908" i="1"/>
  <c r="S1908" i="1"/>
  <c r="R1908" i="1"/>
  <c r="M1908" i="1"/>
  <c r="K1908" i="1"/>
  <c r="E1908" i="1"/>
  <c r="D1908" i="1"/>
  <c r="C1908" i="1"/>
  <c r="A1908" i="1"/>
  <c r="T1907" i="1"/>
  <c r="S1907" i="1"/>
  <c r="R1907" i="1"/>
  <c r="M1907" i="1"/>
  <c r="K1907" i="1"/>
  <c r="E1907" i="1"/>
  <c r="D1907" i="1"/>
  <c r="C1907" i="1"/>
  <c r="A1907" i="1"/>
  <c r="T1906" i="1"/>
  <c r="S1906" i="1"/>
  <c r="R1906" i="1"/>
  <c r="M1906" i="1"/>
  <c r="K1906" i="1"/>
  <c r="E1906" i="1"/>
  <c r="D1906" i="1"/>
  <c r="C1906" i="1"/>
  <c r="A1906" i="1"/>
  <c r="T1905" i="1"/>
  <c r="S1905" i="1"/>
  <c r="R1905" i="1"/>
  <c r="M1905" i="1"/>
  <c r="K1905" i="1"/>
  <c r="E1905" i="1"/>
  <c r="D1905" i="1"/>
  <c r="C1905" i="1"/>
  <c r="A1905" i="1"/>
  <c r="T1904" i="1"/>
  <c r="S1904" i="1"/>
  <c r="R1904" i="1"/>
  <c r="M1904" i="1"/>
  <c r="K1904" i="1"/>
  <c r="E1904" i="1"/>
  <c r="D1904" i="1"/>
  <c r="C1904" i="1"/>
  <c r="A1904" i="1"/>
  <c r="T1903" i="1"/>
  <c r="S1903" i="1"/>
  <c r="R1903" i="1"/>
  <c r="M1903" i="1"/>
  <c r="K1903" i="1"/>
  <c r="E1903" i="1"/>
  <c r="D1903" i="1"/>
  <c r="C1903" i="1"/>
  <c r="A1903" i="1"/>
  <c r="T1902" i="1"/>
  <c r="S1902" i="1"/>
  <c r="R1902" i="1"/>
  <c r="M1902" i="1"/>
  <c r="K1902" i="1"/>
  <c r="E1902" i="1"/>
  <c r="D1902" i="1"/>
  <c r="C1902" i="1"/>
  <c r="A1902" i="1"/>
  <c r="T1901" i="1"/>
  <c r="S1901" i="1"/>
  <c r="R1901" i="1"/>
  <c r="M1901" i="1"/>
  <c r="K1901" i="1"/>
  <c r="E1901" i="1"/>
  <c r="D1901" i="1"/>
  <c r="C1901" i="1"/>
  <c r="A1901" i="1"/>
  <c r="T1900" i="1"/>
  <c r="S1900" i="1"/>
  <c r="R1900" i="1"/>
  <c r="Q1900" i="1"/>
  <c r="P1900" i="1"/>
  <c r="M1900" i="1"/>
  <c r="K1900" i="1"/>
  <c r="E1900" i="1"/>
  <c r="D1900" i="1"/>
  <c r="C1900" i="1"/>
  <c r="A1900" i="1"/>
  <c r="T1899" i="1"/>
  <c r="S1899" i="1"/>
  <c r="R1899" i="1"/>
  <c r="Q1899" i="1"/>
  <c r="P1899" i="1"/>
  <c r="M1899" i="1"/>
  <c r="K1899" i="1"/>
  <c r="E1899" i="1"/>
  <c r="D1899" i="1"/>
  <c r="C1899" i="1"/>
  <c r="A1899" i="1"/>
  <c r="T1898" i="1"/>
  <c r="S1898" i="1"/>
  <c r="R1898" i="1"/>
  <c r="Q1898" i="1"/>
  <c r="P1898" i="1"/>
  <c r="M1898" i="1"/>
  <c r="K1898" i="1"/>
  <c r="E1898" i="1"/>
  <c r="D1898" i="1"/>
  <c r="C1898" i="1"/>
  <c r="A1898" i="1"/>
  <c r="T1897" i="1"/>
  <c r="S1897" i="1"/>
  <c r="R1897" i="1"/>
  <c r="Q1897" i="1"/>
  <c r="P1897" i="1"/>
  <c r="M1897" i="1"/>
  <c r="K1897" i="1"/>
  <c r="E1897" i="1"/>
  <c r="D1897" i="1"/>
  <c r="C1897" i="1"/>
  <c r="A1897" i="1"/>
  <c r="T1896" i="1"/>
  <c r="S1896" i="1"/>
  <c r="R1896" i="1"/>
  <c r="Q1896" i="1"/>
  <c r="P1896" i="1"/>
  <c r="M1896" i="1"/>
  <c r="K1896" i="1"/>
  <c r="E1896" i="1"/>
  <c r="D1896" i="1"/>
  <c r="C1896" i="1"/>
  <c r="A1896" i="1"/>
  <c r="T1895" i="1"/>
  <c r="S1895" i="1"/>
  <c r="R1895" i="1"/>
  <c r="Q1895" i="1"/>
  <c r="P1895" i="1"/>
  <c r="M1895" i="1"/>
  <c r="K1895" i="1"/>
  <c r="E1895" i="1"/>
  <c r="D1895" i="1"/>
  <c r="C1895" i="1"/>
  <c r="A1895" i="1"/>
  <c r="T1894" i="1"/>
  <c r="S1894" i="1"/>
  <c r="R1894" i="1"/>
  <c r="Q1894" i="1"/>
  <c r="P1894" i="1"/>
  <c r="M1894" i="1"/>
  <c r="K1894" i="1"/>
  <c r="E1894" i="1"/>
  <c r="D1894" i="1"/>
  <c r="C1894" i="1"/>
  <c r="A1894" i="1"/>
  <c r="T1893" i="1"/>
  <c r="S1893" i="1"/>
  <c r="R1893" i="1"/>
  <c r="Q1893" i="1"/>
  <c r="P1893" i="1"/>
  <c r="M1893" i="1"/>
  <c r="K1893" i="1"/>
  <c r="E1893" i="1"/>
  <c r="D1893" i="1"/>
  <c r="C1893" i="1"/>
  <c r="A1893" i="1"/>
  <c r="T1892" i="1"/>
  <c r="S1892" i="1"/>
  <c r="R1892" i="1"/>
  <c r="Q1892" i="1"/>
  <c r="P1892" i="1"/>
  <c r="M1892" i="1"/>
  <c r="K1892" i="1"/>
  <c r="E1892" i="1"/>
  <c r="D1892" i="1"/>
  <c r="C1892" i="1"/>
  <c r="A1892" i="1"/>
  <c r="T1891" i="1"/>
  <c r="S1891" i="1"/>
  <c r="R1891" i="1"/>
  <c r="Q1891" i="1"/>
  <c r="P1891" i="1"/>
  <c r="M1891" i="1"/>
  <c r="K1891" i="1"/>
  <c r="E1891" i="1"/>
  <c r="D1891" i="1"/>
  <c r="C1891" i="1"/>
  <c r="A1891" i="1"/>
  <c r="T1890" i="1"/>
  <c r="S1890" i="1"/>
  <c r="R1890" i="1"/>
  <c r="Q1890" i="1"/>
  <c r="P1890" i="1"/>
  <c r="M1890" i="1"/>
  <c r="K1890" i="1"/>
  <c r="E1890" i="1"/>
  <c r="D1890" i="1"/>
  <c r="C1890" i="1"/>
  <c r="A1890" i="1"/>
  <c r="T1889" i="1"/>
  <c r="S1889" i="1"/>
  <c r="R1889" i="1"/>
  <c r="Q1889" i="1"/>
  <c r="P1889" i="1"/>
  <c r="M1889" i="1"/>
  <c r="K1889" i="1"/>
  <c r="E1889" i="1"/>
  <c r="D1889" i="1"/>
  <c r="C1889" i="1"/>
  <c r="A1889" i="1"/>
  <c r="T1888" i="1"/>
  <c r="S1888" i="1"/>
  <c r="R1888" i="1"/>
  <c r="Q1888" i="1"/>
  <c r="P1888" i="1"/>
  <c r="M1888" i="1"/>
  <c r="K1888" i="1"/>
  <c r="E1888" i="1"/>
  <c r="D1888" i="1"/>
  <c r="C1888" i="1"/>
  <c r="A1888" i="1"/>
  <c r="T1887" i="1"/>
  <c r="S1887" i="1"/>
  <c r="R1887" i="1"/>
  <c r="Q1887" i="1"/>
  <c r="P1887" i="1"/>
  <c r="M1887" i="1"/>
  <c r="K1887" i="1"/>
  <c r="E1887" i="1"/>
  <c r="D1887" i="1"/>
  <c r="C1887" i="1"/>
  <c r="A1887" i="1"/>
  <c r="T1886" i="1"/>
  <c r="S1886" i="1"/>
  <c r="R1886" i="1"/>
  <c r="Q1886" i="1"/>
  <c r="P1886" i="1"/>
  <c r="M1886" i="1"/>
  <c r="K1886" i="1"/>
  <c r="E1886" i="1"/>
  <c r="D1886" i="1"/>
  <c r="C1886" i="1"/>
  <c r="A1886" i="1"/>
  <c r="T1885" i="1"/>
  <c r="S1885" i="1"/>
  <c r="R1885" i="1"/>
  <c r="Q1885" i="1"/>
  <c r="P1885" i="1"/>
  <c r="M1885" i="1"/>
  <c r="K1885" i="1"/>
  <c r="E1885" i="1"/>
  <c r="D1885" i="1"/>
  <c r="C1885" i="1"/>
  <c r="A1885" i="1"/>
  <c r="T1884" i="1"/>
  <c r="S1884" i="1"/>
  <c r="R1884" i="1"/>
  <c r="Q1884" i="1"/>
  <c r="P1884" i="1"/>
  <c r="M1884" i="1"/>
  <c r="K1884" i="1"/>
  <c r="E1884" i="1"/>
  <c r="D1884" i="1"/>
  <c r="C1884" i="1"/>
  <c r="A1884" i="1"/>
  <c r="T1883" i="1"/>
  <c r="S1883" i="1"/>
  <c r="R1883" i="1"/>
  <c r="Q1883" i="1"/>
  <c r="P1883" i="1"/>
  <c r="M1883" i="1"/>
  <c r="K1883" i="1"/>
  <c r="E1883" i="1"/>
  <c r="D1883" i="1"/>
  <c r="C1883" i="1"/>
  <c r="A1883" i="1"/>
  <c r="T1882" i="1"/>
  <c r="S1882" i="1"/>
  <c r="R1882" i="1"/>
  <c r="Q1882" i="1"/>
  <c r="P1882" i="1"/>
  <c r="M1882" i="1"/>
  <c r="K1882" i="1"/>
  <c r="E1882" i="1"/>
  <c r="D1882" i="1"/>
  <c r="C1882" i="1"/>
  <c r="A1882" i="1"/>
  <c r="T1881" i="1"/>
  <c r="S1881" i="1"/>
  <c r="R1881" i="1"/>
  <c r="K1881" i="1"/>
  <c r="E1881" i="1"/>
  <c r="D1881" i="1"/>
  <c r="C1881" i="1"/>
  <c r="A1881" i="1"/>
  <c r="T1880" i="1"/>
  <c r="S1880" i="1"/>
  <c r="R1880" i="1"/>
  <c r="K1880" i="1"/>
  <c r="E1880" i="1"/>
  <c r="D1880" i="1"/>
  <c r="C1880" i="1"/>
  <c r="A1880" i="1"/>
  <c r="T1879" i="1"/>
  <c r="S1879" i="1"/>
  <c r="R1879" i="1"/>
  <c r="K1879" i="1"/>
  <c r="E1879" i="1"/>
  <c r="D1879" i="1"/>
  <c r="C1879" i="1"/>
  <c r="A1879" i="1"/>
  <c r="T1878" i="1"/>
  <c r="S1878" i="1"/>
  <c r="R1878" i="1"/>
  <c r="K1878" i="1"/>
  <c r="E1878" i="1"/>
  <c r="D1878" i="1"/>
  <c r="C1878" i="1"/>
  <c r="A1878" i="1"/>
  <c r="T1877" i="1"/>
  <c r="S1877" i="1"/>
  <c r="R1877" i="1"/>
  <c r="K1877" i="1"/>
  <c r="E1877" i="1"/>
  <c r="D1877" i="1"/>
  <c r="C1877" i="1"/>
  <c r="A1877" i="1"/>
  <c r="T1876" i="1"/>
  <c r="S1876" i="1"/>
  <c r="R1876" i="1"/>
  <c r="K1876" i="1"/>
  <c r="E1876" i="1"/>
  <c r="D1876" i="1"/>
  <c r="C1876" i="1"/>
  <c r="A1876" i="1"/>
  <c r="T1875" i="1"/>
  <c r="S1875" i="1"/>
  <c r="R1875" i="1"/>
  <c r="K1875" i="1"/>
  <c r="E1875" i="1"/>
  <c r="D1875" i="1"/>
  <c r="C1875" i="1"/>
  <c r="A1875" i="1"/>
  <c r="T1874" i="1"/>
  <c r="S1874" i="1"/>
  <c r="R1874" i="1"/>
  <c r="K1874" i="1"/>
  <c r="E1874" i="1"/>
  <c r="D1874" i="1"/>
  <c r="C1874" i="1"/>
  <c r="A1874" i="1"/>
  <c r="T1873" i="1"/>
  <c r="S1873" i="1"/>
  <c r="R1873" i="1"/>
  <c r="K1873" i="1"/>
  <c r="E1873" i="1"/>
  <c r="D1873" i="1"/>
  <c r="C1873" i="1"/>
  <c r="A1873" i="1"/>
  <c r="T1872" i="1"/>
  <c r="S1872" i="1"/>
  <c r="R1872" i="1"/>
  <c r="K1872" i="1"/>
  <c r="E1872" i="1"/>
  <c r="D1872" i="1"/>
  <c r="C1872" i="1"/>
  <c r="A1872" i="1"/>
  <c r="T1871" i="1"/>
  <c r="S1871" i="1"/>
  <c r="R1871" i="1"/>
  <c r="K1871" i="1"/>
  <c r="E1871" i="1"/>
  <c r="D1871" i="1"/>
  <c r="C1871" i="1"/>
  <c r="A1871" i="1"/>
  <c r="T1870" i="1"/>
  <c r="S1870" i="1"/>
  <c r="R1870" i="1"/>
  <c r="K1870" i="1"/>
  <c r="E1870" i="1"/>
  <c r="D1870" i="1"/>
  <c r="C1870" i="1"/>
  <c r="A1870" i="1"/>
  <c r="T1869" i="1"/>
  <c r="S1869" i="1"/>
  <c r="R1869" i="1"/>
  <c r="K1869" i="1"/>
  <c r="E1869" i="1"/>
  <c r="D1869" i="1"/>
  <c r="C1869" i="1"/>
  <c r="A1869" i="1"/>
  <c r="T1868" i="1"/>
  <c r="S1868" i="1"/>
  <c r="R1868" i="1"/>
  <c r="K1868" i="1"/>
  <c r="E1868" i="1"/>
  <c r="D1868" i="1"/>
  <c r="C1868" i="1"/>
  <c r="A1868" i="1"/>
  <c r="T1867" i="1"/>
  <c r="S1867" i="1"/>
  <c r="R1867" i="1"/>
  <c r="K1867" i="1"/>
  <c r="E1867" i="1"/>
  <c r="D1867" i="1"/>
  <c r="C1867" i="1"/>
  <c r="A1867" i="1"/>
  <c r="T1866" i="1"/>
  <c r="S1866" i="1"/>
  <c r="R1866" i="1"/>
  <c r="K1866" i="1"/>
  <c r="E1866" i="1"/>
  <c r="D1866" i="1"/>
  <c r="C1866" i="1"/>
  <c r="A1866" i="1"/>
  <c r="T1865" i="1"/>
  <c r="S1865" i="1"/>
  <c r="R1865" i="1"/>
  <c r="K1865" i="1"/>
  <c r="E1865" i="1"/>
  <c r="D1865" i="1"/>
  <c r="C1865" i="1"/>
  <c r="A1865" i="1"/>
  <c r="T1864" i="1"/>
  <c r="S1864" i="1"/>
  <c r="R1864" i="1"/>
  <c r="K1864" i="1"/>
  <c r="E1864" i="1"/>
  <c r="D1864" i="1"/>
  <c r="C1864" i="1"/>
  <c r="A1864" i="1"/>
  <c r="T1863" i="1"/>
  <c r="S1863" i="1"/>
  <c r="R1863" i="1"/>
  <c r="K1863" i="1"/>
  <c r="E1863" i="1"/>
  <c r="D1863" i="1"/>
  <c r="C1863" i="1"/>
  <c r="A1863" i="1"/>
  <c r="T1862" i="1"/>
  <c r="S1862" i="1"/>
  <c r="R1862" i="1"/>
  <c r="K1862" i="1"/>
  <c r="E1862" i="1"/>
  <c r="D1862" i="1"/>
  <c r="C1862" i="1"/>
  <c r="A1862" i="1"/>
  <c r="T1861" i="1"/>
  <c r="S1861" i="1"/>
  <c r="R1861" i="1"/>
  <c r="K1861" i="1"/>
  <c r="E1861" i="1"/>
  <c r="D1861" i="1"/>
  <c r="C1861" i="1"/>
  <c r="A1861" i="1"/>
  <c r="T1860" i="1"/>
  <c r="S1860" i="1"/>
  <c r="R1860" i="1"/>
  <c r="K1860" i="1"/>
  <c r="E1860" i="1"/>
  <c r="D1860" i="1"/>
  <c r="C1860" i="1"/>
  <c r="A1860" i="1"/>
  <c r="T1859" i="1"/>
  <c r="S1859" i="1"/>
  <c r="R1859" i="1"/>
  <c r="K1859" i="1"/>
  <c r="E1859" i="1"/>
  <c r="D1859" i="1"/>
  <c r="C1859" i="1"/>
  <c r="A1859" i="1"/>
  <c r="T1858" i="1"/>
  <c r="S1858" i="1"/>
  <c r="R1858" i="1"/>
  <c r="K1858" i="1"/>
  <c r="E1858" i="1"/>
  <c r="D1858" i="1"/>
  <c r="C1858" i="1"/>
  <c r="A1858" i="1"/>
  <c r="T1857" i="1"/>
  <c r="S1857" i="1"/>
  <c r="R1857" i="1"/>
  <c r="K1857" i="1"/>
  <c r="E1857" i="1"/>
  <c r="D1857" i="1"/>
  <c r="C1857" i="1"/>
  <c r="A1857" i="1"/>
  <c r="T1856" i="1"/>
  <c r="S1856" i="1"/>
  <c r="R1856" i="1"/>
  <c r="K1856" i="1"/>
  <c r="E1856" i="1"/>
  <c r="D1856" i="1"/>
  <c r="C1856" i="1"/>
  <c r="A1856" i="1"/>
  <c r="T1855" i="1"/>
  <c r="S1855" i="1"/>
  <c r="R1855" i="1"/>
  <c r="K1855" i="1"/>
  <c r="E1855" i="1"/>
  <c r="D1855" i="1"/>
  <c r="C1855" i="1"/>
  <c r="A1855" i="1"/>
  <c r="T1854" i="1"/>
  <c r="S1854" i="1"/>
  <c r="R1854" i="1"/>
  <c r="K1854" i="1"/>
  <c r="E1854" i="1"/>
  <c r="D1854" i="1"/>
  <c r="C1854" i="1"/>
  <c r="A1854" i="1"/>
  <c r="T1853" i="1"/>
  <c r="S1853" i="1"/>
  <c r="R1853" i="1"/>
  <c r="K1853" i="1"/>
  <c r="E1853" i="1"/>
  <c r="D1853" i="1"/>
  <c r="C1853" i="1"/>
  <c r="A1853" i="1"/>
  <c r="T1852" i="1"/>
  <c r="S1852" i="1"/>
  <c r="R1852" i="1"/>
  <c r="K1852" i="1"/>
  <c r="E1852" i="1"/>
  <c r="D1852" i="1"/>
  <c r="C1852" i="1"/>
  <c r="A1852" i="1"/>
  <c r="T1851" i="1"/>
  <c r="S1851" i="1"/>
  <c r="R1851" i="1"/>
  <c r="K1851" i="1"/>
  <c r="E1851" i="1"/>
  <c r="D1851" i="1"/>
  <c r="C1851" i="1"/>
  <c r="A1851" i="1"/>
  <c r="T1850" i="1"/>
  <c r="S1850" i="1"/>
  <c r="R1850" i="1"/>
  <c r="K1850" i="1"/>
  <c r="E1850" i="1"/>
  <c r="D1850" i="1"/>
  <c r="C1850" i="1"/>
  <c r="A1850" i="1"/>
  <c r="T1849" i="1"/>
  <c r="S1849" i="1"/>
  <c r="R1849" i="1"/>
  <c r="K1849" i="1"/>
  <c r="E1849" i="1"/>
  <c r="D1849" i="1"/>
  <c r="C1849" i="1"/>
  <c r="A1849" i="1"/>
  <c r="T1848" i="1"/>
  <c r="S1848" i="1"/>
  <c r="R1848" i="1"/>
  <c r="K1848" i="1"/>
  <c r="E1848" i="1"/>
  <c r="D1848" i="1"/>
  <c r="C1848" i="1"/>
  <c r="A1848" i="1"/>
  <c r="T1847" i="1"/>
  <c r="S1847" i="1"/>
  <c r="R1847" i="1"/>
  <c r="K1847" i="1"/>
  <c r="E1847" i="1"/>
  <c r="D1847" i="1"/>
  <c r="C1847" i="1"/>
  <c r="A1847" i="1"/>
  <c r="T1846" i="1"/>
  <c r="S1846" i="1"/>
  <c r="R1846" i="1"/>
  <c r="K1846" i="1"/>
  <c r="E1846" i="1"/>
  <c r="D1846" i="1"/>
  <c r="C1846" i="1"/>
  <c r="A1846" i="1"/>
  <c r="T1845" i="1"/>
  <c r="S1845" i="1"/>
  <c r="R1845" i="1"/>
  <c r="K1845" i="1"/>
  <c r="E1845" i="1"/>
  <c r="D1845" i="1"/>
  <c r="C1845" i="1"/>
  <c r="A1845" i="1"/>
  <c r="T1844" i="1"/>
  <c r="S1844" i="1"/>
  <c r="R1844" i="1"/>
  <c r="K1844" i="1"/>
  <c r="E1844" i="1"/>
  <c r="D1844" i="1"/>
  <c r="C1844" i="1"/>
  <c r="A1844" i="1"/>
  <c r="T1843" i="1"/>
  <c r="S1843" i="1"/>
  <c r="R1843" i="1"/>
  <c r="K1843" i="1"/>
  <c r="E1843" i="1"/>
  <c r="D1843" i="1"/>
  <c r="C1843" i="1"/>
  <c r="A1843" i="1"/>
  <c r="T1842" i="1"/>
  <c r="S1842" i="1"/>
  <c r="R1842" i="1"/>
  <c r="K1842" i="1"/>
  <c r="E1842" i="1"/>
  <c r="D1842" i="1"/>
  <c r="C1842" i="1"/>
  <c r="A1842" i="1"/>
  <c r="T1841" i="1"/>
  <c r="S1841" i="1"/>
  <c r="R1841" i="1"/>
  <c r="K1841" i="1"/>
  <c r="E1841" i="1"/>
  <c r="D1841" i="1"/>
  <c r="C1841" i="1"/>
  <c r="A1841" i="1"/>
  <c r="T1840" i="1"/>
  <c r="S1840" i="1"/>
  <c r="R1840" i="1"/>
  <c r="K1840" i="1"/>
  <c r="E1840" i="1"/>
  <c r="D1840" i="1"/>
  <c r="C1840" i="1"/>
  <c r="A1840" i="1"/>
  <c r="T1839" i="1"/>
  <c r="S1839" i="1"/>
  <c r="R1839" i="1"/>
  <c r="K1839" i="1"/>
  <c r="E1839" i="1"/>
  <c r="D1839" i="1"/>
  <c r="C1839" i="1"/>
  <c r="A1839" i="1"/>
  <c r="T1838" i="1"/>
  <c r="S1838" i="1"/>
  <c r="R1838" i="1"/>
  <c r="K1838" i="1"/>
  <c r="E1838" i="1"/>
  <c r="D1838" i="1"/>
  <c r="C1838" i="1"/>
  <c r="A1838" i="1"/>
  <c r="T1837" i="1"/>
  <c r="S1837" i="1"/>
  <c r="R1837" i="1"/>
  <c r="K1837" i="1"/>
  <c r="E1837" i="1"/>
  <c r="D1837" i="1"/>
  <c r="C1837" i="1"/>
  <c r="A1837" i="1"/>
  <c r="T1836" i="1"/>
  <c r="S1836" i="1"/>
  <c r="R1836" i="1"/>
  <c r="K1836" i="1"/>
  <c r="E1836" i="1"/>
  <c r="D1836" i="1"/>
  <c r="C1836" i="1"/>
  <c r="A1836" i="1"/>
  <c r="T1835" i="1"/>
  <c r="S1835" i="1"/>
  <c r="R1835" i="1"/>
  <c r="M1835" i="1"/>
  <c r="K1835" i="1"/>
  <c r="E1835" i="1"/>
  <c r="D1835" i="1"/>
  <c r="C1835" i="1"/>
  <c r="A1835" i="1"/>
  <c r="T1834" i="1"/>
  <c r="S1834" i="1"/>
  <c r="R1834" i="1"/>
  <c r="M1834" i="1"/>
  <c r="K1834" i="1"/>
  <c r="E1834" i="1"/>
  <c r="D1834" i="1"/>
  <c r="C1834" i="1"/>
  <c r="A1834" i="1"/>
  <c r="T1833" i="1"/>
  <c r="S1833" i="1"/>
  <c r="R1833" i="1"/>
  <c r="M1833" i="1"/>
  <c r="K1833" i="1"/>
  <c r="E1833" i="1"/>
  <c r="D1833" i="1"/>
  <c r="C1833" i="1"/>
  <c r="A1833" i="1"/>
  <c r="T1832" i="1"/>
  <c r="S1832" i="1"/>
  <c r="R1832" i="1"/>
  <c r="M1832" i="1"/>
  <c r="K1832" i="1"/>
  <c r="E1832" i="1"/>
  <c r="D1832" i="1"/>
  <c r="C1832" i="1"/>
  <c r="A1832" i="1"/>
  <c r="T1831" i="1"/>
  <c r="S1831" i="1"/>
  <c r="R1831" i="1"/>
  <c r="M1831" i="1"/>
  <c r="K1831" i="1"/>
  <c r="E1831" i="1"/>
  <c r="D1831" i="1"/>
  <c r="C1831" i="1"/>
  <c r="A1831" i="1"/>
  <c r="T1830" i="1"/>
  <c r="S1830" i="1"/>
  <c r="R1830" i="1"/>
  <c r="M1830" i="1"/>
  <c r="K1830" i="1"/>
  <c r="E1830" i="1"/>
  <c r="D1830" i="1"/>
  <c r="C1830" i="1"/>
  <c r="A1830" i="1"/>
  <c r="T1829" i="1"/>
  <c r="S1829" i="1"/>
  <c r="R1829" i="1"/>
  <c r="M1829" i="1"/>
  <c r="K1829" i="1"/>
  <c r="E1829" i="1"/>
  <c r="D1829" i="1"/>
  <c r="C1829" i="1"/>
  <c r="A1829" i="1"/>
  <c r="T1828" i="1"/>
  <c r="S1828" i="1"/>
  <c r="R1828" i="1"/>
  <c r="M1828" i="1"/>
  <c r="K1828" i="1"/>
  <c r="E1828" i="1"/>
  <c r="D1828" i="1"/>
  <c r="C1828" i="1"/>
  <c r="A1828" i="1"/>
  <c r="T1827" i="1"/>
  <c r="S1827" i="1"/>
  <c r="R1827" i="1"/>
  <c r="M1827" i="1"/>
  <c r="K1827" i="1"/>
  <c r="E1827" i="1"/>
  <c r="D1827" i="1"/>
  <c r="C1827" i="1"/>
  <c r="A1827" i="1"/>
  <c r="T1826" i="1"/>
  <c r="S1826" i="1"/>
  <c r="R1826" i="1"/>
  <c r="M1826" i="1"/>
  <c r="K1826" i="1"/>
  <c r="E1826" i="1"/>
  <c r="D1826" i="1"/>
  <c r="C1826" i="1"/>
  <c r="A1826" i="1"/>
  <c r="T1825" i="1"/>
  <c r="S1825" i="1"/>
  <c r="R1825" i="1"/>
  <c r="M1825" i="1"/>
  <c r="K1825" i="1"/>
  <c r="E1825" i="1"/>
  <c r="D1825" i="1"/>
  <c r="C1825" i="1"/>
  <c r="A1825" i="1"/>
  <c r="T1824" i="1"/>
  <c r="S1824" i="1"/>
  <c r="R1824" i="1"/>
  <c r="M1824" i="1"/>
  <c r="K1824" i="1"/>
  <c r="E1824" i="1"/>
  <c r="D1824" i="1"/>
  <c r="C1824" i="1"/>
  <c r="A1824" i="1"/>
  <c r="T1823" i="1"/>
  <c r="S1823" i="1"/>
  <c r="R1823" i="1"/>
  <c r="M1823" i="1"/>
  <c r="K1823" i="1"/>
  <c r="E1823" i="1"/>
  <c r="D1823" i="1"/>
  <c r="C1823" i="1"/>
  <c r="A1823" i="1"/>
  <c r="T1822" i="1"/>
  <c r="S1822" i="1"/>
  <c r="R1822" i="1"/>
  <c r="M1822" i="1"/>
  <c r="K1822" i="1"/>
  <c r="E1822" i="1"/>
  <c r="D1822" i="1"/>
  <c r="C1822" i="1"/>
  <c r="A1822" i="1"/>
  <c r="T1821" i="1"/>
  <c r="S1821" i="1"/>
  <c r="R1821" i="1"/>
  <c r="M1821" i="1"/>
  <c r="K1821" i="1"/>
  <c r="E1821" i="1"/>
  <c r="D1821" i="1"/>
  <c r="C1821" i="1"/>
  <c r="A1821" i="1"/>
  <c r="T1820" i="1"/>
  <c r="S1820" i="1"/>
  <c r="R1820" i="1"/>
  <c r="M1820" i="1"/>
  <c r="K1820" i="1"/>
  <c r="E1820" i="1"/>
  <c r="D1820" i="1"/>
  <c r="C1820" i="1"/>
  <c r="A1820" i="1"/>
  <c r="T1819" i="1"/>
  <c r="S1819" i="1"/>
  <c r="R1819" i="1"/>
  <c r="M1819" i="1"/>
  <c r="K1819" i="1"/>
  <c r="E1819" i="1"/>
  <c r="D1819" i="1"/>
  <c r="C1819" i="1"/>
  <c r="A1819" i="1"/>
  <c r="T1818" i="1"/>
  <c r="S1818" i="1"/>
  <c r="R1818" i="1"/>
  <c r="M1818" i="1"/>
  <c r="K1818" i="1"/>
  <c r="E1818" i="1"/>
  <c r="D1818" i="1"/>
  <c r="C1818" i="1"/>
  <c r="A1818" i="1"/>
  <c r="T1817" i="1"/>
  <c r="S1817" i="1"/>
  <c r="R1817" i="1"/>
  <c r="M1817" i="1"/>
  <c r="K1817" i="1"/>
  <c r="E1817" i="1"/>
  <c r="D1817" i="1"/>
  <c r="C1817" i="1"/>
  <c r="A1817" i="1"/>
  <c r="T1816" i="1"/>
  <c r="S1816" i="1"/>
  <c r="R1816" i="1"/>
  <c r="M1816" i="1"/>
  <c r="K1816" i="1"/>
  <c r="E1816" i="1"/>
  <c r="D1816" i="1"/>
  <c r="C1816" i="1"/>
  <c r="A1816" i="1"/>
  <c r="T1815" i="1"/>
  <c r="S1815" i="1"/>
  <c r="R1815" i="1"/>
  <c r="M1815" i="1"/>
  <c r="K1815" i="1"/>
  <c r="E1815" i="1"/>
  <c r="D1815" i="1"/>
  <c r="C1815" i="1"/>
  <c r="A1815" i="1"/>
  <c r="T1814" i="1"/>
  <c r="S1814" i="1"/>
  <c r="R1814" i="1"/>
  <c r="M1814" i="1"/>
  <c r="K1814" i="1"/>
  <c r="E1814" i="1"/>
  <c r="D1814" i="1"/>
  <c r="C1814" i="1"/>
  <c r="A1814" i="1"/>
  <c r="T1813" i="1"/>
  <c r="S1813" i="1"/>
  <c r="R1813" i="1"/>
  <c r="M1813" i="1"/>
  <c r="K1813" i="1"/>
  <c r="E1813" i="1"/>
  <c r="D1813" i="1"/>
  <c r="C1813" i="1"/>
  <c r="A1813" i="1"/>
  <c r="T1812" i="1"/>
  <c r="S1812" i="1"/>
  <c r="R1812" i="1"/>
  <c r="Q1812" i="1"/>
  <c r="P1812" i="1"/>
  <c r="M1812" i="1"/>
  <c r="K1812" i="1"/>
  <c r="E1812" i="1"/>
  <c r="D1812" i="1"/>
  <c r="C1812" i="1"/>
  <c r="B1812" i="1"/>
  <c r="A1812" i="1"/>
  <c r="T1811" i="1"/>
  <c r="S1811" i="1"/>
  <c r="R1811" i="1"/>
  <c r="Q1811" i="1"/>
  <c r="P1811" i="1"/>
  <c r="M1811" i="1"/>
  <c r="K1811" i="1"/>
  <c r="E1811" i="1"/>
  <c r="D1811" i="1"/>
  <c r="C1811" i="1"/>
  <c r="A1811" i="1"/>
  <c r="T1810" i="1"/>
  <c r="S1810" i="1"/>
  <c r="R1810" i="1"/>
  <c r="Q1810" i="1"/>
  <c r="P1810" i="1"/>
  <c r="M1810" i="1"/>
  <c r="K1810" i="1"/>
  <c r="E1810" i="1"/>
  <c r="D1810" i="1"/>
  <c r="C1810" i="1"/>
  <c r="A1810" i="1"/>
  <c r="T1809" i="1"/>
  <c r="S1809" i="1"/>
  <c r="R1809" i="1"/>
  <c r="Q1809" i="1"/>
  <c r="P1809" i="1"/>
  <c r="M1809" i="1"/>
  <c r="K1809" i="1"/>
  <c r="E1809" i="1"/>
  <c r="D1809" i="1"/>
  <c r="C1809" i="1"/>
  <c r="A1809" i="1"/>
  <c r="T1808" i="1"/>
  <c r="S1808" i="1"/>
  <c r="R1808" i="1"/>
  <c r="Q1808" i="1"/>
  <c r="P1808" i="1"/>
  <c r="M1808" i="1"/>
  <c r="K1808" i="1"/>
  <c r="E1808" i="1"/>
  <c r="D1808" i="1"/>
  <c r="C1808" i="1"/>
  <c r="A1808" i="1"/>
  <c r="T1807" i="1"/>
  <c r="S1807" i="1"/>
  <c r="R1807" i="1"/>
  <c r="Q1807" i="1"/>
  <c r="P1807" i="1"/>
  <c r="M1807" i="1"/>
  <c r="K1807" i="1"/>
  <c r="E1807" i="1"/>
  <c r="D1807" i="1"/>
  <c r="C1807" i="1"/>
  <c r="A1807" i="1"/>
  <c r="T1806" i="1"/>
  <c r="S1806" i="1"/>
  <c r="R1806" i="1"/>
  <c r="Q1806" i="1"/>
  <c r="P1806" i="1"/>
  <c r="M1806" i="1"/>
  <c r="K1806" i="1"/>
  <c r="E1806" i="1"/>
  <c r="D1806" i="1"/>
  <c r="C1806" i="1"/>
  <c r="A1806" i="1"/>
  <c r="T1805" i="1"/>
  <c r="S1805" i="1"/>
  <c r="R1805" i="1"/>
  <c r="Q1805" i="1"/>
  <c r="P1805" i="1"/>
  <c r="M1805" i="1"/>
  <c r="K1805" i="1"/>
  <c r="E1805" i="1"/>
  <c r="D1805" i="1"/>
  <c r="C1805" i="1"/>
  <c r="A1805" i="1"/>
  <c r="T1804" i="1"/>
  <c r="S1804" i="1"/>
  <c r="R1804" i="1"/>
  <c r="Q1804" i="1"/>
  <c r="P1804" i="1"/>
  <c r="M1804" i="1"/>
  <c r="K1804" i="1"/>
  <c r="E1804" i="1"/>
  <c r="D1804" i="1"/>
  <c r="C1804" i="1"/>
  <c r="A1804" i="1"/>
  <c r="T1803" i="1"/>
  <c r="S1803" i="1"/>
  <c r="R1803" i="1"/>
  <c r="Q1803" i="1"/>
  <c r="P1803" i="1"/>
  <c r="M1803" i="1"/>
  <c r="K1803" i="1"/>
  <c r="E1803" i="1"/>
  <c r="D1803" i="1"/>
  <c r="C1803" i="1"/>
  <c r="A1803" i="1"/>
  <c r="T1802" i="1"/>
  <c r="S1802" i="1"/>
  <c r="R1802" i="1"/>
  <c r="Q1802" i="1"/>
  <c r="P1802" i="1"/>
  <c r="M1802" i="1"/>
  <c r="K1802" i="1"/>
  <c r="E1802" i="1"/>
  <c r="D1802" i="1"/>
  <c r="C1802" i="1"/>
  <c r="A1802" i="1"/>
  <c r="T1801" i="1"/>
  <c r="S1801" i="1"/>
  <c r="R1801" i="1"/>
  <c r="Q1801" i="1"/>
  <c r="P1801" i="1"/>
  <c r="M1801" i="1"/>
  <c r="K1801" i="1"/>
  <c r="E1801" i="1"/>
  <c r="D1801" i="1"/>
  <c r="C1801" i="1"/>
  <c r="A1801" i="1"/>
  <c r="T1800" i="1"/>
  <c r="S1800" i="1"/>
  <c r="R1800" i="1"/>
  <c r="Q1800" i="1"/>
  <c r="P1800" i="1"/>
  <c r="M1800" i="1"/>
  <c r="K1800" i="1"/>
  <c r="E1800" i="1"/>
  <c r="D1800" i="1"/>
  <c r="C1800" i="1"/>
  <c r="A1800" i="1"/>
  <c r="T1799" i="1"/>
  <c r="S1799" i="1"/>
  <c r="R1799" i="1"/>
  <c r="Q1799" i="1"/>
  <c r="P1799" i="1"/>
  <c r="M1799" i="1"/>
  <c r="K1799" i="1"/>
  <c r="E1799" i="1"/>
  <c r="D1799" i="1"/>
  <c r="C1799" i="1"/>
  <c r="A1799" i="1"/>
  <c r="T1798" i="1"/>
  <c r="S1798" i="1"/>
  <c r="R1798" i="1"/>
  <c r="Q1798" i="1"/>
  <c r="P1798" i="1"/>
  <c r="M1798" i="1"/>
  <c r="K1798" i="1"/>
  <c r="E1798" i="1"/>
  <c r="D1798" i="1"/>
  <c r="C1798" i="1"/>
  <c r="A1798" i="1"/>
  <c r="T1797" i="1"/>
  <c r="S1797" i="1"/>
  <c r="R1797" i="1"/>
  <c r="Q1797" i="1"/>
  <c r="P1797" i="1"/>
  <c r="M1797" i="1"/>
  <c r="K1797" i="1"/>
  <c r="E1797" i="1"/>
  <c r="D1797" i="1"/>
  <c r="C1797" i="1"/>
  <c r="A1797" i="1"/>
  <c r="T1796" i="1"/>
  <c r="S1796" i="1"/>
  <c r="R1796" i="1"/>
  <c r="K1796" i="1"/>
  <c r="E1796" i="1"/>
  <c r="D1796" i="1"/>
  <c r="C1796" i="1"/>
  <c r="A1796" i="1"/>
  <c r="T1795" i="1"/>
  <c r="S1795" i="1"/>
  <c r="R1795" i="1"/>
  <c r="K1795" i="1"/>
  <c r="E1795" i="1"/>
  <c r="D1795" i="1"/>
  <c r="C1795" i="1"/>
  <c r="A1795" i="1"/>
  <c r="T1794" i="1"/>
  <c r="S1794" i="1"/>
  <c r="R1794" i="1"/>
  <c r="K1794" i="1"/>
  <c r="E1794" i="1"/>
  <c r="D1794" i="1"/>
  <c r="C1794" i="1"/>
  <c r="A1794" i="1"/>
  <c r="T1793" i="1"/>
  <c r="S1793" i="1"/>
  <c r="R1793" i="1"/>
  <c r="K1793" i="1"/>
  <c r="E1793" i="1"/>
  <c r="D1793" i="1"/>
  <c r="C1793" i="1"/>
  <c r="A1793" i="1"/>
  <c r="T1792" i="1"/>
  <c r="S1792" i="1"/>
  <c r="R1792" i="1"/>
  <c r="K1792" i="1"/>
  <c r="E1792" i="1"/>
  <c r="D1792" i="1"/>
  <c r="C1792" i="1"/>
  <c r="A1792" i="1"/>
  <c r="T1791" i="1"/>
  <c r="S1791" i="1"/>
  <c r="R1791" i="1"/>
  <c r="K1791" i="1"/>
  <c r="E1791" i="1"/>
  <c r="D1791" i="1"/>
  <c r="C1791" i="1"/>
  <c r="A1791" i="1"/>
  <c r="T1790" i="1"/>
  <c r="S1790" i="1"/>
  <c r="R1790" i="1"/>
  <c r="K1790" i="1"/>
  <c r="E1790" i="1"/>
  <c r="D1790" i="1"/>
  <c r="C1790" i="1"/>
  <c r="A1790" i="1"/>
  <c r="T1789" i="1"/>
  <c r="S1789" i="1"/>
  <c r="R1789" i="1"/>
  <c r="K1789" i="1"/>
  <c r="E1789" i="1"/>
  <c r="D1789" i="1"/>
  <c r="C1789" i="1"/>
  <c r="A1789" i="1"/>
  <c r="T1788" i="1"/>
  <c r="S1788" i="1"/>
  <c r="R1788" i="1"/>
  <c r="K1788" i="1"/>
  <c r="E1788" i="1"/>
  <c r="D1788" i="1"/>
  <c r="C1788" i="1"/>
  <c r="A1788" i="1"/>
  <c r="T1787" i="1"/>
  <c r="S1787" i="1"/>
  <c r="R1787" i="1"/>
  <c r="K1787" i="1"/>
  <c r="E1787" i="1"/>
  <c r="D1787" i="1"/>
  <c r="C1787" i="1"/>
  <c r="A1787" i="1"/>
  <c r="T1786" i="1"/>
  <c r="S1786" i="1"/>
  <c r="R1786" i="1"/>
  <c r="K1786" i="1"/>
  <c r="E1786" i="1"/>
  <c r="D1786" i="1"/>
  <c r="C1786" i="1"/>
  <c r="A1786" i="1"/>
  <c r="T1785" i="1"/>
  <c r="S1785" i="1"/>
  <c r="R1785" i="1"/>
  <c r="K1785" i="1"/>
  <c r="E1785" i="1"/>
  <c r="D1785" i="1"/>
  <c r="C1785" i="1"/>
  <c r="A1785" i="1"/>
  <c r="T1784" i="1"/>
  <c r="S1784" i="1"/>
  <c r="R1784" i="1"/>
  <c r="K1784" i="1"/>
  <c r="E1784" i="1"/>
  <c r="D1784" i="1"/>
  <c r="C1784" i="1"/>
  <c r="A1784" i="1"/>
  <c r="T1783" i="1"/>
  <c r="S1783" i="1"/>
  <c r="R1783" i="1"/>
  <c r="K1783" i="1"/>
  <c r="E1783" i="1"/>
  <c r="D1783" i="1"/>
  <c r="C1783" i="1"/>
  <c r="A1783" i="1"/>
  <c r="T1782" i="1"/>
  <c r="S1782" i="1"/>
  <c r="R1782" i="1"/>
  <c r="K1782" i="1"/>
  <c r="E1782" i="1"/>
  <c r="D1782" i="1"/>
  <c r="C1782" i="1"/>
  <c r="A1782" i="1"/>
  <c r="T1781" i="1"/>
  <c r="S1781" i="1"/>
  <c r="R1781" i="1"/>
  <c r="K1781" i="1"/>
  <c r="E1781" i="1"/>
  <c r="D1781" i="1"/>
  <c r="C1781" i="1"/>
  <c r="A1781" i="1"/>
  <c r="T1780" i="1"/>
  <c r="S1780" i="1"/>
  <c r="R1780" i="1"/>
  <c r="K1780" i="1"/>
  <c r="E1780" i="1"/>
  <c r="D1780" i="1"/>
  <c r="C1780" i="1"/>
  <c r="A1780" i="1"/>
  <c r="T1779" i="1"/>
  <c r="S1779" i="1"/>
  <c r="R1779" i="1"/>
  <c r="K1779" i="1"/>
  <c r="E1779" i="1"/>
  <c r="D1779" i="1"/>
  <c r="C1779" i="1"/>
  <c r="A1779" i="1"/>
  <c r="T1778" i="1"/>
  <c r="S1778" i="1"/>
  <c r="R1778" i="1"/>
  <c r="K1778" i="1"/>
  <c r="E1778" i="1"/>
  <c r="D1778" i="1"/>
  <c r="C1778" i="1"/>
  <c r="A1778" i="1"/>
  <c r="T1777" i="1"/>
  <c r="S1777" i="1"/>
  <c r="R1777" i="1"/>
  <c r="K1777" i="1"/>
  <c r="E1777" i="1"/>
  <c r="D1777" i="1"/>
  <c r="C1777" i="1"/>
  <c r="A1777" i="1"/>
  <c r="T1776" i="1"/>
  <c r="S1776" i="1"/>
  <c r="R1776" i="1"/>
  <c r="K1776" i="1"/>
  <c r="E1776" i="1"/>
  <c r="D1776" i="1"/>
  <c r="C1776" i="1"/>
  <c r="A1776" i="1"/>
  <c r="T1775" i="1"/>
  <c r="S1775" i="1"/>
  <c r="R1775" i="1"/>
  <c r="K1775" i="1"/>
  <c r="E1775" i="1"/>
  <c r="D1775" i="1"/>
  <c r="C1775" i="1"/>
  <c r="A1775" i="1"/>
  <c r="T1774" i="1"/>
  <c r="S1774" i="1"/>
  <c r="R1774" i="1"/>
  <c r="K1774" i="1"/>
  <c r="E1774" i="1"/>
  <c r="D1774" i="1"/>
  <c r="C1774" i="1"/>
  <c r="A1774" i="1"/>
  <c r="T1773" i="1"/>
  <c r="S1773" i="1"/>
  <c r="R1773" i="1"/>
  <c r="K1773" i="1"/>
  <c r="E1773" i="1"/>
  <c r="D1773" i="1"/>
  <c r="C1773" i="1"/>
  <c r="A1773" i="1"/>
  <c r="T1772" i="1"/>
  <c r="S1772" i="1"/>
  <c r="R1772" i="1"/>
  <c r="K1772" i="1"/>
  <c r="E1772" i="1"/>
  <c r="D1772" i="1"/>
  <c r="C1772" i="1"/>
  <c r="A1772" i="1"/>
  <c r="T1771" i="1"/>
  <c r="S1771" i="1"/>
  <c r="R1771" i="1"/>
  <c r="K1771" i="1"/>
  <c r="E1771" i="1"/>
  <c r="D1771" i="1"/>
  <c r="C1771" i="1"/>
  <c r="A1771" i="1"/>
  <c r="T1770" i="1"/>
  <c r="S1770" i="1"/>
  <c r="R1770" i="1"/>
  <c r="K1770" i="1"/>
  <c r="E1770" i="1"/>
  <c r="D1770" i="1"/>
  <c r="C1770" i="1"/>
  <c r="A1770" i="1"/>
  <c r="T1769" i="1"/>
  <c r="S1769" i="1"/>
  <c r="R1769" i="1"/>
  <c r="K1769" i="1"/>
  <c r="E1769" i="1"/>
  <c r="D1769" i="1"/>
  <c r="C1769" i="1"/>
  <c r="A1769" i="1"/>
  <c r="T1768" i="1"/>
  <c r="S1768" i="1"/>
  <c r="R1768" i="1"/>
  <c r="K1768" i="1"/>
  <c r="E1768" i="1"/>
  <c r="D1768" i="1"/>
  <c r="C1768" i="1"/>
  <c r="A1768" i="1"/>
  <c r="T1767" i="1"/>
  <c r="S1767" i="1"/>
  <c r="R1767" i="1"/>
  <c r="K1767" i="1"/>
  <c r="E1767" i="1"/>
  <c r="D1767" i="1"/>
  <c r="C1767" i="1"/>
  <c r="A1767" i="1"/>
  <c r="T1766" i="1"/>
  <c r="S1766" i="1"/>
  <c r="R1766" i="1"/>
  <c r="K1766" i="1"/>
  <c r="E1766" i="1"/>
  <c r="D1766" i="1"/>
  <c r="C1766" i="1"/>
  <c r="A1766" i="1"/>
  <c r="T1765" i="1"/>
  <c r="S1765" i="1"/>
  <c r="R1765" i="1"/>
  <c r="K1765" i="1"/>
  <c r="E1765" i="1"/>
  <c r="D1765" i="1"/>
  <c r="C1765" i="1"/>
  <c r="A1765" i="1"/>
  <c r="T1764" i="1"/>
  <c r="S1764" i="1"/>
  <c r="R1764" i="1"/>
  <c r="K1764" i="1"/>
  <c r="E1764" i="1"/>
  <c r="D1764" i="1"/>
  <c r="C1764" i="1"/>
  <c r="A1764" i="1"/>
  <c r="T1763" i="1"/>
  <c r="S1763" i="1"/>
  <c r="R1763" i="1"/>
  <c r="M1763" i="1"/>
  <c r="K1763" i="1"/>
  <c r="E1763" i="1"/>
  <c r="D1763" i="1"/>
  <c r="C1763" i="1"/>
  <c r="A1763" i="1"/>
  <c r="T1762" i="1"/>
  <c r="S1762" i="1"/>
  <c r="R1762" i="1"/>
  <c r="M1762" i="1"/>
  <c r="K1762" i="1"/>
  <c r="E1762" i="1"/>
  <c r="D1762" i="1"/>
  <c r="C1762" i="1"/>
  <c r="A1762" i="1"/>
  <c r="T1761" i="1"/>
  <c r="S1761" i="1"/>
  <c r="R1761" i="1"/>
  <c r="M1761" i="1"/>
  <c r="K1761" i="1"/>
  <c r="E1761" i="1"/>
  <c r="D1761" i="1"/>
  <c r="C1761" i="1"/>
  <c r="A1761" i="1"/>
  <c r="T1760" i="1"/>
  <c r="S1760" i="1"/>
  <c r="R1760" i="1"/>
  <c r="M1760" i="1"/>
  <c r="K1760" i="1"/>
  <c r="E1760" i="1"/>
  <c r="D1760" i="1"/>
  <c r="C1760" i="1"/>
  <c r="A1760" i="1"/>
  <c r="T1759" i="1"/>
  <c r="S1759" i="1"/>
  <c r="R1759" i="1"/>
  <c r="M1759" i="1"/>
  <c r="K1759" i="1"/>
  <c r="E1759" i="1"/>
  <c r="D1759" i="1"/>
  <c r="C1759" i="1"/>
  <c r="A1759" i="1"/>
  <c r="T1758" i="1"/>
  <c r="S1758" i="1"/>
  <c r="R1758" i="1"/>
  <c r="M1758" i="1"/>
  <c r="K1758" i="1"/>
  <c r="E1758" i="1"/>
  <c r="D1758" i="1"/>
  <c r="C1758" i="1"/>
  <c r="A1758" i="1"/>
  <c r="T1757" i="1"/>
  <c r="S1757" i="1"/>
  <c r="R1757" i="1"/>
  <c r="M1757" i="1"/>
  <c r="K1757" i="1"/>
  <c r="E1757" i="1"/>
  <c r="D1757" i="1"/>
  <c r="C1757" i="1"/>
  <c r="A1757" i="1"/>
  <c r="T1756" i="1"/>
  <c r="S1756" i="1"/>
  <c r="R1756" i="1"/>
  <c r="M1756" i="1"/>
  <c r="K1756" i="1"/>
  <c r="E1756" i="1"/>
  <c r="D1756" i="1"/>
  <c r="C1756" i="1"/>
  <c r="A1756" i="1"/>
  <c r="T1755" i="1"/>
  <c r="S1755" i="1"/>
  <c r="R1755" i="1"/>
  <c r="M1755" i="1"/>
  <c r="K1755" i="1"/>
  <c r="E1755" i="1"/>
  <c r="D1755" i="1"/>
  <c r="C1755" i="1"/>
  <c r="A1755" i="1"/>
  <c r="T1754" i="1"/>
  <c r="S1754" i="1"/>
  <c r="R1754" i="1"/>
  <c r="M1754" i="1"/>
  <c r="K1754" i="1"/>
  <c r="E1754" i="1"/>
  <c r="D1754" i="1"/>
  <c r="C1754" i="1"/>
  <c r="A1754" i="1"/>
  <c r="T1753" i="1"/>
  <c r="S1753" i="1"/>
  <c r="R1753" i="1"/>
  <c r="M1753" i="1"/>
  <c r="K1753" i="1"/>
  <c r="E1753" i="1"/>
  <c r="D1753" i="1"/>
  <c r="C1753" i="1"/>
  <c r="A1753" i="1"/>
  <c r="T1752" i="1"/>
  <c r="S1752" i="1"/>
  <c r="R1752" i="1"/>
  <c r="M1752" i="1"/>
  <c r="K1752" i="1"/>
  <c r="E1752" i="1"/>
  <c r="D1752" i="1"/>
  <c r="C1752" i="1"/>
  <c r="A1752" i="1"/>
  <c r="T1751" i="1"/>
  <c r="S1751" i="1"/>
  <c r="R1751" i="1"/>
  <c r="M1751" i="1"/>
  <c r="K1751" i="1"/>
  <c r="E1751" i="1"/>
  <c r="D1751" i="1"/>
  <c r="C1751" i="1"/>
  <c r="A1751" i="1"/>
  <c r="T1750" i="1"/>
  <c r="S1750" i="1"/>
  <c r="R1750" i="1"/>
  <c r="Q1750" i="1"/>
  <c r="P1750" i="1"/>
  <c r="M1750" i="1"/>
  <c r="K1750" i="1"/>
  <c r="E1750" i="1"/>
  <c r="D1750" i="1"/>
  <c r="C1750" i="1"/>
  <c r="A1750" i="1"/>
  <c r="T1749" i="1"/>
  <c r="S1749" i="1"/>
  <c r="R1749" i="1"/>
  <c r="Q1749" i="1"/>
  <c r="P1749" i="1"/>
  <c r="M1749" i="1"/>
  <c r="K1749" i="1"/>
  <c r="E1749" i="1"/>
  <c r="D1749" i="1"/>
  <c r="C1749" i="1"/>
  <c r="A1749" i="1"/>
  <c r="T1748" i="1"/>
  <c r="S1748" i="1"/>
  <c r="R1748" i="1"/>
  <c r="Q1748" i="1"/>
  <c r="P1748" i="1"/>
  <c r="M1748" i="1"/>
  <c r="K1748" i="1"/>
  <c r="I1748" i="1"/>
  <c r="E1748" i="1"/>
  <c r="D1748" i="1"/>
  <c r="C1748" i="1"/>
  <c r="A1748" i="1"/>
  <c r="T1747" i="1"/>
  <c r="S1747" i="1"/>
  <c r="R1747" i="1"/>
  <c r="Q1747" i="1"/>
  <c r="P1747" i="1"/>
  <c r="M1747" i="1"/>
  <c r="K1747" i="1"/>
  <c r="I1747" i="1"/>
  <c r="E1747" i="1"/>
  <c r="D1747" i="1"/>
  <c r="C1747" i="1"/>
  <c r="A1747" i="1"/>
  <c r="T1746" i="1"/>
  <c r="S1746" i="1"/>
  <c r="R1746" i="1"/>
  <c r="Q1746" i="1"/>
  <c r="P1746" i="1"/>
  <c r="M1746" i="1"/>
  <c r="K1746" i="1"/>
  <c r="I1746" i="1"/>
  <c r="E1746" i="1"/>
  <c r="D1746" i="1"/>
  <c r="C1746" i="1"/>
  <c r="A1746" i="1"/>
  <c r="T1745" i="1"/>
  <c r="S1745" i="1"/>
  <c r="R1745" i="1"/>
  <c r="Q1745" i="1"/>
  <c r="P1745" i="1"/>
  <c r="M1745" i="1"/>
  <c r="K1745" i="1"/>
  <c r="E1745" i="1"/>
  <c r="D1745" i="1"/>
  <c r="C1745" i="1"/>
  <c r="A1745" i="1"/>
  <c r="T1744" i="1"/>
  <c r="S1744" i="1"/>
  <c r="R1744" i="1"/>
  <c r="Q1744" i="1"/>
  <c r="P1744" i="1"/>
  <c r="M1744" i="1"/>
  <c r="K1744" i="1"/>
  <c r="E1744" i="1"/>
  <c r="D1744" i="1"/>
  <c r="C1744" i="1"/>
  <c r="A1744" i="1"/>
  <c r="T1743" i="1"/>
  <c r="S1743" i="1"/>
  <c r="R1743" i="1"/>
  <c r="Q1743" i="1"/>
  <c r="P1743" i="1"/>
  <c r="M1743" i="1"/>
  <c r="K1743" i="1"/>
  <c r="E1743" i="1"/>
  <c r="D1743" i="1"/>
  <c r="C1743" i="1"/>
  <c r="A1743" i="1"/>
  <c r="T1742" i="1"/>
  <c r="S1742" i="1"/>
  <c r="R1742" i="1"/>
  <c r="Q1742" i="1"/>
  <c r="K1742" i="1"/>
  <c r="E1742" i="1"/>
  <c r="D1742" i="1"/>
  <c r="C1742" i="1"/>
  <c r="A1742" i="1"/>
  <c r="T1741" i="1"/>
  <c r="S1741" i="1"/>
  <c r="R1741" i="1"/>
  <c r="Q1741" i="1"/>
  <c r="K1741" i="1"/>
  <c r="E1741" i="1"/>
  <c r="D1741" i="1"/>
  <c r="C1741" i="1"/>
  <c r="A1741" i="1"/>
  <c r="T1740" i="1"/>
  <c r="S1740" i="1"/>
  <c r="R1740" i="1"/>
  <c r="Q1740" i="1"/>
  <c r="K1740" i="1"/>
  <c r="E1740" i="1"/>
  <c r="D1740" i="1"/>
  <c r="C1740" i="1"/>
  <c r="A1740" i="1"/>
  <c r="T1739" i="1"/>
  <c r="S1739" i="1"/>
  <c r="R1739" i="1"/>
  <c r="Q1739" i="1"/>
  <c r="K1739" i="1"/>
  <c r="E1739" i="1"/>
  <c r="D1739" i="1"/>
  <c r="C1739" i="1"/>
  <c r="A1739" i="1"/>
  <c r="T1738" i="1"/>
  <c r="S1738" i="1"/>
  <c r="R1738" i="1"/>
  <c r="Q1738" i="1"/>
  <c r="K1738" i="1"/>
  <c r="E1738" i="1"/>
  <c r="D1738" i="1"/>
  <c r="C1738" i="1"/>
  <c r="A1738" i="1"/>
  <c r="T1737" i="1"/>
  <c r="S1737" i="1"/>
  <c r="R1737" i="1"/>
  <c r="Q1737" i="1"/>
  <c r="K1737" i="1"/>
  <c r="E1737" i="1"/>
  <c r="D1737" i="1"/>
  <c r="C1737" i="1"/>
  <c r="A1737" i="1"/>
  <c r="T1736" i="1"/>
  <c r="S1736" i="1"/>
  <c r="R1736" i="1"/>
  <c r="Q1736" i="1"/>
  <c r="K1736" i="1"/>
  <c r="E1736" i="1"/>
  <c r="D1736" i="1"/>
  <c r="C1736" i="1"/>
  <c r="A1736" i="1"/>
  <c r="T1735" i="1"/>
  <c r="S1735" i="1"/>
  <c r="R1735" i="1"/>
  <c r="Q1735" i="1"/>
  <c r="K1735" i="1"/>
  <c r="E1735" i="1"/>
  <c r="D1735" i="1"/>
  <c r="C1735" i="1"/>
  <c r="A1735" i="1"/>
  <c r="T1734" i="1"/>
  <c r="S1734" i="1"/>
  <c r="R1734" i="1"/>
  <c r="Q1734" i="1"/>
  <c r="K1734" i="1"/>
  <c r="E1734" i="1"/>
  <c r="D1734" i="1"/>
  <c r="C1734" i="1"/>
  <c r="A1734" i="1"/>
  <c r="T1733" i="1"/>
  <c r="S1733" i="1"/>
  <c r="R1733" i="1"/>
  <c r="Q1733" i="1"/>
  <c r="K1733" i="1"/>
  <c r="E1733" i="1"/>
  <c r="D1733" i="1"/>
  <c r="C1733" i="1"/>
  <c r="A1733" i="1"/>
  <c r="T1732" i="1"/>
  <c r="S1732" i="1"/>
  <c r="R1732" i="1"/>
  <c r="Q1732" i="1"/>
  <c r="K1732" i="1"/>
  <c r="E1732" i="1"/>
  <c r="D1732" i="1"/>
  <c r="C1732" i="1"/>
  <c r="A1732" i="1"/>
  <c r="T1731" i="1"/>
  <c r="S1731" i="1"/>
  <c r="R1731" i="1"/>
  <c r="Q1731" i="1"/>
  <c r="K1731" i="1"/>
  <c r="E1731" i="1"/>
  <c r="D1731" i="1"/>
  <c r="C1731" i="1"/>
  <c r="A1731" i="1"/>
  <c r="T1730" i="1"/>
  <c r="S1730" i="1"/>
  <c r="R1730" i="1"/>
  <c r="Q1730" i="1"/>
  <c r="K1730" i="1"/>
  <c r="E1730" i="1"/>
  <c r="D1730" i="1"/>
  <c r="C1730" i="1"/>
  <c r="A1730" i="1"/>
  <c r="T1729" i="1"/>
  <c r="S1729" i="1"/>
  <c r="R1729" i="1"/>
  <c r="Q1729" i="1"/>
  <c r="K1729" i="1"/>
  <c r="E1729" i="1"/>
  <c r="D1729" i="1"/>
  <c r="C1729" i="1"/>
  <c r="A1729" i="1"/>
  <c r="T1728" i="1"/>
  <c r="S1728" i="1"/>
  <c r="R1728" i="1"/>
  <c r="Q1728" i="1"/>
  <c r="K1728" i="1"/>
  <c r="E1728" i="1"/>
  <c r="D1728" i="1"/>
  <c r="C1728" i="1"/>
  <c r="A1728" i="1"/>
  <c r="T1727" i="1"/>
  <c r="S1727" i="1"/>
  <c r="R1727" i="1"/>
  <c r="Q1727" i="1"/>
  <c r="K1727" i="1"/>
  <c r="E1727" i="1"/>
  <c r="D1727" i="1"/>
  <c r="C1727" i="1"/>
  <c r="A1727" i="1"/>
  <c r="T1726" i="1"/>
  <c r="S1726" i="1"/>
  <c r="R1726" i="1"/>
  <c r="Q1726" i="1"/>
  <c r="K1726" i="1"/>
  <c r="E1726" i="1"/>
  <c r="D1726" i="1"/>
  <c r="C1726" i="1"/>
  <c r="A1726" i="1"/>
  <c r="T1725" i="1"/>
  <c r="S1725" i="1"/>
  <c r="R1725" i="1"/>
  <c r="Q1725" i="1"/>
  <c r="K1725" i="1"/>
  <c r="E1725" i="1"/>
  <c r="D1725" i="1"/>
  <c r="C1725" i="1"/>
  <c r="A1725" i="1"/>
  <c r="T1724" i="1"/>
  <c r="S1724" i="1"/>
  <c r="R1724" i="1"/>
  <c r="Q1724" i="1"/>
  <c r="K1724" i="1"/>
  <c r="E1724" i="1"/>
  <c r="D1724" i="1"/>
  <c r="C1724" i="1"/>
  <c r="A1724" i="1"/>
  <c r="T1723" i="1"/>
  <c r="S1723" i="1"/>
  <c r="R1723" i="1"/>
  <c r="Q1723" i="1"/>
  <c r="K1723" i="1"/>
  <c r="E1723" i="1"/>
  <c r="D1723" i="1"/>
  <c r="C1723" i="1"/>
  <c r="A1723" i="1"/>
  <c r="T1722" i="1"/>
  <c r="S1722" i="1"/>
  <c r="R1722" i="1"/>
  <c r="Q1722" i="1"/>
  <c r="K1722" i="1"/>
  <c r="E1722" i="1"/>
  <c r="D1722" i="1"/>
  <c r="C1722" i="1"/>
  <c r="A1722" i="1"/>
  <c r="T1721" i="1"/>
  <c r="S1721" i="1"/>
  <c r="R1721" i="1"/>
  <c r="Q1721" i="1"/>
  <c r="K1721" i="1"/>
  <c r="E1721" i="1"/>
  <c r="D1721" i="1"/>
  <c r="C1721" i="1"/>
  <c r="A1721" i="1"/>
  <c r="T1720" i="1"/>
  <c r="S1720" i="1"/>
  <c r="R1720" i="1"/>
  <c r="Q1720" i="1"/>
  <c r="K1720" i="1"/>
  <c r="E1720" i="1"/>
  <c r="D1720" i="1"/>
  <c r="C1720" i="1"/>
  <c r="A1720" i="1"/>
  <c r="T1719" i="1"/>
  <c r="S1719" i="1"/>
  <c r="R1719" i="1"/>
  <c r="Q1719" i="1"/>
  <c r="K1719" i="1"/>
  <c r="E1719" i="1"/>
  <c r="D1719" i="1"/>
  <c r="C1719" i="1"/>
  <c r="A1719" i="1"/>
  <c r="T1718" i="1"/>
  <c r="S1718" i="1"/>
  <c r="R1718" i="1"/>
  <c r="Q1718" i="1"/>
  <c r="K1718" i="1"/>
  <c r="E1718" i="1"/>
  <c r="D1718" i="1"/>
  <c r="C1718" i="1"/>
  <c r="A1718" i="1"/>
  <c r="T1717" i="1"/>
  <c r="S1717" i="1"/>
  <c r="R1717" i="1"/>
  <c r="Q1717" i="1"/>
  <c r="K1717" i="1"/>
  <c r="E1717" i="1"/>
  <c r="D1717" i="1"/>
  <c r="C1717" i="1"/>
  <c r="A1717" i="1"/>
  <c r="T1716" i="1"/>
  <c r="S1716" i="1"/>
  <c r="R1716" i="1"/>
  <c r="Q1716" i="1"/>
  <c r="M1716" i="1"/>
  <c r="K1716" i="1"/>
  <c r="E1716" i="1"/>
  <c r="D1716" i="1"/>
  <c r="C1716" i="1"/>
  <c r="A1716" i="1"/>
  <c r="T1715" i="1"/>
  <c r="S1715" i="1"/>
  <c r="R1715" i="1"/>
  <c r="Q1715" i="1"/>
  <c r="M1715" i="1"/>
  <c r="K1715" i="1"/>
  <c r="E1715" i="1"/>
  <c r="D1715" i="1"/>
  <c r="C1715" i="1"/>
  <c r="A1715" i="1"/>
  <c r="T1714" i="1"/>
  <c r="S1714" i="1"/>
  <c r="R1714" i="1"/>
  <c r="Q1714" i="1"/>
  <c r="M1714" i="1"/>
  <c r="K1714" i="1"/>
  <c r="E1714" i="1"/>
  <c r="D1714" i="1"/>
  <c r="C1714" i="1"/>
  <c r="A1714" i="1"/>
  <c r="T1713" i="1"/>
  <c r="S1713" i="1"/>
  <c r="R1713" i="1"/>
  <c r="Q1713" i="1"/>
  <c r="M1713" i="1"/>
  <c r="K1713" i="1"/>
  <c r="E1713" i="1"/>
  <c r="D1713" i="1"/>
  <c r="C1713" i="1"/>
  <c r="A1713" i="1"/>
  <c r="T1712" i="1"/>
  <c r="S1712" i="1"/>
  <c r="R1712" i="1"/>
  <c r="Q1712" i="1"/>
  <c r="M1712" i="1"/>
  <c r="K1712" i="1"/>
  <c r="E1712" i="1"/>
  <c r="D1712" i="1"/>
  <c r="C1712" i="1"/>
  <c r="A1712" i="1"/>
  <c r="T1711" i="1"/>
  <c r="S1711" i="1"/>
  <c r="R1711" i="1"/>
  <c r="Q1711" i="1"/>
  <c r="M1711" i="1"/>
  <c r="K1711" i="1"/>
  <c r="E1711" i="1"/>
  <c r="D1711" i="1"/>
  <c r="C1711" i="1"/>
  <c r="A1711" i="1"/>
  <c r="T1710" i="1"/>
  <c r="S1710" i="1"/>
  <c r="R1710" i="1"/>
  <c r="Q1710" i="1"/>
  <c r="M1710" i="1"/>
  <c r="K1710" i="1"/>
  <c r="E1710" i="1"/>
  <c r="D1710" i="1"/>
  <c r="C1710" i="1"/>
  <c r="A1710" i="1"/>
  <c r="T1709" i="1"/>
  <c r="S1709" i="1"/>
  <c r="R1709" i="1"/>
  <c r="Q1709" i="1"/>
  <c r="M1709" i="1"/>
  <c r="K1709" i="1"/>
  <c r="E1709" i="1"/>
  <c r="D1709" i="1"/>
  <c r="C1709" i="1"/>
  <c r="A1709" i="1"/>
  <c r="T1708" i="1"/>
  <c r="S1708" i="1"/>
  <c r="R1708" i="1"/>
  <c r="Q1708" i="1"/>
  <c r="M1708" i="1"/>
  <c r="K1708" i="1"/>
  <c r="E1708" i="1"/>
  <c r="D1708" i="1"/>
  <c r="C1708" i="1"/>
  <c r="A1708" i="1"/>
  <c r="T1707" i="1"/>
  <c r="S1707" i="1"/>
  <c r="R1707" i="1"/>
  <c r="Q1707" i="1"/>
  <c r="M1707" i="1"/>
  <c r="K1707" i="1"/>
  <c r="E1707" i="1"/>
  <c r="D1707" i="1"/>
  <c r="C1707" i="1"/>
  <c r="A1707" i="1"/>
  <c r="T1706" i="1"/>
  <c r="S1706" i="1"/>
  <c r="R1706" i="1"/>
  <c r="Q1706" i="1"/>
  <c r="M1706" i="1"/>
  <c r="K1706" i="1"/>
  <c r="E1706" i="1"/>
  <c r="D1706" i="1"/>
  <c r="C1706" i="1"/>
  <c r="A1706" i="1"/>
  <c r="T1705" i="1"/>
  <c r="S1705" i="1"/>
  <c r="R1705" i="1"/>
  <c r="Q1705" i="1"/>
  <c r="M1705" i="1"/>
  <c r="K1705" i="1"/>
  <c r="E1705" i="1"/>
  <c r="D1705" i="1"/>
  <c r="C1705" i="1"/>
  <c r="A1705" i="1"/>
  <c r="T1704" i="1"/>
  <c r="S1704" i="1"/>
  <c r="R1704" i="1"/>
  <c r="Q1704" i="1"/>
  <c r="M1704" i="1"/>
  <c r="K1704" i="1"/>
  <c r="E1704" i="1"/>
  <c r="D1704" i="1"/>
  <c r="C1704" i="1"/>
  <c r="A1704" i="1"/>
  <c r="T1703" i="1"/>
  <c r="S1703" i="1"/>
  <c r="R1703" i="1"/>
  <c r="Q1703" i="1"/>
  <c r="M1703" i="1"/>
  <c r="K1703" i="1"/>
  <c r="E1703" i="1"/>
  <c r="D1703" i="1"/>
  <c r="C1703" i="1"/>
  <c r="A1703" i="1"/>
  <c r="T1702" i="1"/>
  <c r="S1702" i="1"/>
  <c r="R1702" i="1"/>
  <c r="Q1702" i="1"/>
  <c r="M1702" i="1"/>
  <c r="K1702" i="1"/>
  <c r="E1702" i="1"/>
  <c r="D1702" i="1"/>
  <c r="C1702" i="1"/>
  <c r="A1702" i="1"/>
  <c r="T1701" i="1"/>
  <c r="S1701" i="1"/>
  <c r="R1701" i="1"/>
  <c r="Q1701" i="1"/>
  <c r="P1701" i="1"/>
  <c r="K1701" i="1"/>
  <c r="I1701" i="1"/>
  <c r="E1701" i="1"/>
  <c r="D1701" i="1"/>
  <c r="C1701" i="1"/>
  <c r="A1701" i="1"/>
  <c r="T1700" i="1"/>
  <c r="S1700" i="1"/>
  <c r="R1700" i="1"/>
  <c r="Q1700" i="1"/>
  <c r="P1700" i="1"/>
  <c r="M1700" i="1"/>
  <c r="K1700" i="1"/>
  <c r="I1700" i="1"/>
  <c r="E1700" i="1"/>
  <c r="D1700" i="1"/>
  <c r="C1700" i="1"/>
  <c r="A1700" i="1"/>
  <c r="T1699" i="1"/>
  <c r="S1699" i="1"/>
  <c r="R1699" i="1"/>
  <c r="Q1699" i="1"/>
  <c r="P1699" i="1"/>
  <c r="M1699" i="1"/>
  <c r="K1699" i="1"/>
  <c r="I1699" i="1"/>
  <c r="E1699" i="1"/>
  <c r="D1699" i="1"/>
  <c r="C1699" i="1"/>
  <c r="A1699" i="1"/>
  <c r="T1698" i="1"/>
  <c r="S1698" i="1"/>
  <c r="R1698" i="1"/>
  <c r="Q1698" i="1"/>
  <c r="P1698" i="1"/>
  <c r="M1698" i="1"/>
  <c r="K1698" i="1"/>
  <c r="I1698" i="1"/>
  <c r="E1698" i="1"/>
  <c r="D1698" i="1"/>
  <c r="C1698" i="1"/>
  <c r="A1698" i="1"/>
  <c r="T1697" i="1"/>
  <c r="S1697" i="1"/>
  <c r="R1697" i="1"/>
  <c r="K1697" i="1"/>
  <c r="E1697" i="1"/>
  <c r="D1697" i="1"/>
  <c r="C1697" i="1"/>
  <c r="A1697" i="1"/>
  <c r="T1696" i="1"/>
  <c r="S1696" i="1"/>
  <c r="R1696" i="1"/>
  <c r="K1696" i="1"/>
  <c r="E1696" i="1"/>
  <c r="D1696" i="1"/>
  <c r="C1696" i="1"/>
  <c r="A1696" i="1"/>
  <c r="T1695" i="1"/>
  <c r="S1695" i="1"/>
  <c r="R1695" i="1"/>
  <c r="K1695" i="1"/>
  <c r="E1695" i="1"/>
  <c r="D1695" i="1"/>
  <c r="C1695" i="1"/>
  <c r="A1695" i="1"/>
  <c r="T1694" i="1"/>
  <c r="S1694" i="1"/>
  <c r="R1694" i="1"/>
  <c r="K1694" i="1"/>
  <c r="E1694" i="1"/>
  <c r="D1694" i="1"/>
  <c r="C1694" i="1"/>
  <c r="A1694" i="1"/>
  <c r="T1693" i="1"/>
  <c r="S1693" i="1"/>
  <c r="R1693" i="1"/>
  <c r="K1693" i="1"/>
  <c r="E1693" i="1"/>
  <c r="D1693" i="1"/>
  <c r="C1693" i="1"/>
  <c r="A1693" i="1"/>
  <c r="T1692" i="1"/>
  <c r="S1692" i="1"/>
  <c r="R1692" i="1"/>
  <c r="K1692" i="1"/>
  <c r="E1692" i="1"/>
  <c r="D1692" i="1"/>
  <c r="C1692" i="1"/>
  <c r="A1692" i="1"/>
  <c r="T1691" i="1"/>
  <c r="S1691" i="1"/>
  <c r="R1691" i="1"/>
  <c r="K1691" i="1"/>
  <c r="E1691" i="1"/>
  <c r="D1691" i="1"/>
  <c r="C1691" i="1"/>
  <c r="A1691" i="1"/>
  <c r="T1690" i="1"/>
  <c r="S1690" i="1"/>
  <c r="R1690" i="1"/>
  <c r="K1690" i="1"/>
  <c r="E1690" i="1"/>
  <c r="D1690" i="1"/>
  <c r="C1690" i="1"/>
  <c r="A1690" i="1"/>
  <c r="T1689" i="1"/>
  <c r="S1689" i="1"/>
  <c r="R1689" i="1"/>
  <c r="K1689" i="1"/>
  <c r="E1689" i="1"/>
  <c r="D1689" i="1"/>
  <c r="C1689" i="1"/>
  <c r="A1689" i="1"/>
  <c r="T1688" i="1"/>
  <c r="S1688" i="1"/>
  <c r="R1688" i="1"/>
  <c r="K1688" i="1"/>
  <c r="E1688" i="1"/>
  <c r="D1688" i="1"/>
  <c r="C1688" i="1"/>
  <c r="A1688" i="1"/>
  <c r="T1687" i="1"/>
  <c r="S1687" i="1"/>
  <c r="R1687" i="1"/>
  <c r="K1687" i="1"/>
  <c r="E1687" i="1"/>
  <c r="D1687" i="1"/>
  <c r="C1687" i="1"/>
  <c r="A1687" i="1"/>
  <c r="T1686" i="1"/>
  <c r="S1686" i="1"/>
  <c r="R1686" i="1"/>
  <c r="K1686" i="1"/>
  <c r="E1686" i="1"/>
  <c r="D1686" i="1"/>
  <c r="C1686" i="1"/>
  <c r="A1686" i="1"/>
  <c r="T1685" i="1"/>
  <c r="S1685" i="1"/>
  <c r="R1685" i="1"/>
  <c r="M1685" i="1"/>
  <c r="K1685" i="1"/>
  <c r="E1685" i="1"/>
  <c r="D1685" i="1"/>
  <c r="C1685" i="1"/>
  <c r="A1685" i="1"/>
  <c r="T1684" i="1"/>
  <c r="S1684" i="1"/>
  <c r="R1684" i="1"/>
  <c r="M1684" i="1"/>
  <c r="K1684" i="1"/>
  <c r="E1684" i="1"/>
  <c r="D1684" i="1"/>
  <c r="C1684" i="1"/>
  <c r="A1684" i="1"/>
  <c r="T1683" i="1"/>
  <c r="S1683" i="1"/>
  <c r="R1683" i="1"/>
  <c r="M1683" i="1"/>
  <c r="K1683" i="1"/>
  <c r="E1683" i="1"/>
  <c r="D1683" i="1"/>
  <c r="C1683" i="1"/>
  <c r="A1683" i="1"/>
  <c r="T1682" i="1"/>
  <c r="S1682" i="1"/>
  <c r="R1682" i="1"/>
  <c r="M1682" i="1"/>
  <c r="K1682" i="1"/>
  <c r="E1682" i="1"/>
  <c r="D1682" i="1"/>
  <c r="C1682" i="1"/>
  <c r="A1682" i="1"/>
  <c r="T1681" i="1"/>
  <c r="S1681" i="1"/>
  <c r="R1681" i="1"/>
  <c r="M1681" i="1"/>
  <c r="K1681" i="1"/>
  <c r="E1681" i="1"/>
  <c r="D1681" i="1"/>
  <c r="C1681" i="1"/>
  <c r="A1681" i="1"/>
  <c r="T1680" i="1"/>
  <c r="S1680" i="1"/>
  <c r="R1680" i="1"/>
  <c r="M1680" i="1"/>
  <c r="K1680" i="1"/>
  <c r="E1680" i="1"/>
  <c r="D1680" i="1"/>
  <c r="C1680" i="1"/>
  <c r="A1680" i="1"/>
  <c r="T1679" i="1"/>
  <c r="S1679" i="1"/>
  <c r="R1679" i="1"/>
  <c r="M1679" i="1"/>
  <c r="K1679" i="1"/>
  <c r="E1679" i="1"/>
  <c r="D1679" i="1"/>
  <c r="C1679" i="1"/>
  <c r="A1679" i="1"/>
  <c r="T1678" i="1"/>
  <c r="S1678" i="1"/>
  <c r="R1678" i="1"/>
  <c r="M1678" i="1"/>
  <c r="K1678" i="1"/>
  <c r="E1678" i="1"/>
  <c r="D1678" i="1"/>
  <c r="C1678" i="1"/>
  <c r="A1678" i="1"/>
  <c r="T1677" i="1"/>
  <c r="S1677" i="1"/>
  <c r="R1677" i="1"/>
  <c r="M1677" i="1"/>
  <c r="K1677" i="1"/>
  <c r="E1677" i="1"/>
  <c r="D1677" i="1"/>
  <c r="C1677" i="1"/>
  <c r="A1677" i="1"/>
  <c r="T1676" i="1"/>
  <c r="S1676" i="1"/>
  <c r="R1676" i="1"/>
  <c r="M1676" i="1"/>
  <c r="K1676" i="1"/>
  <c r="E1676" i="1"/>
  <c r="D1676" i="1"/>
  <c r="C1676" i="1"/>
  <c r="A1676" i="1"/>
  <c r="T1675" i="1"/>
  <c r="S1675" i="1"/>
  <c r="R1675" i="1"/>
  <c r="M1675" i="1"/>
  <c r="K1675" i="1"/>
  <c r="E1675" i="1"/>
  <c r="D1675" i="1"/>
  <c r="C1675" i="1"/>
  <c r="A1675" i="1"/>
  <c r="T1674" i="1"/>
  <c r="S1674" i="1"/>
  <c r="R1674" i="1"/>
  <c r="Q1674" i="1"/>
  <c r="P1674" i="1"/>
  <c r="M1674" i="1"/>
  <c r="K1674" i="1"/>
  <c r="E1674" i="1"/>
  <c r="D1674" i="1"/>
  <c r="C1674" i="1"/>
  <c r="A1674" i="1"/>
  <c r="T1673" i="1"/>
  <c r="S1673" i="1"/>
  <c r="R1673" i="1"/>
  <c r="Q1673" i="1"/>
  <c r="P1673" i="1"/>
  <c r="M1673" i="1"/>
  <c r="K1673" i="1"/>
  <c r="E1673" i="1"/>
  <c r="D1673" i="1"/>
  <c r="C1673" i="1"/>
  <c r="A1673" i="1"/>
  <c r="T1672" i="1"/>
  <c r="S1672" i="1"/>
  <c r="R1672" i="1"/>
  <c r="Q1672" i="1"/>
  <c r="P1672" i="1"/>
  <c r="M1672" i="1"/>
  <c r="K1672" i="1"/>
  <c r="E1672" i="1"/>
  <c r="D1672" i="1"/>
  <c r="C1672" i="1"/>
  <c r="A1672" i="1"/>
  <c r="T1671" i="1"/>
  <c r="S1671" i="1"/>
  <c r="R1671" i="1"/>
  <c r="Q1671" i="1"/>
  <c r="P1671" i="1"/>
  <c r="M1671" i="1"/>
  <c r="K1671" i="1"/>
  <c r="E1671" i="1"/>
  <c r="D1671" i="1"/>
  <c r="C1671" i="1"/>
  <c r="A1671" i="1"/>
  <c r="T1670" i="1"/>
  <c r="S1670" i="1"/>
  <c r="R1670" i="1"/>
  <c r="Q1670" i="1"/>
  <c r="P1670" i="1"/>
  <c r="M1670" i="1"/>
  <c r="K1670" i="1"/>
  <c r="E1670" i="1"/>
  <c r="D1670" i="1"/>
  <c r="C1670" i="1"/>
  <c r="A1670" i="1"/>
  <c r="T1669" i="1"/>
  <c r="S1669" i="1"/>
  <c r="R1669" i="1"/>
  <c r="Q1669" i="1"/>
  <c r="P1669" i="1"/>
  <c r="M1669" i="1"/>
  <c r="K1669" i="1"/>
  <c r="E1669" i="1"/>
  <c r="D1669" i="1"/>
  <c r="C1669" i="1"/>
  <c r="A1669" i="1"/>
  <c r="T1668" i="1"/>
  <c r="S1668" i="1"/>
  <c r="R1668" i="1"/>
  <c r="Q1668" i="1"/>
  <c r="P1668" i="1"/>
  <c r="M1668" i="1"/>
  <c r="K1668" i="1"/>
  <c r="E1668" i="1"/>
  <c r="D1668" i="1"/>
  <c r="C1668" i="1"/>
  <c r="A1668" i="1"/>
  <c r="T1667" i="1"/>
  <c r="S1667" i="1"/>
  <c r="R1667" i="1"/>
  <c r="Q1667" i="1"/>
  <c r="P1667" i="1"/>
  <c r="N1667" i="1"/>
  <c r="M1667" i="1"/>
  <c r="K1667" i="1"/>
  <c r="I1667" i="1"/>
  <c r="E1667" i="1"/>
  <c r="D1667" i="1"/>
  <c r="C1667" i="1"/>
  <c r="A1667" i="1"/>
  <c r="T1666" i="1"/>
  <c r="S1666" i="1"/>
  <c r="R1666" i="1"/>
  <c r="K1666" i="1"/>
  <c r="E1666" i="1"/>
  <c r="D1666" i="1"/>
  <c r="C1666" i="1"/>
  <c r="A1666" i="1"/>
  <c r="T1665" i="1"/>
  <c r="S1665" i="1"/>
  <c r="R1665" i="1"/>
  <c r="K1665" i="1"/>
  <c r="E1665" i="1"/>
  <c r="D1665" i="1"/>
  <c r="C1665" i="1"/>
  <c r="A1665" i="1"/>
  <c r="T1664" i="1"/>
  <c r="S1664" i="1"/>
  <c r="R1664" i="1"/>
  <c r="K1664" i="1"/>
  <c r="E1664" i="1"/>
  <c r="D1664" i="1"/>
  <c r="C1664" i="1"/>
  <c r="A1664" i="1"/>
  <c r="T1663" i="1"/>
  <c r="S1663" i="1"/>
  <c r="R1663" i="1"/>
  <c r="K1663" i="1"/>
  <c r="E1663" i="1"/>
  <c r="D1663" i="1"/>
  <c r="C1663" i="1"/>
  <c r="A1663" i="1"/>
  <c r="T1662" i="1"/>
  <c r="S1662" i="1"/>
  <c r="R1662" i="1"/>
  <c r="K1662" i="1"/>
  <c r="E1662" i="1"/>
  <c r="D1662" i="1"/>
  <c r="C1662" i="1"/>
  <c r="A1662" i="1"/>
  <c r="T1661" i="1"/>
  <c r="S1661" i="1"/>
  <c r="R1661" i="1"/>
  <c r="K1661" i="1"/>
  <c r="E1661" i="1"/>
  <c r="D1661" i="1"/>
  <c r="C1661" i="1"/>
  <c r="A1661" i="1"/>
  <c r="T1660" i="1"/>
  <c r="S1660" i="1"/>
  <c r="R1660" i="1"/>
  <c r="K1660" i="1"/>
  <c r="E1660" i="1"/>
  <c r="D1660" i="1"/>
  <c r="C1660" i="1"/>
  <c r="A1660" i="1"/>
  <c r="T1659" i="1"/>
  <c r="S1659" i="1"/>
  <c r="R1659" i="1"/>
  <c r="K1659" i="1"/>
  <c r="E1659" i="1"/>
  <c r="D1659" i="1"/>
  <c r="C1659" i="1"/>
  <c r="A1659" i="1"/>
  <c r="T1658" i="1"/>
  <c r="S1658" i="1"/>
  <c r="R1658" i="1"/>
  <c r="K1658" i="1"/>
  <c r="E1658" i="1"/>
  <c r="D1658" i="1"/>
  <c r="C1658" i="1"/>
  <c r="A1658" i="1"/>
  <c r="T1657" i="1"/>
  <c r="S1657" i="1"/>
  <c r="R1657" i="1"/>
  <c r="K1657" i="1"/>
  <c r="E1657" i="1"/>
  <c r="D1657" i="1"/>
  <c r="C1657" i="1"/>
  <c r="A1657" i="1"/>
  <c r="T1656" i="1"/>
  <c r="S1656" i="1"/>
  <c r="R1656" i="1"/>
  <c r="K1656" i="1"/>
  <c r="E1656" i="1"/>
  <c r="D1656" i="1"/>
  <c r="C1656" i="1"/>
  <c r="A1656" i="1"/>
  <c r="T1655" i="1"/>
  <c r="S1655" i="1"/>
  <c r="R1655" i="1"/>
  <c r="K1655" i="1"/>
  <c r="E1655" i="1"/>
  <c r="D1655" i="1"/>
  <c r="C1655" i="1"/>
  <c r="A1655" i="1"/>
  <c r="T1654" i="1"/>
  <c r="S1654" i="1"/>
  <c r="R1654" i="1"/>
  <c r="K1654" i="1"/>
  <c r="E1654" i="1"/>
  <c r="D1654" i="1"/>
  <c r="C1654" i="1"/>
  <c r="A1654" i="1"/>
  <c r="T1653" i="1"/>
  <c r="S1653" i="1"/>
  <c r="R1653" i="1"/>
  <c r="K1653" i="1"/>
  <c r="E1653" i="1"/>
  <c r="D1653" i="1"/>
  <c r="C1653" i="1"/>
  <c r="A1653" i="1"/>
  <c r="T1652" i="1"/>
  <c r="S1652" i="1"/>
  <c r="R1652" i="1"/>
  <c r="K1652" i="1"/>
  <c r="E1652" i="1"/>
  <c r="D1652" i="1"/>
  <c r="C1652" i="1"/>
  <c r="A1652" i="1"/>
  <c r="T1651" i="1"/>
  <c r="S1651" i="1"/>
  <c r="R1651" i="1"/>
  <c r="K1651" i="1"/>
  <c r="E1651" i="1"/>
  <c r="D1651" i="1"/>
  <c r="C1651" i="1"/>
  <c r="A1651" i="1"/>
  <c r="T1650" i="1"/>
  <c r="S1650" i="1"/>
  <c r="R1650" i="1"/>
  <c r="K1650" i="1"/>
  <c r="E1650" i="1"/>
  <c r="D1650" i="1"/>
  <c r="C1650" i="1"/>
  <c r="A1650" i="1"/>
  <c r="T1649" i="1"/>
  <c r="S1649" i="1"/>
  <c r="R1649" i="1"/>
  <c r="K1649" i="1"/>
  <c r="E1649" i="1"/>
  <c r="D1649" i="1"/>
  <c r="C1649" i="1"/>
  <c r="A1649" i="1"/>
  <c r="T1648" i="1"/>
  <c r="S1648" i="1"/>
  <c r="R1648" i="1"/>
  <c r="K1648" i="1"/>
  <c r="E1648" i="1"/>
  <c r="D1648" i="1"/>
  <c r="C1648" i="1"/>
  <c r="A1648" i="1"/>
  <c r="T1647" i="1"/>
  <c r="S1647" i="1"/>
  <c r="R1647" i="1"/>
  <c r="K1647" i="1"/>
  <c r="E1647" i="1"/>
  <c r="D1647" i="1"/>
  <c r="C1647" i="1"/>
  <c r="A1647" i="1"/>
  <c r="T1646" i="1"/>
  <c r="S1646" i="1"/>
  <c r="R1646" i="1"/>
  <c r="K1646" i="1"/>
  <c r="E1646" i="1"/>
  <c r="D1646" i="1"/>
  <c r="C1646" i="1"/>
  <c r="A1646" i="1"/>
  <c r="T1645" i="1"/>
  <c r="S1645" i="1"/>
  <c r="R1645" i="1"/>
  <c r="K1645" i="1"/>
  <c r="E1645" i="1"/>
  <c r="D1645" i="1"/>
  <c r="C1645" i="1"/>
  <c r="A1645" i="1"/>
  <c r="T1644" i="1"/>
  <c r="S1644" i="1"/>
  <c r="R1644" i="1"/>
  <c r="K1644" i="1"/>
  <c r="E1644" i="1"/>
  <c r="D1644" i="1"/>
  <c r="C1644" i="1"/>
  <c r="A1644" i="1"/>
  <c r="T1643" i="1"/>
  <c r="S1643" i="1"/>
  <c r="R1643" i="1"/>
  <c r="K1643" i="1"/>
  <c r="E1643" i="1"/>
  <c r="D1643" i="1"/>
  <c r="C1643" i="1"/>
  <c r="A1643" i="1"/>
  <c r="T1642" i="1"/>
  <c r="S1642" i="1"/>
  <c r="R1642" i="1"/>
  <c r="P1642" i="1"/>
  <c r="M1642" i="1"/>
  <c r="K1642" i="1"/>
  <c r="E1642" i="1"/>
  <c r="D1642" i="1"/>
  <c r="C1642" i="1"/>
  <c r="B1642" i="1"/>
  <c r="A1642" i="1"/>
  <c r="T1641" i="1"/>
  <c r="S1641" i="1"/>
  <c r="R1641" i="1"/>
  <c r="P1641" i="1"/>
  <c r="M1641" i="1"/>
  <c r="K1641" i="1"/>
  <c r="E1641" i="1"/>
  <c r="D1641" i="1"/>
  <c r="C1641" i="1"/>
  <c r="B1641" i="1"/>
  <c r="A1641" i="1"/>
  <c r="T1640" i="1"/>
  <c r="S1640" i="1"/>
  <c r="R1640" i="1"/>
  <c r="M1640" i="1"/>
  <c r="K1640" i="1"/>
  <c r="E1640" i="1"/>
  <c r="D1640" i="1"/>
  <c r="C1640" i="1"/>
  <c r="A1640" i="1"/>
  <c r="T1639" i="1"/>
  <c r="S1639" i="1"/>
  <c r="R1639" i="1"/>
  <c r="M1639" i="1"/>
  <c r="K1639" i="1"/>
  <c r="E1639" i="1"/>
  <c r="D1639" i="1"/>
  <c r="C1639" i="1"/>
  <c r="A1639" i="1"/>
  <c r="T1638" i="1"/>
  <c r="S1638" i="1"/>
  <c r="R1638" i="1"/>
  <c r="M1638" i="1"/>
  <c r="K1638" i="1"/>
  <c r="E1638" i="1"/>
  <c r="D1638" i="1"/>
  <c r="C1638" i="1"/>
  <c r="A1638" i="1"/>
  <c r="T1637" i="1"/>
  <c r="S1637" i="1"/>
  <c r="R1637" i="1"/>
  <c r="M1637" i="1"/>
  <c r="K1637" i="1"/>
  <c r="E1637" i="1"/>
  <c r="D1637" i="1"/>
  <c r="C1637" i="1"/>
  <c r="A1637" i="1"/>
  <c r="T1636" i="1"/>
  <c r="S1636" i="1"/>
  <c r="R1636" i="1"/>
  <c r="M1636" i="1"/>
  <c r="K1636" i="1"/>
  <c r="E1636" i="1"/>
  <c r="D1636" i="1"/>
  <c r="C1636" i="1"/>
  <c r="A1636" i="1"/>
  <c r="T1635" i="1"/>
  <c r="S1635" i="1"/>
  <c r="R1635" i="1"/>
  <c r="M1635" i="1"/>
  <c r="K1635" i="1"/>
  <c r="E1635" i="1"/>
  <c r="D1635" i="1"/>
  <c r="C1635" i="1"/>
  <c r="A1635" i="1"/>
  <c r="T1634" i="1"/>
  <c r="S1634" i="1"/>
  <c r="R1634" i="1"/>
  <c r="M1634" i="1"/>
  <c r="K1634" i="1"/>
  <c r="E1634" i="1"/>
  <c r="D1634" i="1"/>
  <c r="C1634" i="1"/>
  <c r="A1634" i="1"/>
  <c r="T1633" i="1"/>
  <c r="S1633" i="1"/>
  <c r="R1633" i="1"/>
  <c r="M1633" i="1"/>
  <c r="K1633" i="1"/>
  <c r="E1633" i="1"/>
  <c r="D1633" i="1"/>
  <c r="C1633" i="1"/>
  <c r="A1633" i="1"/>
  <c r="T1632" i="1"/>
  <c r="S1632" i="1"/>
  <c r="R1632" i="1"/>
  <c r="M1632" i="1"/>
  <c r="K1632" i="1"/>
  <c r="E1632" i="1"/>
  <c r="D1632" i="1"/>
  <c r="C1632" i="1"/>
  <c r="A1632" i="1"/>
  <c r="T1631" i="1"/>
  <c r="S1631" i="1"/>
  <c r="R1631" i="1"/>
  <c r="M1631" i="1"/>
  <c r="K1631" i="1"/>
  <c r="E1631" i="1"/>
  <c r="D1631" i="1"/>
  <c r="C1631" i="1"/>
  <c r="A1631" i="1"/>
  <c r="T1630" i="1"/>
  <c r="S1630" i="1"/>
  <c r="R1630" i="1"/>
  <c r="M1630" i="1"/>
  <c r="K1630" i="1"/>
  <c r="E1630" i="1"/>
  <c r="D1630" i="1"/>
  <c r="C1630" i="1"/>
  <c r="A1630" i="1"/>
  <c r="T1629" i="1"/>
  <c r="S1629" i="1"/>
  <c r="R1629" i="1"/>
  <c r="M1629" i="1"/>
  <c r="K1629" i="1"/>
  <c r="E1629" i="1"/>
  <c r="D1629" i="1"/>
  <c r="C1629" i="1"/>
  <c r="A1629" i="1"/>
  <c r="T1628" i="1"/>
  <c r="S1628" i="1"/>
  <c r="R1628" i="1"/>
  <c r="M1628" i="1"/>
  <c r="K1628" i="1"/>
  <c r="E1628" i="1"/>
  <c r="D1628" i="1"/>
  <c r="C1628" i="1"/>
  <c r="A1628" i="1"/>
  <c r="T1627" i="1"/>
  <c r="S1627" i="1"/>
  <c r="R1627" i="1"/>
  <c r="M1627" i="1"/>
  <c r="K1627" i="1"/>
  <c r="E1627" i="1"/>
  <c r="D1627" i="1"/>
  <c r="C1627" i="1"/>
  <c r="A1627" i="1"/>
  <c r="T1626" i="1"/>
  <c r="S1626" i="1"/>
  <c r="R1626" i="1"/>
  <c r="P1626" i="1"/>
  <c r="M1626" i="1"/>
  <c r="K1626" i="1"/>
  <c r="E1626" i="1"/>
  <c r="D1626" i="1"/>
  <c r="C1626" i="1"/>
  <c r="A1626" i="1"/>
  <c r="T1625" i="1"/>
  <c r="S1625" i="1"/>
  <c r="R1625" i="1"/>
  <c r="Q1625" i="1"/>
  <c r="P1625" i="1"/>
  <c r="M1625" i="1"/>
  <c r="K1625" i="1"/>
  <c r="I1625" i="1"/>
  <c r="E1625" i="1"/>
  <c r="D1625" i="1"/>
  <c r="C1625" i="1"/>
  <c r="A1625" i="1"/>
  <c r="T1624" i="1"/>
  <c r="S1624" i="1"/>
  <c r="R1624" i="1"/>
  <c r="Q1624" i="1"/>
  <c r="P1624" i="1"/>
  <c r="M1624" i="1"/>
  <c r="K1624" i="1"/>
  <c r="E1624" i="1"/>
  <c r="D1624" i="1"/>
  <c r="C1624" i="1"/>
  <c r="A1624" i="1"/>
  <c r="T1623" i="1"/>
  <c r="S1623" i="1"/>
  <c r="R1623" i="1"/>
  <c r="Q1623" i="1"/>
  <c r="P1623" i="1"/>
  <c r="M1623" i="1"/>
  <c r="K1623" i="1"/>
  <c r="E1623" i="1"/>
  <c r="D1623" i="1"/>
  <c r="C1623" i="1"/>
  <c r="A1623" i="1"/>
  <c r="T1622" i="1"/>
  <c r="S1622" i="1"/>
  <c r="R1622" i="1"/>
  <c r="Q1622" i="1"/>
  <c r="P1622" i="1"/>
  <c r="M1622" i="1"/>
  <c r="K1622" i="1"/>
  <c r="E1622" i="1"/>
  <c r="D1622" i="1"/>
  <c r="C1622" i="1"/>
  <c r="A1622" i="1"/>
  <c r="T1621" i="1"/>
  <c r="S1621" i="1"/>
  <c r="R1621" i="1"/>
  <c r="Q1621" i="1"/>
  <c r="P1621" i="1"/>
  <c r="M1621" i="1"/>
  <c r="K1621" i="1"/>
  <c r="E1621" i="1"/>
  <c r="D1621" i="1"/>
  <c r="C1621" i="1"/>
  <c r="A1621" i="1"/>
  <c r="T1620" i="1"/>
  <c r="S1620" i="1"/>
  <c r="R1620" i="1"/>
  <c r="Q1620" i="1"/>
  <c r="P1620" i="1"/>
  <c r="M1620" i="1"/>
  <c r="K1620" i="1"/>
  <c r="E1620" i="1"/>
  <c r="D1620" i="1"/>
  <c r="C1620" i="1"/>
  <c r="A1620" i="1"/>
  <c r="T1619" i="1"/>
  <c r="S1619" i="1"/>
  <c r="R1619" i="1"/>
  <c r="Q1619" i="1"/>
  <c r="P1619" i="1"/>
  <c r="M1619" i="1"/>
  <c r="K1619" i="1"/>
  <c r="E1619" i="1"/>
  <c r="D1619" i="1"/>
  <c r="C1619" i="1"/>
  <c r="A1619" i="1"/>
  <c r="T1618" i="1"/>
  <c r="S1618" i="1"/>
  <c r="R1618" i="1"/>
  <c r="Q1618" i="1"/>
  <c r="P1618" i="1"/>
  <c r="M1618" i="1"/>
  <c r="K1618" i="1"/>
  <c r="E1618" i="1"/>
  <c r="D1618" i="1"/>
  <c r="C1618" i="1"/>
  <c r="A1618" i="1"/>
  <c r="T1617" i="1"/>
  <c r="S1617" i="1"/>
  <c r="R1617" i="1"/>
  <c r="Q1617" i="1"/>
  <c r="P1617" i="1"/>
  <c r="M1617" i="1"/>
  <c r="K1617" i="1"/>
  <c r="E1617" i="1"/>
  <c r="D1617" i="1"/>
  <c r="C1617" i="1"/>
  <c r="A1617" i="1"/>
  <c r="T1616" i="1"/>
  <c r="S1616" i="1"/>
  <c r="R1616" i="1"/>
  <c r="K1616" i="1"/>
  <c r="E1616" i="1"/>
  <c r="D1616" i="1"/>
  <c r="C1616" i="1"/>
  <c r="A1616" i="1"/>
  <c r="T1615" i="1"/>
  <c r="S1615" i="1"/>
  <c r="R1615" i="1"/>
  <c r="K1615" i="1"/>
  <c r="E1615" i="1"/>
  <c r="D1615" i="1"/>
  <c r="C1615" i="1"/>
  <c r="A1615" i="1"/>
  <c r="T1614" i="1"/>
  <c r="S1614" i="1"/>
  <c r="R1614" i="1"/>
  <c r="K1614" i="1"/>
  <c r="E1614" i="1"/>
  <c r="D1614" i="1"/>
  <c r="C1614" i="1"/>
  <c r="A1614" i="1"/>
  <c r="T1613" i="1"/>
  <c r="S1613" i="1"/>
  <c r="R1613" i="1"/>
  <c r="K1613" i="1"/>
  <c r="E1613" i="1"/>
  <c r="D1613" i="1"/>
  <c r="C1613" i="1"/>
  <c r="A1613" i="1"/>
  <c r="T1612" i="1"/>
  <c r="S1612" i="1"/>
  <c r="R1612" i="1"/>
  <c r="K1612" i="1"/>
  <c r="E1612" i="1"/>
  <c r="D1612" i="1"/>
  <c r="C1612" i="1"/>
  <c r="A1612" i="1"/>
  <c r="T1611" i="1"/>
  <c r="S1611" i="1"/>
  <c r="R1611" i="1"/>
  <c r="K1611" i="1"/>
  <c r="E1611" i="1"/>
  <c r="D1611" i="1"/>
  <c r="C1611" i="1"/>
  <c r="A1611" i="1"/>
  <c r="T1610" i="1"/>
  <c r="S1610" i="1"/>
  <c r="R1610" i="1"/>
  <c r="K1610" i="1"/>
  <c r="E1610" i="1"/>
  <c r="D1610" i="1"/>
  <c r="C1610" i="1"/>
  <c r="A1610" i="1"/>
  <c r="T1609" i="1"/>
  <c r="S1609" i="1"/>
  <c r="R1609" i="1"/>
  <c r="K1609" i="1"/>
  <c r="E1609" i="1"/>
  <c r="D1609" i="1"/>
  <c r="C1609" i="1"/>
  <c r="A1609" i="1"/>
  <c r="T1608" i="1"/>
  <c r="S1608" i="1"/>
  <c r="R1608" i="1"/>
  <c r="K1608" i="1"/>
  <c r="E1608" i="1"/>
  <c r="D1608" i="1"/>
  <c r="C1608" i="1"/>
  <c r="A1608" i="1"/>
  <c r="T1607" i="1"/>
  <c r="S1607" i="1"/>
  <c r="R1607" i="1"/>
  <c r="K1607" i="1"/>
  <c r="E1607" i="1"/>
  <c r="D1607" i="1"/>
  <c r="C1607" i="1"/>
  <c r="A1607" i="1"/>
  <c r="T1606" i="1"/>
  <c r="S1606" i="1"/>
  <c r="R1606" i="1"/>
  <c r="K1606" i="1"/>
  <c r="E1606" i="1"/>
  <c r="D1606" i="1"/>
  <c r="C1606" i="1"/>
  <c r="A1606" i="1"/>
  <c r="T1605" i="1"/>
  <c r="S1605" i="1"/>
  <c r="R1605" i="1"/>
  <c r="K1605" i="1"/>
  <c r="E1605" i="1"/>
  <c r="D1605" i="1"/>
  <c r="C1605" i="1"/>
  <c r="A1605" i="1"/>
  <c r="T1604" i="1"/>
  <c r="S1604" i="1"/>
  <c r="R1604" i="1"/>
  <c r="K1604" i="1"/>
  <c r="E1604" i="1"/>
  <c r="D1604" i="1"/>
  <c r="C1604" i="1"/>
  <c r="A1604" i="1"/>
  <c r="T1603" i="1"/>
  <c r="S1603" i="1"/>
  <c r="R1603" i="1"/>
  <c r="K1603" i="1"/>
  <c r="E1603" i="1"/>
  <c r="D1603" i="1"/>
  <c r="C1603" i="1"/>
  <c r="A1603" i="1"/>
  <c r="T1602" i="1"/>
  <c r="S1602" i="1"/>
  <c r="R1602" i="1"/>
  <c r="K1602" i="1"/>
  <c r="E1602" i="1"/>
  <c r="D1602" i="1"/>
  <c r="C1602" i="1"/>
  <c r="A1602" i="1"/>
  <c r="T1601" i="1"/>
  <c r="S1601" i="1"/>
  <c r="R1601" i="1"/>
  <c r="K1601" i="1"/>
  <c r="E1601" i="1"/>
  <c r="D1601" i="1"/>
  <c r="C1601" i="1"/>
  <c r="A1601" i="1"/>
  <c r="T1600" i="1"/>
  <c r="S1600" i="1"/>
  <c r="R1600" i="1"/>
  <c r="K1600" i="1"/>
  <c r="E1600" i="1"/>
  <c r="D1600" i="1"/>
  <c r="C1600" i="1"/>
  <c r="A1600" i="1"/>
  <c r="T1599" i="1"/>
  <c r="S1599" i="1"/>
  <c r="R1599" i="1"/>
  <c r="K1599" i="1"/>
  <c r="E1599" i="1"/>
  <c r="D1599" i="1"/>
  <c r="C1599" i="1"/>
  <c r="A1599" i="1"/>
  <c r="T1598" i="1"/>
  <c r="S1598" i="1"/>
  <c r="R1598" i="1"/>
  <c r="K1598" i="1"/>
  <c r="E1598" i="1"/>
  <c r="D1598" i="1"/>
  <c r="C1598" i="1"/>
  <c r="A1598" i="1"/>
  <c r="T1597" i="1"/>
  <c r="S1597" i="1"/>
  <c r="R1597" i="1"/>
  <c r="K1597" i="1"/>
  <c r="E1597" i="1"/>
  <c r="D1597" i="1"/>
  <c r="C1597" i="1"/>
  <c r="A1597" i="1"/>
  <c r="T1596" i="1"/>
  <c r="S1596" i="1"/>
  <c r="R1596" i="1"/>
  <c r="K1596" i="1"/>
  <c r="E1596" i="1"/>
  <c r="D1596" i="1"/>
  <c r="C1596" i="1"/>
  <c r="A1596" i="1"/>
  <c r="T1595" i="1"/>
  <c r="S1595" i="1"/>
  <c r="R1595" i="1"/>
  <c r="K1595" i="1"/>
  <c r="E1595" i="1"/>
  <c r="D1595" i="1"/>
  <c r="C1595" i="1"/>
  <c r="A1595" i="1"/>
  <c r="T1594" i="1"/>
  <c r="S1594" i="1"/>
  <c r="R1594" i="1"/>
  <c r="K1594" i="1"/>
  <c r="E1594" i="1"/>
  <c r="D1594" i="1"/>
  <c r="C1594" i="1"/>
  <c r="A1594" i="1"/>
  <c r="T1593" i="1"/>
  <c r="S1593" i="1"/>
  <c r="R1593" i="1"/>
  <c r="P1593" i="1"/>
  <c r="M1593" i="1"/>
  <c r="K1593" i="1"/>
  <c r="I1593" i="1"/>
  <c r="E1593" i="1"/>
  <c r="D1593" i="1"/>
  <c r="C1593" i="1"/>
  <c r="A1593" i="1"/>
  <c r="T1592" i="1"/>
  <c r="S1592" i="1"/>
  <c r="R1592" i="1"/>
  <c r="M1592" i="1"/>
  <c r="K1592" i="1"/>
  <c r="E1592" i="1"/>
  <c r="D1592" i="1"/>
  <c r="C1592" i="1"/>
  <c r="A1592" i="1"/>
  <c r="T1591" i="1"/>
  <c r="S1591" i="1"/>
  <c r="R1591" i="1"/>
  <c r="M1591" i="1"/>
  <c r="K1591" i="1"/>
  <c r="E1591" i="1"/>
  <c r="D1591" i="1"/>
  <c r="C1591" i="1"/>
  <c r="A1591" i="1"/>
  <c r="T1590" i="1"/>
  <c r="S1590" i="1"/>
  <c r="R1590" i="1"/>
  <c r="M1590" i="1"/>
  <c r="K1590" i="1"/>
  <c r="E1590" i="1"/>
  <c r="D1590" i="1"/>
  <c r="C1590" i="1"/>
  <c r="A1590" i="1"/>
  <c r="T1589" i="1"/>
  <c r="S1589" i="1"/>
  <c r="R1589" i="1"/>
  <c r="M1589" i="1"/>
  <c r="K1589" i="1"/>
  <c r="E1589" i="1"/>
  <c r="D1589" i="1"/>
  <c r="C1589" i="1"/>
  <c r="A1589" i="1"/>
  <c r="T1588" i="1"/>
  <c r="S1588" i="1"/>
  <c r="R1588" i="1"/>
  <c r="M1588" i="1"/>
  <c r="K1588" i="1"/>
  <c r="E1588" i="1"/>
  <c r="D1588" i="1"/>
  <c r="C1588" i="1"/>
  <c r="A1588" i="1"/>
  <c r="T1587" i="1"/>
  <c r="S1587" i="1"/>
  <c r="R1587" i="1"/>
  <c r="M1587" i="1"/>
  <c r="K1587" i="1"/>
  <c r="E1587" i="1"/>
  <c r="D1587" i="1"/>
  <c r="C1587" i="1"/>
  <c r="A1587" i="1"/>
  <c r="T1586" i="1"/>
  <c r="S1586" i="1"/>
  <c r="R1586" i="1"/>
  <c r="M1586" i="1"/>
  <c r="K1586" i="1"/>
  <c r="E1586" i="1"/>
  <c r="D1586" i="1"/>
  <c r="C1586" i="1"/>
  <c r="A1586" i="1"/>
  <c r="T1585" i="1"/>
  <c r="S1585" i="1"/>
  <c r="R1585" i="1"/>
  <c r="M1585" i="1"/>
  <c r="K1585" i="1"/>
  <c r="E1585" i="1"/>
  <c r="D1585" i="1"/>
  <c r="C1585" i="1"/>
  <c r="A1585" i="1"/>
  <c r="T1584" i="1"/>
  <c r="S1584" i="1"/>
  <c r="R1584" i="1"/>
  <c r="M1584" i="1"/>
  <c r="K1584" i="1"/>
  <c r="E1584" i="1"/>
  <c r="D1584" i="1"/>
  <c r="C1584" i="1"/>
  <c r="A1584" i="1"/>
  <c r="T1583" i="1"/>
  <c r="S1583" i="1"/>
  <c r="R1583" i="1"/>
  <c r="M1583" i="1"/>
  <c r="K1583" i="1"/>
  <c r="E1583" i="1"/>
  <c r="D1583" i="1"/>
  <c r="C1583" i="1"/>
  <c r="A1583" i="1"/>
  <c r="T1582" i="1"/>
  <c r="S1582" i="1"/>
  <c r="R1582" i="1"/>
  <c r="M1582" i="1"/>
  <c r="K1582" i="1"/>
  <c r="E1582" i="1"/>
  <c r="D1582" i="1"/>
  <c r="C1582" i="1"/>
  <c r="A1582" i="1"/>
  <c r="T1581" i="1"/>
  <c r="S1581" i="1"/>
  <c r="R1581" i="1"/>
  <c r="Q1581" i="1"/>
  <c r="P1581" i="1"/>
  <c r="M1581" i="1"/>
  <c r="K1581" i="1"/>
  <c r="E1581" i="1"/>
  <c r="D1581" i="1"/>
  <c r="C1581" i="1"/>
  <c r="B1581" i="1"/>
  <c r="A1581" i="1"/>
  <c r="T1580" i="1"/>
  <c r="S1580" i="1"/>
  <c r="R1580" i="1"/>
  <c r="Q1580" i="1"/>
  <c r="P1580" i="1"/>
  <c r="M1580" i="1"/>
  <c r="K1580" i="1"/>
  <c r="E1580" i="1"/>
  <c r="D1580" i="1"/>
  <c r="C1580" i="1"/>
  <c r="B1580" i="1"/>
  <c r="A1580" i="1"/>
  <c r="T1579" i="1"/>
  <c r="S1579" i="1"/>
  <c r="R1579" i="1"/>
  <c r="Q1579" i="1"/>
  <c r="P1579" i="1"/>
  <c r="M1579" i="1"/>
  <c r="K1579" i="1"/>
  <c r="E1579" i="1"/>
  <c r="D1579" i="1"/>
  <c r="C1579" i="1"/>
  <c r="B1579" i="1"/>
  <c r="A1579" i="1"/>
  <c r="T1578" i="1"/>
  <c r="S1578" i="1"/>
  <c r="R1578" i="1"/>
  <c r="Q1578" i="1"/>
  <c r="P1578" i="1"/>
  <c r="M1578" i="1"/>
  <c r="K1578" i="1"/>
  <c r="E1578" i="1"/>
  <c r="D1578" i="1"/>
  <c r="C1578" i="1"/>
  <c r="B1578" i="1"/>
  <c r="A1578" i="1"/>
  <c r="T1577" i="1"/>
  <c r="S1577" i="1"/>
  <c r="R1577" i="1"/>
  <c r="Q1577" i="1"/>
  <c r="P1577" i="1"/>
  <c r="M1577" i="1"/>
  <c r="K1577" i="1"/>
  <c r="E1577" i="1"/>
  <c r="D1577" i="1"/>
  <c r="C1577" i="1"/>
  <c r="B1577" i="1"/>
  <c r="A1577" i="1"/>
  <c r="T1576" i="1"/>
  <c r="S1576" i="1"/>
  <c r="R1576" i="1"/>
  <c r="Q1576" i="1"/>
  <c r="P1576" i="1"/>
  <c r="M1576" i="1"/>
  <c r="K1576" i="1"/>
  <c r="E1576" i="1"/>
  <c r="D1576" i="1"/>
  <c r="C1576" i="1"/>
  <c r="B1576" i="1"/>
  <c r="A1576" i="1"/>
  <c r="T1575" i="1"/>
  <c r="S1575" i="1"/>
  <c r="R1575" i="1"/>
  <c r="Q1575" i="1"/>
  <c r="P1575" i="1"/>
  <c r="M1575" i="1"/>
  <c r="K1575" i="1"/>
  <c r="E1575" i="1"/>
  <c r="D1575" i="1"/>
  <c r="C1575" i="1"/>
  <c r="A1575" i="1"/>
  <c r="T1574" i="1"/>
  <c r="S1574" i="1"/>
  <c r="R1574" i="1"/>
  <c r="M1574" i="1"/>
  <c r="K1574" i="1"/>
  <c r="E1574" i="1"/>
  <c r="D1574" i="1"/>
  <c r="C1574" i="1"/>
  <c r="A1574" i="1"/>
  <c r="T1573" i="1"/>
  <c r="S1573" i="1"/>
  <c r="R1573" i="1"/>
  <c r="M1573" i="1"/>
  <c r="K1573" i="1"/>
  <c r="E1573" i="1"/>
  <c r="D1573" i="1"/>
  <c r="C1573" i="1"/>
  <c r="A1573" i="1"/>
  <c r="T1572" i="1"/>
  <c r="S1572" i="1"/>
  <c r="R1572" i="1"/>
  <c r="M1572" i="1"/>
  <c r="K1572" i="1"/>
  <c r="E1572" i="1"/>
  <c r="D1572" i="1"/>
  <c r="C1572" i="1"/>
  <c r="A1572" i="1"/>
  <c r="T1571" i="1"/>
  <c r="S1571" i="1"/>
  <c r="R1571" i="1"/>
  <c r="M1571" i="1"/>
  <c r="K1571" i="1"/>
  <c r="E1571" i="1"/>
  <c r="D1571" i="1"/>
  <c r="C1571" i="1"/>
  <c r="A1571" i="1"/>
  <c r="T1570" i="1"/>
  <c r="S1570" i="1"/>
  <c r="R1570" i="1"/>
  <c r="M1570" i="1"/>
  <c r="K1570" i="1"/>
  <c r="E1570" i="1"/>
  <c r="D1570" i="1"/>
  <c r="C1570" i="1"/>
  <c r="A1570" i="1"/>
  <c r="T1569" i="1"/>
  <c r="S1569" i="1"/>
  <c r="R1569" i="1"/>
  <c r="M1569" i="1"/>
  <c r="K1569" i="1"/>
  <c r="E1569" i="1"/>
  <c r="D1569" i="1"/>
  <c r="C1569" i="1"/>
  <c r="A1569" i="1"/>
  <c r="T1568" i="1"/>
  <c r="S1568" i="1"/>
  <c r="R1568" i="1"/>
  <c r="Q1568" i="1"/>
  <c r="P1568" i="1"/>
  <c r="M1568" i="1"/>
  <c r="K1568" i="1"/>
  <c r="E1568" i="1"/>
  <c r="D1568" i="1"/>
  <c r="C1568" i="1"/>
  <c r="A1568" i="1"/>
  <c r="T1567" i="1"/>
  <c r="S1567" i="1"/>
  <c r="R1567" i="1"/>
  <c r="Q1567" i="1"/>
  <c r="P1567" i="1"/>
  <c r="M1567" i="1"/>
  <c r="K1567" i="1"/>
  <c r="E1567" i="1"/>
  <c r="D1567" i="1"/>
  <c r="C1567" i="1"/>
  <c r="A1567" i="1"/>
  <c r="T1566" i="1"/>
  <c r="S1566" i="1"/>
  <c r="R1566" i="1"/>
  <c r="Q1566" i="1"/>
  <c r="P1566" i="1"/>
  <c r="M1566" i="1"/>
  <c r="K1566" i="1"/>
  <c r="E1566" i="1"/>
  <c r="D1566" i="1"/>
  <c r="C1566" i="1"/>
  <c r="A1566" i="1"/>
  <c r="T1565" i="1"/>
  <c r="S1565" i="1"/>
  <c r="R1565" i="1"/>
  <c r="Q1565" i="1"/>
  <c r="P1565" i="1"/>
  <c r="M1565" i="1"/>
  <c r="K1565" i="1"/>
  <c r="E1565" i="1"/>
  <c r="D1565" i="1"/>
  <c r="C1565" i="1"/>
  <c r="A1565" i="1"/>
  <c r="T1564" i="1"/>
  <c r="S1564" i="1"/>
  <c r="R1564" i="1"/>
  <c r="Q1564" i="1"/>
  <c r="P1564" i="1"/>
  <c r="M1564" i="1"/>
  <c r="K1564" i="1"/>
  <c r="E1564" i="1"/>
  <c r="D1564" i="1"/>
  <c r="C1564" i="1"/>
  <c r="A1564" i="1"/>
  <c r="T1563" i="1"/>
  <c r="S1563" i="1"/>
  <c r="R1563" i="1"/>
  <c r="Q1563" i="1"/>
  <c r="P1563" i="1"/>
  <c r="M1563" i="1"/>
  <c r="K1563" i="1"/>
  <c r="E1563" i="1"/>
  <c r="D1563" i="1"/>
  <c r="C1563" i="1"/>
  <c r="A1563" i="1"/>
  <c r="T1562" i="1"/>
  <c r="S1562" i="1"/>
  <c r="R1562" i="1"/>
  <c r="Q1562" i="1"/>
  <c r="P1562" i="1"/>
  <c r="M1562" i="1"/>
  <c r="K1562" i="1"/>
  <c r="E1562" i="1"/>
  <c r="D1562" i="1"/>
  <c r="C1562" i="1"/>
  <c r="A1562" i="1"/>
  <c r="T1561" i="1"/>
  <c r="S1561" i="1"/>
  <c r="R1561" i="1"/>
  <c r="Q1561" i="1"/>
  <c r="P1561" i="1"/>
  <c r="M1561" i="1"/>
  <c r="K1561" i="1"/>
  <c r="E1561" i="1"/>
  <c r="D1561" i="1"/>
  <c r="C1561" i="1"/>
  <c r="A1561" i="1"/>
  <c r="T1560" i="1"/>
  <c r="S1560" i="1"/>
  <c r="R1560" i="1"/>
  <c r="Q1560" i="1"/>
  <c r="P1560" i="1"/>
  <c r="M1560" i="1"/>
  <c r="K1560" i="1"/>
  <c r="E1560" i="1"/>
  <c r="D1560" i="1"/>
  <c r="C1560" i="1"/>
  <c r="A1560" i="1"/>
  <c r="T1559" i="1"/>
  <c r="S1559" i="1"/>
  <c r="R1559" i="1"/>
  <c r="Q1559" i="1"/>
  <c r="P1559" i="1"/>
  <c r="M1559" i="1"/>
  <c r="K1559" i="1"/>
  <c r="E1559" i="1"/>
  <c r="D1559" i="1"/>
  <c r="C1559" i="1"/>
  <c r="A1559" i="1"/>
  <c r="T1558" i="1"/>
  <c r="S1558" i="1"/>
  <c r="R1558" i="1"/>
  <c r="K1558" i="1"/>
  <c r="E1558" i="1"/>
  <c r="D1558" i="1"/>
  <c r="C1558" i="1"/>
  <c r="A1558" i="1"/>
  <c r="T1557" i="1"/>
  <c r="S1557" i="1"/>
  <c r="R1557" i="1"/>
  <c r="K1557" i="1"/>
  <c r="E1557" i="1"/>
  <c r="D1557" i="1"/>
  <c r="C1557" i="1"/>
  <c r="A1557" i="1"/>
  <c r="T1556" i="1"/>
  <c r="S1556" i="1"/>
  <c r="R1556" i="1"/>
  <c r="K1556" i="1"/>
  <c r="E1556" i="1"/>
  <c r="D1556" i="1"/>
  <c r="C1556" i="1"/>
  <c r="A1556" i="1"/>
  <c r="T1555" i="1"/>
  <c r="S1555" i="1"/>
  <c r="R1555" i="1"/>
  <c r="K1555" i="1"/>
  <c r="E1555" i="1"/>
  <c r="D1555" i="1"/>
  <c r="C1555" i="1"/>
  <c r="A1555" i="1"/>
  <c r="T1554" i="1"/>
  <c r="S1554" i="1"/>
  <c r="R1554" i="1"/>
  <c r="K1554" i="1"/>
  <c r="E1554" i="1"/>
  <c r="D1554" i="1"/>
  <c r="C1554" i="1"/>
  <c r="A1554" i="1"/>
  <c r="T1553" i="1"/>
  <c r="S1553" i="1"/>
  <c r="R1553" i="1"/>
  <c r="K1553" i="1"/>
  <c r="E1553" i="1"/>
  <c r="D1553" i="1"/>
  <c r="C1553" i="1"/>
  <c r="A1553" i="1"/>
  <c r="T1552" i="1"/>
  <c r="S1552" i="1"/>
  <c r="R1552" i="1"/>
  <c r="K1552" i="1"/>
  <c r="E1552" i="1"/>
  <c r="D1552" i="1"/>
  <c r="C1552" i="1"/>
  <c r="A1552" i="1"/>
  <c r="T1551" i="1"/>
  <c r="S1551" i="1"/>
  <c r="R1551" i="1"/>
  <c r="K1551" i="1"/>
  <c r="E1551" i="1"/>
  <c r="D1551" i="1"/>
  <c r="C1551" i="1"/>
  <c r="A1551" i="1"/>
  <c r="T1550" i="1"/>
  <c r="S1550" i="1"/>
  <c r="R1550" i="1"/>
  <c r="K1550" i="1"/>
  <c r="E1550" i="1"/>
  <c r="D1550" i="1"/>
  <c r="C1550" i="1"/>
  <c r="A1550" i="1"/>
  <c r="T1549" i="1"/>
  <c r="S1549" i="1"/>
  <c r="R1549" i="1"/>
  <c r="K1549" i="1"/>
  <c r="E1549" i="1"/>
  <c r="D1549" i="1"/>
  <c r="C1549" i="1"/>
  <c r="A1549" i="1"/>
  <c r="T1548" i="1"/>
  <c r="S1548" i="1"/>
  <c r="R1548" i="1"/>
  <c r="K1548" i="1"/>
  <c r="E1548" i="1"/>
  <c r="D1548" i="1"/>
  <c r="C1548" i="1"/>
  <c r="A1548" i="1"/>
  <c r="T1547" i="1"/>
  <c r="S1547" i="1"/>
  <c r="R1547" i="1"/>
  <c r="K1547" i="1"/>
  <c r="E1547" i="1"/>
  <c r="D1547" i="1"/>
  <c r="C1547" i="1"/>
  <c r="A1547" i="1"/>
  <c r="T1546" i="1"/>
  <c r="S1546" i="1"/>
  <c r="R1546" i="1"/>
  <c r="K1546" i="1"/>
  <c r="E1546" i="1"/>
  <c r="D1546" i="1"/>
  <c r="C1546" i="1"/>
  <c r="A1546" i="1"/>
  <c r="T1545" i="1"/>
  <c r="S1545" i="1"/>
  <c r="R1545" i="1"/>
  <c r="K1545" i="1"/>
  <c r="E1545" i="1"/>
  <c r="D1545" i="1"/>
  <c r="C1545" i="1"/>
  <c r="A1545" i="1"/>
  <c r="T1544" i="1"/>
  <c r="S1544" i="1"/>
  <c r="R1544" i="1"/>
  <c r="K1544" i="1"/>
  <c r="E1544" i="1"/>
  <c r="D1544" i="1"/>
  <c r="C1544" i="1"/>
  <c r="A1544" i="1"/>
  <c r="T1543" i="1"/>
  <c r="S1543" i="1"/>
  <c r="R1543" i="1"/>
  <c r="K1543" i="1"/>
  <c r="E1543" i="1"/>
  <c r="D1543" i="1"/>
  <c r="C1543" i="1"/>
  <c r="A1543" i="1"/>
  <c r="T1542" i="1"/>
  <c r="S1542" i="1"/>
  <c r="R1542" i="1"/>
  <c r="K1542" i="1"/>
  <c r="E1542" i="1"/>
  <c r="D1542" i="1"/>
  <c r="C1542" i="1"/>
  <c r="A1542" i="1"/>
  <c r="T1541" i="1"/>
  <c r="S1541" i="1"/>
  <c r="R1541" i="1"/>
  <c r="K1541" i="1"/>
  <c r="E1541" i="1"/>
  <c r="D1541" i="1"/>
  <c r="C1541" i="1"/>
  <c r="A1541" i="1"/>
  <c r="T1540" i="1"/>
  <c r="S1540" i="1"/>
  <c r="R1540" i="1"/>
  <c r="M1540" i="1"/>
  <c r="K1540" i="1"/>
  <c r="E1540" i="1"/>
  <c r="D1540" i="1"/>
  <c r="C1540" i="1"/>
  <c r="A1540" i="1"/>
  <c r="T1539" i="1"/>
  <c r="S1539" i="1"/>
  <c r="R1539" i="1"/>
  <c r="M1539" i="1"/>
  <c r="K1539" i="1"/>
  <c r="E1539" i="1"/>
  <c r="D1539" i="1"/>
  <c r="C1539" i="1"/>
  <c r="A1539" i="1"/>
  <c r="T1538" i="1"/>
  <c r="S1538" i="1"/>
  <c r="R1538" i="1"/>
  <c r="M1538" i="1"/>
  <c r="K1538" i="1"/>
  <c r="E1538" i="1"/>
  <c r="D1538" i="1"/>
  <c r="C1538" i="1"/>
  <c r="A1538" i="1"/>
  <c r="T1537" i="1"/>
  <c r="S1537" i="1"/>
  <c r="R1537" i="1"/>
  <c r="M1537" i="1"/>
  <c r="K1537" i="1"/>
  <c r="E1537" i="1"/>
  <c r="D1537" i="1"/>
  <c r="C1537" i="1"/>
  <c r="A1537" i="1"/>
  <c r="T1536" i="1"/>
  <c r="S1536" i="1"/>
  <c r="R1536" i="1"/>
  <c r="M1536" i="1"/>
  <c r="K1536" i="1"/>
  <c r="E1536" i="1"/>
  <c r="D1536" i="1"/>
  <c r="C1536" i="1"/>
  <c r="A1536" i="1"/>
  <c r="T1535" i="1"/>
  <c r="S1535" i="1"/>
  <c r="R1535" i="1"/>
  <c r="M1535" i="1"/>
  <c r="K1535" i="1"/>
  <c r="E1535" i="1"/>
  <c r="D1535" i="1"/>
  <c r="C1535" i="1"/>
  <c r="A1535" i="1"/>
  <c r="T1534" i="1"/>
  <c r="S1534" i="1"/>
  <c r="R1534" i="1"/>
  <c r="M1534" i="1"/>
  <c r="K1534" i="1"/>
  <c r="E1534" i="1"/>
  <c r="D1534" i="1"/>
  <c r="C1534" i="1"/>
  <c r="A1534" i="1"/>
  <c r="T1533" i="1"/>
  <c r="S1533" i="1"/>
  <c r="R1533" i="1"/>
  <c r="M1533" i="1"/>
  <c r="K1533" i="1"/>
  <c r="E1533" i="1"/>
  <c r="D1533" i="1"/>
  <c r="C1533" i="1"/>
  <c r="A1533" i="1"/>
  <c r="T1532" i="1"/>
  <c r="S1532" i="1"/>
  <c r="R1532" i="1"/>
  <c r="M1532" i="1"/>
  <c r="K1532" i="1"/>
  <c r="E1532" i="1"/>
  <c r="D1532" i="1"/>
  <c r="C1532" i="1"/>
  <c r="A1532" i="1"/>
  <c r="T1531" i="1"/>
  <c r="S1531" i="1"/>
  <c r="R1531" i="1"/>
  <c r="M1531" i="1"/>
  <c r="K1531" i="1"/>
  <c r="E1531" i="1"/>
  <c r="D1531" i="1"/>
  <c r="C1531" i="1"/>
  <c r="A1531" i="1"/>
  <c r="T1530" i="1"/>
  <c r="S1530" i="1"/>
  <c r="R1530" i="1"/>
  <c r="M1530" i="1"/>
  <c r="K1530" i="1"/>
  <c r="E1530" i="1"/>
  <c r="D1530" i="1"/>
  <c r="C1530" i="1"/>
  <c r="A1530" i="1"/>
  <c r="T1529" i="1"/>
  <c r="S1529" i="1"/>
  <c r="R1529" i="1"/>
  <c r="M1529" i="1"/>
  <c r="K1529" i="1"/>
  <c r="E1529" i="1"/>
  <c r="D1529" i="1"/>
  <c r="C1529" i="1"/>
  <c r="A1529" i="1"/>
  <c r="T1528" i="1"/>
  <c r="S1528" i="1"/>
  <c r="R1528" i="1"/>
  <c r="M1528" i="1"/>
  <c r="K1528" i="1"/>
  <c r="E1528" i="1"/>
  <c r="D1528" i="1"/>
  <c r="C1528" i="1"/>
  <c r="A1528" i="1"/>
  <c r="T1527" i="1"/>
  <c r="S1527" i="1"/>
  <c r="R1527" i="1"/>
  <c r="M1527" i="1"/>
  <c r="K1527" i="1"/>
  <c r="E1527" i="1"/>
  <c r="D1527" i="1"/>
  <c r="C1527" i="1"/>
  <c r="A1527" i="1"/>
  <c r="T1526" i="1"/>
  <c r="S1526" i="1"/>
  <c r="R1526" i="1"/>
  <c r="M1526" i="1"/>
  <c r="K1526" i="1"/>
  <c r="E1526" i="1"/>
  <c r="D1526" i="1"/>
  <c r="C1526" i="1"/>
  <c r="A1526" i="1"/>
  <c r="T1525" i="1"/>
  <c r="S1525" i="1"/>
  <c r="R1525" i="1"/>
  <c r="M1525" i="1"/>
  <c r="K1525" i="1"/>
  <c r="E1525" i="1"/>
  <c r="D1525" i="1"/>
  <c r="C1525" i="1"/>
  <c r="A1525" i="1"/>
  <c r="T1524" i="1"/>
  <c r="S1524" i="1"/>
  <c r="R1524" i="1"/>
  <c r="Q1524" i="1"/>
  <c r="P1524" i="1"/>
  <c r="M1524" i="1"/>
  <c r="K1524" i="1"/>
  <c r="E1524" i="1"/>
  <c r="D1524" i="1"/>
  <c r="C1524" i="1"/>
  <c r="B1524" i="1"/>
  <c r="A1524" i="1"/>
  <c r="T1523" i="1"/>
  <c r="S1523" i="1"/>
  <c r="R1523" i="1"/>
  <c r="Q1523" i="1"/>
  <c r="P1523" i="1"/>
  <c r="M1523" i="1"/>
  <c r="K1523" i="1"/>
  <c r="E1523" i="1"/>
  <c r="D1523" i="1"/>
  <c r="C1523" i="1"/>
  <c r="B1523" i="1"/>
  <c r="A1523" i="1"/>
  <c r="T1522" i="1"/>
  <c r="S1522" i="1"/>
  <c r="R1522" i="1"/>
  <c r="Q1522" i="1"/>
  <c r="P1522" i="1"/>
  <c r="M1522" i="1"/>
  <c r="K1522" i="1"/>
  <c r="E1522" i="1"/>
  <c r="D1522" i="1"/>
  <c r="C1522" i="1"/>
  <c r="B1522" i="1"/>
  <c r="A1522" i="1"/>
  <c r="T1521" i="1"/>
  <c r="S1521" i="1"/>
  <c r="R1521" i="1"/>
  <c r="Q1521" i="1"/>
  <c r="P1521" i="1"/>
  <c r="M1521" i="1"/>
  <c r="K1521" i="1"/>
  <c r="E1521" i="1"/>
  <c r="D1521" i="1"/>
  <c r="C1521" i="1"/>
  <c r="B1521" i="1"/>
  <c r="A1521" i="1"/>
  <c r="T1520" i="1"/>
  <c r="S1520" i="1"/>
  <c r="R1520" i="1"/>
  <c r="Q1520" i="1"/>
  <c r="P1520" i="1"/>
  <c r="M1520" i="1"/>
  <c r="K1520" i="1"/>
  <c r="E1520" i="1"/>
  <c r="D1520" i="1"/>
  <c r="C1520" i="1"/>
  <c r="B1520" i="1"/>
  <c r="A1520" i="1"/>
  <c r="T1519" i="1"/>
  <c r="S1519" i="1"/>
  <c r="R1519" i="1"/>
  <c r="Q1519" i="1"/>
  <c r="P1519" i="1"/>
  <c r="M1519" i="1"/>
  <c r="K1519" i="1"/>
  <c r="E1519" i="1"/>
  <c r="D1519" i="1"/>
  <c r="C1519" i="1"/>
  <c r="B1519" i="1"/>
  <c r="A1519" i="1"/>
  <c r="T1518" i="1"/>
  <c r="S1518" i="1"/>
  <c r="R1518" i="1"/>
  <c r="Q1518" i="1"/>
  <c r="P1518" i="1"/>
  <c r="M1518" i="1"/>
  <c r="K1518" i="1"/>
  <c r="E1518" i="1"/>
  <c r="D1518" i="1"/>
  <c r="C1518" i="1"/>
  <c r="B1518" i="1"/>
  <c r="A1518" i="1"/>
  <c r="T1517" i="1"/>
  <c r="S1517" i="1"/>
  <c r="R1517" i="1"/>
  <c r="Q1517" i="1"/>
  <c r="P1517" i="1"/>
  <c r="M1517" i="1"/>
  <c r="K1517" i="1"/>
  <c r="E1517" i="1"/>
  <c r="D1517" i="1"/>
  <c r="C1517" i="1"/>
  <c r="B1517" i="1"/>
  <c r="A1517" i="1"/>
  <c r="T1516" i="1"/>
  <c r="S1516" i="1"/>
  <c r="R1516" i="1"/>
  <c r="Q1516" i="1"/>
  <c r="P1516" i="1"/>
  <c r="M1516" i="1"/>
  <c r="K1516" i="1"/>
  <c r="E1516" i="1"/>
  <c r="D1516" i="1"/>
  <c r="C1516" i="1"/>
  <c r="B1516" i="1"/>
  <c r="A1516" i="1"/>
  <c r="T1515" i="1"/>
  <c r="S1515" i="1"/>
  <c r="R1515" i="1"/>
  <c r="Q1515" i="1"/>
  <c r="P1515" i="1"/>
  <c r="M1515" i="1"/>
  <c r="K1515" i="1"/>
  <c r="E1515" i="1"/>
  <c r="D1515" i="1"/>
  <c r="C1515" i="1"/>
  <c r="B1515" i="1"/>
  <c r="A1515" i="1"/>
  <c r="T1514" i="1"/>
  <c r="S1514" i="1"/>
  <c r="R1514" i="1"/>
  <c r="Q1514" i="1"/>
  <c r="P1514" i="1"/>
  <c r="M1514" i="1"/>
  <c r="K1514" i="1"/>
  <c r="E1514" i="1"/>
  <c r="D1514" i="1"/>
  <c r="C1514" i="1"/>
  <c r="B1514" i="1"/>
  <c r="A1514" i="1"/>
  <c r="T1513" i="1"/>
  <c r="S1513" i="1"/>
  <c r="R1513" i="1"/>
  <c r="Q1513" i="1"/>
  <c r="P1513" i="1"/>
  <c r="M1513" i="1"/>
  <c r="K1513" i="1"/>
  <c r="E1513" i="1"/>
  <c r="D1513" i="1"/>
  <c r="C1513" i="1"/>
  <c r="B1513" i="1"/>
  <c r="A1513" i="1"/>
  <c r="T1512" i="1"/>
  <c r="S1512" i="1"/>
  <c r="R1512" i="1"/>
  <c r="Q1512" i="1"/>
  <c r="P1512" i="1"/>
  <c r="M1512" i="1"/>
  <c r="K1512" i="1"/>
  <c r="E1512" i="1"/>
  <c r="D1512" i="1"/>
  <c r="C1512" i="1"/>
  <c r="B1512" i="1"/>
  <c r="A1512" i="1"/>
  <c r="T1511" i="1"/>
  <c r="S1511" i="1"/>
  <c r="R1511" i="1"/>
  <c r="Q1511" i="1"/>
  <c r="P1511" i="1"/>
  <c r="M1511" i="1"/>
  <c r="K1511" i="1"/>
  <c r="E1511" i="1"/>
  <c r="D1511" i="1"/>
  <c r="C1511" i="1"/>
  <c r="A1511" i="1"/>
  <c r="T1510" i="1"/>
  <c r="S1510" i="1"/>
  <c r="R1510" i="1"/>
  <c r="Q1510" i="1"/>
  <c r="P1510" i="1"/>
  <c r="M1510" i="1"/>
  <c r="K1510" i="1"/>
  <c r="E1510" i="1"/>
  <c r="D1510" i="1"/>
  <c r="C1510" i="1"/>
  <c r="A1510" i="1"/>
  <c r="T1509" i="1"/>
  <c r="S1509" i="1"/>
  <c r="R1509" i="1"/>
  <c r="Q1509" i="1"/>
  <c r="P1509" i="1"/>
  <c r="M1509" i="1"/>
  <c r="K1509" i="1"/>
  <c r="E1509" i="1"/>
  <c r="D1509" i="1"/>
  <c r="C1509" i="1"/>
  <c r="A1509" i="1"/>
  <c r="T1508" i="1"/>
  <c r="S1508" i="1"/>
  <c r="R1508" i="1"/>
  <c r="Q1508" i="1"/>
  <c r="P1508" i="1"/>
  <c r="M1508" i="1"/>
  <c r="K1508" i="1"/>
  <c r="E1508" i="1"/>
  <c r="D1508" i="1"/>
  <c r="C1508" i="1"/>
  <c r="A1508" i="1"/>
  <c r="T1507" i="1"/>
  <c r="S1507" i="1"/>
  <c r="R1507" i="1"/>
  <c r="Q1507" i="1"/>
  <c r="P1507" i="1"/>
  <c r="M1507" i="1"/>
  <c r="K1507" i="1"/>
  <c r="E1507" i="1"/>
  <c r="D1507" i="1"/>
  <c r="C1507" i="1"/>
  <c r="A1507" i="1"/>
  <c r="T1506" i="1"/>
  <c r="S1506" i="1"/>
  <c r="R1506" i="1"/>
  <c r="Q1506" i="1"/>
  <c r="P1506" i="1"/>
  <c r="M1506" i="1"/>
  <c r="K1506" i="1"/>
  <c r="E1506" i="1"/>
  <c r="D1506" i="1"/>
  <c r="C1506" i="1"/>
  <c r="A1506" i="1"/>
  <c r="T1505" i="1"/>
  <c r="S1505" i="1"/>
  <c r="R1505" i="1"/>
  <c r="Q1505" i="1"/>
  <c r="P1505" i="1"/>
  <c r="M1505" i="1"/>
  <c r="K1505" i="1"/>
  <c r="E1505" i="1"/>
  <c r="D1505" i="1"/>
  <c r="C1505" i="1"/>
  <c r="A1505" i="1"/>
  <c r="T1504" i="1"/>
  <c r="S1504" i="1"/>
  <c r="R1504" i="1"/>
  <c r="Q1504" i="1"/>
  <c r="P1504" i="1"/>
  <c r="M1504" i="1"/>
  <c r="K1504" i="1"/>
  <c r="E1504" i="1"/>
  <c r="D1504" i="1"/>
  <c r="C1504" i="1"/>
  <c r="A1504" i="1"/>
  <c r="T1503" i="1"/>
  <c r="S1503" i="1"/>
  <c r="R1503" i="1"/>
  <c r="Q1503" i="1"/>
  <c r="P1503" i="1"/>
  <c r="M1503" i="1"/>
  <c r="K1503" i="1"/>
  <c r="E1503" i="1"/>
  <c r="D1503" i="1"/>
  <c r="C1503" i="1"/>
  <c r="A1503" i="1"/>
  <c r="T1502" i="1"/>
  <c r="S1502" i="1"/>
  <c r="R1502" i="1"/>
  <c r="M1502" i="1"/>
  <c r="K1502" i="1"/>
  <c r="E1502" i="1"/>
  <c r="D1502" i="1"/>
  <c r="C1502" i="1"/>
  <c r="A1502" i="1"/>
  <c r="T1501" i="1"/>
  <c r="S1501" i="1"/>
  <c r="R1501" i="1"/>
  <c r="M1501" i="1"/>
  <c r="K1501" i="1"/>
  <c r="E1501" i="1"/>
  <c r="D1501" i="1"/>
  <c r="C1501" i="1"/>
  <c r="A1501" i="1"/>
  <c r="T1500" i="1"/>
  <c r="S1500" i="1"/>
  <c r="R1500" i="1"/>
  <c r="M1500" i="1"/>
  <c r="K1500" i="1"/>
  <c r="E1500" i="1"/>
  <c r="D1500" i="1"/>
  <c r="C1500" i="1"/>
  <c r="A1500" i="1"/>
  <c r="T1499" i="1"/>
  <c r="S1499" i="1"/>
  <c r="R1499" i="1"/>
  <c r="M1499" i="1"/>
  <c r="K1499" i="1"/>
  <c r="E1499" i="1"/>
  <c r="D1499" i="1"/>
  <c r="C1499" i="1"/>
  <c r="A1499" i="1"/>
  <c r="T1498" i="1"/>
  <c r="S1498" i="1"/>
  <c r="R1498" i="1"/>
  <c r="M1498" i="1"/>
  <c r="K1498" i="1"/>
  <c r="E1498" i="1"/>
  <c r="D1498" i="1"/>
  <c r="C1498" i="1"/>
  <c r="A1498" i="1"/>
  <c r="T1497" i="1"/>
  <c r="S1497" i="1"/>
  <c r="R1497" i="1"/>
  <c r="M1497" i="1"/>
  <c r="K1497" i="1"/>
  <c r="E1497" i="1"/>
  <c r="D1497" i="1"/>
  <c r="C1497" i="1"/>
  <c r="A1497" i="1"/>
  <c r="T1496" i="1"/>
  <c r="S1496" i="1"/>
  <c r="R1496" i="1"/>
  <c r="M1496" i="1"/>
  <c r="K1496" i="1"/>
  <c r="E1496" i="1"/>
  <c r="D1496" i="1"/>
  <c r="C1496" i="1"/>
  <c r="A1496" i="1"/>
  <c r="T1495" i="1"/>
  <c r="S1495" i="1"/>
  <c r="R1495" i="1"/>
  <c r="M1495" i="1"/>
  <c r="K1495" i="1"/>
  <c r="E1495" i="1"/>
  <c r="D1495" i="1"/>
  <c r="C1495" i="1"/>
  <c r="A1495" i="1"/>
  <c r="T1494" i="1"/>
  <c r="S1494" i="1"/>
  <c r="R1494" i="1"/>
  <c r="M1494" i="1"/>
  <c r="K1494" i="1"/>
  <c r="E1494" i="1"/>
  <c r="D1494" i="1"/>
  <c r="C1494" i="1"/>
  <c r="A1494" i="1"/>
  <c r="T1493" i="1"/>
  <c r="S1493" i="1"/>
  <c r="R1493" i="1"/>
  <c r="M1493" i="1"/>
  <c r="K1493" i="1"/>
  <c r="E1493" i="1"/>
  <c r="D1493" i="1"/>
  <c r="C1493" i="1"/>
  <c r="A1493" i="1"/>
  <c r="T1492" i="1"/>
  <c r="S1492" i="1"/>
  <c r="R1492" i="1"/>
  <c r="M1492" i="1"/>
  <c r="K1492" i="1"/>
  <c r="E1492" i="1"/>
  <c r="D1492" i="1"/>
  <c r="C1492" i="1"/>
  <c r="A1492" i="1"/>
  <c r="T1491" i="1"/>
  <c r="S1491" i="1"/>
  <c r="R1491" i="1"/>
  <c r="M1491" i="1"/>
  <c r="K1491" i="1"/>
  <c r="E1491" i="1"/>
  <c r="D1491" i="1"/>
  <c r="C1491" i="1"/>
  <c r="A1491" i="1"/>
  <c r="T1490" i="1"/>
  <c r="S1490" i="1"/>
  <c r="R1490" i="1"/>
  <c r="M1490" i="1"/>
  <c r="K1490" i="1"/>
  <c r="E1490" i="1"/>
  <c r="D1490" i="1"/>
  <c r="C1490" i="1"/>
  <c r="A1490" i="1"/>
  <c r="T1489" i="1"/>
  <c r="S1489" i="1"/>
  <c r="R1489" i="1"/>
  <c r="M1489" i="1"/>
  <c r="K1489" i="1"/>
  <c r="E1489" i="1"/>
  <c r="D1489" i="1"/>
  <c r="C1489" i="1"/>
  <c r="A1489" i="1"/>
  <c r="T1488" i="1"/>
  <c r="S1488" i="1"/>
  <c r="R1488" i="1"/>
  <c r="M1488" i="1"/>
  <c r="K1488" i="1"/>
  <c r="E1488" i="1"/>
  <c r="D1488" i="1"/>
  <c r="C1488" i="1"/>
  <c r="A1488" i="1"/>
  <c r="T1487" i="1"/>
  <c r="S1487" i="1"/>
  <c r="R1487" i="1"/>
  <c r="M1487" i="1"/>
  <c r="K1487" i="1"/>
  <c r="E1487" i="1"/>
  <c r="D1487" i="1"/>
  <c r="C1487" i="1"/>
  <c r="A1487" i="1"/>
  <c r="T1486" i="1"/>
  <c r="S1486" i="1"/>
  <c r="R1486" i="1"/>
  <c r="M1486" i="1"/>
  <c r="K1486" i="1"/>
  <c r="E1486" i="1"/>
  <c r="D1486" i="1"/>
  <c r="C1486" i="1"/>
  <c r="A1486" i="1"/>
  <c r="T1485" i="1"/>
  <c r="S1485" i="1"/>
  <c r="R1485" i="1"/>
  <c r="M1485" i="1"/>
  <c r="K1485" i="1"/>
  <c r="E1485" i="1"/>
  <c r="D1485" i="1"/>
  <c r="C1485" i="1"/>
  <c r="A1485" i="1"/>
  <c r="T1484" i="1"/>
  <c r="S1484" i="1"/>
  <c r="R1484" i="1"/>
  <c r="M1484" i="1"/>
  <c r="K1484" i="1"/>
  <c r="E1484" i="1"/>
  <c r="D1484" i="1"/>
  <c r="C1484" i="1"/>
  <c r="A1484" i="1"/>
  <c r="T1483" i="1"/>
  <c r="S1483" i="1"/>
  <c r="R1483" i="1"/>
  <c r="M1483" i="1"/>
  <c r="K1483" i="1"/>
  <c r="E1483" i="1"/>
  <c r="D1483" i="1"/>
  <c r="C1483" i="1"/>
  <c r="A1483" i="1"/>
  <c r="T1482" i="1"/>
  <c r="S1482" i="1"/>
  <c r="R1482" i="1"/>
  <c r="Q1482" i="1"/>
  <c r="P1482" i="1"/>
  <c r="M1482" i="1"/>
  <c r="K1482" i="1"/>
  <c r="E1482" i="1"/>
  <c r="D1482" i="1"/>
  <c r="C1482" i="1"/>
  <c r="B1482" i="1"/>
  <c r="A1482" i="1"/>
  <c r="T1481" i="1"/>
  <c r="S1481" i="1"/>
  <c r="R1481" i="1"/>
  <c r="Q1481" i="1"/>
  <c r="P1481" i="1"/>
  <c r="M1481" i="1"/>
  <c r="K1481" i="1"/>
  <c r="E1481" i="1"/>
  <c r="D1481" i="1"/>
  <c r="C1481" i="1"/>
  <c r="B1481" i="1"/>
  <c r="A1481" i="1"/>
  <c r="T1480" i="1"/>
  <c r="S1480" i="1"/>
  <c r="R1480" i="1"/>
  <c r="Q1480" i="1"/>
  <c r="P1480" i="1"/>
  <c r="M1480" i="1"/>
  <c r="K1480" i="1"/>
  <c r="E1480" i="1"/>
  <c r="D1480" i="1"/>
  <c r="C1480" i="1"/>
  <c r="B1480" i="1"/>
  <c r="A1480" i="1"/>
  <c r="T1479" i="1"/>
  <c r="S1479" i="1"/>
  <c r="R1479" i="1"/>
  <c r="Q1479" i="1"/>
  <c r="P1479" i="1"/>
  <c r="M1479" i="1"/>
  <c r="K1479" i="1"/>
  <c r="E1479" i="1"/>
  <c r="D1479" i="1"/>
  <c r="C1479" i="1"/>
  <c r="B1479" i="1"/>
  <c r="A1479" i="1"/>
  <c r="T1478" i="1"/>
  <c r="S1478" i="1"/>
  <c r="R1478" i="1"/>
  <c r="Q1478" i="1"/>
  <c r="P1478" i="1"/>
  <c r="M1478" i="1"/>
  <c r="K1478" i="1"/>
  <c r="E1478" i="1"/>
  <c r="D1478" i="1"/>
  <c r="C1478" i="1"/>
  <c r="B1478" i="1"/>
  <c r="A1478" i="1"/>
  <c r="T1477" i="1"/>
  <c r="S1477" i="1"/>
  <c r="R1477" i="1"/>
  <c r="Q1477" i="1"/>
  <c r="P1477" i="1"/>
  <c r="M1477" i="1"/>
  <c r="K1477" i="1"/>
  <c r="E1477" i="1"/>
  <c r="D1477" i="1"/>
  <c r="C1477" i="1"/>
  <c r="B1477" i="1"/>
  <c r="A1477" i="1"/>
  <c r="T1476" i="1"/>
  <c r="S1476" i="1"/>
  <c r="R1476" i="1"/>
  <c r="Q1476" i="1"/>
  <c r="P1476" i="1"/>
  <c r="M1476" i="1"/>
  <c r="K1476" i="1"/>
  <c r="E1476" i="1"/>
  <c r="D1476" i="1"/>
  <c r="C1476" i="1"/>
  <c r="B1476" i="1"/>
  <c r="A1476" i="1"/>
  <c r="T1475" i="1"/>
  <c r="S1475" i="1"/>
  <c r="R1475" i="1"/>
  <c r="Q1475" i="1"/>
  <c r="P1475" i="1"/>
  <c r="M1475" i="1"/>
  <c r="K1475" i="1"/>
  <c r="E1475" i="1"/>
  <c r="D1475" i="1"/>
  <c r="C1475" i="1"/>
  <c r="A1475" i="1"/>
  <c r="T1474" i="1"/>
  <c r="S1474" i="1"/>
  <c r="R1474" i="1"/>
  <c r="Q1474" i="1"/>
  <c r="M1474" i="1"/>
  <c r="K1474" i="1"/>
  <c r="E1474" i="1"/>
  <c r="D1474" i="1"/>
  <c r="C1474" i="1"/>
  <c r="B1474" i="1"/>
  <c r="A1474" i="1"/>
  <c r="T1473" i="1"/>
  <c r="S1473" i="1"/>
  <c r="R1473" i="1"/>
  <c r="Q1473" i="1"/>
  <c r="M1473" i="1"/>
  <c r="K1473" i="1"/>
  <c r="E1473" i="1"/>
  <c r="D1473" i="1"/>
  <c r="C1473" i="1"/>
  <c r="B1473" i="1"/>
  <c r="A1473" i="1"/>
  <c r="T1472" i="1"/>
  <c r="S1472" i="1"/>
  <c r="R1472" i="1"/>
  <c r="Q1472" i="1"/>
  <c r="M1472" i="1"/>
  <c r="K1472" i="1"/>
  <c r="E1472" i="1"/>
  <c r="D1472" i="1"/>
  <c r="C1472" i="1"/>
  <c r="B1472" i="1"/>
  <c r="A1472" i="1"/>
  <c r="T1471" i="1"/>
  <c r="S1471" i="1"/>
  <c r="R1471" i="1"/>
  <c r="Q1471" i="1"/>
  <c r="M1471" i="1"/>
  <c r="K1471" i="1"/>
  <c r="E1471" i="1"/>
  <c r="D1471" i="1"/>
  <c r="C1471" i="1"/>
  <c r="B1471" i="1"/>
  <c r="A1471" i="1"/>
  <c r="T1470" i="1"/>
  <c r="S1470" i="1"/>
  <c r="R1470" i="1"/>
  <c r="Q1470" i="1"/>
  <c r="M1470" i="1"/>
  <c r="K1470" i="1"/>
  <c r="E1470" i="1"/>
  <c r="D1470" i="1"/>
  <c r="C1470" i="1"/>
  <c r="B1470" i="1"/>
  <c r="A1470" i="1"/>
  <c r="T1469" i="1"/>
  <c r="S1469" i="1"/>
  <c r="R1469" i="1"/>
  <c r="Q1469" i="1"/>
  <c r="M1469" i="1"/>
  <c r="K1469" i="1"/>
  <c r="E1469" i="1"/>
  <c r="D1469" i="1"/>
  <c r="C1469" i="1"/>
  <c r="B1469" i="1"/>
  <c r="A1469" i="1"/>
  <c r="T1468" i="1"/>
  <c r="S1468" i="1"/>
  <c r="R1468" i="1"/>
  <c r="Q1468" i="1"/>
  <c r="M1468" i="1"/>
  <c r="K1468" i="1"/>
  <c r="E1468" i="1"/>
  <c r="D1468" i="1"/>
  <c r="C1468" i="1"/>
  <c r="B1468" i="1"/>
  <c r="A1468" i="1"/>
  <c r="T1467" i="1"/>
  <c r="S1467" i="1"/>
  <c r="R1467" i="1"/>
  <c r="Q1467" i="1"/>
  <c r="M1467" i="1"/>
  <c r="K1467" i="1"/>
  <c r="E1467" i="1"/>
  <c r="D1467" i="1"/>
  <c r="C1467" i="1"/>
  <c r="B1467" i="1"/>
  <c r="A1467" i="1"/>
  <c r="T1466" i="1"/>
  <c r="S1466" i="1"/>
  <c r="R1466" i="1"/>
  <c r="Q1466" i="1"/>
  <c r="M1466" i="1"/>
  <c r="K1466" i="1"/>
  <c r="E1466" i="1"/>
  <c r="D1466" i="1"/>
  <c r="C1466" i="1"/>
  <c r="B1466" i="1"/>
  <c r="A1466" i="1"/>
  <c r="T1465" i="1"/>
  <c r="S1465" i="1"/>
  <c r="R1465" i="1"/>
  <c r="Q1465" i="1"/>
  <c r="M1465" i="1"/>
  <c r="K1465" i="1"/>
  <c r="E1465" i="1"/>
  <c r="D1465" i="1"/>
  <c r="C1465" i="1"/>
  <c r="B1465" i="1"/>
  <c r="A1465" i="1"/>
  <c r="T1464" i="1"/>
  <c r="S1464" i="1"/>
  <c r="R1464" i="1"/>
  <c r="Q1464" i="1"/>
  <c r="M1464" i="1"/>
  <c r="K1464" i="1"/>
  <c r="E1464" i="1"/>
  <c r="D1464" i="1"/>
  <c r="C1464" i="1"/>
  <c r="B1464" i="1"/>
  <c r="A1464" i="1"/>
  <c r="T1463" i="1"/>
  <c r="S1463" i="1"/>
  <c r="R1463" i="1"/>
  <c r="Q1463" i="1"/>
  <c r="M1463" i="1"/>
  <c r="K1463" i="1"/>
  <c r="E1463" i="1"/>
  <c r="D1463" i="1"/>
  <c r="C1463" i="1"/>
  <c r="B1463" i="1"/>
  <c r="A1463" i="1"/>
  <c r="T1462" i="1"/>
  <c r="S1462" i="1"/>
  <c r="R1462" i="1"/>
  <c r="Q1462" i="1"/>
  <c r="M1462" i="1"/>
  <c r="K1462" i="1"/>
  <c r="E1462" i="1"/>
  <c r="D1462" i="1"/>
  <c r="C1462" i="1"/>
  <c r="B1462" i="1"/>
  <c r="A1462" i="1"/>
  <c r="T1461" i="1"/>
  <c r="S1461" i="1"/>
  <c r="R1461" i="1"/>
  <c r="Q1461" i="1"/>
  <c r="M1461" i="1"/>
  <c r="K1461" i="1"/>
  <c r="E1461" i="1"/>
  <c r="D1461" i="1"/>
  <c r="C1461" i="1"/>
  <c r="A1461" i="1"/>
  <c r="T1460" i="1"/>
  <c r="S1460" i="1"/>
  <c r="R1460" i="1"/>
  <c r="P1460" i="1"/>
  <c r="M1460" i="1"/>
  <c r="K1460" i="1"/>
  <c r="E1460" i="1"/>
  <c r="D1460" i="1"/>
  <c r="C1460" i="1"/>
  <c r="B1460" i="1"/>
  <c r="A1460" i="1"/>
  <c r="T1459" i="1"/>
  <c r="S1459" i="1"/>
  <c r="R1459" i="1"/>
  <c r="P1459" i="1"/>
  <c r="M1459" i="1"/>
  <c r="K1459" i="1"/>
  <c r="E1459" i="1"/>
  <c r="D1459" i="1"/>
  <c r="C1459" i="1"/>
  <c r="B1459" i="1"/>
  <c r="A1459" i="1"/>
  <c r="T1458" i="1"/>
  <c r="S1458" i="1"/>
  <c r="R1458" i="1"/>
  <c r="P1458" i="1"/>
  <c r="M1458" i="1"/>
  <c r="K1458" i="1"/>
  <c r="E1458" i="1"/>
  <c r="D1458" i="1"/>
  <c r="C1458" i="1"/>
  <c r="A1458" i="1"/>
  <c r="T1457" i="1"/>
  <c r="S1457" i="1"/>
  <c r="R1457" i="1"/>
  <c r="Q1457" i="1"/>
  <c r="P1457" i="1"/>
  <c r="M1457" i="1"/>
  <c r="K1457" i="1"/>
  <c r="E1457" i="1"/>
  <c r="D1457" i="1"/>
  <c r="C1457" i="1"/>
  <c r="A1457" i="1"/>
  <c r="T1456" i="1"/>
  <c r="S1456" i="1"/>
  <c r="R1456" i="1"/>
  <c r="Q1456" i="1"/>
  <c r="P1456" i="1"/>
  <c r="M1456" i="1"/>
  <c r="K1456" i="1"/>
  <c r="E1456" i="1"/>
  <c r="D1456" i="1"/>
  <c r="C1456" i="1"/>
  <c r="A1456" i="1"/>
  <c r="T1455" i="1"/>
  <c r="S1455" i="1"/>
  <c r="R1455" i="1"/>
  <c r="Q1455" i="1"/>
  <c r="P1455" i="1"/>
  <c r="M1455" i="1"/>
  <c r="K1455" i="1"/>
  <c r="E1455" i="1"/>
  <c r="D1455" i="1"/>
  <c r="C1455" i="1"/>
  <c r="A1455" i="1"/>
  <c r="T1454" i="1"/>
  <c r="S1454" i="1"/>
  <c r="R1454" i="1"/>
  <c r="Q1454" i="1"/>
  <c r="P1454" i="1"/>
  <c r="M1454" i="1"/>
  <c r="K1454" i="1"/>
  <c r="E1454" i="1"/>
  <c r="D1454" i="1"/>
  <c r="C1454" i="1"/>
  <c r="A1454" i="1"/>
  <c r="T1453" i="1"/>
  <c r="S1453" i="1"/>
  <c r="R1453" i="1"/>
  <c r="Q1453" i="1"/>
  <c r="P1453" i="1"/>
  <c r="M1453" i="1"/>
  <c r="K1453" i="1"/>
  <c r="E1453" i="1"/>
  <c r="D1453" i="1"/>
  <c r="C1453" i="1"/>
  <c r="A1453" i="1"/>
  <c r="T1452" i="1"/>
  <c r="S1452" i="1"/>
  <c r="R1452" i="1"/>
  <c r="Q1452" i="1"/>
  <c r="P1452" i="1"/>
  <c r="M1452" i="1"/>
  <c r="K1452" i="1"/>
  <c r="E1452" i="1"/>
  <c r="D1452" i="1"/>
  <c r="C1452" i="1"/>
  <c r="A1452" i="1"/>
  <c r="T1451" i="1"/>
  <c r="S1451" i="1"/>
  <c r="R1451" i="1"/>
  <c r="Q1451" i="1"/>
  <c r="P1451" i="1"/>
  <c r="M1451" i="1"/>
  <c r="K1451" i="1"/>
  <c r="E1451" i="1"/>
  <c r="D1451" i="1"/>
  <c r="C1451" i="1"/>
  <c r="A1451" i="1"/>
  <c r="T1450" i="1"/>
  <c r="S1450" i="1"/>
  <c r="R1450" i="1"/>
  <c r="Q1450" i="1"/>
  <c r="P1450" i="1"/>
  <c r="M1450" i="1"/>
  <c r="K1450" i="1"/>
  <c r="E1450" i="1"/>
  <c r="D1450" i="1"/>
  <c r="C1450" i="1"/>
  <c r="A1450" i="1"/>
  <c r="T1449" i="1"/>
  <c r="S1449" i="1"/>
  <c r="R1449" i="1"/>
  <c r="Q1449" i="1"/>
  <c r="P1449" i="1"/>
  <c r="M1449" i="1"/>
  <c r="K1449" i="1"/>
  <c r="E1449" i="1"/>
  <c r="D1449" i="1"/>
  <c r="C1449" i="1"/>
  <c r="A1449" i="1"/>
  <c r="T1448" i="1"/>
  <c r="S1448" i="1"/>
  <c r="R1448" i="1"/>
  <c r="Q1448" i="1"/>
  <c r="P1448" i="1"/>
  <c r="M1448" i="1"/>
  <c r="K1448" i="1"/>
  <c r="E1448" i="1"/>
  <c r="D1448" i="1"/>
  <c r="C1448" i="1"/>
  <c r="A1448" i="1"/>
  <c r="T1447" i="1"/>
  <c r="S1447" i="1"/>
  <c r="R1447" i="1"/>
  <c r="Q1447" i="1"/>
  <c r="P1447" i="1"/>
  <c r="M1447" i="1"/>
  <c r="K1447" i="1"/>
  <c r="E1447" i="1"/>
  <c r="D1447" i="1"/>
  <c r="C1447" i="1"/>
  <c r="A1447" i="1"/>
  <c r="T1446" i="1"/>
  <c r="S1446" i="1"/>
  <c r="R1446" i="1"/>
  <c r="Q1446" i="1"/>
  <c r="P1446" i="1"/>
  <c r="M1446" i="1"/>
  <c r="K1446" i="1"/>
  <c r="E1446" i="1"/>
  <c r="D1446" i="1"/>
  <c r="C1446" i="1"/>
  <c r="A1446" i="1"/>
  <c r="T1445" i="1"/>
  <c r="S1445" i="1"/>
  <c r="R1445" i="1"/>
  <c r="Q1445" i="1"/>
  <c r="P1445" i="1"/>
  <c r="M1445" i="1"/>
  <c r="K1445" i="1"/>
  <c r="E1445" i="1"/>
  <c r="D1445" i="1"/>
  <c r="C1445" i="1"/>
  <c r="A1445" i="1"/>
  <c r="T1444" i="1"/>
  <c r="S1444" i="1"/>
  <c r="R1444" i="1"/>
  <c r="Q1444" i="1"/>
  <c r="P1444" i="1"/>
  <c r="M1444" i="1"/>
  <c r="K1444" i="1"/>
  <c r="E1444" i="1"/>
  <c r="D1444" i="1"/>
  <c r="C1444" i="1"/>
  <c r="A1444" i="1"/>
  <c r="T1443" i="1"/>
  <c r="S1443" i="1"/>
  <c r="R1443" i="1"/>
  <c r="Q1443" i="1"/>
  <c r="P1443" i="1"/>
  <c r="M1443" i="1"/>
  <c r="K1443" i="1"/>
  <c r="E1443" i="1"/>
  <c r="D1443" i="1"/>
  <c r="C1443" i="1"/>
  <c r="A1443" i="1"/>
  <c r="T1442" i="1"/>
  <c r="S1442" i="1"/>
  <c r="R1442" i="1"/>
  <c r="Q1442" i="1"/>
  <c r="P1442" i="1"/>
  <c r="M1442" i="1"/>
  <c r="K1442" i="1"/>
  <c r="E1442" i="1"/>
  <c r="D1442" i="1"/>
  <c r="C1442" i="1"/>
  <c r="A1442" i="1"/>
  <c r="T1441" i="1"/>
  <c r="S1441" i="1"/>
  <c r="R1441" i="1"/>
  <c r="Q1441" i="1"/>
  <c r="P1441" i="1"/>
  <c r="M1441" i="1"/>
  <c r="K1441" i="1"/>
  <c r="E1441" i="1"/>
  <c r="D1441" i="1"/>
  <c r="C1441" i="1"/>
  <c r="A1441" i="1"/>
  <c r="T1440" i="1"/>
  <c r="S1440" i="1"/>
  <c r="R1440" i="1"/>
  <c r="Q1440" i="1"/>
  <c r="P1440" i="1"/>
  <c r="M1440" i="1"/>
  <c r="K1440" i="1"/>
  <c r="E1440" i="1"/>
  <c r="D1440" i="1"/>
  <c r="C1440" i="1"/>
  <c r="A1440" i="1"/>
  <c r="T1439" i="1"/>
  <c r="S1439" i="1"/>
  <c r="R1439" i="1"/>
  <c r="Q1439" i="1"/>
  <c r="P1439" i="1"/>
  <c r="M1439" i="1"/>
  <c r="K1439" i="1"/>
  <c r="E1439" i="1"/>
  <c r="D1439" i="1"/>
  <c r="C1439" i="1"/>
  <c r="A1439" i="1"/>
  <c r="T1438" i="1"/>
  <c r="S1438" i="1"/>
  <c r="R1438" i="1"/>
  <c r="Q1438" i="1"/>
  <c r="P1438" i="1"/>
  <c r="M1438" i="1"/>
  <c r="K1438" i="1"/>
  <c r="E1438" i="1"/>
  <c r="D1438" i="1"/>
  <c r="C1438" i="1"/>
  <c r="A1438" i="1"/>
  <c r="T1437" i="1"/>
  <c r="S1437" i="1"/>
  <c r="R1437" i="1"/>
  <c r="Q1437" i="1"/>
  <c r="P1437" i="1"/>
  <c r="M1437" i="1"/>
  <c r="K1437" i="1"/>
  <c r="E1437" i="1"/>
  <c r="D1437" i="1"/>
  <c r="C1437" i="1"/>
  <c r="A1437" i="1"/>
  <c r="T1436" i="1"/>
  <c r="S1436" i="1"/>
  <c r="R1436" i="1"/>
  <c r="K1436" i="1"/>
  <c r="E1436" i="1"/>
  <c r="D1436" i="1"/>
  <c r="C1436" i="1"/>
  <c r="A1436" i="1"/>
  <c r="T1435" i="1"/>
  <c r="S1435" i="1"/>
  <c r="R1435" i="1"/>
  <c r="K1435" i="1"/>
  <c r="E1435" i="1"/>
  <c r="D1435" i="1"/>
  <c r="C1435" i="1"/>
  <c r="A1435" i="1"/>
  <c r="T1434" i="1"/>
  <c r="S1434" i="1"/>
  <c r="R1434" i="1"/>
  <c r="K1434" i="1"/>
  <c r="E1434" i="1"/>
  <c r="D1434" i="1"/>
  <c r="C1434" i="1"/>
  <c r="A1434" i="1"/>
  <c r="T1433" i="1"/>
  <c r="S1433" i="1"/>
  <c r="R1433" i="1"/>
  <c r="K1433" i="1"/>
  <c r="E1433" i="1"/>
  <c r="D1433" i="1"/>
  <c r="C1433" i="1"/>
  <c r="A1433" i="1"/>
  <c r="T1432" i="1"/>
  <c r="S1432" i="1"/>
  <c r="R1432" i="1"/>
  <c r="K1432" i="1"/>
  <c r="E1432" i="1"/>
  <c r="D1432" i="1"/>
  <c r="C1432" i="1"/>
  <c r="A1432" i="1"/>
  <c r="T1431" i="1"/>
  <c r="S1431" i="1"/>
  <c r="R1431" i="1"/>
  <c r="K1431" i="1"/>
  <c r="E1431" i="1"/>
  <c r="D1431" i="1"/>
  <c r="C1431" i="1"/>
  <c r="A1431" i="1"/>
  <c r="T1430" i="1"/>
  <c r="S1430" i="1"/>
  <c r="R1430" i="1"/>
  <c r="K1430" i="1"/>
  <c r="E1430" i="1"/>
  <c r="D1430" i="1"/>
  <c r="C1430" i="1"/>
  <c r="A1430" i="1"/>
  <c r="T1429" i="1"/>
  <c r="S1429" i="1"/>
  <c r="R1429" i="1"/>
  <c r="K1429" i="1"/>
  <c r="E1429" i="1"/>
  <c r="D1429" i="1"/>
  <c r="C1429" i="1"/>
  <c r="A1429" i="1"/>
  <c r="T1428" i="1"/>
  <c r="S1428" i="1"/>
  <c r="R1428" i="1"/>
  <c r="K1428" i="1"/>
  <c r="E1428" i="1"/>
  <c r="D1428" i="1"/>
  <c r="C1428" i="1"/>
  <c r="A1428" i="1"/>
  <c r="T1427" i="1"/>
  <c r="S1427" i="1"/>
  <c r="R1427" i="1"/>
  <c r="K1427" i="1"/>
  <c r="E1427" i="1"/>
  <c r="D1427" i="1"/>
  <c r="C1427" i="1"/>
  <c r="A1427" i="1"/>
  <c r="T1426" i="1"/>
  <c r="S1426" i="1"/>
  <c r="R1426" i="1"/>
  <c r="K1426" i="1"/>
  <c r="E1426" i="1"/>
  <c r="D1426" i="1"/>
  <c r="C1426" i="1"/>
  <c r="A1426" i="1"/>
  <c r="T1425" i="1"/>
  <c r="S1425" i="1"/>
  <c r="R1425" i="1"/>
  <c r="K1425" i="1"/>
  <c r="E1425" i="1"/>
  <c r="D1425" i="1"/>
  <c r="C1425" i="1"/>
  <c r="A1425" i="1"/>
  <c r="T1424" i="1"/>
  <c r="S1424" i="1"/>
  <c r="R1424" i="1"/>
  <c r="K1424" i="1"/>
  <c r="E1424" i="1"/>
  <c r="D1424" i="1"/>
  <c r="C1424" i="1"/>
  <c r="A1424" i="1"/>
  <c r="T1423" i="1"/>
  <c r="S1423" i="1"/>
  <c r="R1423" i="1"/>
  <c r="K1423" i="1"/>
  <c r="E1423" i="1"/>
  <c r="D1423" i="1"/>
  <c r="C1423" i="1"/>
  <c r="A1423" i="1"/>
  <c r="T1422" i="1"/>
  <c r="S1422" i="1"/>
  <c r="R1422" i="1"/>
  <c r="K1422" i="1"/>
  <c r="E1422" i="1"/>
  <c r="D1422" i="1"/>
  <c r="C1422" i="1"/>
  <c r="A1422" i="1"/>
  <c r="T1421" i="1"/>
  <c r="S1421" i="1"/>
  <c r="R1421" i="1"/>
  <c r="K1421" i="1"/>
  <c r="E1421" i="1"/>
  <c r="D1421" i="1"/>
  <c r="C1421" i="1"/>
  <c r="A1421" i="1"/>
  <c r="T1420" i="1"/>
  <c r="S1420" i="1"/>
  <c r="R1420" i="1"/>
  <c r="K1420" i="1"/>
  <c r="E1420" i="1"/>
  <c r="D1420" i="1"/>
  <c r="C1420" i="1"/>
  <c r="A1420" i="1"/>
  <c r="T1419" i="1"/>
  <c r="S1419" i="1"/>
  <c r="R1419" i="1"/>
  <c r="K1419" i="1"/>
  <c r="E1419" i="1"/>
  <c r="D1419" i="1"/>
  <c r="C1419" i="1"/>
  <c r="A1419" i="1"/>
  <c r="T1418" i="1"/>
  <c r="S1418" i="1"/>
  <c r="R1418" i="1"/>
  <c r="K1418" i="1"/>
  <c r="E1418" i="1"/>
  <c r="D1418" i="1"/>
  <c r="C1418" i="1"/>
  <c r="A1418" i="1"/>
  <c r="T1417" i="1"/>
  <c r="S1417" i="1"/>
  <c r="R1417" i="1"/>
  <c r="K1417" i="1"/>
  <c r="E1417" i="1"/>
  <c r="D1417" i="1"/>
  <c r="C1417" i="1"/>
  <c r="A1417" i="1"/>
  <c r="T1416" i="1"/>
  <c r="S1416" i="1"/>
  <c r="R1416" i="1"/>
  <c r="K1416" i="1"/>
  <c r="E1416" i="1"/>
  <c r="D1416" i="1"/>
  <c r="C1416" i="1"/>
  <c r="A1416" i="1"/>
  <c r="T1415" i="1"/>
  <c r="S1415" i="1"/>
  <c r="R1415" i="1"/>
  <c r="K1415" i="1"/>
  <c r="E1415" i="1"/>
  <c r="D1415" i="1"/>
  <c r="C1415" i="1"/>
  <c r="A1415" i="1"/>
  <c r="T1414" i="1"/>
  <c r="S1414" i="1"/>
  <c r="R1414" i="1"/>
  <c r="K1414" i="1"/>
  <c r="E1414" i="1"/>
  <c r="D1414" i="1"/>
  <c r="C1414" i="1"/>
  <c r="A1414" i="1"/>
  <c r="T1413" i="1"/>
  <c r="S1413" i="1"/>
  <c r="R1413" i="1"/>
  <c r="K1413" i="1"/>
  <c r="E1413" i="1"/>
  <c r="D1413" i="1"/>
  <c r="C1413" i="1"/>
  <c r="A1413" i="1"/>
  <c r="T1412" i="1"/>
  <c r="S1412" i="1"/>
  <c r="R1412" i="1"/>
  <c r="K1412" i="1"/>
  <c r="E1412" i="1"/>
  <c r="D1412" i="1"/>
  <c r="C1412" i="1"/>
  <c r="A1412" i="1"/>
  <c r="T1411" i="1"/>
  <c r="S1411" i="1"/>
  <c r="R1411" i="1"/>
  <c r="K1411" i="1"/>
  <c r="E1411" i="1"/>
  <c r="D1411" i="1"/>
  <c r="C1411" i="1"/>
  <c r="A1411" i="1"/>
  <c r="T1410" i="1"/>
  <c r="S1410" i="1"/>
  <c r="R1410" i="1"/>
  <c r="K1410" i="1"/>
  <c r="E1410" i="1"/>
  <c r="D1410" i="1"/>
  <c r="C1410" i="1"/>
  <c r="A1410" i="1"/>
  <c r="T1409" i="1"/>
  <c r="S1409" i="1"/>
  <c r="R1409" i="1"/>
  <c r="K1409" i="1"/>
  <c r="E1409" i="1"/>
  <c r="D1409" i="1"/>
  <c r="C1409" i="1"/>
  <c r="A1409" i="1"/>
  <c r="T1408" i="1"/>
  <c r="S1408" i="1"/>
  <c r="R1408" i="1"/>
  <c r="K1408" i="1"/>
  <c r="E1408" i="1"/>
  <c r="D1408" i="1"/>
  <c r="C1408" i="1"/>
  <c r="A1408" i="1"/>
  <c r="T1407" i="1"/>
  <c r="S1407" i="1"/>
  <c r="R1407" i="1"/>
  <c r="K1407" i="1"/>
  <c r="E1407" i="1"/>
  <c r="D1407" i="1"/>
  <c r="C1407" i="1"/>
  <c r="A1407" i="1"/>
  <c r="T1406" i="1"/>
  <c r="S1406" i="1"/>
  <c r="R1406" i="1"/>
  <c r="K1406" i="1"/>
  <c r="E1406" i="1"/>
  <c r="D1406" i="1"/>
  <c r="C1406" i="1"/>
  <c r="A1406" i="1"/>
  <c r="T1405" i="1"/>
  <c r="S1405" i="1"/>
  <c r="R1405" i="1"/>
  <c r="K1405" i="1"/>
  <c r="E1405" i="1"/>
  <c r="D1405" i="1"/>
  <c r="C1405" i="1"/>
  <c r="A1405" i="1"/>
  <c r="T1404" i="1"/>
  <c r="S1404" i="1"/>
  <c r="R1404" i="1"/>
  <c r="P1404" i="1"/>
  <c r="N1404" i="1"/>
  <c r="M1404" i="1"/>
  <c r="K1404" i="1"/>
  <c r="I1404" i="1"/>
  <c r="E1404" i="1"/>
  <c r="D1404" i="1"/>
  <c r="C1404" i="1"/>
  <c r="A1404" i="1"/>
  <c r="T1403" i="1"/>
  <c r="S1403" i="1"/>
  <c r="R1403" i="1"/>
  <c r="M1403" i="1"/>
  <c r="K1403" i="1"/>
  <c r="E1403" i="1"/>
  <c r="D1403" i="1"/>
  <c r="C1403" i="1"/>
  <c r="A1403" i="1"/>
  <c r="T1402" i="1"/>
  <c r="S1402" i="1"/>
  <c r="R1402" i="1"/>
  <c r="M1402" i="1"/>
  <c r="K1402" i="1"/>
  <c r="E1402" i="1"/>
  <c r="D1402" i="1"/>
  <c r="C1402" i="1"/>
  <c r="A1402" i="1"/>
  <c r="T1401" i="1"/>
  <c r="S1401" i="1"/>
  <c r="R1401" i="1"/>
  <c r="M1401" i="1"/>
  <c r="K1401" i="1"/>
  <c r="E1401" i="1"/>
  <c r="D1401" i="1"/>
  <c r="C1401" i="1"/>
  <c r="A1401" i="1"/>
  <c r="T1400" i="1"/>
  <c r="S1400" i="1"/>
  <c r="R1400" i="1"/>
  <c r="M1400" i="1"/>
  <c r="K1400" i="1"/>
  <c r="E1400" i="1"/>
  <c r="D1400" i="1"/>
  <c r="C1400" i="1"/>
  <c r="A1400" i="1"/>
  <c r="T1399" i="1"/>
  <c r="S1399" i="1"/>
  <c r="R1399" i="1"/>
  <c r="M1399" i="1"/>
  <c r="K1399" i="1"/>
  <c r="E1399" i="1"/>
  <c r="D1399" i="1"/>
  <c r="C1399" i="1"/>
  <c r="A1399" i="1"/>
  <c r="T1398" i="1"/>
  <c r="S1398" i="1"/>
  <c r="R1398" i="1"/>
  <c r="M1398" i="1"/>
  <c r="K1398" i="1"/>
  <c r="E1398" i="1"/>
  <c r="D1398" i="1"/>
  <c r="C1398" i="1"/>
  <c r="A1398" i="1"/>
  <c r="T1397" i="1"/>
  <c r="S1397" i="1"/>
  <c r="R1397" i="1"/>
  <c r="M1397" i="1"/>
  <c r="K1397" i="1"/>
  <c r="E1397" i="1"/>
  <c r="D1397" i="1"/>
  <c r="C1397" i="1"/>
  <c r="A1397" i="1"/>
  <c r="T1396" i="1"/>
  <c r="S1396" i="1"/>
  <c r="R1396" i="1"/>
  <c r="M1396" i="1"/>
  <c r="K1396" i="1"/>
  <c r="E1396" i="1"/>
  <c r="D1396" i="1"/>
  <c r="C1396" i="1"/>
  <c r="A1396" i="1"/>
  <c r="T1395" i="1"/>
  <c r="S1395" i="1"/>
  <c r="R1395" i="1"/>
  <c r="M1395" i="1"/>
  <c r="K1395" i="1"/>
  <c r="E1395" i="1"/>
  <c r="D1395" i="1"/>
  <c r="C1395" i="1"/>
  <c r="A1395" i="1"/>
  <c r="T1394" i="1"/>
  <c r="S1394" i="1"/>
  <c r="R1394" i="1"/>
  <c r="M1394" i="1"/>
  <c r="K1394" i="1"/>
  <c r="E1394" i="1"/>
  <c r="D1394" i="1"/>
  <c r="C1394" i="1"/>
  <c r="A1394" i="1"/>
  <c r="T1393" i="1"/>
  <c r="S1393" i="1"/>
  <c r="R1393" i="1"/>
  <c r="M1393" i="1"/>
  <c r="K1393" i="1"/>
  <c r="E1393" i="1"/>
  <c r="D1393" i="1"/>
  <c r="C1393" i="1"/>
  <c r="A1393" i="1"/>
  <c r="T1392" i="1"/>
  <c r="S1392" i="1"/>
  <c r="R1392" i="1"/>
  <c r="M1392" i="1"/>
  <c r="K1392" i="1"/>
  <c r="E1392" i="1"/>
  <c r="D1392" i="1"/>
  <c r="C1392" i="1"/>
  <c r="A1392" i="1"/>
  <c r="T1391" i="1"/>
  <c r="S1391" i="1"/>
  <c r="R1391" i="1"/>
  <c r="M1391" i="1"/>
  <c r="K1391" i="1"/>
  <c r="E1391" i="1"/>
  <c r="D1391" i="1"/>
  <c r="C1391" i="1"/>
  <c r="A1391" i="1"/>
  <c r="T1390" i="1"/>
  <c r="S1390" i="1"/>
  <c r="R1390" i="1"/>
  <c r="M1390" i="1"/>
  <c r="K1390" i="1"/>
  <c r="E1390" i="1"/>
  <c r="D1390" i="1"/>
  <c r="C1390" i="1"/>
  <c r="A1390" i="1"/>
  <c r="T1389" i="1"/>
  <c r="S1389" i="1"/>
  <c r="R1389" i="1"/>
  <c r="M1389" i="1"/>
  <c r="K1389" i="1"/>
  <c r="E1389" i="1"/>
  <c r="D1389" i="1"/>
  <c r="C1389" i="1"/>
  <c r="A1389" i="1"/>
  <c r="T1388" i="1"/>
  <c r="S1388" i="1"/>
  <c r="R1388" i="1"/>
  <c r="M1388" i="1"/>
  <c r="K1388" i="1"/>
  <c r="E1388" i="1"/>
  <c r="D1388" i="1"/>
  <c r="C1388" i="1"/>
  <c r="A1388" i="1"/>
  <c r="T1387" i="1"/>
  <c r="S1387" i="1"/>
  <c r="R1387" i="1"/>
  <c r="M1387" i="1"/>
  <c r="K1387" i="1"/>
  <c r="E1387" i="1"/>
  <c r="D1387" i="1"/>
  <c r="C1387" i="1"/>
  <c r="A1387" i="1"/>
  <c r="T1386" i="1"/>
  <c r="S1386" i="1"/>
  <c r="R1386" i="1"/>
  <c r="M1386" i="1"/>
  <c r="K1386" i="1"/>
  <c r="E1386" i="1"/>
  <c r="D1386" i="1"/>
  <c r="C1386" i="1"/>
  <c r="A1386" i="1"/>
  <c r="T1385" i="1"/>
  <c r="S1385" i="1"/>
  <c r="R1385" i="1"/>
  <c r="Q1385" i="1"/>
  <c r="P1385" i="1"/>
  <c r="N1385" i="1"/>
  <c r="M1385" i="1"/>
  <c r="K1385" i="1"/>
  <c r="I1385" i="1"/>
  <c r="E1385" i="1"/>
  <c r="D1385" i="1"/>
  <c r="C1385" i="1"/>
  <c r="B1385" i="1"/>
  <c r="A1385" i="1"/>
  <c r="T1384" i="1"/>
  <c r="S1384" i="1"/>
  <c r="R1384" i="1"/>
  <c r="Q1384" i="1"/>
  <c r="P1384" i="1"/>
  <c r="N1384" i="1"/>
  <c r="M1384" i="1"/>
  <c r="K1384" i="1"/>
  <c r="I1384" i="1"/>
  <c r="E1384" i="1"/>
  <c r="D1384" i="1"/>
  <c r="C1384" i="1"/>
  <c r="B1384" i="1"/>
  <c r="A1384" i="1"/>
  <c r="T1383" i="1"/>
  <c r="S1383" i="1"/>
  <c r="R1383" i="1"/>
  <c r="Q1383" i="1"/>
  <c r="P1383" i="1"/>
  <c r="N1383" i="1"/>
  <c r="M1383" i="1"/>
  <c r="K1383" i="1"/>
  <c r="I1383" i="1"/>
  <c r="E1383" i="1"/>
  <c r="D1383" i="1"/>
  <c r="C1383" i="1"/>
  <c r="B1383" i="1"/>
  <c r="A1383" i="1"/>
  <c r="T1382" i="1"/>
  <c r="S1382" i="1"/>
  <c r="R1382" i="1"/>
  <c r="Q1382" i="1"/>
  <c r="P1382" i="1"/>
  <c r="N1382" i="1"/>
  <c r="M1382" i="1"/>
  <c r="K1382" i="1"/>
  <c r="I1382" i="1"/>
  <c r="E1382" i="1"/>
  <c r="D1382" i="1"/>
  <c r="C1382" i="1"/>
  <c r="A1382" i="1"/>
  <c r="T1381" i="1"/>
  <c r="S1381" i="1"/>
  <c r="R1381" i="1"/>
  <c r="K1381" i="1"/>
  <c r="E1381" i="1"/>
  <c r="D1381" i="1"/>
  <c r="C1381" i="1"/>
  <c r="A1381" i="1"/>
  <c r="T1380" i="1"/>
  <c r="S1380" i="1"/>
  <c r="R1380" i="1"/>
  <c r="K1380" i="1"/>
  <c r="E1380" i="1"/>
  <c r="D1380" i="1"/>
  <c r="C1380" i="1"/>
  <c r="A1380" i="1"/>
  <c r="T1379" i="1"/>
  <c r="S1379" i="1"/>
  <c r="R1379" i="1"/>
  <c r="K1379" i="1"/>
  <c r="E1379" i="1"/>
  <c r="D1379" i="1"/>
  <c r="C1379" i="1"/>
  <c r="A1379" i="1"/>
  <c r="T1378" i="1"/>
  <c r="S1378" i="1"/>
  <c r="R1378" i="1"/>
  <c r="K1378" i="1"/>
  <c r="E1378" i="1"/>
  <c r="D1378" i="1"/>
  <c r="C1378" i="1"/>
  <c r="A1378" i="1"/>
  <c r="T1377" i="1"/>
  <c r="S1377" i="1"/>
  <c r="R1377" i="1"/>
  <c r="K1377" i="1"/>
  <c r="E1377" i="1"/>
  <c r="D1377" i="1"/>
  <c r="C1377" i="1"/>
  <c r="A1377" i="1"/>
  <c r="T1376" i="1"/>
  <c r="S1376" i="1"/>
  <c r="R1376" i="1"/>
  <c r="K1376" i="1"/>
  <c r="E1376" i="1"/>
  <c r="D1376" i="1"/>
  <c r="C1376" i="1"/>
  <c r="A1376" i="1"/>
  <c r="T1375" i="1"/>
  <c r="S1375" i="1"/>
  <c r="R1375" i="1"/>
  <c r="K1375" i="1"/>
  <c r="E1375" i="1"/>
  <c r="D1375" i="1"/>
  <c r="C1375" i="1"/>
  <c r="A1375" i="1"/>
  <c r="T1374" i="1"/>
  <c r="S1374" i="1"/>
  <c r="R1374" i="1"/>
  <c r="K1374" i="1"/>
  <c r="E1374" i="1"/>
  <c r="D1374" i="1"/>
  <c r="C1374" i="1"/>
  <c r="A1374" i="1"/>
  <c r="T1373" i="1"/>
  <c r="S1373" i="1"/>
  <c r="R1373" i="1"/>
  <c r="K1373" i="1"/>
  <c r="E1373" i="1"/>
  <c r="D1373" i="1"/>
  <c r="C1373" i="1"/>
  <c r="A1373" i="1"/>
  <c r="T1372" i="1"/>
  <c r="S1372" i="1"/>
  <c r="R1372" i="1"/>
  <c r="M1372" i="1"/>
  <c r="K1372" i="1"/>
  <c r="E1372" i="1"/>
  <c r="D1372" i="1"/>
  <c r="C1372" i="1"/>
  <c r="A1372" i="1"/>
  <c r="T1371" i="1"/>
  <c r="S1371" i="1"/>
  <c r="R1371" i="1"/>
  <c r="M1371" i="1"/>
  <c r="K1371" i="1"/>
  <c r="E1371" i="1"/>
  <c r="D1371" i="1"/>
  <c r="C1371" i="1"/>
  <c r="A1371" i="1"/>
  <c r="T1370" i="1"/>
  <c r="S1370" i="1"/>
  <c r="R1370" i="1"/>
  <c r="M1370" i="1"/>
  <c r="K1370" i="1"/>
  <c r="E1370" i="1"/>
  <c r="D1370" i="1"/>
  <c r="C1370" i="1"/>
  <c r="A1370" i="1"/>
  <c r="T1369" i="1"/>
  <c r="S1369" i="1"/>
  <c r="R1369" i="1"/>
  <c r="M1369" i="1"/>
  <c r="K1369" i="1"/>
  <c r="E1369" i="1"/>
  <c r="D1369" i="1"/>
  <c r="C1369" i="1"/>
  <c r="A1369" i="1"/>
  <c r="T1368" i="1"/>
  <c r="S1368" i="1"/>
  <c r="R1368" i="1"/>
  <c r="M1368" i="1"/>
  <c r="K1368" i="1"/>
  <c r="E1368" i="1"/>
  <c r="D1368" i="1"/>
  <c r="C1368" i="1"/>
  <c r="A1368" i="1"/>
  <c r="T1367" i="1"/>
  <c r="S1367" i="1"/>
  <c r="R1367" i="1"/>
  <c r="M1367" i="1"/>
  <c r="K1367" i="1"/>
  <c r="E1367" i="1"/>
  <c r="D1367" i="1"/>
  <c r="C1367" i="1"/>
  <c r="A1367" i="1"/>
  <c r="T1366" i="1"/>
  <c r="S1366" i="1"/>
  <c r="R1366" i="1"/>
  <c r="M1366" i="1"/>
  <c r="K1366" i="1"/>
  <c r="E1366" i="1"/>
  <c r="D1366" i="1"/>
  <c r="C1366" i="1"/>
  <c r="A1366" i="1"/>
  <c r="T1365" i="1"/>
  <c r="S1365" i="1"/>
  <c r="R1365" i="1"/>
  <c r="M1365" i="1"/>
  <c r="K1365" i="1"/>
  <c r="E1365" i="1"/>
  <c r="D1365" i="1"/>
  <c r="C1365" i="1"/>
  <c r="A1365" i="1"/>
  <c r="T1364" i="1"/>
  <c r="S1364" i="1"/>
  <c r="R1364" i="1"/>
  <c r="M1364" i="1"/>
  <c r="K1364" i="1"/>
  <c r="E1364" i="1"/>
  <c r="D1364" i="1"/>
  <c r="C1364" i="1"/>
  <c r="A1364" i="1"/>
  <c r="T1363" i="1"/>
  <c r="S1363" i="1"/>
  <c r="R1363" i="1"/>
  <c r="M1363" i="1"/>
  <c r="K1363" i="1"/>
  <c r="E1363" i="1"/>
  <c r="D1363" i="1"/>
  <c r="C1363" i="1"/>
  <c r="A1363" i="1"/>
  <c r="T1362" i="1"/>
  <c r="S1362" i="1"/>
  <c r="R1362" i="1"/>
  <c r="M1362" i="1"/>
  <c r="K1362" i="1"/>
  <c r="E1362" i="1"/>
  <c r="D1362" i="1"/>
  <c r="C1362" i="1"/>
  <c r="A1362" i="1"/>
  <c r="T1361" i="1"/>
  <c r="S1361" i="1"/>
  <c r="R1361" i="1"/>
  <c r="M1361" i="1"/>
  <c r="K1361" i="1"/>
  <c r="E1361" i="1"/>
  <c r="D1361" i="1"/>
  <c r="C1361" i="1"/>
  <c r="A1361" i="1"/>
  <c r="T1360" i="1"/>
  <c r="S1360" i="1"/>
  <c r="R1360" i="1"/>
  <c r="M1360" i="1"/>
  <c r="K1360" i="1"/>
  <c r="E1360" i="1"/>
  <c r="D1360" i="1"/>
  <c r="C1360" i="1"/>
  <c r="A1360" i="1"/>
  <c r="T1359" i="1"/>
  <c r="S1359" i="1"/>
  <c r="R1359" i="1"/>
  <c r="M1359" i="1"/>
  <c r="K1359" i="1"/>
  <c r="E1359" i="1"/>
  <c r="D1359" i="1"/>
  <c r="C1359" i="1"/>
  <c r="A1359" i="1"/>
  <c r="T1358" i="1"/>
  <c r="S1358" i="1"/>
  <c r="R1358" i="1"/>
  <c r="M1358" i="1"/>
  <c r="K1358" i="1"/>
  <c r="E1358" i="1"/>
  <c r="D1358" i="1"/>
  <c r="C1358" i="1"/>
  <c r="A1358" i="1"/>
  <c r="T1357" i="1"/>
  <c r="S1357" i="1"/>
  <c r="R1357" i="1"/>
  <c r="M1357" i="1"/>
  <c r="K1357" i="1"/>
  <c r="E1357" i="1"/>
  <c r="D1357" i="1"/>
  <c r="C1357" i="1"/>
  <c r="A1357" i="1"/>
  <c r="T1356" i="1"/>
  <c r="S1356" i="1"/>
  <c r="R1356" i="1"/>
  <c r="P1356" i="1"/>
  <c r="M1356" i="1"/>
  <c r="K1356" i="1"/>
  <c r="E1356" i="1"/>
  <c r="D1356" i="1"/>
  <c r="C1356" i="1"/>
  <c r="A1356" i="1"/>
  <c r="T1355" i="1"/>
  <c r="S1355" i="1"/>
  <c r="R1355" i="1"/>
  <c r="Q1355" i="1"/>
  <c r="P1355" i="1"/>
  <c r="M1355" i="1"/>
  <c r="K1355" i="1"/>
  <c r="E1355" i="1"/>
  <c r="D1355" i="1"/>
  <c r="C1355" i="1"/>
  <c r="A1355" i="1"/>
  <c r="T1354" i="1"/>
  <c r="S1354" i="1"/>
  <c r="R1354" i="1"/>
  <c r="Q1354" i="1"/>
  <c r="P1354" i="1"/>
  <c r="M1354" i="1"/>
  <c r="K1354" i="1"/>
  <c r="E1354" i="1"/>
  <c r="D1354" i="1"/>
  <c r="C1354" i="1"/>
  <c r="A1354" i="1"/>
  <c r="T1353" i="1"/>
  <c r="S1353" i="1"/>
  <c r="R1353" i="1"/>
  <c r="Q1353" i="1"/>
  <c r="P1353" i="1"/>
  <c r="M1353" i="1"/>
  <c r="K1353" i="1"/>
  <c r="E1353" i="1"/>
  <c r="D1353" i="1"/>
  <c r="C1353" i="1"/>
  <c r="B1353" i="1"/>
  <c r="A1353" i="1"/>
  <c r="T1352" i="1"/>
  <c r="S1352" i="1"/>
  <c r="R1352" i="1"/>
  <c r="Q1352" i="1"/>
  <c r="P1352" i="1"/>
  <c r="M1352" i="1"/>
  <c r="K1352" i="1"/>
  <c r="E1352" i="1"/>
  <c r="D1352" i="1"/>
  <c r="C1352" i="1"/>
  <c r="B1352" i="1"/>
  <c r="A1352" i="1"/>
  <c r="T1351" i="1"/>
  <c r="S1351" i="1"/>
  <c r="R1351" i="1"/>
  <c r="Q1351" i="1"/>
  <c r="P1351" i="1"/>
  <c r="M1351" i="1"/>
  <c r="K1351" i="1"/>
  <c r="E1351" i="1"/>
  <c r="D1351" i="1"/>
  <c r="C1351" i="1"/>
  <c r="B1351" i="1"/>
  <c r="A1351" i="1"/>
  <c r="T1350" i="1"/>
  <c r="S1350" i="1"/>
  <c r="R1350" i="1"/>
  <c r="Q1350" i="1"/>
  <c r="P1350" i="1"/>
  <c r="M1350" i="1"/>
  <c r="K1350" i="1"/>
  <c r="E1350" i="1"/>
  <c r="D1350" i="1"/>
  <c r="C1350" i="1"/>
  <c r="A1350" i="1"/>
  <c r="T1349" i="1"/>
  <c r="S1349" i="1"/>
  <c r="R1349" i="1"/>
  <c r="Q1349" i="1"/>
  <c r="P1349" i="1"/>
  <c r="M1349" i="1"/>
  <c r="K1349" i="1"/>
  <c r="E1349" i="1"/>
  <c r="D1349" i="1"/>
  <c r="C1349" i="1"/>
  <c r="B1349" i="1"/>
  <c r="A1349" i="1"/>
  <c r="T1348" i="1"/>
  <c r="S1348" i="1"/>
  <c r="R1348" i="1"/>
  <c r="Q1348" i="1"/>
  <c r="P1348" i="1"/>
  <c r="M1348" i="1"/>
  <c r="K1348" i="1"/>
  <c r="E1348" i="1"/>
  <c r="D1348" i="1"/>
  <c r="C1348" i="1"/>
  <c r="B1348" i="1"/>
  <c r="A1348" i="1"/>
  <c r="T1347" i="1"/>
  <c r="S1347" i="1"/>
  <c r="R1347" i="1"/>
  <c r="Q1347" i="1"/>
  <c r="P1347" i="1"/>
  <c r="M1347" i="1"/>
  <c r="K1347" i="1"/>
  <c r="E1347" i="1"/>
  <c r="D1347" i="1"/>
  <c r="C1347" i="1"/>
  <c r="B1347" i="1"/>
  <c r="A1347" i="1"/>
  <c r="T1346" i="1"/>
  <c r="S1346" i="1"/>
  <c r="R1346" i="1"/>
  <c r="Q1346" i="1"/>
  <c r="P1346" i="1"/>
  <c r="M1346" i="1"/>
  <c r="K1346" i="1"/>
  <c r="E1346" i="1"/>
  <c r="D1346" i="1"/>
  <c r="C1346" i="1"/>
  <c r="B1346" i="1"/>
  <c r="A1346" i="1"/>
  <c r="T1345" i="1"/>
  <c r="S1345" i="1"/>
  <c r="R1345" i="1"/>
  <c r="Q1345" i="1"/>
  <c r="P1345" i="1"/>
  <c r="M1345" i="1"/>
  <c r="K1345" i="1"/>
  <c r="E1345" i="1"/>
  <c r="D1345" i="1"/>
  <c r="C1345" i="1"/>
  <c r="B1345" i="1"/>
  <c r="A1345" i="1"/>
  <c r="T1344" i="1"/>
  <c r="S1344" i="1"/>
  <c r="R1344" i="1"/>
  <c r="Q1344" i="1"/>
  <c r="P1344" i="1"/>
  <c r="M1344" i="1"/>
  <c r="K1344" i="1"/>
  <c r="E1344" i="1"/>
  <c r="D1344" i="1"/>
  <c r="C1344" i="1"/>
  <c r="B1344" i="1"/>
  <c r="A1344" i="1"/>
  <c r="T1343" i="1"/>
  <c r="S1343" i="1"/>
  <c r="R1343" i="1"/>
  <c r="Q1343" i="1"/>
  <c r="P1343" i="1"/>
  <c r="M1343" i="1"/>
  <c r="K1343" i="1"/>
  <c r="E1343" i="1"/>
  <c r="D1343" i="1"/>
  <c r="C1343" i="1"/>
  <c r="B1343" i="1"/>
  <c r="A1343" i="1"/>
  <c r="T1342" i="1"/>
  <c r="S1342" i="1"/>
  <c r="R1342" i="1"/>
  <c r="Q1342" i="1"/>
  <c r="P1342" i="1"/>
  <c r="M1342" i="1"/>
  <c r="K1342" i="1"/>
  <c r="E1342" i="1"/>
  <c r="D1342" i="1"/>
  <c r="C1342" i="1"/>
  <c r="A1342" i="1"/>
  <c r="T1341" i="1"/>
  <c r="S1341" i="1"/>
  <c r="R1341" i="1"/>
  <c r="Q1341" i="1"/>
  <c r="P1341" i="1"/>
  <c r="M1341" i="1"/>
  <c r="K1341" i="1"/>
  <c r="E1341" i="1"/>
  <c r="D1341" i="1"/>
  <c r="C1341" i="1"/>
  <c r="B1341" i="1"/>
  <c r="A1341" i="1"/>
  <c r="T1340" i="1"/>
  <c r="S1340" i="1"/>
  <c r="R1340" i="1"/>
  <c r="Q1340" i="1"/>
  <c r="P1340" i="1"/>
  <c r="M1340" i="1"/>
  <c r="K1340" i="1"/>
  <c r="E1340" i="1"/>
  <c r="D1340" i="1"/>
  <c r="C1340" i="1"/>
  <c r="B1340" i="1"/>
  <c r="A1340" i="1"/>
  <c r="T1339" i="1"/>
  <c r="S1339" i="1"/>
  <c r="R1339" i="1"/>
  <c r="Q1339" i="1"/>
  <c r="P1339" i="1"/>
  <c r="M1339" i="1"/>
  <c r="K1339" i="1"/>
  <c r="E1339" i="1"/>
  <c r="D1339" i="1"/>
  <c r="C1339" i="1"/>
  <c r="B1339" i="1"/>
  <c r="A1339" i="1"/>
  <c r="T1338" i="1"/>
  <c r="S1338" i="1"/>
  <c r="R1338" i="1"/>
  <c r="Q1338" i="1"/>
  <c r="P1338" i="1"/>
  <c r="M1338" i="1"/>
  <c r="K1338" i="1"/>
  <c r="E1338" i="1"/>
  <c r="D1338" i="1"/>
  <c r="C1338" i="1"/>
  <c r="B1338" i="1"/>
  <c r="A1338" i="1"/>
  <c r="T1337" i="1"/>
  <c r="S1337" i="1"/>
  <c r="R1337" i="1"/>
  <c r="Q1337" i="1"/>
  <c r="P1337" i="1"/>
  <c r="M1337" i="1"/>
  <c r="K1337" i="1"/>
  <c r="E1337" i="1"/>
  <c r="D1337" i="1"/>
  <c r="C1337" i="1"/>
  <c r="B1337" i="1"/>
  <c r="A1337" i="1"/>
  <c r="T1336" i="1"/>
  <c r="S1336" i="1"/>
  <c r="R1336" i="1"/>
  <c r="Q1336" i="1"/>
  <c r="P1336" i="1"/>
  <c r="M1336" i="1"/>
  <c r="K1336" i="1"/>
  <c r="E1336" i="1"/>
  <c r="D1336" i="1"/>
  <c r="C1336" i="1"/>
  <c r="B1336" i="1"/>
  <c r="A1336" i="1"/>
  <c r="T1335" i="1"/>
  <c r="S1335" i="1"/>
  <c r="R1335" i="1"/>
  <c r="Q1335" i="1"/>
  <c r="P1335" i="1"/>
  <c r="M1335" i="1"/>
  <c r="K1335" i="1"/>
  <c r="E1335" i="1"/>
  <c r="D1335" i="1"/>
  <c r="C1335" i="1"/>
  <c r="B1335" i="1"/>
  <c r="A1335" i="1"/>
  <c r="T1334" i="1"/>
  <c r="S1334" i="1"/>
  <c r="R1334" i="1"/>
  <c r="Q1334" i="1"/>
  <c r="P1334" i="1"/>
  <c r="M1334" i="1"/>
  <c r="K1334" i="1"/>
  <c r="E1334" i="1"/>
  <c r="D1334" i="1"/>
  <c r="C1334" i="1"/>
  <c r="B1334" i="1"/>
  <c r="A1334" i="1"/>
  <c r="T1333" i="1"/>
  <c r="S1333" i="1"/>
  <c r="R1333" i="1"/>
  <c r="Q1333" i="1"/>
  <c r="P1333" i="1"/>
  <c r="M1333" i="1"/>
  <c r="K1333" i="1"/>
  <c r="E1333" i="1"/>
  <c r="D1333" i="1"/>
  <c r="C1333" i="1"/>
  <c r="B1333" i="1"/>
  <c r="A1333" i="1"/>
  <c r="T1332" i="1"/>
  <c r="S1332" i="1"/>
  <c r="R1332" i="1"/>
  <c r="Q1332" i="1"/>
  <c r="P1332" i="1"/>
  <c r="M1332" i="1"/>
  <c r="K1332" i="1"/>
  <c r="E1332" i="1"/>
  <c r="D1332" i="1"/>
  <c r="C1332" i="1"/>
  <c r="A1332" i="1"/>
  <c r="T1331" i="1"/>
  <c r="S1331" i="1"/>
  <c r="R1331" i="1"/>
  <c r="Q1331" i="1"/>
  <c r="P1331" i="1"/>
  <c r="M1331" i="1"/>
  <c r="K1331" i="1"/>
  <c r="E1331" i="1"/>
  <c r="D1331" i="1"/>
  <c r="C1331" i="1"/>
  <c r="B1331" i="1"/>
  <c r="A1331" i="1"/>
  <c r="T1330" i="1"/>
  <c r="S1330" i="1"/>
  <c r="R1330" i="1"/>
  <c r="Q1330" i="1"/>
  <c r="P1330" i="1"/>
  <c r="M1330" i="1"/>
  <c r="K1330" i="1"/>
  <c r="E1330" i="1"/>
  <c r="D1330" i="1"/>
  <c r="C1330" i="1"/>
  <c r="B1330" i="1"/>
  <c r="A1330" i="1"/>
  <c r="T1329" i="1"/>
  <c r="S1329" i="1"/>
  <c r="R1329" i="1"/>
  <c r="Q1329" i="1"/>
  <c r="P1329" i="1"/>
  <c r="M1329" i="1"/>
  <c r="K1329" i="1"/>
  <c r="E1329" i="1"/>
  <c r="D1329" i="1"/>
  <c r="C1329" i="1"/>
  <c r="A1329" i="1"/>
  <c r="T1328" i="1"/>
  <c r="S1328" i="1"/>
  <c r="R1328" i="1"/>
  <c r="K1328" i="1"/>
  <c r="E1328" i="1"/>
  <c r="D1328" i="1"/>
  <c r="C1328" i="1"/>
  <c r="A1328" i="1"/>
  <c r="T1327" i="1"/>
  <c r="S1327" i="1"/>
  <c r="R1327" i="1"/>
  <c r="K1327" i="1"/>
  <c r="E1327" i="1"/>
  <c r="D1327" i="1"/>
  <c r="C1327" i="1"/>
  <c r="A1327" i="1"/>
  <c r="T1326" i="1"/>
  <c r="S1326" i="1"/>
  <c r="R1326" i="1"/>
  <c r="K1326" i="1"/>
  <c r="E1326" i="1"/>
  <c r="D1326" i="1"/>
  <c r="C1326" i="1"/>
  <c r="A1326" i="1"/>
  <c r="T1325" i="1"/>
  <c r="S1325" i="1"/>
  <c r="R1325" i="1"/>
  <c r="K1325" i="1"/>
  <c r="E1325" i="1"/>
  <c r="D1325" i="1"/>
  <c r="C1325" i="1"/>
  <c r="A1325" i="1"/>
  <c r="T1324" i="1"/>
  <c r="S1324" i="1"/>
  <c r="R1324" i="1"/>
  <c r="K1324" i="1"/>
  <c r="E1324" i="1"/>
  <c r="D1324" i="1"/>
  <c r="C1324" i="1"/>
  <c r="A1324" i="1"/>
  <c r="T1323" i="1"/>
  <c r="S1323" i="1"/>
  <c r="R1323" i="1"/>
  <c r="K1323" i="1"/>
  <c r="E1323" i="1"/>
  <c r="D1323" i="1"/>
  <c r="C1323" i="1"/>
  <c r="A1323" i="1"/>
  <c r="T1322" i="1"/>
  <c r="S1322" i="1"/>
  <c r="R1322" i="1"/>
  <c r="K1322" i="1"/>
  <c r="E1322" i="1"/>
  <c r="D1322" i="1"/>
  <c r="C1322" i="1"/>
  <c r="A1322" i="1"/>
  <c r="T1321" i="1"/>
  <c r="S1321" i="1"/>
  <c r="R1321" i="1"/>
  <c r="O1321" i="1"/>
  <c r="K1321" i="1"/>
  <c r="E1321" i="1"/>
  <c r="D1321" i="1"/>
  <c r="C1321" i="1"/>
  <c r="A1321" i="1"/>
  <c r="T1320" i="1"/>
  <c r="S1320" i="1"/>
  <c r="R1320" i="1"/>
  <c r="O1320" i="1"/>
  <c r="K1320" i="1"/>
  <c r="E1320" i="1"/>
  <c r="D1320" i="1"/>
  <c r="C1320" i="1"/>
  <c r="A1320" i="1"/>
  <c r="T1319" i="1"/>
  <c r="S1319" i="1"/>
  <c r="R1319" i="1"/>
  <c r="O1319" i="1"/>
  <c r="K1319" i="1"/>
  <c r="E1319" i="1"/>
  <c r="D1319" i="1"/>
  <c r="C1319" i="1"/>
  <c r="A1319" i="1"/>
  <c r="T1318" i="1"/>
  <c r="S1318" i="1"/>
  <c r="R1318" i="1"/>
  <c r="O1318" i="1"/>
  <c r="K1318" i="1"/>
  <c r="E1318" i="1"/>
  <c r="D1318" i="1"/>
  <c r="C1318" i="1"/>
  <c r="A1318" i="1"/>
  <c r="T1317" i="1"/>
  <c r="S1317" i="1"/>
  <c r="R1317" i="1"/>
  <c r="O1317" i="1"/>
  <c r="K1317" i="1"/>
  <c r="E1317" i="1"/>
  <c r="D1317" i="1"/>
  <c r="C1317" i="1"/>
  <c r="A1317" i="1"/>
  <c r="T1316" i="1"/>
  <c r="S1316" i="1"/>
  <c r="R1316" i="1"/>
  <c r="O1316" i="1"/>
  <c r="K1316" i="1"/>
  <c r="E1316" i="1"/>
  <c r="D1316" i="1"/>
  <c r="C1316" i="1"/>
  <c r="A1316" i="1"/>
  <c r="T1315" i="1"/>
  <c r="S1315" i="1"/>
  <c r="R1315" i="1"/>
  <c r="O1315" i="1"/>
  <c r="K1315" i="1"/>
  <c r="E1315" i="1"/>
  <c r="D1315" i="1"/>
  <c r="C1315" i="1"/>
  <c r="A1315" i="1"/>
  <c r="T1314" i="1"/>
  <c r="S1314" i="1"/>
  <c r="R1314" i="1"/>
  <c r="O1314" i="1"/>
  <c r="K1314" i="1"/>
  <c r="E1314" i="1"/>
  <c r="D1314" i="1"/>
  <c r="C1314" i="1"/>
  <c r="A1314" i="1"/>
  <c r="T1313" i="1"/>
  <c r="S1313" i="1"/>
  <c r="R1313" i="1"/>
  <c r="O1313" i="1"/>
  <c r="K1313" i="1"/>
  <c r="E1313" i="1"/>
  <c r="D1313" i="1"/>
  <c r="C1313" i="1"/>
  <c r="A1313" i="1"/>
  <c r="T1312" i="1"/>
  <c r="S1312" i="1"/>
  <c r="R1312" i="1"/>
  <c r="O1312" i="1"/>
  <c r="K1312" i="1"/>
  <c r="E1312" i="1"/>
  <c r="D1312" i="1"/>
  <c r="C1312" i="1"/>
  <c r="A1312" i="1"/>
  <c r="T1311" i="1"/>
  <c r="S1311" i="1"/>
  <c r="R1311" i="1"/>
  <c r="O1311" i="1"/>
  <c r="K1311" i="1"/>
  <c r="E1311" i="1"/>
  <c r="D1311" i="1"/>
  <c r="C1311" i="1"/>
  <c r="A1311" i="1"/>
  <c r="T1310" i="1"/>
  <c r="S1310" i="1"/>
  <c r="R1310" i="1"/>
  <c r="Q1310" i="1"/>
  <c r="P1310" i="1"/>
  <c r="K1310" i="1"/>
  <c r="E1310" i="1"/>
  <c r="D1310" i="1"/>
  <c r="C1310" i="1"/>
  <c r="A1310" i="1"/>
  <c r="T1309" i="1"/>
  <c r="S1309" i="1"/>
  <c r="R1309" i="1"/>
  <c r="Q1309" i="1"/>
  <c r="P1309" i="1"/>
  <c r="K1309" i="1"/>
  <c r="E1309" i="1"/>
  <c r="D1309" i="1"/>
  <c r="C1309" i="1"/>
  <c r="A1309" i="1"/>
  <c r="T1308" i="1"/>
  <c r="S1308" i="1"/>
  <c r="R1308" i="1"/>
  <c r="Q1308" i="1"/>
  <c r="P1308" i="1"/>
  <c r="K1308" i="1"/>
  <c r="E1308" i="1"/>
  <c r="D1308" i="1"/>
  <c r="C1308" i="1"/>
  <c r="B1308" i="1"/>
  <c r="A1308" i="1"/>
  <c r="T1307" i="1"/>
  <c r="S1307" i="1"/>
  <c r="R1307" i="1"/>
  <c r="Q1307" i="1"/>
  <c r="P1307" i="1"/>
  <c r="K1307" i="1"/>
  <c r="E1307" i="1"/>
  <c r="D1307" i="1"/>
  <c r="C1307" i="1"/>
  <c r="B1307" i="1"/>
  <c r="A1307" i="1"/>
  <c r="T1306" i="1"/>
  <c r="S1306" i="1"/>
  <c r="R1306" i="1"/>
  <c r="Q1306" i="1"/>
  <c r="P1306" i="1"/>
  <c r="K1306" i="1"/>
  <c r="E1306" i="1"/>
  <c r="D1306" i="1"/>
  <c r="C1306" i="1"/>
  <c r="B1306" i="1"/>
  <c r="A1306" i="1"/>
  <c r="T1305" i="1"/>
  <c r="S1305" i="1"/>
  <c r="R1305" i="1"/>
  <c r="Q1305" i="1"/>
  <c r="P1305" i="1"/>
  <c r="K1305" i="1"/>
  <c r="E1305" i="1"/>
  <c r="D1305" i="1"/>
  <c r="C1305" i="1"/>
  <c r="B1305" i="1"/>
  <c r="A1305" i="1"/>
  <c r="T1304" i="1"/>
  <c r="S1304" i="1"/>
  <c r="R1304" i="1"/>
  <c r="Q1304" i="1"/>
  <c r="P1304" i="1"/>
  <c r="K1304" i="1"/>
  <c r="E1304" i="1"/>
  <c r="D1304" i="1"/>
  <c r="C1304" i="1"/>
  <c r="A1304" i="1"/>
  <c r="T1303" i="1"/>
  <c r="S1303" i="1"/>
  <c r="R1303" i="1"/>
  <c r="Q1303" i="1"/>
  <c r="P1303" i="1"/>
  <c r="K1303" i="1"/>
  <c r="E1303" i="1"/>
  <c r="D1303" i="1"/>
  <c r="C1303" i="1"/>
  <c r="B1303" i="1"/>
  <c r="A1303" i="1"/>
  <c r="T1302" i="1"/>
  <c r="S1302" i="1"/>
  <c r="R1302" i="1"/>
  <c r="Q1302" i="1"/>
  <c r="P1302" i="1"/>
  <c r="K1302" i="1"/>
  <c r="E1302" i="1"/>
  <c r="D1302" i="1"/>
  <c r="C1302" i="1"/>
  <c r="B1302" i="1"/>
  <c r="A1302" i="1"/>
  <c r="T1301" i="1"/>
  <c r="S1301" i="1"/>
  <c r="R1301" i="1"/>
  <c r="Q1301" i="1"/>
  <c r="P1301" i="1"/>
  <c r="K1301" i="1"/>
  <c r="E1301" i="1"/>
  <c r="D1301" i="1"/>
  <c r="C1301" i="1"/>
  <c r="B1301" i="1"/>
  <c r="A1301" i="1"/>
  <c r="T1300" i="1"/>
  <c r="S1300" i="1"/>
  <c r="R1300" i="1"/>
  <c r="Q1300" i="1"/>
  <c r="P1300" i="1"/>
  <c r="K1300" i="1"/>
  <c r="E1300" i="1"/>
  <c r="D1300" i="1"/>
  <c r="C1300" i="1"/>
  <c r="B1300" i="1"/>
  <c r="A1300" i="1"/>
  <c r="T1299" i="1"/>
  <c r="S1299" i="1"/>
  <c r="R1299" i="1"/>
  <c r="Q1299" i="1"/>
  <c r="P1299" i="1"/>
  <c r="K1299" i="1"/>
  <c r="E1299" i="1"/>
  <c r="D1299" i="1"/>
  <c r="C1299" i="1"/>
  <c r="B1299" i="1"/>
  <c r="A1299" i="1"/>
  <c r="T1298" i="1"/>
  <c r="S1298" i="1"/>
  <c r="R1298" i="1"/>
  <c r="Q1298" i="1"/>
  <c r="P1298" i="1"/>
  <c r="K1298" i="1"/>
  <c r="E1298" i="1"/>
  <c r="D1298" i="1"/>
  <c r="C1298" i="1"/>
  <c r="B1298" i="1"/>
  <c r="A1298" i="1"/>
  <c r="T1297" i="1"/>
  <c r="S1297" i="1"/>
  <c r="R1297" i="1"/>
  <c r="Q1297" i="1"/>
  <c r="P1297" i="1"/>
  <c r="K1297" i="1"/>
  <c r="E1297" i="1"/>
  <c r="D1297" i="1"/>
  <c r="C1297" i="1"/>
  <c r="B1297" i="1"/>
  <c r="A1297" i="1"/>
  <c r="T1296" i="1"/>
  <c r="S1296" i="1"/>
  <c r="R1296" i="1"/>
  <c r="Q1296" i="1"/>
  <c r="P1296" i="1"/>
  <c r="K1296" i="1"/>
  <c r="E1296" i="1"/>
  <c r="D1296" i="1"/>
  <c r="C1296" i="1"/>
  <c r="A1296" i="1"/>
  <c r="T1295" i="1"/>
  <c r="S1295" i="1"/>
  <c r="R1295" i="1"/>
  <c r="P1295" i="1"/>
  <c r="M1295" i="1"/>
  <c r="K1295" i="1"/>
  <c r="I1295" i="1"/>
  <c r="E1295" i="1"/>
  <c r="D1295" i="1"/>
  <c r="C1295" i="1"/>
  <c r="A1295" i="1"/>
  <c r="T1294" i="1"/>
  <c r="S1294" i="1"/>
  <c r="R1294" i="1"/>
  <c r="Q1294" i="1"/>
  <c r="P1294" i="1"/>
  <c r="M1294" i="1"/>
  <c r="K1294" i="1"/>
  <c r="I1294" i="1"/>
  <c r="E1294" i="1"/>
  <c r="D1294" i="1"/>
  <c r="C1294" i="1"/>
  <c r="A1294" i="1"/>
  <c r="T1293" i="1"/>
  <c r="S1293" i="1"/>
  <c r="R1293" i="1"/>
  <c r="Q1293" i="1"/>
  <c r="P1293" i="1"/>
  <c r="M1293" i="1"/>
  <c r="K1293" i="1"/>
  <c r="I1293" i="1"/>
  <c r="E1293" i="1"/>
  <c r="D1293" i="1"/>
  <c r="C1293" i="1"/>
  <c r="A1293" i="1"/>
  <c r="T1292" i="1"/>
  <c r="S1292" i="1"/>
  <c r="R1292" i="1"/>
  <c r="Q1292" i="1"/>
  <c r="P1292" i="1"/>
  <c r="M1292" i="1"/>
  <c r="K1292" i="1"/>
  <c r="I1292" i="1"/>
  <c r="E1292" i="1"/>
  <c r="D1292" i="1"/>
  <c r="C1292" i="1"/>
  <c r="A1292" i="1"/>
  <c r="T1291" i="1"/>
  <c r="S1291" i="1"/>
  <c r="R1291" i="1"/>
  <c r="K1291" i="1"/>
  <c r="E1291" i="1"/>
  <c r="D1291" i="1"/>
  <c r="C1291" i="1"/>
  <c r="A1291" i="1"/>
  <c r="T1290" i="1"/>
  <c r="S1290" i="1"/>
  <c r="R1290" i="1"/>
  <c r="K1290" i="1"/>
  <c r="E1290" i="1"/>
  <c r="D1290" i="1"/>
  <c r="C1290" i="1"/>
  <c r="A1290" i="1"/>
  <c r="T1289" i="1"/>
  <c r="S1289" i="1"/>
  <c r="R1289" i="1"/>
  <c r="K1289" i="1"/>
  <c r="E1289" i="1"/>
  <c r="D1289" i="1"/>
  <c r="C1289" i="1"/>
  <c r="A1289" i="1"/>
  <c r="T1288" i="1"/>
  <c r="S1288" i="1"/>
  <c r="R1288" i="1"/>
  <c r="K1288" i="1"/>
  <c r="E1288" i="1"/>
  <c r="D1288" i="1"/>
  <c r="C1288" i="1"/>
  <c r="A1288" i="1"/>
  <c r="T1287" i="1"/>
  <c r="S1287" i="1"/>
  <c r="R1287" i="1"/>
  <c r="K1287" i="1"/>
  <c r="E1287" i="1"/>
  <c r="D1287" i="1"/>
  <c r="C1287" i="1"/>
  <c r="A1287" i="1"/>
  <c r="T1286" i="1"/>
  <c r="S1286" i="1"/>
  <c r="R1286" i="1"/>
  <c r="K1286" i="1"/>
  <c r="E1286" i="1"/>
  <c r="D1286" i="1"/>
  <c r="C1286" i="1"/>
  <c r="A1286" i="1"/>
  <c r="T1285" i="1"/>
  <c r="S1285" i="1"/>
  <c r="R1285" i="1"/>
  <c r="K1285" i="1"/>
  <c r="E1285" i="1"/>
  <c r="D1285" i="1"/>
  <c r="C1285" i="1"/>
  <c r="A1285" i="1"/>
  <c r="T1284" i="1"/>
  <c r="S1284" i="1"/>
  <c r="R1284" i="1"/>
  <c r="K1284" i="1"/>
  <c r="E1284" i="1"/>
  <c r="D1284" i="1"/>
  <c r="C1284" i="1"/>
  <c r="A1284" i="1"/>
  <c r="T1283" i="1"/>
  <c r="S1283" i="1"/>
  <c r="R1283" i="1"/>
  <c r="K1283" i="1"/>
  <c r="E1283" i="1"/>
  <c r="D1283" i="1"/>
  <c r="C1283" i="1"/>
  <c r="A1283" i="1"/>
  <c r="T1282" i="1"/>
  <c r="S1282" i="1"/>
  <c r="R1282" i="1"/>
  <c r="K1282" i="1"/>
  <c r="E1282" i="1"/>
  <c r="D1282" i="1"/>
  <c r="C1282" i="1"/>
  <c r="A1282" i="1"/>
  <c r="T1281" i="1"/>
  <c r="S1281" i="1"/>
  <c r="R1281" i="1"/>
  <c r="K1281" i="1"/>
  <c r="E1281" i="1"/>
  <c r="D1281" i="1"/>
  <c r="C1281" i="1"/>
  <c r="A1281" i="1"/>
  <c r="T1280" i="1"/>
  <c r="S1280" i="1"/>
  <c r="R1280" i="1"/>
  <c r="K1280" i="1"/>
  <c r="E1280" i="1"/>
  <c r="D1280" i="1"/>
  <c r="C1280" i="1"/>
  <c r="A1280" i="1"/>
  <c r="T1279" i="1"/>
  <c r="S1279" i="1"/>
  <c r="R1279" i="1"/>
  <c r="K1279" i="1"/>
  <c r="E1279" i="1"/>
  <c r="D1279" i="1"/>
  <c r="C1279" i="1"/>
  <c r="A1279" i="1"/>
  <c r="T1278" i="1"/>
  <c r="S1278" i="1"/>
  <c r="R1278" i="1"/>
  <c r="K1278" i="1"/>
  <c r="E1278" i="1"/>
  <c r="D1278" i="1"/>
  <c r="C1278" i="1"/>
  <c r="A1278" i="1"/>
  <c r="T1277" i="1"/>
  <c r="S1277" i="1"/>
  <c r="R1277" i="1"/>
  <c r="K1277" i="1"/>
  <c r="E1277" i="1"/>
  <c r="D1277" i="1"/>
  <c r="C1277" i="1"/>
  <c r="A1277" i="1"/>
  <c r="T1276" i="1"/>
  <c r="S1276" i="1"/>
  <c r="R1276" i="1"/>
  <c r="K1276" i="1"/>
  <c r="E1276" i="1"/>
  <c r="D1276" i="1"/>
  <c r="C1276" i="1"/>
  <c r="A1276" i="1"/>
  <c r="T1275" i="1"/>
  <c r="S1275" i="1"/>
  <c r="R1275" i="1"/>
  <c r="K1275" i="1"/>
  <c r="E1275" i="1"/>
  <c r="D1275" i="1"/>
  <c r="C1275" i="1"/>
  <c r="A1275" i="1"/>
  <c r="T1274" i="1"/>
  <c r="S1274" i="1"/>
  <c r="R1274" i="1"/>
  <c r="K1274" i="1"/>
  <c r="E1274" i="1"/>
  <c r="D1274" i="1"/>
  <c r="C1274" i="1"/>
  <c r="A1274" i="1"/>
  <c r="T1273" i="1"/>
  <c r="S1273" i="1"/>
  <c r="R1273" i="1"/>
  <c r="K1273" i="1"/>
  <c r="E1273" i="1"/>
  <c r="D1273" i="1"/>
  <c r="C1273" i="1"/>
  <c r="A1273" i="1"/>
  <c r="T1272" i="1"/>
  <c r="S1272" i="1"/>
  <c r="R1272" i="1"/>
  <c r="K1272" i="1"/>
  <c r="E1272" i="1"/>
  <c r="D1272" i="1"/>
  <c r="C1272" i="1"/>
  <c r="A1272" i="1"/>
  <c r="T1271" i="1"/>
  <c r="S1271" i="1"/>
  <c r="R1271" i="1"/>
  <c r="K1271" i="1"/>
  <c r="E1271" i="1"/>
  <c r="D1271" i="1"/>
  <c r="C1271" i="1"/>
  <c r="A1271" i="1"/>
  <c r="T1270" i="1"/>
  <c r="S1270" i="1"/>
  <c r="R1270" i="1"/>
  <c r="K1270" i="1"/>
  <c r="E1270" i="1"/>
  <c r="D1270" i="1"/>
  <c r="C1270" i="1"/>
  <c r="A1270" i="1"/>
  <c r="T1269" i="1"/>
  <c r="S1269" i="1"/>
  <c r="R1269" i="1"/>
  <c r="K1269" i="1"/>
  <c r="E1269" i="1"/>
  <c r="D1269" i="1"/>
  <c r="C1269" i="1"/>
  <c r="A1269" i="1"/>
  <c r="T1268" i="1"/>
  <c r="S1268" i="1"/>
  <c r="R1268" i="1"/>
  <c r="K1268" i="1"/>
  <c r="E1268" i="1"/>
  <c r="D1268" i="1"/>
  <c r="C1268" i="1"/>
  <c r="A1268" i="1"/>
  <c r="T1267" i="1"/>
  <c r="S1267" i="1"/>
  <c r="R1267" i="1"/>
  <c r="K1267" i="1"/>
  <c r="E1267" i="1"/>
  <c r="D1267" i="1"/>
  <c r="C1267" i="1"/>
  <c r="A1267" i="1"/>
  <c r="T1266" i="1"/>
  <c r="S1266" i="1"/>
  <c r="R1266" i="1"/>
  <c r="K1266" i="1"/>
  <c r="E1266" i="1"/>
  <c r="D1266" i="1"/>
  <c r="C1266" i="1"/>
  <c r="A1266" i="1"/>
  <c r="T1265" i="1"/>
  <c r="S1265" i="1"/>
  <c r="R1265" i="1"/>
  <c r="K1265" i="1"/>
  <c r="E1265" i="1"/>
  <c r="D1265" i="1"/>
  <c r="C1265" i="1"/>
  <c r="A1265" i="1"/>
  <c r="T1264" i="1"/>
  <c r="S1264" i="1"/>
  <c r="R1264" i="1"/>
  <c r="K1264" i="1"/>
  <c r="E1264" i="1"/>
  <c r="D1264" i="1"/>
  <c r="C1264" i="1"/>
  <c r="A1264" i="1"/>
  <c r="T1263" i="1"/>
  <c r="S1263" i="1"/>
  <c r="R1263" i="1"/>
  <c r="K1263" i="1"/>
  <c r="E1263" i="1"/>
  <c r="D1263" i="1"/>
  <c r="C1263" i="1"/>
  <c r="A1263" i="1"/>
  <c r="T1262" i="1"/>
  <c r="S1262" i="1"/>
  <c r="R1262" i="1"/>
  <c r="K1262" i="1"/>
  <c r="E1262" i="1"/>
  <c r="D1262" i="1"/>
  <c r="C1262" i="1"/>
  <c r="A1262" i="1"/>
  <c r="T1261" i="1"/>
  <c r="S1261" i="1"/>
  <c r="R1261" i="1"/>
  <c r="K1261" i="1"/>
  <c r="E1261" i="1"/>
  <c r="D1261" i="1"/>
  <c r="C1261" i="1"/>
  <c r="A1261" i="1"/>
  <c r="T1260" i="1"/>
  <c r="S1260" i="1"/>
  <c r="R1260" i="1"/>
  <c r="K1260" i="1"/>
  <c r="E1260" i="1"/>
  <c r="D1260" i="1"/>
  <c r="C1260" i="1"/>
  <c r="A1260" i="1"/>
  <c r="T1259" i="1"/>
  <c r="S1259" i="1"/>
  <c r="R1259" i="1"/>
  <c r="K1259" i="1"/>
  <c r="E1259" i="1"/>
  <c r="D1259" i="1"/>
  <c r="C1259" i="1"/>
  <c r="A1259" i="1"/>
  <c r="T1258" i="1"/>
  <c r="S1258" i="1"/>
  <c r="R1258" i="1"/>
  <c r="K1258" i="1"/>
  <c r="E1258" i="1"/>
  <c r="D1258" i="1"/>
  <c r="C1258" i="1"/>
  <c r="A1258" i="1"/>
  <c r="T1257" i="1"/>
  <c r="S1257" i="1"/>
  <c r="R1257" i="1"/>
  <c r="K1257" i="1"/>
  <c r="E1257" i="1"/>
  <c r="D1257" i="1"/>
  <c r="C1257" i="1"/>
  <c r="A1257" i="1"/>
  <c r="T1256" i="1"/>
  <c r="S1256" i="1"/>
  <c r="R1256" i="1"/>
  <c r="K1256" i="1"/>
  <c r="E1256" i="1"/>
  <c r="D1256" i="1"/>
  <c r="C1256" i="1"/>
  <c r="A1256" i="1"/>
  <c r="T1255" i="1"/>
  <c r="S1255" i="1"/>
  <c r="R1255" i="1"/>
  <c r="K1255" i="1"/>
  <c r="E1255" i="1"/>
  <c r="D1255" i="1"/>
  <c r="C1255" i="1"/>
  <c r="A1255" i="1"/>
  <c r="T1254" i="1"/>
  <c r="S1254" i="1"/>
  <c r="R1254" i="1"/>
  <c r="K1254" i="1"/>
  <c r="E1254" i="1"/>
  <c r="D1254" i="1"/>
  <c r="C1254" i="1"/>
  <c r="A1254" i="1"/>
  <c r="T1253" i="1"/>
  <c r="S1253" i="1"/>
  <c r="R1253" i="1"/>
  <c r="K1253" i="1"/>
  <c r="E1253" i="1"/>
  <c r="D1253" i="1"/>
  <c r="C1253" i="1"/>
  <c r="A1253" i="1"/>
  <c r="T1252" i="1"/>
  <c r="S1252" i="1"/>
  <c r="R1252" i="1"/>
  <c r="K1252" i="1"/>
  <c r="E1252" i="1"/>
  <c r="D1252" i="1"/>
  <c r="C1252" i="1"/>
  <c r="A1252" i="1"/>
  <c r="T1251" i="1"/>
  <c r="S1251" i="1"/>
  <c r="R1251" i="1"/>
  <c r="K1251" i="1"/>
  <c r="E1251" i="1"/>
  <c r="D1251" i="1"/>
  <c r="C1251" i="1"/>
  <c r="A1251" i="1"/>
  <c r="T1250" i="1"/>
  <c r="S1250" i="1"/>
  <c r="R1250" i="1"/>
  <c r="K1250" i="1"/>
  <c r="E1250" i="1"/>
  <c r="D1250" i="1"/>
  <c r="C1250" i="1"/>
  <c r="A1250" i="1"/>
  <c r="T1249" i="1"/>
  <c r="S1249" i="1"/>
  <c r="R1249" i="1"/>
  <c r="K1249" i="1"/>
  <c r="E1249" i="1"/>
  <c r="D1249" i="1"/>
  <c r="C1249" i="1"/>
  <c r="A1249" i="1"/>
  <c r="T1248" i="1"/>
  <c r="S1248" i="1"/>
  <c r="R1248" i="1"/>
  <c r="K1248" i="1"/>
  <c r="E1248" i="1"/>
  <c r="D1248" i="1"/>
  <c r="C1248" i="1"/>
  <c r="A1248" i="1"/>
  <c r="T1247" i="1"/>
  <c r="S1247" i="1"/>
  <c r="R1247" i="1"/>
  <c r="K1247" i="1"/>
  <c r="E1247" i="1"/>
  <c r="D1247" i="1"/>
  <c r="C1247" i="1"/>
  <c r="A1247" i="1"/>
  <c r="T1246" i="1"/>
  <c r="S1246" i="1"/>
  <c r="R1246" i="1"/>
  <c r="K1246" i="1"/>
  <c r="E1246" i="1"/>
  <c r="D1246" i="1"/>
  <c r="C1246" i="1"/>
  <c r="A1246" i="1"/>
  <c r="T1245" i="1"/>
  <c r="S1245" i="1"/>
  <c r="R1245" i="1"/>
  <c r="K1245" i="1"/>
  <c r="E1245" i="1"/>
  <c r="D1245" i="1"/>
  <c r="C1245" i="1"/>
  <c r="A1245" i="1"/>
  <c r="T1244" i="1"/>
  <c r="S1244" i="1"/>
  <c r="R1244" i="1"/>
  <c r="K1244" i="1"/>
  <c r="E1244" i="1"/>
  <c r="D1244" i="1"/>
  <c r="C1244" i="1"/>
  <c r="A1244" i="1"/>
  <c r="T1243" i="1"/>
  <c r="S1243" i="1"/>
  <c r="R1243" i="1"/>
  <c r="K1243" i="1"/>
  <c r="E1243" i="1"/>
  <c r="D1243" i="1"/>
  <c r="C1243" i="1"/>
  <c r="A1243" i="1"/>
  <c r="T1242" i="1"/>
  <c r="S1242" i="1"/>
  <c r="R1242" i="1"/>
  <c r="K1242" i="1"/>
  <c r="E1242" i="1"/>
  <c r="D1242" i="1"/>
  <c r="C1242" i="1"/>
  <c r="A1242" i="1"/>
  <c r="T1241" i="1"/>
  <c r="S1241" i="1"/>
  <c r="R1241" i="1"/>
  <c r="K1241" i="1"/>
  <c r="E1241" i="1"/>
  <c r="D1241" i="1"/>
  <c r="C1241" i="1"/>
  <c r="A1241" i="1"/>
  <c r="T1240" i="1"/>
  <c r="S1240" i="1"/>
  <c r="R1240" i="1"/>
  <c r="K1240" i="1"/>
  <c r="E1240" i="1"/>
  <c r="D1240" i="1"/>
  <c r="C1240" i="1"/>
  <c r="A1240" i="1"/>
  <c r="T1239" i="1"/>
  <c r="S1239" i="1"/>
  <c r="R1239" i="1"/>
  <c r="K1239" i="1"/>
  <c r="E1239" i="1"/>
  <c r="D1239" i="1"/>
  <c r="C1239" i="1"/>
  <c r="A1239" i="1"/>
  <c r="T1238" i="1"/>
  <c r="S1238" i="1"/>
  <c r="R1238" i="1"/>
  <c r="K1238" i="1"/>
  <c r="E1238" i="1"/>
  <c r="D1238" i="1"/>
  <c r="C1238" i="1"/>
  <c r="A1238" i="1"/>
  <c r="T1237" i="1"/>
  <c r="S1237" i="1"/>
  <c r="R1237" i="1"/>
  <c r="K1237" i="1"/>
  <c r="E1237" i="1"/>
  <c r="D1237" i="1"/>
  <c r="C1237" i="1"/>
  <c r="A1237" i="1"/>
  <c r="T1236" i="1"/>
  <c r="S1236" i="1"/>
  <c r="R1236" i="1"/>
  <c r="K1236" i="1"/>
  <c r="E1236" i="1"/>
  <c r="D1236" i="1"/>
  <c r="C1236" i="1"/>
  <c r="A1236" i="1"/>
  <c r="T1235" i="1"/>
  <c r="S1235" i="1"/>
  <c r="R1235" i="1"/>
  <c r="K1235" i="1"/>
  <c r="E1235" i="1"/>
  <c r="D1235" i="1"/>
  <c r="C1235" i="1"/>
  <c r="A1235" i="1"/>
  <c r="T1234" i="1"/>
  <c r="S1234" i="1"/>
  <c r="R1234" i="1"/>
  <c r="K1234" i="1"/>
  <c r="E1234" i="1"/>
  <c r="D1234" i="1"/>
  <c r="C1234" i="1"/>
  <c r="A1234" i="1"/>
  <c r="T1233" i="1"/>
  <c r="S1233" i="1"/>
  <c r="R1233" i="1"/>
  <c r="K1233" i="1"/>
  <c r="E1233" i="1"/>
  <c r="D1233" i="1"/>
  <c r="C1233" i="1"/>
  <c r="A1233" i="1"/>
  <c r="T1232" i="1"/>
  <c r="S1232" i="1"/>
  <c r="R1232" i="1"/>
  <c r="K1232" i="1"/>
  <c r="E1232" i="1"/>
  <c r="D1232" i="1"/>
  <c r="C1232" i="1"/>
  <c r="A1232" i="1"/>
  <c r="T1231" i="1"/>
  <c r="S1231" i="1"/>
  <c r="R1231" i="1"/>
  <c r="K1231" i="1"/>
  <c r="E1231" i="1"/>
  <c r="D1231" i="1"/>
  <c r="C1231" i="1"/>
  <c r="A1231" i="1"/>
  <c r="T1230" i="1"/>
  <c r="S1230" i="1"/>
  <c r="R1230" i="1"/>
  <c r="K1230" i="1"/>
  <c r="E1230" i="1"/>
  <c r="D1230" i="1"/>
  <c r="C1230" i="1"/>
  <c r="A1230" i="1"/>
  <c r="T1229" i="1"/>
  <c r="S1229" i="1"/>
  <c r="R1229" i="1"/>
  <c r="K1229" i="1"/>
  <c r="E1229" i="1"/>
  <c r="D1229" i="1"/>
  <c r="C1229" i="1"/>
  <c r="A1229" i="1"/>
  <c r="T1228" i="1"/>
  <c r="S1228" i="1"/>
  <c r="R1228" i="1"/>
  <c r="K1228" i="1"/>
  <c r="E1228" i="1"/>
  <c r="D1228" i="1"/>
  <c r="C1228" i="1"/>
  <c r="A1228" i="1"/>
  <c r="T1227" i="1"/>
  <c r="S1227" i="1"/>
  <c r="R1227" i="1"/>
  <c r="K1227" i="1"/>
  <c r="E1227" i="1"/>
  <c r="D1227" i="1"/>
  <c r="C1227" i="1"/>
  <c r="A1227" i="1"/>
  <c r="T1226" i="1"/>
  <c r="S1226" i="1"/>
  <c r="R1226" i="1"/>
  <c r="K1226" i="1"/>
  <c r="E1226" i="1"/>
  <c r="D1226" i="1"/>
  <c r="C1226" i="1"/>
  <c r="A1226" i="1"/>
  <c r="T1225" i="1"/>
  <c r="S1225" i="1"/>
  <c r="R1225" i="1"/>
  <c r="K1225" i="1"/>
  <c r="E1225" i="1"/>
  <c r="D1225" i="1"/>
  <c r="C1225" i="1"/>
  <c r="A1225" i="1"/>
  <c r="T1224" i="1"/>
  <c r="S1224" i="1"/>
  <c r="R1224" i="1"/>
  <c r="K1224" i="1"/>
  <c r="E1224" i="1"/>
  <c r="D1224" i="1"/>
  <c r="C1224" i="1"/>
  <c r="A1224" i="1"/>
  <c r="T1223" i="1"/>
  <c r="S1223" i="1"/>
  <c r="R1223" i="1"/>
  <c r="K1223" i="1"/>
  <c r="E1223" i="1"/>
  <c r="D1223" i="1"/>
  <c r="C1223" i="1"/>
  <c r="A1223" i="1"/>
  <c r="T1222" i="1"/>
  <c r="S1222" i="1"/>
  <c r="R1222" i="1"/>
  <c r="K1222" i="1"/>
  <c r="E1222" i="1"/>
  <c r="D1222" i="1"/>
  <c r="C1222" i="1"/>
  <c r="A1222" i="1"/>
  <c r="T1221" i="1"/>
  <c r="S1221" i="1"/>
  <c r="R1221" i="1"/>
  <c r="K1221" i="1"/>
  <c r="E1221" i="1"/>
  <c r="D1221" i="1"/>
  <c r="C1221" i="1"/>
  <c r="A1221" i="1"/>
  <c r="T1220" i="1"/>
  <c r="S1220" i="1"/>
  <c r="R1220" i="1"/>
  <c r="K1220" i="1"/>
  <c r="E1220" i="1"/>
  <c r="D1220" i="1"/>
  <c r="C1220" i="1"/>
  <c r="A1220" i="1"/>
  <c r="T1219" i="1"/>
  <c r="S1219" i="1"/>
  <c r="R1219" i="1"/>
  <c r="K1219" i="1"/>
  <c r="E1219" i="1"/>
  <c r="D1219" i="1"/>
  <c r="C1219" i="1"/>
  <c r="A1219" i="1"/>
  <c r="T1218" i="1"/>
  <c r="S1218" i="1"/>
  <c r="R1218" i="1"/>
  <c r="K1218" i="1"/>
  <c r="E1218" i="1"/>
  <c r="D1218" i="1"/>
  <c r="C1218" i="1"/>
  <c r="A1218" i="1"/>
  <c r="T1217" i="1"/>
  <c r="S1217" i="1"/>
  <c r="R1217" i="1"/>
  <c r="K1217" i="1"/>
  <c r="E1217" i="1"/>
  <c r="D1217" i="1"/>
  <c r="C1217" i="1"/>
  <c r="A1217" i="1"/>
  <c r="T1216" i="1"/>
  <c r="S1216" i="1"/>
  <c r="R1216" i="1"/>
  <c r="K1216" i="1"/>
  <c r="E1216" i="1"/>
  <c r="D1216" i="1"/>
  <c r="C1216" i="1"/>
  <c r="A1216" i="1"/>
  <c r="T1215" i="1"/>
  <c r="S1215" i="1"/>
  <c r="R1215" i="1"/>
  <c r="K1215" i="1"/>
  <c r="E1215" i="1"/>
  <c r="D1215" i="1"/>
  <c r="C1215" i="1"/>
  <c r="A1215" i="1"/>
  <c r="T1214" i="1"/>
  <c r="S1214" i="1"/>
  <c r="R1214" i="1"/>
  <c r="K1214" i="1"/>
  <c r="E1214" i="1"/>
  <c r="D1214" i="1"/>
  <c r="C1214" i="1"/>
  <c r="A1214" i="1"/>
  <c r="T1213" i="1"/>
  <c r="S1213" i="1"/>
  <c r="R1213" i="1"/>
  <c r="K1213" i="1"/>
  <c r="E1213" i="1"/>
  <c r="D1213" i="1"/>
  <c r="C1213" i="1"/>
  <c r="A1213" i="1"/>
  <c r="T1212" i="1"/>
  <c r="S1212" i="1"/>
  <c r="R1212" i="1"/>
  <c r="K1212" i="1"/>
  <c r="E1212" i="1"/>
  <c r="D1212" i="1"/>
  <c r="C1212" i="1"/>
  <c r="A1212" i="1"/>
  <c r="T1211" i="1"/>
  <c r="S1211" i="1"/>
  <c r="R1211" i="1"/>
  <c r="K1211" i="1"/>
  <c r="E1211" i="1"/>
  <c r="D1211" i="1"/>
  <c r="C1211" i="1"/>
  <c r="A1211" i="1"/>
  <c r="T1210" i="1"/>
  <c r="S1210" i="1"/>
  <c r="R1210" i="1"/>
  <c r="K1210" i="1"/>
  <c r="E1210" i="1"/>
  <c r="D1210" i="1"/>
  <c r="C1210" i="1"/>
  <c r="A1210" i="1"/>
  <c r="T1209" i="1"/>
  <c r="S1209" i="1"/>
  <c r="R1209" i="1"/>
  <c r="K1209" i="1"/>
  <c r="E1209" i="1"/>
  <c r="D1209" i="1"/>
  <c r="C1209" i="1"/>
  <c r="A1209" i="1"/>
  <c r="T1208" i="1"/>
  <c r="S1208" i="1"/>
  <c r="R1208" i="1"/>
  <c r="K1208" i="1"/>
  <c r="E1208" i="1"/>
  <c r="D1208" i="1"/>
  <c r="C1208" i="1"/>
  <c r="A1208" i="1"/>
  <c r="T1207" i="1"/>
  <c r="S1207" i="1"/>
  <c r="R1207" i="1"/>
  <c r="K1207" i="1"/>
  <c r="E1207" i="1"/>
  <c r="D1207" i="1"/>
  <c r="C1207" i="1"/>
  <c r="A1207" i="1"/>
  <c r="T1206" i="1"/>
  <c r="S1206" i="1"/>
  <c r="R1206" i="1"/>
  <c r="K1206" i="1"/>
  <c r="E1206" i="1"/>
  <c r="D1206" i="1"/>
  <c r="C1206" i="1"/>
  <c r="A1206" i="1"/>
  <c r="T1205" i="1"/>
  <c r="S1205" i="1"/>
  <c r="R1205" i="1"/>
  <c r="K1205" i="1"/>
  <c r="E1205" i="1"/>
  <c r="D1205" i="1"/>
  <c r="C1205" i="1"/>
  <c r="A1205" i="1"/>
  <c r="T1204" i="1"/>
  <c r="S1204" i="1"/>
  <c r="R1204" i="1"/>
  <c r="K1204" i="1"/>
  <c r="E1204" i="1"/>
  <c r="D1204" i="1"/>
  <c r="C1204" i="1"/>
  <c r="A1204" i="1"/>
  <c r="T1203" i="1"/>
  <c r="S1203" i="1"/>
  <c r="R1203" i="1"/>
  <c r="K1203" i="1"/>
  <c r="E1203" i="1"/>
  <c r="D1203" i="1"/>
  <c r="C1203" i="1"/>
  <c r="A1203" i="1"/>
  <c r="T1202" i="1"/>
  <c r="S1202" i="1"/>
  <c r="R1202" i="1"/>
  <c r="K1202" i="1"/>
  <c r="E1202" i="1"/>
  <c r="D1202" i="1"/>
  <c r="C1202" i="1"/>
  <c r="A1202" i="1"/>
  <c r="T1201" i="1"/>
  <c r="S1201" i="1"/>
  <c r="R1201" i="1"/>
  <c r="K1201" i="1"/>
  <c r="E1201" i="1"/>
  <c r="D1201" i="1"/>
  <c r="C1201" i="1"/>
  <c r="A1201" i="1"/>
  <c r="T1200" i="1"/>
  <c r="S1200" i="1"/>
  <c r="R1200" i="1"/>
  <c r="K1200" i="1"/>
  <c r="E1200" i="1"/>
  <c r="D1200" i="1"/>
  <c r="C1200" i="1"/>
  <c r="A1200" i="1"/>
  <c r="T1199" i="1"/>
  <c r="S1199" i="1"/>
  <c r="R1199" i="1"/>
  <c r="K1199" i="1"/>
  <c r="E1199" i="1"/>
  <c r="D1199" i="1"/>
  <c r="C1199" i="1"/>
  <c r="A1199" i="1"/>
  <c r="T1198" i="1"/>
  <c r="S1198" i="1"/>
  <c r="R1198" i="1"/>
  <c r="K1198" i="1"/>
  <c r="E1198" i="1"/>
  <c r="D1198" i="1"/>
  <c r="C1198" i="1"/>
  <c r="A1198" i="1"/>
  <c r="T1197" i="1"/>
  <c r="S1197" i="1"/>
  <c r="R1197" i="1"/>
  <c r="K1197" i="1"/>
  <c r="E1197" i="1"/>
  <c r="D1197" i="1"/>
  <c r="C1197" i="1"/>
  <c r="A1197" i="1"/>
  <c r="T1196" i="1"/>
  <c r="S1196" i="1"/>
  <c r="R1196" i="1"/>
  <c r="K1196" i="1"/>
  <c r="E1196" i="1"/>
  <c r="D1196" i="1"/>
  <c r="C1196" i="1"/>
  <c r="A1196" i="1"/>
  <c r="T1195" i="1"/>
  <c r="S1195" i="1"/>
  <c r="R1195" i="1"/>
  <c r="K1195" i="1"/>
  <c r="E1195" i="1"/>
  <c r="D1195" i="1"/>
  <c r="C1195" i="1"/>
  <c r="A1195" i="1"/>
  <c r="T1194" i="1"/>
  <c r="S1194" i="1"/>
  <c r="R1194" i="1"/>
  <c r="K1194" i="1"/>
  <c r="E1194" i="1"/>
  <c r="D1194" i="1"/>
  <c r="C1194" i="1"/>
  <c r="A1194" i="1"/>
  <c r="T1193" i="1"/>
  <c r="S1193" i="1"/>
  <c r="R1193" i="1"/>
  <c r="K1193" i="1"/>
  <c r="E1193" i="1"/>
  <c r="D1193" i="1"/>
  <c r="C1193" i="1"/>
  <c r="A1193" i="1"/>
  <c r="T1192" i="1"/>
  <c r="S1192" i="1"/>
  <c r="R1192" i="1"/>
  <c r="K1192" i="1"/>
  <c r="E1192" i="1"/>
  <c r="D1192" i="1"/>
  <c r="C1192" i="1"/>
  <c r="A1192" i="1"/>
  <c r="T1191" i="1"/>
  <c r="S1191" i="1"/>
  <c r="R1191" i="1"/>
  <c r="K1191" i="1"/>
  <c r="E1191" i="1"/>
  <c r="D1191" i="1"/>
  <c r="C1191" i="1"/>
  <c r="A1191" i="1"/>
  <c r="T1190" i="1"/>
  <c r="S1190" i="1"/>
  <c r="R1190" i="1"/>
  <c r="K1190" i="1"/>
  <c r="E1190" i="1"/>
  <c r="D1190" i="1"/>
  <c r="C1190" i="1"/>
  <c r="A1190" i="1"/>
  <c r="T1189" i="1"/>
  <c r="S1189" i="1"/>
  <c r="R1189" i="1"/>
  <c r="K1189" i="1"/>
  <c r="E1189" i="1"/>
  <c r="D1189" i="1"/>
  <c r="C1189" i="1"/>
  <c r="A1189" i="1"/>
  <c r="T1188" i="1"/>
  <c r="S1188" i="1"/>
  <c r="R1188" i="1"/>
  <c r="K1188" i="1"/>
  <c r="E1188" i="1"/>
  <c r="D1188" i="1"/>
  <c r="C1188" i="1"/>
  <c r="A1188" i="1"/>
  <c r="T1187" i="1"/>
  <c r="S1187" i="1"/>
  <c r="R1187" i="1"/>
  <c r="K1187" i="1"/>
  <c r="E1187" i="1"/>
  <c r="D1187" i="1"/>
  <c r="C1187" i="1"/>
  <c r="A1187" i="1"/>
  <c r="T1186" i="1"/>
  <c r="S1186" i="1"/>
  <c r="R1186" i="1"/>
  <c r="K1186" i="1"/>
  <c r="E1186" i="1"/>
  <c r="D1186" i="1"/>
  <c r="C1186" i="1"/>
  <c r="A1186" i="1"/>
  <c r="T1185" i="1"/>
  <c r="S1185" i="1"/>
  <c r="R1185" i="1"/>
  <c r="K1185" i="1"/>
  <c r="E1185" i="1"/>
  <c r="D1185" i="1"/>
  <c r="C1185" i="1"/>
  <c r="A1185" i="1"/>
  <c r="T1184" i="1"/>
  <c r="S1184" i="1"/>
  <c r="R1184" i="1"/>
  <c r="K1184" i="1"/>
  <c r="E1184" i="1"/>
  <c r="D1184" i="1"/>
  <c r="C1184" i="1"/>
  <c r="A1184" i="1"/>
  <c r="T1183" i="1"/>
  <c r="S1183" i="1"/>
  <c r="R1183" i="1"/>
  <c r="K1183" i="1"/>
  <c r="E1183" i="1"/>
  <c r="D1183" i="1"/>
  <c r="C1183" i="1"/>
  <c r="A1183" i="1"/>
  <c r="T1182" i="1"/>
  <c r="S1182" i="1"/>
  <c r="R1182" i="1"/>
  <c r="K1182" i="1"/>
  <c r="E1182" i="1"/>
  <c r="D1182" i="1"/>
  <c r="C1182" i="1"/>
  <c r="A1182" i="1"/>
  <c r="T1181" i="1"/>
  <c r="S1181" i="1"/>
  <c r="R1181" i="1"/>
  <c r="K1181" i="1"/>
  <c r="E1181" i="1"/>
  <c r="D1181" i="1"/>
  <c r="C1181" i="1"/>
  <c r="A1181" i="1"/>
  <c r="T1180" i="1"/>
  <c r="S1180" i="1"/>
  <c r="R1180" i="1"/>
  <c r="K1180" i="1"/>
  <c r="E1180" i="1"/>
  <c r="D1180" i="1"/>
  <c r="C1180" i="1"/>
  <c r="A1180" i="1"/>
  <c r="T1179" i="1"/>
  <c r="S1179" i="1"/>
  <c r="R1179" i="1"/>
  <c r="K1179" i="1"/>
  <c r="E1179" i="1"/>
  <c r="D1179" i="1"/>
  <c r="C1179" i="1"/>
  <c r="A1179" i="1"/>
  <c r="T1178" i="1"/>
  <c r="S1178" i="1"/>
  <c r="R1178" i="1"/>
  <c r="K1178" i="1"/>
  <c r="E1178" i="1"/>
  <c r="D1178" i="1"/>
  <c r="C1178" i="1"/>
  <c r="A1178" i="1"/>
  <c r="T1177" i="1"/>
  <c r="S1177" i="1"/>
  <c r="R1177" i="1"/>
  <c r="K1177" i="1"/>
  <c r="E1177" i="1"/>
  <c r="D1177" i="1"/>
  <c r="C1177" i="1"/>
  <c r="A1177" i="1"/>
  <c r="T1176" i="1"/>
  <c r="S1176" i="1"/>
  <c r="R1176" i="1"/>
  <c r="K1176" i="1"/>
  <c r="E1176" i="1"/>
  <c r="D1176" i="1"/>
  <c r="C1176" i="1"/>
  <c r="A1176" i="1"/>
  <c r="T1175" i="1"/>
  <c r="S1175" i="1"/>
  <c r="R1175" i="1"/>
  <c r="K1175" i="1"/>
  <c r="E1175" i="1"/>
  <c r="D1175" i="1"/>
  <c r="C1175" i="1"/>
  <c r="A1175" i="1"/>
  <c r="T1174" i="1"/>
  <c r="S1174" i="1"/>
  <c r="R1174" i="1"/>
  <c r="K1174" i="1"/>
  <c r="E1174" i="1"/>
  <c r="D1174" i="1"/>
  <c r="C1174" i="1"/>
  <c r="A1174" i="1"/>
  <c r="T1173" i="1"/>
  <c r="S1173" i="1"/>
  <c r="R1173" i="1"/>
  <c r="K1173" i="1"/>
  <c r="E1173" i="1"/>
  <c r="D1173" i="1"/>
  <c r="C1173" i="1"/>
  <c r="A1173" i="1"/>
  <c r="T1172" i="1"/>
  <c r="S1172" i="1"/>
  <c r="R1172" i="1"/>
  <c r="K1172" i="1"/>
  <c r="E1172" i="1"/>
  <c r="D1172" i="1"/>
  <c r="C1172" i="1"/>
  <c r="A1172" i="1"/>
  <c r="T1171" i="1"/>
  <c r="S1171" i="1"/>
  <c r="R1171" i="1"/>
  <c r="K1171" i="1"/>
  <c r="E1171" i="1"/>
  <c r="D1171" i="1"/>
  <c r="C1171" i="1"/>
  <c r="A1171" i="1"/>
  <c r="T1170" i="1"/>
  <c r="S1170" i="1"/>
  <c r="R1170" i="1"/>
  <c r="K1170" i="1"/>
  <c r="E1170" i="1"/>
  <c r="D1170" i="1"/>
  <c r="C1170" i="1"/>
  <c r="A1170" i="1"/>
  <c r="T1169" i="1"/>
  <c r="S1169" i="1"/>
  <c r="R1169" i="1"/>
  <c r="K1169" i="1"/>
  <c r="E1169" i="1"/>
  <c r="D1169" i="1"/>
  <c r="C1169" i="1"/>
  <c r="A1169" i="1"/>
  <c r="T1168" i="1"/>
  <c r="S1168" i="1"/>
  <c r="R1168" i="1"/>
  <c r="K1168" i="1"/>
  <c r="E1168" i="1"/>
  <c r="D1168" i="1"/>
  <c r="C1168" i="1"/>
  <c r="A1168" i="1"/>
  <c r="T1167" i="1"/>
  <c r="S1167" i="1"/>
  <c r="R1167" i="1"/>
  <c r="K1167" i="1"/>
  <c r="E1167" i="1"/>
  <c r="D1167" i="1"/>
  <c r="C1167" i="1"/>
  <c r="A1167" i="1"/>
  <c r="T1166" i="1"/>
  <c r="S1166" i="1"/>
  <c r="R1166" i="1"/>
  <c r="K1166" i="1"/>
  <c r="E1166" i="1"/>
  <c r="D1166" i="1"/>
  <c r="C1166" i="1"/>
  <c r="A1166" i="1"/>
  <c r="T1165" i="1"/>
  <c r="S1165" i="1"/>
  <c r="R1165" i="1"/>
  <c r="K1165" i="1"/>
  <c r="E1165" i="1"/>
  <c r="D1165" i="1"/>
  <c r="C1165" i="1"/>
  <c r="A1165" i="1"/>
  <c r="T1164" i="1"/>
  <c r="S1164" i="1"/>
  <c r="R1164" i="1"/>
  <c r="K1164" i="1"/>
  <c r="E1164" i="1"/>
  <c r="D1164" i="1"/>
  <c r="C1164" i="1"/>
  <c r="A1164" i="1"/>
  <c r="T1163" i="1"/>
  <c r="S1163" i="1"/>
  <c r="R1163" i="1"/>
  <c r="K1163" i="1"/>
  <c r="E1163" i="1"/>
  <c r="D1163" i="1"/>
  <c r="C1163" i="1"/>
  <c r="A1163" i="1"/>
  <c r="T1162" i="1"/>
  <c r="S1162" i="1"/>
  <c r="R1162" i="1"/>
  <c r="K1162" i="1"/>
  <c r="E1162" i="1"/>
  <c r="D1162" i="1"/>
  <c r="C1162" i="1"/>
  <c r="A1162" i="1"/>
  <c r="T1161" i="1"/>
  <c r="S1161" i="1"/>
  <c r="R1161" i="1"/>
  <c r="K1161" i="1"/>
  <c r="E1161" i="1"/>
  <c r="D1161" i="1"/>
  <c r="C1161" i="1"/>
  <c r="A1161" i="1"/>
  <c r="T1160" i="1"/>
  <c r="S1160" i="1"/>
  <c r="R1160" i="1"/>
  <c r="K1160" i="1"/>
  <c r="E1160" i="1"/>
  <c r="D1160" i="1"/>
  <c r="C1160" i="1"/>
  <c r="A1160" i="1"/>
  <c r="T1159" i="1"/>
  <c r="S1159" i="1"/>
  <c r="R1159" i="1"/>
  <c r="M1159" i="1"/>
  <c r="K1159" i="1"/>
  <c r="E1159" i="1"/>
  <c r="D1159" i="1"/>
  <c r="C1159" i="1"/>
  <c r="A1159" i="1"/>
  <c r="T1158" i="1"/>
  <c r="S1158" i="1"/>
  <c r="R1158" i="1"/>
  <c r="M1158" i="1"/>
  <c r="K1158" i="1"/>
  <c r="E1158" i="1"/>
  <c r="D1158" i="1"/>
  <c r="C1158" i="1"/>
  <c r="A1158" i="1"/>
  <c r="T1157" i="1"/>
  <c r="S1157" i="1"/>
  <c r="R1157" i="1"/>
  <c r="M1157" i="1"/>
  <c r="K1157" i="1"/>
  <c r="E1157" i="1"/>
  <c r="D1157" i="1"/>
  <c r="C1157" i="1"/>
  <c r="A1157" i="1"/>
  <c r="T1156" i="1"/>
  <c r="S1156" i="1"/>
  <c r="R1156" i="1"/>
  <c r="M1156" i="1"/>
  <c r="K1156" i="1"/>
  <c r="E1156" i="1"/>
  <c r="D1156" i="1"/>
  <c r="C1156" i="1"/>
  <c r="A1156" i="1"/>
  <c r="T1155" i="1"/>
  <c r="S1155" i="1"/>
  <c r="R1155" i="1"/>
  <c r="M1155" i="1"/>
  <c r="K1155" i="1"/>
  <c r="E1155" i="1"/>
  <c r="D1155" i="1"/>
  <c r="C1155" i="1"/>
  <c r="A1155" i="1"/>
  <c r="T1154" i="1"/>
  <c r="S1154" i="1"/>
  <c r="R1154" i="1"/>
  <c r="M1154" i="1"/>
  <c r="K1154" i="1"/>
  <c r="E1154" i="1"/>
  <c r="D1154" i="1"/>
  <c r="C1154" i="1"/>
  <c r="A1154" i="1"/>
  <c r="T1153" i="1"/>
  <c r="S1153" i="1"/>
  <c r="R1153" i="1"/>
  <c r="M1153" i="1"/>
  <c r="K1153" i="1"/>
  <c r="E1153" i="1"/>
  <c r="D1153" i="1"/>
  <c r="C1153" i="1"/>
  <c r="A1153" i="1"/>
  <c r="T1152" i="1"/>
  <c r="S1152" i="1"/>
  <c r="R1152" i="1"/>
  <c r="M1152" i="1"/>
  <c r="K1152" i="1"/>
  <c r="E1152" i="1"/>
  <c r="D1152" i="1"/>
  <c r="C1152" i="1"/>
  <c r="A1152" i="1"/>
  <c r="T1151" i="1"/>
  <c r="S1151" i="1"/>
  <c r="R1151" i="1"/>
  <c r="M1151" i="1"/>
  <c r="K1151" i="1"/>
  <c r="E1151" i="1"/>
  <c r="D1151" i="1"/>
  <c r="C1151" i="1"/>
  <c r="A1151" i="1"/>
  <c r="T1150" i="1"/>
  <c r="S1150" i="1"/>
  <c r="R1150" i="1"/>
  <c r="M1150" i="1"/>
  <c r="K1150" i="1"/>
  <c r="E1150" i="1"/>
  <c r="D1150" i="1"/>
  <c r="C1150" i="1"/>
  <c r="A1150" i="1"/>
  <c r="T1149" i="1"/>
  <c r="S1149" i="1"/>
  <c r="R1149" i="1"/>
  <c r="M1149" i="1"/>
  <c r="K1149" i="1"/>
  <c r="E1149" i="1"/>
  <c r="D1149" i="1"/>
  <c r="C1149" i="1"/>
  <c r="A1149" i="1"/>
  <c r="T1148" i="1"/>
  <c r="S1148" i="1"/>
  <c r="R1148" i="1"/>
  <c r="M1148" i="1"/>
  <c r="K1148" i="1"/>
  <c r="E1148" i="1"/>
  <c r="D1148" i="1"/>
  <c r="C1148" i="1"/>
  <c r="A1148" i="1"/>
  <c r="T1147" i="1"/>
  <c r="S1147" i="1"/>
  <c r="R1147" i="1"/>
  <c r="M1147" i="1"/>
  <c r="K1147" i="1"/>
  <c r="E1147" i="1"/>
  <c r="D1147" i="1"/>
  <c r="C1147" i="1"/>
  <c r="A1147" i="1"/>
  <c r="T1146" i="1"/>
  <c r="S1146" i="1"/>
  <c r="R1146" i="1"/>
  <c r="M1146" i="1"/>
  <c r="K1146" i="1"/>
  <c r="E1146" i="1"/>
  <c r="D1146" i="1"/>
  <c r="C1146" i="1"/>
  <c r="A1146" i="1"/>
  <c r="T1145" i="1"/>
  <c r="S1145" i="1"/>
  <c r="R1145" i="1"/>
  <c r="M1145" i="1"/>
  <c r="K1145" i="1"/>
  <c r="E1145" i="1"/>
  <c r="D1145" i="1"/>
  <c r="C1145" i="1"/>
  <c r="A1145" i="1"/>
  <c r="T1144" i="1"/>
  <c r="S1144" i="1"/>
  <c r="R1144" i="1"/>
  <c r="M1144" i="1"/>
  <c r="K1144" i="1"/>
  <c r="E1144" i="1"/>
  <c r="D1144" i="1"/>
  <c r="C1144" i="1"/>
  <c r="A1144" i="1"/>
  <c r="T1143" i="1"/>
  <c r="S1143" i="1"/>
  <c r="R1143" i="1"/>
  <c r="M1143" i="1"/>
  <c r="K1143" i="1"/>
  <c r="E1143" i="1"/>
  <c r="D1143" i="1"/>
  <c r="C1143" i="1"/>
  <c r="A1143" i="1"/>
  <c r="T1142" i="1"/>
  <c r="S1142" i="1"/>
  <c r="R1142" i="1"/>
  <c r="M1142" i="1"/>
  <c r="K1142" i="1"/>
  <c r="E1142" i="1"/>
  <c r="D1142" i="1"/>
  <c r="C1142" i="1"/>
  <c r="A1142" i="1"/>
  <c r="T1141" i="1"/>
  <c r="S1141" i="1"/>
  <c r="R1141" i="1"/>
  <c r="M1141" i="1"/>
  <c r="K1141" i="1"/>
  <c r="E1141" i="1"/>
  <c r="D1141" i="1"/>
  <c r="C1141" i="1"/>
  <c r="A1141" i="1"/>
  <c r="T1140" i="1"/>
  <c r="S1140" i="1"/>
  <c r="R1140" i="1"/>
  <c r="M1140" i="1"/>
  <c r="K1140" i="1"/>
  <c r="E1140" i="1"/>
  <c r="D1140" i="1"/>
  <c r="C1140" i="1"/>
  <c r="A1140" i="1"/>
  <c r="T1139" i="1"/>
  <c r="S1139" i="1"/>
  <c r="R1139" i="1"/>
  <c r="M1139" i="1"/>
  <c r="K1139" i="1"/>
  <c r="E1139" i="1"/>
  <c r="D1139" i="1"/>
  <c r="C1139" i="1"/>
  <c r="A1139" i="1"/>
  <c r="T1138" i="1"/>
  <c r="S1138" i="1"/>
  <c r="R1138" i="1"/>
  <c r="K1138" i="1"/>
  <c r="E1138" i="1"/>
  <c r="D1138" i="1"/>
  <c r="C1138" i="1"/>
  <c r="A1138" i="1"/>
  <c r="T1137" i="1"/>
  <c r="S1137" i="1"/>
  <c r="R1137" i="1"/>
  <c r="K1137" i="1"/>
  <c r="E1137" i="1"/>
  <c r="D1137" i="1"/>
  <c r="C1137" i="1"/>
  <c r="A1137" i="1"/>
  <c r="T1136" i="1"/>
  <c r="S1136" i="1"/>
  <c r="R1136" i="1"/>
  <c r="K1136" i="1"/>
  <c r="E1136" i="1"/>
  <c r="D1136" i="1"/>
  <c r="C1136" i="1"/>
  <c r="A1136" i="1"/>
  <c r="T1135" i="1"/>
  <c r="S1135" i="1"/>
  <c r="R1135" i="1"/>
  <c r="K1135" i="1"/>
  <c r="E1135" i="1"/>
  <c r="D1135" i="1"/>
  <c r="C1135" i="1"/>
  <c r="A1135" i="1"/>
  <c r="T1134" i="1"/>
  <c r="S1134" i="1"/>
  <c r="R1134" i="1"/>
  <c r="K1134" i="1"/>
  <c r="E1134" i="1"/>
  <c r="D1134" i="1"/>
  <c r="C1134" i="1"/>
  <c r="A1134" i="1"/>
  <c r="T1133" i="1"/>
  <c r="S1133" i="1"/>
  <c r="R1133" i="1"/>
  <c r="K1133" i="1"/>
  <c r="E1133" i="1"/>
  <c r="D1133" i="1"/>
  <c r="C1133" i="1"/>
  <c r="A1133" i="1"/>
  <c r="T1132" i="1"/>
  <c r="S1132" i="1"/>
  <c r="R1132" i="1"/>
  <c r="K1132" i="1"/>
  <c r="E1132" i="1"/>
  <c r="D1132" i="1"/>
  <c r="C1132" i="1"/>
  <c r="A1132" i="1"/>
  <c r="T1131" i="1"/>
  <c r="S1131" i="1"/>
  <c r="R1131" i="1"/>
  <c r="K1131" i="1"/>
  <c r="E1131" i="1"/>
  <c r="D1131" i="1"/>
  <c r="C1131" i="1"/>
  <c r="A1131" i="1"/>
  <c r="T1130" i="1"/>
  <c r="S1130" i="1"/>
  <c r="R1130" i="1"/>
  <c r="K1130" i="1"/>
  <c r="E1130" i="1"/>
  <c r="D1130" i="1"/>
  <c r="C1130" i="1"/>
  <c r="A1130" i="1"/>
  <c r="T1129" i="1"/>
  <c r="S1129" i="1"/>
  <c r="R1129" i="1"/>
  <c r="K1129" i="1"/>
  <c r="E1129" i="1"/>
  <c r="D1129" i="1"/>
  <c r="C1129" i="1"/>
  <c r="A1129" i="1"/>
  <c r="T1128" i="1"/>
  <c r="S1128" i="1"/>
  <c r="R1128" i="1"/>
  <c r="K1128" i="1"/>
  <c r="E1128" i="1"/>
  <c r="D1128" i="1"/>
  <c r="C1128" i="1"/>
  <c r="A1128" i="1"/>
  <c r="T1127" i="1"/>
  <c r="S1127" i="1"/>
  <c r="R1127" i="1"/>
  <c r="K1127" i="1"/>
  <c r="E1127" i="1"/>
  <c r="D1127" i="1"/>
  <c r="C1127" i="1"/>
  <c r="A1127" i="1"/>
  <c r="T1126" i="1"/>
  <c r="S1126" i="1"/>
  <c r="R1126" i="1"/>
  <c r="K1126" i="1"/>
  <c r="E1126" i="1"/>
  <c r="D1126" i="1"/>
  <c r="C1126" i="1"/>
  <c r="A1126" i="1"/>
  <c r="T1125" i="1"/>
  <c r="S1125" i="1"/>
  <c r="R1125" i="1"/>
  <c r="K1125" i="1"/>
  <c r="E1125" i="1"/>
  <c r="D1125" i="1"/>
  <c r="C1125" i="1"/>
  <c r="A1125" i="1"/>
  <c r="T1124" i="1"/>
  <c r="S1124" i="1"/>
  <c r="R1124" i="1"/>
  <c r="K1124" i="1"/>
  <c r="E1124" i="1"/>
  <c r="D1124" i="1"/>
  <c r="C1124" i="1"/>
  <c r="A1124" i="1"/>
  <c r="T1123" i="1"/>
  <c r="S1123" i="1"/>
  <c r="R1123" i="1"/>
  <c r="K1123" i="1"/>
  <c r="E1123" i="1"/>
  <c r="D1123" i="1"/>
  <c r="C1123" i="1"/>
  <c r="A1123" i="1"/>
  <c r="T1122" i="1"/>
  <c r="S1122" i="1"/>
  <c r="R1122" i="1"/>
  <c r="K1122" i="1"/>
  <c r="E1122" i="1"/>
  <c r="D1122" i="1"/>
  <c r="C1122" i="1"/>
  <c r="A1122" i="1"/>
  <c r="T1121" i="1"/>
  <c r="S1121" i="1"/>
  <c r="R1121" i="1"/>
  <c r="K1121" i="1"/>
  <c r="E1121" i="1"/>
  <c r="D1121" i="1"/>
  <c r="C1121" i="1"/>
  <c r="A1121" i="1"/>
  <c r="T1120" i="1"/>
  <c r="S1120" i="1"/>
  <c r="R1120" i="1"/>
  <c r="K1120" i="1"/>
  <c r="E1120" i="1"/>
  <c r="D1120" i="1"/>
  <c r="C1120" i="1"/>
  <c r="A1120" i="1"/>
  <c r="T1119" i="1"/>
  <c r="S1119" i="1"/>
  <c r="R1119" i="1"/>
  <c r="K1119" i="1"/>
  <c r="E1119" i="1"/>
  <c r="D1119" i="1"/>
  <c r="C1119" i="1"/>
  <c r="A1119" i="1"/>
  <c r="T1118" i="1"/>
  <c r="S1118" i="1"/>
  <c r="R1118" i="1"/>
  <c r="K1118" i="1"/>
  <c r="E1118" i="1"/>
  <c r="D1118" i="1"/>
  <c r="C1118" i="1"/>
  <c r="A1118" i="1"/>
  <c r="T1117" i="1"/>
  <c r="S1117" i="1"/>
  <c r="R1117" i="1"/>
  <c r="K1117" i="1"/>
  <c r="E1117" i="1"/>
  <c r="D1117" i="1"/>
  <c r="C1117" i="1"/>
  <c r="A1117" i="1"/>
  <c r="T1116" i="1"/>
  <c r="S1116" i="1"/>
  <c r="R1116" i="1"/>
  <c r="K1116" i="1"/>
  <c r="E1116" i="1"/>
  <c r="D1116" i="1"/>
  <c r="C1116" i="1"/>
  <c r="A1116" i="1"/>
  <c r="T1115" i="1"/>
  <c r="S1115" i="1"/>
  <c r="R1115" i="1"/>
  <c r="M1115" i="1"/>
  <c r="K1115" i="1"/>
  <c r="E1115" i="1"/>
  <c r="D1115" i="1"/>
  <c r="C1115" i="1"/>
  <c r="A1115" i="1"/>
  <c r="T1114" i="1"/>
  <c r="S1114" i="1"/>
  <c r="R1114" i="1"/>
  <c r="M1114" i="1"/>
  <c r="K1114" i="1"/>
  <c r="E1114" i="1"/>
  <c r="D1114" i="1"/>
  <c r="C1114" i="1"/>
  <c r="A1114" i="1"/>
  <c r="T1113" i="1"/>
  <c r="S1113" i="1"/>
  <c r="R1113" i="1"/>
  <c r="M1113" i="1"/>
  <c r="K1113" i="1"/>
  <c r="E1113" i="1"/>
  <c r="D1113" i="1"/>
  <c r="C1113" i="1"/>
  <c r="A1113" i="1"/>
  <c r="T1112" i="1"/>
  <c r="S1112" i="1"/>
  <c r="R1112" i="1"/>
  <c r="M1112" i="1"/>
  <c r="K1112" i="1"/>
  <c r="E1112" i="1"/>
  <c r="D1112" i="1"/>
  <c r="C1112" i="1"/>
  <c r="A1112" i="1"/>
  <c r="T1111" i="1"/>
  <c r="S1111" i="1"/>
  <c r="R1111" i="1"/>
  <c r="M1111" i="1"/>
  <c r="K1111" i="1"/>
  <c r="E1111" i="1"/>
  <c r="D1111" i="1"/>
  <c r="C1111" i="1"/>
  <c r="A1111" i="1"/>
  <c r="T1110" i="1"/>
  <c r="S1110" i="1"/>
  <c r="R1110" i="1"/>
  <c r="M1110" i="1"/>
  <c r="K1110" i="1"/>
  <c r="E1110" i="1"/>
  <c r="D1110" i="1"/>
  <c r="C1110" i="1"/>
  <c r="A1110" i="1"/>
  <c r="T1109" i="1"/>
  <c r="S1109" i="1"/>
  <c r="R1109" i="1"/>
  <c r="M1109" i="1"/>
  <c r="K1109" i="1"/>
  <c r="E1109" i="1"/>
  <c r="D1109" i="1"/>
  <c r="C1109" i="1"/>
  <c r="A1109" i="1"/>
  <c r="T1108" i="1"/>
  <c r="S1108" i="1"/>
  <c r="R1108" i="1"/>
  <c r="M1108" i="1"/>
  <c r="K1108" i="1"/>
  <c r="E1108" i="1"/>
  <c r="D1108" i="1"/>
  <c r="C1108" i="1"/>
  <c r="A1108" i="1"/>
  <c r="T1107" i="1"/>
  <c r="S1107" i="1"/>
  <c r="R1107" i="1"/>
  <c r="M1107" i="1"/>
  <c r="K1107" i="1"/>
  <c r="E1107" i="1"/>
  <c r="D1107" i="1"/>
  <c r="C1107" i="1"/>
  <c r="A1107" i="1"/>
  <c r="T1106" i="1"/>
  <c r="S1106" i="1"/>
  <c r="R1106" i="1"/>
  <c r="M1106" i="1"/>
  <c r="K1106" i="1"/>
  <c r="E1106" i="1"/>
  <c r="D1106" i="1"/>
  <c r="C1106" i="1"/>
  <c r="A1106" i="1"/>
  <c r="T1105" i="1"/>
  <c r="S1105" i="1"/>
  <c r="R1105" i="1"/>
  <c r="Q1105" i="1"/>
  <c r="P1105" i="1"/>
  <c r="M1105" i="1"/>
  <c r="K1105" i="1"/>
  <c r="I1105" i="1"/>
  <c r="E1105" i="1"/>
  <c r="D1105" i="1"/>
  <c r="C1105" i="1"/>
  <c r="A1105" i="1"/>
  <c r="T1104" i="1"/>
  <c r="S1104" i="1"/>
  <c r="R1104" i="1"/>
  <c r="P1104" i="1"/>
  <c r="N1104" i="1"/>
  <c r="M1104" i="1"/>
  <c r="K1104" i="1"/>
  <c r="I1104" i="1"/>
  <c r="E1104" i="1"/>
  <c r="D1104" i="1"/>
  <c r="C1104" i="1"/>
  <c r="A1104" i="1"/>
  <c r="T1103" i="1"/>
  <c r="S1103" i="1"/>
  <c r="R1103" i="1"/>
  <c r="K1103" i="1"/>
  <c r="E1103" i="1"/>
  <c r="D1103" i="1"/>
  <c r="C1103" i="1"/>
  <c r="A1103" i="1"/>
  <c r="T1102" i="1"/>
  <c r="S1102" i="1"/>
  <c r="R1102" i="1"/>
  <c r="K1102" i="1"/>
  <c r="E1102" i="1"/>
  <c r="D1102" i="1"/>
  <c r="C1102" i="1"/>
  <c r="A1102" i="1"/>
  <c r="T1101" i="1"/>
  <c r="S1101" i="1"/>
  <c r="R1101" i="1"/>
  <c r="K1101" i="1"/>
  <c r="E1101" i="1"/>
  <c r="D1101" i="1"/>
  <c r="C1101" i="1"/>
  <c r="A1101" i="1"/>
  <c r="T1100" i="1"/>
  <c r="S1100" i="1"/>
  <c r="R1100" i="1"/>
  <c r="K1100" i="1"/>
  <c r="E1100" i="1"/>
  <c r="D1100" i="1"/>
  <c r="C1100" i="1"/>
  <c r="A1100" i="1"/>
  <c r="T1099" i="1"/>
  <c r="S1099" i="1"/>
  <c r="R1099" i="1"/>
  <c r="K1099" i="1"/>
  <c r="E1099" i="1"/>
  <c r="D1099" i="1"/>
  <c r="C1099" i="1"/>
  <c r="A1099" i="1"/>
  <c r="T1098" i="1"/>
  <c r="S1098" i="1"/>
  <c r="R1098" i="1"/>
  <c r="K1098" i="1"/>
  <c r="E1098" i="1"/>
  <c r="D1098" i="1"/>
  <c r="C1098" i="1"/>
  <c r="A1098" i="1"/>
  <c r="T1097" i="1"/>
  <c r="S1097" i="1"/>
  <c r="R1097" i="1"/>
  <c r="K1097" i="1"/>
  <c r="E1097" i="1"/>
  <c r="D1097" i="1"/>
  <c r="C1097" i="1"/>
  <c r="A1097" i="1"/>
  <c r="T1096" i="1"/>
  <c r="S1096" i="1"/>
  <c r="R1096" i="1"/>
  <c r="K1096" i="1"/>
  <c r="E1096" i="1"/>
  <c r="D1096" i="1"/>
  <c r="C1096" i="1"/>
  <c r="A1096" i="1"/>
  <c r="T1095" i="1"/>
  <c r="S1095" i="1"/>
  <c r="R1095" i="1"/>
  <c r="K1095" i="1"/>
  <c r="E1095" i="1"/>
  <c r="D1095" i="1"/>
  <c r="C1095" i="1"/>
  <c r="A1095" i="1"/>
  <c r="T1094" i="1"/>
  <c r="S1094" i="1"/>
  <c r="R1094" i="1"/>
  <c r="K1094" i="1"/>
  <c r="E1094" i="1"/>
  <c r="D1094" i="1"/>
  <c r="C1094" i="1"/>
  <c r="A1094" i="1"/>
  <c r="T1093" i="1"/>
  <c r="S1093" i="1"/>
  <c r="R1093" i="1"/>
  <c r="K1093" i="1"/>
  <c r="E1093" i="1"/>
  <c r="D1093" i="1"/>
  <c r="C1093" i="1"/>
  <c r="A1093" i="1"/>
  <c r="T1092" i="1"/>
  <c r="S1092" i="1"/>
  <c r="R1092" i="1"/>
  <c r="K1092" i="1"/>
  <c r="E1092" i="1"/>
  <c r="D1092" i="1"/>
  <c r="C1092" i="1"/>
  <c r="A1092" i="1"/>
  <c r="T1091" i="1"/>
  <c r="S1091" i="1"/>
  <c r="R1091" i="1"/>
  <c r="K1091" i="1"/>
  <c r="E1091" i="1"/>
  <c r="D1091" i="1"/>
  <c r="C1091" i="1"/>
  <c r="A1091" i="1"/>
  <c r="T1090" i="1"/>
  <c r="S1090" i="1"/>
  <c r="R1090" i="1"/>
  <c r="K1090" i="1"/>
  <c r="E1090" i="1"/>
  <c r="D1090" i="1"/>
  <c r="C1090" i="1"/>
  <c r="A1090" i="1"/>
  <c r="T1089" i="1"/>
  <c r="S1089" i="1"/>
  <c r="R1089" i="1"/>
  <c r="Q1089" i="1"/>
  <c r="P1089" i="1"/>
  <c r="K1089" i="1"/>
  <c r="E1089" i="1"/>
  <c r="D1089" i="1"/>
  <c r="C1089" i="1"/>
  <c r="B1089" i="1"/>
  <c r="A1089" i="1"/>
  <c r="T1088" i="1"/>
  <c r="S1088" i="1"/>
  <c r="R1088" i="1"/>
  <c r="Q1088" i="1"/>
  <c r="P1088" i="1"/>
  <c r="K1088" i="1"/>
  <c r="E1088" i="1"/>
  <c r="D1088" i="1"/>
  <c r="C1088" i="1"/>
  <c r="A1088" i="1"/>
  <c r="T1087" i="1"/>
  <c r="S1087" i="1"/>
  <c r="R1087" i="1"/>
  <c r="Q1087" i="1"/>
  <c r="P1087" i="1"/>
  <c r="K1087" i="1"/>
  <c r="E1087" i="1"/>
  <c r="D1087" i="1"/>
  <c r="C1087" i="1"/>
  <c r="B1087" i="1"/>
  <c r="A1087" i="1"/>
  <c r="T1086" i="1"/>
  <c r="S1086" i="1"/>
  <c r="R1086" i="1"/>
  <c r="Q1086" i="1"/>
  <c r="P1086" i="1"/>
  <c r="K1086" i="1"/>
  <c r="E1086" i="1"/>
  <c r="D1086" i="1"/>
  <c r="C1086" i="1"/>
  <c r="A1086" i="1"/>
  <c r="T1085" i="1"/>
  <c r="S1085" i="1"/>
  <c r="R1085" i="1"/>
  <c r="Q1085" i="1"/>
  <c r="P1085" i="1"/>
  <c r="M1085" i="1"/>
  <c r="K1085" i="1"/>
  <c r="E1085" i="1"/>
  <c r="D1085" i="1"/>
  <c r="C1085" i="1"/>
  <c r="B1085" i="1"/>
  <c r="A1085" i="1"/>
  <c r="T1084" i="1"/>
  <c r="S1084" i="1"/>
  <c r="R1084" i="1"/>
  <c r="Q1084" i="1"/>
  <c r="P1084" i="1"/>
  <c r="M1084" i="1"/>
  <c r="K1084" i="1"/>
  <c r="E1084" i="1"/>
  <c r="D1084" i="1"/>
  <c r="C1084" i="1"/>
  <c r="B1084" i="1"/>
  <c r="A1084" i="1"/>
  <c r="T1083" i="1"/>
  <c r="S1083" i="1"/>
  <c r="R1083" i="1"/>
  <c r="Q1083" i="1"/>
  <c r="P1083" i="1"/>
  <c r="M1083" i="1"/>
  <c r="K1083" i="1"/>
  <c r="E1083" i="1"/>
  <c r="D1083" i="1"/>
  <c r="C1083" i="1"/>
  <c r="B1083" i="1"/>
  <c r="A1083" i="1"/>
  <c r="T1082" i="1"/>
  <c r="S1082" i="1"/>
  <c r="R1082" i="1"/>
  <c r="Q1082" i="1"/>
  <c r="P1082" i="1"/>
  <c r="M1082" i="1"/>
  <c r="K1082" i="1"/>
  <c r="E1082" i="1"/>
  <c r="D1082" i="1"/>
  <c r="C1082" i="1"/>
  <c r="B1082" i="1"/>
  <c r="A1082" i="1"/>
  <c r="T1081" i="1"/>
  <c r="S1081" i="1"/>
  <c r="R1081" i="1"/>
  <c r="Q1081" i="1"/>
  <c r="P1081" i="1"/>
  <c r="M1081" i="1"/>
  <c r="K1081" i="1"/>
  <c r="E1081" i="1"/>
  <c r="D1081" i="1"/>
  <c r="C1081" i="1"/>
  <c r="B1081" i="1"/>
  <c r="A1081" i="1"/>
  <c r="T1080" i="1"/>
  <c r="S1080" i="1"/>
  <c r="R1080" i="1"/>
  <c r="Q1080" i="1"/>
  <c r="P1080" i="1"/>
  <c r="M1080" i="1"/>
  <c r="K1080" i="1"/>
  <c r="E1080" i="1"/>
  <c r="D1080" i="1"/>
  <c r="C1080" i="1"/>
  <c r="B1080" i="1"/>
  <c r="A1080" i="1"/>
  <c r="T1079" i="1"/>
  <c r="S1079" i="1"/>
  <c r="R1079" i="1"/>
  <c r="Q1079" i="1"/>
  <c r="P1079" i="1"/>
  <c r="M1079" i="1"/>
  <c r="K1079" i="1"/>
  <c r="E1079" i="1"/>
  <c r="D1079" i="1"/>
  <c r="C1079" i="1"/>
  <c r="B1079" i="1"/>
  <c r="A1079" i="1"/>
  <c r="T1078" i="1"/>
  <c r="S1078" i="1"/>
  <c r="R1078" i="1"/>
  <c r="Q1078" i="1"/>
  <c r="P1078" i="1"/>
  <c r="M1078" i="1"/>
  <c r="K1078" i="1"/>
  <c r="E1078" i="1"/>
  <c r="D1078" i="1"/>
  <c r="C1078" i="1"/>
  <c r="B1078" i="1"/>
  <c r="A1078" i="1"/>
  <c r="T1077" i="1"/>
  <c r="S1077" i="1"/>
  <c r="R1077" i="1"/>
  <c r="Q1077" i="1"/>
  <c r="P1077" i="1"/>
  <c r="M1077" i="1"/>
  <c r="K1077" i="1"/>
  <c r="E1077" i="1"/>
  <c r="D1077" i="1"/>
  <c r="C1077" i="1"/>
  <c r="B1077" i="1"/>
  <c r="A1077" i="1"/>
  <c r="T1076" i="1"/>
  <c r="S1076" i="1"/>
  <c r="R1076" i="1"/>
  <c r="Q1076" i="1"/>
  <c r="P1076" i="1"/>
  <c r="M1076" i="1"/>
  <c r="K1076" i="1"/>
  <c r="E1076" i="1"/>
  <c r="D1076" i="1"/>
  <c r="C1076" i="1"/>
  <c r="B1076" i="1"/>
  <c r="A1076" i="1"/>
  <c r="T1075" i="1"/>
  <c r="S1075" i="1"/>
  <c r="R1075" i="1"/>
  <c r="Q1075" i="1"/>
  <c r="P1075" i="1"/>
  <c r="M1075" i="1"/>
  <c r="K1075" i="1"/>
  <c r="E1075" i="1"/>
  <c r="D1075" i="1"/>
  <c r="C1075" i="1"/>
  <c r="B1075" i="1"/>
  <c r="A1075" i="1"/>
  <c r="T1074" i="1"/>
  <c r="S1074" i="1"/>
  <c r="R1074" i="1"/>
  <c r="Q1074" i="1"/>
  <c r="P1074" i="1"/>
  <c r="M1074" i="1"/>
  <c r="K1074" i="1"/>
  <c r="E1074" i="1"/>
  <c r="D1074" i="1"/>
  <c r="C1074" i="1"/>
  <c r="B1074" i="1"/>
  <c r="A1074" i="1"/>
  <c r="T1073" i="1"/>
  <c r="S1073" i="1"/>
  <c r="R1073" i="1"/>
  <c r="Q1073" i="1"/>
  <c r="P1073" i="1"/>
  <c r="M1073" i="1"/>
  <c r="K1073" i="1"/>
  <c r="E1073" i="1"/>
  <c r="D1073" i="1"/>
  <c r="C1073" i="1"/>
  <c r="B1073" i="1"/>
  <c r="A1073" i="1"/>
  <c r="T1072" i="1"/>
  <c r="S1072" i="1"/>
  <c r="R1072" i="1"/>
  <c r="Q1072" i="1"/>
  <c r="P1072" i="1"/>
  <c r="M1072" i="1"/>
  <c r="K1072" i="1"/>
  <c r="E1072" i="1"/>
  <c r="D1072" i="1"/>
  <c r="C1072" i="1"/>
  <c r="B1072" i="1"/>
  <c r="A1072" i="1"/>
  <c r="T1071" i="1"/>
  <c r="S1071" i="1"/>
  <c r="R1071" i="1"/>
  <c r="Q1071" i="1"/>
  <c r="P1071" i="1"/>
  <c r="M1071" i="1"/>
  <c r="K1071" i="1"/>
  <c r="E1071" i="1"/>
  <c r="D1071" i="1"/>
  <c r="C1071" i="1"/>
  <c r="B1071" i="1"/>
  <c r="A1071" i="1"/>
  <c r="T1070" i="1"/>
  <c r="S1070" i="1"/>
  <c r="R1070" i="1"/>
  <c r="Q1070" i="1"/>
  <c r="P1070" i="1"/>
  <c r="M1070" i="1"/>
  <c r="K1070" i="1"/>
  <c r="I1070" i="1"/>
  <c r="E1070" i="1"/>
  <c r="D1070" i="1"/>
  <c r="C1070" i="1"/>
  <c r="B1070" i="1"/>
  <c r="A1070" i="1"/>
  <c r="T1069" i="1"/>
  <c r="S1069" i="1"/>
  <c r="R1069" i="1"/>
  <c r="M1069" i="1"/>
  <c r="K1069" i="1"/>
  <c r="E1069" i="1"/>
  <c r="D1069" i="1"/>
  <c r="C1069" i="1"/>
  <c r="A1069" i="1"/>
  <c r="T1068" i="1"/>
  <c r="S1068" i="1"/>
  <c r="R1068" i="1"/>
  <c r="M1068" i="1"/>
  <c r="K1068" i="1"/>
  <c r="E1068" i="1"/>
  <c r="D1068" i="1"/>
  <c r="C1068" i="1"/>
  <c r="A1068" i="1"/>
  <c r="T1067" i="1"/>
  <c r="S1067" i="1"/>
  <c r="R1067" i="1"/>
  <c r="M1067" i="1"/>
  <c r="K1067" i="1"/>
  <c r="E1067" i="1"/>
  <c r="D1067" i="1"/>
  <c r="C1067" i="1"/>
  <c r="A1067" i="1"/>
  <c r="T1066" i="1"/>
  <c r="S1066" i="1"/>
  <c r="R1066" i="1"/>
  <c r="M1066" i="1"/>
  <c r="K1066" i="1"/>
  <c r="E1066" i="1"/>
  <c r="D1066" i="1"/>
  <c r="C1066" i="1"/>
  <c r="A1066" i="1"/>
  <c r="T1065" i="1"/>
  <c r="S1065" i="1"/>
  <c r="R1065" i="1"/>
  <c r="M1065" i="1"/>
  <c r="K1065" i="1"/>
  <c r="E1065" i="1"/>
  <c r="D1065" i="1"/>
  <c r="C1065" i="1"/>
  <c r="A1065" i="1"/>
  <c r="T1064" i="1"/>
  <c r="S1064" i="1"/>
  <c r="R1064" i="1"/>
  <c r="M1064" i="1"/>
  <c r="K1064" i="1"/>
  <c r="E1064" i="1"/>
  <c r="D1064" i="1"/>
  <c r="C1064" i="1"/>
  <c r="A1064" i="1"/>
  <c r="T1063" i="1"/>
  <c r="S1063" i="1"/>
  <c r="R1063" i="1"/>
  <c r="M1063" i="1"/>
  <c r="K1063" i="1"/>
  <c r="E1063" i="1"/>
  <c r="D1063" i="1"/>
  <c r="C1063" i="1"/>
  <c r="A1063" i="1"/>
  <c r="T1062" i="1"/>
  <c r="S1062" i="1"/>
  <c r="R1062" i="1"/>
  <c r="M1062" i="1"/>
  <c r="K1062" i="1"/>
  <c r="E1062" i="1"/>
  <c r="D1062" i="1"/>
  <c r="C1062" i="1"/>
  <c r="A1062" i="1"/>
  <c r="T1061" i="1"/>
  <c r="S1061" i="1"/>
  <c r="R1061" i="1"/>
  <c r="M1061" i="1"/>
  <c r="K1061" i="1"/>
  <c r="E1061" i="1"/>
  <c r="D1061" i="1"/>
  <c r="C1061" i="1"/>
  <c r="A1061" i="1"/>
  <c r="T1060" i="1"/>
  <c r="S1060" i="1"/>
  <c r="R1060" i="1"/>
  <c r="M1060" i="1"/>
  <c r="K1060" i="1"/>
  <c r="E1060" i="1"/>
  <c r="D1060" i="1"/>
  <c r="C1060" i="1"/>
  <c r="A1060" i="1"/>
  <c r="T1059" i="1"/>
  <c r="S1059" i="1"/>
  <c r="R1059" i="1"/>
  <c r="M1059" i="1"/>
  <c r="K1059" i="1"/>
  <c r="E1059" i="1"/>
  <c r="D1059" i="1"/>
  <c r="C1059" i="1"/>
  <c r="A1059" i="1"/>
  <c r="T1058" i="1"/>
  <c r="S1058" i="1"/>
  <c r="R1058" i="1"/>
  <c r="M1058" i="1"/>
  <c r="K1058" i="1"/>
  <c r="E1058" i="1"/>
  <c r="D1058" i="1"/>
  <c r="C1058" i="1"/>
  <c r="A1058" i="1"/>
  <c r="T1057" i="1"/>
  <c r="S1057" i="1"/>
  <c r="R1057" i="1"/>
  <c r="M1057" i="1"/>
  <c r="K1057" i="1"/>
  <c r="E1057" i="1"/>
  <c r="D1057" i="1"/>
  <c r="C1057" i="1"/>
  <c r="A1057" i="1"/>
  <c r="T1056" i="1"/>
  <c r="S1056" i="1"/>
  <c r="R1056" i="1"/>
  <c r="M1056" i="1"/>
  <c r="K1056" i="1"/>
  <c r="E1056" i="1"/>
  <c r="D1056" i="1"/>
  <c r="C1056" i="1"/>
  <c r="A1056" i="1"/>
  <c r="T1055" i="1"/>
  <c r="S1055" i="1"/>
  <c r="R1055" i="1"/>
  <c r="M1055" i="1"/>
  <c r="K1055" i="1"/>
  <c r="E1055" i="1"/>
  <c r="D1055" i="1"/>
  <c r="C1055" i="1"/>
  <c r="A1055" i="1"/>
  <c r="T1054" i="1"/>
  <c r="S1054" i="1"/>
  <c r="R1054" i="1"/>
  <c r="M1054" i="1"/>
  <c r="K1054" i="1"/>
  <c r="E1054" i="1"/>
  <c r="D1054" i="1"/>
  <c r="C1054" i="1"/>
  <c r="A1054" i="1"/>
  <c r="T1053" i="1"/>
  <c r="S1053" i="1"/>
  <c r="R1053" i="1"/>
  <c r="M1053" i="1"/>
  <c r="K1053" i="1"/>
  <c r="E1053" i="1"/>
  <c r="D1053" i="1"/>
  <c r="C1053" i="1"/>
  <c r="A1053" i="1"/>
  <c r="T1052" i="1"/>
  <c r="S1052" i="1"/>
  <c r="R1052" i="1"/>
  <c r="Q1052" i="1"/>
  <c r="P1052" i="1"/>
  <c r="M1052" i="1"/>
  <c r="K1052" i="1"/>
  <c r="I1052" i="1"/>
  <c r="E1052" i="1"/>
  <c r="D1052" i="1"/>
  <c r="C1052" i="1"/>
  <c r="A1052" i="1"/>
  <c r="T1051" i="1"/>
  <c r="S1051" i="1"/>
  <c r="R1051" i="1"/>
  <c r="M1051" i="1"/>
  <c r="K1051" i="1"/>
  <c r="E1051" i="1"/>
  <c r="D1051" i="1"/>
  <c r="C1051" i="1"/>
  <c r="A1051" i="1"/>
  <c r="T1050" i="1"/>
  <c r="S1050" i="1"/>
  <c r="R1050" i="1"/>
  <c r="M1050" i="1"/>
  <c r="K1050" i="1"/>
  <c r="E1050" i="1"/>
  <c r="D1050" i="1"/>
  <c r="C1050" i="1"/>
  <c r="A1050" i="1"/>
  <c r="T1049" i="1"/>
  <c r="S1049" i="1"/>
  <c r="R1049" i="1"/>
  <c r="Q1049" i="1"/>
  <c r="P1049" i="1"/>
  <c r="M1049" i="1"/>
  <c r="K1049" i="1"/>
  <c r="E1049" i="1"/>
  <c r="D1049" i="1"/>
  <c r="C1049" i="1"/>
  <c r="A1049" i="1"/>
  <c r="T1048" i="1"/>
  <c r="S1048" i="1"/>
  <c r="R1048" i="1"/>
  <c r="M1048" i="1"/>
  <c r="K1048" i="1"/>
  <c r="E1048" i="1"/>
  <c r="D1048" i="1"/>
  <c r="C1048" i="1"/>
  <c r="A1048" i="1"/>
  <c r="T1047" i="1"/>
  <c r="S1047" i="1"/>
  <c r="R1047" i="1"/>
  <c r="P1047" i="1"/>
  <c r="M1047" i="1"/>
  <c r="K1047" i="1"/>
  <c r="I1047" i="1"/>
  <c r="E1047" i="1"/>
  <c r="D1047" i="1"/>
  <c r="C1047" i="1"/>
  <c r="A1047" i="1"/>
  <c r="T1046" i="1"/>
  <c r="S1046" i="1"/>
  <c r="R1046" i="1"/>
  <c r="P1046" i="1"/>
  <c r="M1046" i="1"/>
  <c r="K1046" i="1"/>
  <c r="I1046" i="1"/>
  <c r="E1046" i="1"/>
  <c r="D1046" i="1"/>
  <c r="C1046" i="1"/>
  <c r="A1046" i="1"/>
  <c r="T1045" i="1"/>
  <c r="S1045" i="1"/>
  <c r="R1045" i="1"/>
  <c r="P1045" i="1"/>
  <c r="M1045" i="1"/>
  <c r="K1045" i="1"/>
  <c r="I1045" i="1"/>
  <c r="E1045" i="1"/>
  <c r="D1045" i="1"/>
  <c r="C1045" i="1"/>
  <c r="A1045" i="1"/>
  <c r="T1044" i="1"/>
  <c r="S1044" i="1"/>
  <c r="R1044" i="1"/>
  <c r="K1044" i="1"/>
  <c r="E1044" i="1"/>
  <c r="D1044" i="1"/>
  <c r="C1044" i="1"/>
  <c r="A1044" i="1"/>
  <c r="T1043" i="1"/>
  <c r="S1043" i="1"/>
  <c r="R1043" i="1"/>
  <c r="K1043" i="1"/>
  <c r="E1043" i="1"/>
  <c r="D1043" i="1"/>
  <c r="C1043" i="1"/>
  <c r="A1043" i="1"/>
  <c r="T1042" i="1"/>
  <c r="S1042" i="1"/>
  <c r="R1042" i="1"/>
  <c r="K1042" i="1"/>
  <c r="E1042" i="1"/>
  <c r="D1042" i="1"/>
  <c r="C1042" i="1"/>
  <c r="A1042" i="1"/>
  <c r="T1041" i="1"/>
  <c r="S1041" i="1"/>
  <c r="R1041" i="1"/>
  <c r="K1041" i="1"/>
  <c r="E1041" i="1"/>
  <c r="D1041" i="1"/>
  <c r="C1041" i="1"/>
  <c r="A1041" i="1"/>
  <c r="T1040" i="1"/>
  <c r="S1040" i="1"/>
  <c r="R1040" i="1"/>
  <c r="K1040" i="1"/>
  <c r="E1040" i="1"/>
  <c r="D1040" i="1"/>
  <c r="C1040" i="1"/>
  <c r="A1040" i="1"/>
  <c r="T1039" i="1"/>
  <c r="S1039" i="1"/>
  <c r="R1039" i="1"/>
  <c r="K1039" i="1"/>
  <c r="E1039" i="1"/>
  <c r="D1039" i="1"/>
  <c r="C1039" i="1"/>
  <c r="A1039" i="1"/>
  <c r="T1038" i="1"/>
  <c r="S1038" i="1"/>
  <c r="R1038" i="1"/>
  <c r="K1038" i="1"/>
  <c r="E1038" i="1"/>
  <c r="D1038" i="1"/>
  <c r="C1038" i="1"/>
  <c r="A1038" i="1"/>
  <c r="T1037" i="1"/>
  <c r="S1037" i="1"/>
  <c r="R1037" i="1"/>
  <c r="K1037" i="1"/>
  <c r="E1037" i="1"/>
  <c r="D1037" i="1"/>
  <c r="C1037" i="1"/>
  <c r="A1037" i="1"/>
  <c r="T1036" i="1"/>
  <c r="S1036" i="1"/>
  <c r="R1036" i="1"/>
  <c r="K1036" i="1"/>
  <c r="E1036" i="1"/>
  <c r="D1036" i="1"/>
  <c r="C1036" i="1"/>
  <c r="A1036" i="1"/>
  <c r="T1035" i="1"/>
  <c r="S1035" i="1"/>
  <c r="R1035" i="1"/>
  <c r="K1035" i="1"/>
  <c r="E1035" i="1"/>
  <c r="D1035" i="1"/>
  <c r="C1035" i="1"/>
  <c r="A1035" i="1"/>
  <c r="T1034" i="1"/>
  <c r="S1034" i="1"/>
  <c r="R1034" i="1"/>
  <c r="K1034" i="1"/>
  <c r="E1034" i="1"/>
  <c r="D1034" i="1"/>
  <c r="C1034" i="1"/>
  <c r="A1034" i="1"/>
  <c r="T1033" i="1"/>
  <c r="S1033" i="1"/>
  <c r="R1033" i="1"/>
  <c r="K1033" i="1"/>
  <c r="E1033" i="1"/>
  <c r="C1033" i="1"/>
  <c r="A1033" i="1"/>
  <c r="T1032" i="1"/>
  <c r="S1032" i="1"/>
  <c r="R1032" i="1"/>
  <c r="K1032" i="1"/>
  <c r="E1032" i="1"/>
  <c r="C1032" i="1"/>
  <c r="A1032" i="1"/>
  <c r="T1031" i="1"/>
  <c r="S1031" i="1"/>
  <c r="R1031" i="1"/>
  <c r="K1031" i="1"/>
  <c r="E1031" i="1"/>
  <c r="C1031" i="1"/>
  <c r="A1031" i="1"/>
  <c r="T1030" i="1"/>
  <c r="S1030" i="1"/>
  <c r="R1030" i="1"/>
  <c r="K1030" i="1"/>
  <c r="E1030" i="1"/>
  <c r="C1030" i="1"/>
  <c r="A1030" i="1"/>
  <c r="T1029" i="1"/>
  <c r="S1029" i="1"/>
  <c r="R1029" i="1"/>
  <c r="K1029" i="1"/>
  <c r="E1029" i="1"/>
  <c r="C1029" i="1"/>
  <c r="A1029" i="1"/>
  <c r="T1028" i="1"/>
  <c r="S1028" i="1"/>
  <c r="R1028" i="1"/>
  <c r="K1028" i="1"/>
  <c r="E1028" i="1"/>
  <c r="C1028" i="1"/>
  <c r="A1028" i="1"/>
  <c r="T1027" i="1"/>
  <c r="S1027" i="1"/>
  <c r="R1027" i="1"/>
  <c r="K1027" i="1"/>
  <c r="E1027" i="1"/>
  <c r="C1027" i="1"/>
  <c r="A1027" i="1"/>
  <c r="T1026" i="1"/>
  <c r="S1026" i="1"/>
  <c r="R1026" i="1"/>
  <c r="K1026" i="1"/>
  <c r="E1026" i="1"/>
  <c r="C1026" i="1"/>
  <c r="A1026" i="1"/>
  <c r="T1025" i="1"/>
  <c r="S1025" i="1"/>
  <c r="R1025" i="1"/>
  <c r="K1025" i="1"/>
  <c r="E1025" i="1"/>
  <c r="C1025" i="1"/>
  <c r="A1025" i="1"/>
  <c r="T1024" i="1"/>
  <c r="S1024" i="1"/>
  <c r="R1024" i="1"/>
  <c r="K1024" i="1"/>
  <c r="E1024" i="1"/>
  <c r="C1024" i="1"/>
  <c r="A1024" i="1"/>
  <c r="T1023" i="1"/>
  <c r="S1023" i="1"/>
  <c r="R1023" i="1"/>
  <c r="K1023" i="1"/>
  <c r="E1023" i="1"/>
  <c r="C1023" i="1"/>
  <c r="A1023" i="1"/>
  <c r="T1022" i="1"/>
  <c r="S1022" i="1"/>
  <c r="R1022" i="1"/>
  <c r="K1022" i="1"/>
  <c r="E1022" i="1"/>
  <c r="C1022" i="1"/>
  <c r="A1022" i="1"/>
  <c r="T1021" i="1"/>
  <c r="S1021" i="1"/>
  <c r="R1021" i="1"/>
  <c r="K1021" i="1"/>
  <c r="E1021" i="1"/>
  <c r="C1021" i="1"/>
  <c r="A1021" i="1"/>
  <c r="T1020" i="1"/>
  <c r="S1020" i="1"/>
  <c r="R1020" i="1"/>
  <c r="K1020" i="1"/>
  <c r="E1020" i="1"/>
  <c r="C1020" i="1"/>
  <c r="A1020" i="1"/>
  <c r="T1019" i="1"/>
  <c r="S1019" i="1"/>
  <c r="R1019" i="1"/>
  <c r="K1019" i="1"/>
  <c r="E1019" i="1"/>
  <c r="C1019" i="1"/>
  <c r="A1019" i="1"/>
  <c r="T1018" i="1"/>
  <c r="S1018" i="1"/>
  <c r="R1018" i="1"/>
  <c r="K1018" i="1"/>
  <c r="E1018" i="1"/>
  <c r="C1018" i="1"/>
  <c r="A1018" i="1"/>
  <c r="T1017" i="1"/>
  <c r="S1017" i="1"/>
  <c r="R1017" i="1"/>
  <c r="K1017" i="1"/>
  <c r="E1017" i="1"/>
  <c r="C1017" i="1"/>
  <c r="A1017" i="1"/>
  <c r="T1016" i="1"/>
  <c r="S1016" i="1"/>
  <c r="R1016" i="1"/>
  <c r="K1016" i="1"/>
  <c r="E1016" i="1"/>
  <c r="C1016" i="1"/>
  <c r="A1016" i="1"/>
  <c r="T1015" i="1"/>
  <c r="S1015" i="1"/>
  <c r="R1015" i="1"/>
  <c r="K1015" i="1"/>
  <c r="E1015" i="1"/>
  <c r="C1015" i="1"/>
  <c r="A1015" i="1"/>
  <c r="T1014" i="1"/>
  <c r="S1014" i="1"/>
  <c r="R1014" i="1"/>
  <c r="K1014" i="1"/>
  <c r="E1014" i="1"/>
  <c r="C1014" i="1"/>
  <c r="A1014" i="1"/>
  <c r="T1013" i="1"/>
  <c r="S1013" i="1"/>
  <c r="R1013" i="1"/>
  <c r="P1013" i="1"/>
  <c r="K1013" i="1"/>
  <c r="E1013" i="1"/>
  <c r="C1013" i="1"/>
  <c r="B1013" i="1"/>
  <c r="A1013" i="1"/>
  <c r="T1012" i="1"/>
  <c r="S1012" i="1"/>
  <c r="R1012" i="1"/>
  <c r="P1012" i="1"/>
  <c r="K1012" i="1"/>
  <c r="E1012" i="1"/>
  <c r="C1012" i="1"/>
  <c r="B1012" i="1"/>
  <c r="A1012" i="1"/>
  <c r="T1011" i="1"/>
  <c r="S1011" i="1"/>
  <c r="R1011" i="1"/>
  <c r="P1011" i="1"/>
  <c r="K1011" i="1"/>
  <c r="E1011" i="1"/>
  <c r="C1011" i="1"/>
  <c r="B1011" i="1"/>
  <c r="A1011" i="1"/>
  <c r="T1010" i="1"/>
  <c r="S1010" i="1"/>
  <c r="R1010" i="1"/>
  <c r="P1010" i="1"/>
  <c r="K1010" i="1"/>
  <c r="E1010" i="1"/>
  <c r="C1010" i="1"/>
  <c r="B1010" i="1"/>
  <c r="A1010" i="1"/>
  <c r="T1009" i="1"/>
  <c r="S1009" i="1"/>
  <c r="R1009" i="1"/>
  <c r="P1009" i="1"/>
  <c r="K1009" i="1"/>
  <c r="E1009" i="1"/>
  <c r="C1009" i="1"/>
  <c r="B1009" i="1"/>
  <c r="A1009" i="1"/>
  <c r="T1008" i="1"/>
  <c r="S1008" i="1"/>
  <c r="R1008" i="1"/>
  <c r="P1008" i="1"/>
  <c r="K1008" i="1"/>
  <c r="E1008" i="1"/>
  <c r="C1008" i="1"/>
  <c r="B1008" i="1"/>
  <c r="A1008" i="1"/>
  <c r="T1007" i="1"/>
  <c r="S1007" i="1"/>
  <c r="R1007" i="1"/>
  <c r="P1007" i="1"/>
  <c r="K1007" i="1"/>
  <c r="E1007" i="1"/>
  <c r="C1007" i="1"/>
  <c r="B1007" i="1"/>
  <c r="A1007" i="1"/>
  <c r="T1006" i="1"/>
  <c r="S1006" i="1"/>
  <c r="R1006" i="1"/>
  <c r="P1006" i="1"/>
  <c r="K1006" i="1"/>
  <c r="E1006" i="1"/>
  <c r="C1006" i="1"/>
  <c r="B1006" i="1"/>
  <c r="A1006" i="1"/>
  <c r="T1005" i="1"/>
  <c r="S1005" i="1"/>
  <c r="R1005" i="1"/>
  <c r="P1005" i="1"/>
  <c r="K1005" i="1"/>
  <c r="E1005" i="1"/>
  <c r="C1005" i="1"/>
  <c r="B1005" i="1"/>
  <c r="A1005" i="1"/>
  <c r="T1004" i="1"/>
  <c r="S1004" i="1"/>
  <c r="R1004" i="1"/>
  <c r="P1004" i="1"/>
  <c r="K1004" i="1"/>
  <c r="E1004" i="1"/>
  <c r="C1004" i="1"/>
  <c r="B1004" i="1"/>
  <c r="A1004" i="1"/>
  <c r="T1003" i="1"/>
  <c r="S1003" i="1"/>
  <c r="R1003" i="1"/>
  <c r="P1003" i="1"/>
  <c r="K1003" i="1"/>
  <c r="E1003" i="1"/>
  <c r="C1003" i="1"/>
  <c r="B1003" i="1"/>
  <c r="A1003" i="1"/>
  <c r="T1002" i="1"/>
  <c r="S1002" i="1"/>
  <c r="R1002" i="1"/>
  <c r="P1002" i="1"/>
  <c r="K1002" i="1"/>
  <c r="E1002" i="1"/>
  <c r="C1002" i="1"/>
  <c r="A1002" i="1"/>
  <c r="T1001" i="1"/>
  <c r="S1001" i="1"/>
  <c r="R1001" i="1"/>
  <c r="M1001" i="1"/>
  <c r="L1001" i="1"/>
  <c r="K1001" i="1"/>
  <c r="E1001" i="1"/>
  <c r="C1001" i="1"/>
  <c r="A1001" i="1"/>
  <c r="T1000" i="1"/>
  <c r="S1000" i="1"/>
  <c r="R1000" i="1"/>
  <c r="M1000" i="1"/>
  <c r="L1000" i="1"/>
  <c r="K1000" i="1"/>
  <c r="E1000" i="1"/>
  <c r="C1000" i="1"/>
  <c r="A1000" i="1"/>
  <c r="T999" i="1"/>
  <c r="S999" i="1"/>
  <c r="R999" i="1"/>
  <c r="M999" i="1"/>
  <c r="L999" i="1"/>
  <c r="K999" i="1"/>
  <c r="E999" i="1"/>
  <c r="C999" i="1"/>
  <c r="A999" i="1"/>
  <c r="T998" i="1"/>
  <c r="S998" i="1"/>
  <c r="R998" i="1"/>
  <c r="M998" i="1"/>
  <c r="L998" i="1"/>
  <c r="K998" i="1"/>
  <c r="E998" i="1"/>
  <c r="C998" i="1"/>
  <c r="A998" i="1"/>
  <c r="T997" i="1"/>
  <c r="S997" i="1"/>
  <c r="R997" i="1"/>
  <c r="M997" i="1"/>
  <c r="L997" i="1"/>
  <c r="K997" i="1"/>
  <c r="E997" i="1"/>
  <c r="C997" i="1"/>
  <c r="A997" i="1"/>
  <c r="T996" i="1"/>
  <c r="S996" i="1"/>
  <c r="R996" i="1"/>
  <c r="M996" i="1"/>
  <c r="L996" i="1"/>
  <c r="K996" i="1"/>
  <c r="E996" i="1"/>
  <c r="C996" i="1"/>
  <c r="A996" i="1"/>
  <c r="T995" i="1"/>
  <c r="S995" i="1"/>
  <c r="R995" i="1"/>
  <c r="M995" i="1"/>
  <c r="L995" i="1"/>
  <c r="K995" i="1"/>
  <c r="E995" i="1"/>
  <c r="C995" i="1"/>
  <c r="A995" i="1"/>
  <c r="T994" i="1"/>
  <c r="S994" i="1"/>
  <c r="R994" i="1"/>
  <c r="M994" i="1"/>
  <c r="L994" i="1"/>
  <c r="K994" i="1"/>
  <c r="E994" i="1"/>
  <c r="C994" i="1"/>
  <c r="A994" i="1"/>
  <c r="T993" i="1"/>
  <c r="S993" i="1"/>
  <c r="R993" i="1"/>
  <c r="M993" i="1"/>
  <c r="L993" i="1"/>
  <c r="K993" i="1"/>
  <c r="E993" i="1"/>
  <c r="C993" i="1"/>
  <c r="A993" i="1"/>
  <c r="T992" i="1"/>
  <c r="S992" i="1"/>
  <c r="R992" i="1"/>
  <c r="M992" i="1"/>
  <c r="L992" i="1"/>
  <c r="K992" i="1"/>
  <c r="E992" i="1"/>
  <c r="C992" i="1"/>
  <c r="A992" i="1"/>
  <c r="T991" i="1"/>
  <c r="S991" i="1"/>
  <c r="R991" i="1"/>
  <c r="M991" i="1"/>
  <c r="L991" i="1"/>
  <c r="K991" i="1"/>
  <c r="E991" i="1"/>
  <c r="C991" i="1"/>
  <c r="A991" i="1"/>
  <c r="T990" i="1"/>
  <c r="S990" i="1"/>
  <c r="R990" i="1"/>
  <c r="M990" i="1"/>
  <c r="L990" i="1"/>
  <c r="K990" i="1"/>
  <c r="E990" i="1"/>
  <c r="C990" i="1"/>
  <c r="A990" i="1"/>
  <c r="T989" i="1"/>
  <c r="S989" i="1"/>
  <c r="R989" i="1"/>
  <c r="M989" i="1"/>
  <c r="L989" i="1"/>
  <c r="K989" i="1"/>
  <c r="E989" i="1"/>
  <c r="C989" i="1"/>
  <c r="A989" i="1"/>
  <c r="T988" i="1"/>
  <c r="S988" i="1"/>
  <c r="R988" i="1"/>
  <c r="M988" i="1"/>
  <c r="L988" i="1"/>
  <c r="K988" i="1"/>
  <c r="E988" i="1"/>
  <c r="C988" i="1"/>
  <c r="A988" i="1"/>
  <c r="T987" i="1"/>
  <c r="S987" i="1"/>
  <c r="R987" i="1"/>
  <c r="M987" i="1"/>
  <c r="L987" i="1"/>
  <c r="K987" i="1"/>
  <c r="E987" i="1"/>
  <c r="C987" i="1"/>
  <c r="A987" i="1"/>
  <c r="T986" i="1"/>
  <c r="S986" i="1"/>
  <c r="R986" i="1"/>
  <c r="M986" i="1"/>
  <c r="L986" i="1"/>
  <c r="K986" i="1"/>
  <c r="E986" i="1"/>
  <c r="C986" i="1"/>
  <c r="A986" i="1"/>
  <c r="T985" i="1"/>
  <c r="S985" i="1"/>
  <c r="R985" i="1"/>
  <c r="M985" i="1"/>
  <c r="L985" i="1"/>
  <c r="K985" i="1"/>
  <c r="E985" i="1"/>
  <c r="C985" i="1"/>
  <c r="A985" i="1"/>
  <c r="T984" i="1"/>
  <c r="S984" i="1"/>
  <c r="R984" i="1"/>
  <c r="K984" i="1"/>
  <c r="E984" i="1"/>
  <c r="C984" i="1"/>
  <c r="A984" i="1"/>
  <c r="T983" i="1"/>
  <c r="S983" i="1"/>
  <c r="R983" i="1"/>
  <c r="K983" i="1"/>
  <c r="E983" i="1"/>
  <c r="C983" i="1"/>
  <c r="A983" i="1"/>
  <c r="T982" i="1"/>
  <c r="S982" i="1"/>
  <c r="R982" i="1"/>
  <c r="K982" i="1"/>
  <c r="E982" i="1"/>
  <c r="C982" i="1"/>
  <c r="A982" i="1"/>
  <c r="T981" i="1"/>
  <c r="S981" i="1"/>
  <c r="R981" i="1"/>
  <c r="K981" i="1"/>
  <c r="E981" i="1"/>
  <c r="C981" i="1"/>
  <c r="A981" i="1"/>
  <c r="T980" i="1"/>
  <c r="S980" i="1"/>
  <c r="R980" i="1"/>
  <c r="K980" i="1"/>
  <c r="E980" i="1"/>
  <c r="C980" i="1"/>
  <c r="A980" i="1"/>
  <c r="T979" i="1"/>
  <c r="S979" i="1"/>
  <c r="R979" i="1"/>
  <c r="K979" i="1"/>
  <c r="E979" i="1"/>
  <c r="C979" i="1"/>
  <c r="A979" i="1"/>
  <c r="T978" i="1"/>
  <c r="S978" i="1"/>
  <c r="R978" i="1"/>
  <c r="K978" i="1"/>
  <c r="E978" i="1"/>
  <c r="C978" i="1"/>
  <c r="A978" i="1"/>
  <c r="T977" i="1"/>
  <c r="S977" i="1"/>
  <c r="R977" i="1"/>
  <c r="K977" i="1"/>
  <c r="E977" i="1"/>
  <c r="C977" i="1"/>
  <c r="A977" i="1"/>
  <c r="T976" i="1"/>
  <c r="S976" i="1"/>
  <c r="R976" i="1"/>
  <c r="K976" i="1"/>
  <c r="E976" i="1"/>
  <c r="C976" i="1"/>
  <c r="A976" i="1"/>
  <c r="T975" i="1"/>
  <c r="S975" i="1"/>
  <c r="R975" i="1"/>
  <c r="K975" i="1"/>
  <c r="E975" i="1"/>
  <c r="C975" i="1"/>
  <c r="A975" i="1"/>
  <c r="T974" i="1"/>
  <c r="S974" i="1"/>
  <c r="R974" i="1"/>
  <c r="K974" i="1"/>
  <c r="E974" i="1"/>
  <c r="C974" i="1"/>
  <c r="A974" i="1"/>
  <c r="T973" i="1"/>
  <c r="S973" i="1"/>
  <c r="R973" i="1"/>
  <c r="K973" i="1"/>
  <c r="E973" i="1"/>
  <c r="C973" i="1"/>
  <c r="A973" i="1"/>
  <c r="T972" i="1"/>
  <c r="S972" i="1"/>
  <c r="R972" i="1"/>
  <c r="K972" i="1"/>
  <c r="E972" i="1"/>
  <c r="C972" i="1"/>
  <c r="A972" i="1"/>
  <c r="T971" i="1"/>
  <c r="S971" i="1"/>
  <c r="R971" i="1"/>
  <c r="K971" i="1"/>
  <c r="E971" i="1"/>
  <c r="C971" i="1"/>
  <c r="A971" i="1"/>
  <c r="T970" i="1"/>
  <c r="S970" i="1"/>
  <c r="R970" i="1"/>
  <c r="K970" i="1"/>
  <c r="E970" i="1"/>
  <c r="C970" i="1"/>
  <c r="A970" i="1"/>
  <c r="T969" i="1"/>
  <c r="S969" i="1"/>
  <c r="R969" i="1"/>
  <c r="K969" i="1"/>
  <c r="E969" i="1"/>
  <c r="C969" i="1"/>
  <c r="A969" i="1"/>
  <c r="T968" i="1"/>
  <c r="S968" i="1"/>
  <c r="R968" i="1"/>
  <c r="K968" i="1"/>
  <c r="E968" i="1"/>
  <c r="C968" i="1"/>
  <c r="A968" i="1"/>
  <c r="T967" i="1"/>
  <c r="S967" i="1"/>
  <c r="R967" i="1"/>
  <c r="K967" i="1"/>
  <c r="E967" i="1"/>
  <c r="C967" i="1"/>
  <c r="A967" i="1"/>
  <c r="T966" i="1"/>
  <c r="S966" i="1"/>
  <c r="R966" i="1"/>
  <c r="K966" i="1"/>
  <c r="E966" i="1"/>
  <c r="C966" i="1"/>
  <c r="A966" i="1"/>
  <c r="T965" i="1"/>
  <c r="S965" i="1"/>
  <c r="R965" i="1"/>
  <c r="K965" i="1"/>
  <c r="E965" i="1"/>
  <c r="C965" i="1"/>
  <c r="A965" i="1"/>
  <c r="T964" i="1"/>
  <c r="S964" i="1"/>
  <c r="R964" i="1"/>
  <c r="K964" i="1"/>
  <c r="E964" i="1"/>
  <c r="C964" i="1"/>
  <c r="A964" i="1"/>
  <c r="T963" i="1"/>
  <c r="S963" i="1"/>
  <c r="R963" i="1"/>
  <c r="K963" i="1"/>
  <c r="E963" i="1"/>
  <c r="C963" i="1"/>
  <c r="A963" i="1"/>
  <c r="T962" i="1"/>
  <c r="S962" i="1"/>
  <c r="R962" i="1"/>
  <c r="K962" i="1"/>
  <c r="E962" i="1"/>
  <c r="C962" i="1"/>
  <c r="A962" i="1"/>
  <c r="T961" i="1"/>
  <c r="S961" i="1"/>
  <c r="R961" i="1"/>
  <c r="K961" i="1"/>
  <c r="E961" i="1"/>
  <c r="C961" i="1"/>
  <c r="A961" i="1"/>
  <c r="T960" i="1"/>
  <c r="S960" i="1"/>
  <c r="R960" i="1"/>
  <c r="K960" i="1"/>
  <c r="E960" i="1"/>
  <c r="C960" i="1"/>
  <c r="A960" i="1"/>
  <c r="T959" i="1"/>
  <c r="S959" i="1"/>
  <c r="R959" i="1"/>
  <c r="K959" i="1"/>
  <c r="E959" i="1"/>
  <c r="C959" i="1"/>
  <c r="A959" i="1"/>
  <c r="T958" i="1"/>
  <c r="S958" i="1"/>
  <c r="R958" i="1"/>
  <c r="K958" i="1"/>
  <c r="E958" i="1"/>
  <c r="C958" i="1"/>
  <c r="A958" i="1"/>
  <c r="T957" i="1"/>
  <c r="S957" i="1"/>
  <c r="R957" i="1"/>
  <c r="K957" i="1"/>
  <c r="E957" i="1"/>
  <c r="C957" i="1"/>
  <c r="A957" i="1"/>
  <c r="T956" i="1"/>
  <c r="S956" i="1"/>
  <c r="R956" i="1"/>
  <c r="K956" i="1"/>
  <c r="E956" i="1"/>
  <c r="C956" i="1"/>
  <c r="A956" i="1"/>
  <c r="T955" i="1"/>
  <c r="S955" i="1"/>
  <c r="R955" i="1"/>
  <c r="K955" i="1"/>
  <c r="E955" i="1"/>
  <c r="C955" i="1"/>
  <c r="A955" i="1"/>
  <c r="T954" i="1"/>
  <c r="S954" i="1"/>
  <c r="R954" i="1"/>
  <c r="K954" i="1"/>
  <c r="E954" i="1"/>
  <c r="C954" i="1"/>
  <c r="A954" i="1"/>
  <c r="T953" i="1"/>
  <c r="S953" i="1"/>
  <c r="R953" i="1"/>
  <c r="K953" i="1"/>
  <c r="E953" i="1"/>
  <c r="C953" i="1"/>
  <c r="A953" i="1"/>
  <c r="T952" i="1"/>
  <c r="S952" i="1"/>
  <c r="R952" i="1"/>
  <c r="K952" i="1"/>
  <c r="E952" i="1"/>
  <c r="C952" i="1"/>
  <c r="A952" i="1"/>
  <c r="T951" i="1"/>
  <c r="S951" i="1"/>
  <c r="R951" i="1"/>
  <c r="K951" i="1"/>
  <c r="E951" i="1"/>
  <c r="C951" i="1"/>
  <c r="A951" i="1"/>
  <c r="T950" i="1"/>
  <c r="S950" i="1"/>
  <c r="R950" i="1"/>
  <c r="K950" i="1"/>
  <c r="E950" i="1"/>
  <c r="C950" i="1"/>
  <c r="A950" i="1"/>
  <c r="T949" i="1"/>
  <c r="S949" i="1"/>
  <c r="R949" i="1"/>
  <c r="K949" i="1"/>
  <c r="E949" i="1"/>
  <c r="C949" i="1"/>
  <c r="A949" i="1"/>
  <c r="T948" i="1"/>
  <c r="S948" i="1"/>
  <c r="R948" i="1"/>
  <c r="K948" i="1"/>
  <c r="E948" i="1"/>
  <c r="C948" i="1"/>
  <c r="A948" i="1"/>
  <c r="T947" i="1"/>
  <c r="S947" i="1"/>
  <c r="R947" i="1"/>
  <c r="K947" i="1"/>
  <c r="E947" i="1"/>
  <c r="C947" i="1"/>
  <c r="A947" i="1"/>
  <c r="T946" i="1"/>
  <c r="S946" i="1"/>
  <c r="R946" i="1"/>
  <c r="K946" i="1"/>
  <c r="E946" i="1"/>
  <c r="C946" i="1"/>
  <c r="A946" i="1"/>
  <c r="T945" i="1"/>
  <c r="S945" i="1"/>
  <c r="R945" i="1"/>
  <c r="K945" i="1"/>
  <c r="E945" i="1"/>
  <c r="C945" i="1"/>
  <c r="A945" i="1"/>
  <c r="T944" i="1"/>
  <c r="S944" i="1"/>
  <c r="R944" i="1"/>
  <c r="K944" i="1"/>
  <c r="E944" i="1"/>
  <c r="C944" i="1"/>
  <c r="A944" i="1"/>
  <c r="T943" i="1"/>
  <c r="S943" i="1"/>
  <c r="R943" i="1"/>
  <c r="K943" i="1"/>
  <c r="E943" i="1"/>
  <c r="C943" i="1"/>
  <c r="A943" i="1"/>
  <c r="T942" i="1"/>
  <c r="S942" i="1"/>
  <c r="R942" i="1"/>
  <c r="K942" i="1"/>
  <c r="E942" i="1"/>
  <c r="C942" i="1"/>
  <c r="A942" i="1"/>
  <c r="T941" i="1"/>
  <c r="S941" i="1"/>
  <c r="R941" i="1"/>
  <c r="K941" i="1"/>
  <c r="E941" i="1"/>
  <c r="C941" i="1"/>
  <c r="A941" i="1"/>
  <c r="T940" i="1"/>
  <c r="S940" i="1"/>
  <c r="R940" i="1"/>
  <c r="K940" i="1"/>
  <c r="E940" i="1"/>
  <c r="C940" i="1"/>
  <c r="A940" i="1"/>
  <c r="T939" i="1"/>
  <c r="S939" i="1"/>
  <c r="R939" i="1"/>
  <c r="K939" i="1"/>
  <c r="E939" i="1"/>
  <c r="C939" i="1"/>
  <c r="A939" i="1"/>
  <c r="T938" i="1"/>
  <c r="S938" i="1"/>
  <c r="R938" i="1"/>
  <c r="K938" i="1"/>
  <c r="E938" i="1"/>
  <c r="C938" i="1"/>
  <c r="A938" i="1"/>
  <c r="T937" i="1"/>
  <c r="S937" i="1"/>
  <c r="R937" i="1"/>
  <c r="K937" i="1"/>
  <c r="E937" i="1"/>
  <c r="C937" i="1"/>
  <c r="A937" i="1"/>
  <c r="T936" i="1"/>
  <c r="S936" i="1"/>
  <c r="R936" i="1"/>
  <c r="K936" i="1"/>
  <c r="E936" i="1"/>
  <c r="C936" i="1"/>
  <c r="A936" i="1"/>
  <c r="T935" i="1"/>
  <c r="S935" i="1"/>
  <c r="R935" i="1"/>
  <c r="K935" i="1"/>
  <c r="E935" i="1"/>
  <c r="C935" i="1"/>
  <c r="A935" i="1"/>
  <c r="T934" i="1"/>
  <c r="S934" i="1"/>
  <c r="R934" i="1"/>
  <c r="K934" i="1"/>
  <c r="E934" i="1"/>
  <c r="C934" i="1"/>
  <c r="A934" i="1"/>
  <c r="T933" i="1"/>
  <c r="S933" i="1"/>
  <c r="R933" i="1"/>
  <c r="K933" i="1"/>
  <c r="E933" i="1"/>
  <c r="C933" i="1"/>
  <c r="A933" i="1"/>
  <c r="T932" i="1"/>
  <c r="S932" i="1"/>
  <c r="R932" i="1"/>
  <c r="K932" i="1"/>
  <c r="E932" i="1"/>
  <c r="C932" i="1"/>
  <c r="A932" i="1"/>
  <c r="T931" i="1"/>
  <c r="S931" i="1"/>
  <c r="R931" i="1"/>
  <c r="K931" i="1"/>
  <c r="E931" i="1"/>
  <c r="C931" i="1"/>
  <c r="A931" i="1"/>
  <c r="T930" i="1"/>
  <c r="S930" i="1"/>
  <c r="R930" i="1"/>
  <c r="K930" i="1"/>
  <c r="E930" i="1"/>
  <c r="C930" i="1"/>
  <c r="A930" i="1"/>
  <c r="T929" i="1"/>
  <c r="S929" i="1"/>
  <c r="R929" i="1"/>
  <c r="M929" i="1"/>
  <c r="K929" i="1"/>
  <c r="E929" i="1"/>
  <c r="C929" i="1"/>
  <c r="A929" i="1"/>
  <c r="T928" i="1"/>
  <c r="S928" i="1"/>
  <c r="R928" i="1"/>
  <c r="M928" i="1"/>
  <c r="K928" i="1"/>
  <c r="E928" i="1"/>
  <c r="C928" i="1"/>
  <c r="A928" i="1"/>
  <c r="T927" i="1"/>
  <c r="S927" i="1"/>
  <c r="R927" i="1"/>
  <c r="M927" i="1"/>
  <c r="K927" i="1"/>
  <c r="E927" i="1"/>
  <c r="C927" i="1"/>
  <c r="A927" i="1"/>
  <c r="T926" i="1"/>
  <c r="S926" i="1"/>
  <c r="R926" i="1"/>
  <c r="M926" i="1"/>
  <c r="K926" i="1"/>
  <c r="E926" i="1"/>
  <c r="C926" i="1"/>
  <c r="A926" i="1"/>
  <c r="T925" i="1"/>
  <c r="S925" i="1"/>
  <c r="R925" i="1"/>
  <c r="M925" i="1"/>
  <c r="K925" i="1"/>
  <c r="E925" i="1"/>
  <c r="C925" i="1"/>
  <c r="A925" i="1"/>
  <c r="T924" i="1"/>
  <c r="S924" i="1"/>
  <c r="R924" i="1"/>
  <c r="M924" i="1"/>
  <c r="K924" i="1"/>
  <c r="E924" i="1"/>
  <c r="C924" i="1"/>
  <c r="A924" i="1"/>
  <c r="T923" i="1"/>
  <c r="S923" i="1"/>
  <c r="R923" i="1"/>
  <c r="M923" i="1"/>
  <c r="K923" i="1"/>
  <c r="E923" i="1"/>
  <c r="C923" i="1"/>
  <c r="A923" i="1"/>
  <c r="T922" i="1"/>
  <c r="S922" i="1"/>
  <c r="R922" i="1"/>
  <c r="M922" i="1"/>
  <c r="K922" i="1"/>
  <c r="E922" i="1"/>
  <c r="C922" i="1"/>
  <c r="A922" i="1"/>
  <c r="T921" i="1"/>
  <c r="S921" i="1"/>
  <c r="R921" i="1"/>
  <c r="M921" i="1"/>
  <c r="K921" i="1"/>
  <c r="E921" i="1"/>
  <c r="C921" i="1"/>
  <c r="A921" i="1"/>
  <c r="T920" i="1"/>
  <c r="S920" i="1"/>
  <c r="R920" i="1"/>
  <c r="M920" i="1"/>
  <c r="K920" i="1"/>
  <c r="E920" i="1"/>
  <c r="C920" i="1"/>
  <c r="A920" i="1"/>
  <c r="T919" i="1"/>
  <c r="S919" i="1"/>
  <c r="R919" i="1"/>
  <c r="M919" i="1"/>
  <c r="K919" i="1"/>
  <c r="E919" i="1"/>
  <c r="C919" i="1"/>
  <c r="A919" i="1"/>
  <c r="T918" i="1"/>
  <c r="S918" i="1"/>
  <c r="R918" i="1"/>
  <c r="M918" i="1"/>
  <c r="K918" i="1"/>
  <c r="E918" i="1"/>
  <c r="C918" i="1"/>
  <c r="A918" i="1"/>
  <c r="T917" i="1"/>
  <c r="S917" i="1"/>
  <c r="R917" i="1"/>
  <c r="K917" i="1"/>
  <c r="E917" i="1"/>
  <c r="D917" i="1"/>
  <c r="C917" i="1"/>
  <c r="A917" i="1"/>
  <c r="T916" i="1"/>
  <c r="S916" i="1"/>
  <c r="R916" i="1"/>
  <c r="K916" i="1"/>
  <c r="E916" i="1"/>
  <c r="D916" i="1"/>
  <c r="C916" i="1"/>
  <c r="A916" i="1"/>
  <c r="T915" i="1"/>
  <c r="S915" i="1"/>
  <c r="R915" i="1"/>
  <c r="K915" i="1"/>
  <c r="E915" i="1"/>
  <c r="D915" i="1"/>
  <c r="C915" i="1"/>
  <c r="A915" i="1"/>
  <c r="T914" i="1"/>
  <c r="S914" i="1"/>
  <c r="R914" i="1"/>
  <c r="K914" i="1"/>
  <c r="E914" i="1"/>
  <c r="D914" i="1"/>
  <c r="C914" i="1"/>
  <c r="A914" i="1"/>
  <c r="T913" i="1"/>
  <c r="S913" i="1"/>
  <c r="R913" i="1"/>
  <c r="K913" i="1"/>
  <c r="E913" i="1"/>
  <c r="D913" i="1"/>
  <c r="C913" i="1"/>
  <c r="A913" i="1"/>
  <c r="T912" i="1"/>
  <c r="S912" i="1"/>
  <c r="R912" i="1"/>
  <c r="K912" i="1"/>
  <c r="E912" i="1"/>
  <c r="D912" i="1"/>
  <c r="C912" i="1"/>
  <c r="A912" i="1"/>
  <c r="T911" i="1"/>
  <c r="S911" i="1"/>
  <c r="R911" i="1"/>
  <c r="K911" i="1"/>
  <c r="E911" i="1"/>
  <c r="D911" i="1"/>
  <c r="C911" i="1"/>
  <c r="A911" i="1"/>
  <c r="T910" i="1"/>
  <c r="S910" i="1"/>
  <c r="R910" i="1"/>
  <c r="K910" i="1"/>
  <c r="E910" i="1"/>
  <c r="D910" i="1"/>
  <c r="C910" i="1"/>
  <c r="A910" i="1"/>
  <c r="T909" i="1"/>
  <c r="S909" i="1"/>
  <c r="R909" i="1"/>
  <c r="K909" i="1"/>
  <c r="E909" i="1"/>
  <c r="D909" i="1"/>
  <c r="C909" i="1"/>
  <c r="A909" i="1"/>
  <c r="T908" i="1"/>
  <c r="S908" i="1"/>
  <c r="R908" i="1"/>
  <c r="K908" i="1"/>
  <c r="E908" i="1"/>
  <c r="D908" i="1"/>
  <c r="C908" i="1"/>
  <c r="A908" i="1"/>
  <c r="T907" i="1"/>
  <c r="S907" i="1"/>
  <c r="R907" i="1"/>
  <c r="K907" i="1"/>
  <c r="E907" i="1"/>
  <c r="D907" i="1"/>
  <c r="C907" i="1"/>
  <c r="A907" i="1"/>
  <c r="T906" i="1"/>
  <c r="S906" i="1"/>
  <c r="R906" i="1"/>
  <c r="K906" i="1"/>
  <c r="E906" i="1"/>
  <c r="D906" i="1"/>
  <c r="C906" i="1"/>
  <c r="A906" i="1"/>
  <c r="T905" i="1"/>
  <c r="S905" i="1"/>
  <c r="R905" i="1"/>
  <c r="K905" i="1"/>
  <c r="E905" i="1"/>
  <c r="D905" i="1"/>
  <c r="C905" i="1"/>
  <c r="A905" i="1"/>
  <c r="T904" i="1"/>
  <c r="S904" i="1"/>
  <c r="R904" i="1"/>
  <c r="K904" i="1"/>
  <c r="E904" i="1"/>
  <c r="D904" i="1"/>
  <c r="C904" i="1"/>
  <c r="A904" i="1"/>
  <c r="T903" i="1"/>
  <c r="S903" i="1"/>
  <c r="R903" i="1"/>
  <c r="K903" i="1"/>
  <c r="E903" i="1"/>
  <c r="D903" i="1"/>
  <c r="C903" i="1"/>
  <c r="A903" i="1"/>
  <c r="T902" i="1"/>
  <c r="S902" i="1"/>
  <c r="R902" i="1"/>
  <c r="K902" i="1"/>
  <c r="E902" i="1"/>
  <c r="D902" i="1"/>
  <c r="C902" i="1"/>
  <c r="A902" i="1"/>
  <c r="T901" i="1"/>
  <c r="S901" i="1"/>
  <c r="R901" i="1"/>
  <c r="K901" i="1"/>
  <c r="E901" i="1"/>
  <c r="D901" i="1"/>
  <c r="C901" i="1"/>
  <c r="A901" i="1"/>
  <c r="T900" i="1"/>
  <c r="S900" i="1"/>
  <c r="R900" i="1"/>
  <c r="K900" i="1"/>
  <c r="E900" i="1"/>
  <c r="D900" i="1"/>
  <c r="C900" i="1"/>
  <c r="A900" i="1"/>
  <c r="T899" i="1"/>
  <c r="S899" i="1"/>
  <c r="R899" i="1"/>
  <c r="K899" i="1"/>
  <c r="E899" i="1"/>
  <c r="D899" i="1"/>
  <c r="C899" i="1"/>
  <c r="A899" i="1"/>
  <c r="T898" i="1"/>
  <c r="S898" i="1"/>
  <c r="R898" i="1"/>
  <c r="K898" i="1"/>
  <c r="E898" i="1"/>
  <c r="D898" i="1"/>
  <c r="C898" i="1"/>
  <c r="A898" i="1"/>
  <c r="T897" i="1"/>
  <c r="S897" i="1"/>
  <c r="R897" i="1"/>
  <c r="K897" i="1"/>
  <c r="E897" i="1"/>
  <c r="D897" i="1"/>
  <c r="C897" i="1"/>
  <c r="A897" i="1"/>
  <c r="T896" i="1"/>
  <c r="S896" i="1"/>
  <c r="R896" i="1"/>
  <c r="K896" i="1"/>
  <c r="E896" i="1"/>
  <c r="D896" i="1"/>
  <c r="C896" i="1"/>
  <c r="A896" i="1"/>
  <c r="T895" i="1"/>
  <c r="S895" i="1"/>
  <c r="R895" i="1"/>
  <c r="K895" i="1"/>
  <c r="E895" i="1"/>
  <c r="D895" i="1"/>
  <c r="C895" i="1"/>
  <c r="A895" i="1"/>
  <c r="T894" i="1"/>
  <c r="S894" i="1"/>
  <c r="R894" i="1"/>
  <c r="P894" i="1"/>
  <c r="M894" i="1"/>
  <c r="K894" i="1"/>
  <c r="E894" i="1"/>
  <c r="D894" i="1"/>
  <c r="C894" i="1"/>
  <c r="A894" i="1"/>
  <c r="T893" i="1"/>
  <c r="S893" i="1"/>
  <c r="R893" i="1"/>
  <c r="K893" i="1"/>
  <c r="E893" i="1"/>
  <c r="D893" i="1"/>
  <c r="C893" i="1"/>
  <c r="A893" i="1"/>
  <c r="T892" i="1"/>
  <c r="S892" i="1"/>
  <c r="R892" i="1"/>
  <c r="K892" i="1"/>
  <c r="E892" i="1"/>
  <c r="D892" i="1"/>
  <c r="C892" i="1"/>
  <c r="A892" i="1"/>
  <c r="T891" i="1"/>
  <c r="S891" i="1"/>
  <c r="R891" i="1"/>
  <c r="K891" i="1"/>
  <c r="E891" i="1"/>
  <c r="D891" i="1"/>
  <c r="C891" i="1"/>
  <c r="A891" i="1"/>
  <c r="T890" i="1"/>
  <c r="S890" i="1"/>
  <c r="R890" i="1"/>
  <c r="K890" i="1"/>
  <c r="E890" i="1"/>
  <c r="D890" i="1"/>
  <c r="C890" i="1"/>
  <c r="A890" i="1"/>
  <c r="T889" i="1"/>
  <c r="S889" i="1"/>
  <c r="R889" i="1"/>
  <c r="K889" i="1"/>
  <c r="E889" i="1"/>
  <c r="D889" i="1"/>
  <c r="C889" i="1"/>
  <c r="A889" i="1"/>
  <c r="T888" i="1"/>
  <c r="S888" i="1"/>
  <c r="R888" i="1"/>
  <c r="K888" i="1"/>
  <c r="E888" i="1"/>
  <c r="D888" i="1"/>
  <c r="C888" i="1"/>
  <c r="A888" i="1"/>
  <c r="T887" i="1"/>
  <c r="S887" i="1"/>
  <c r="R887" i="1"/>
  <c r="K887" i="1"/>
  <c r="E887" i="1"/>
  <c r="D887" i="1"/>
  <c r="C887" i="1"/>
  <c r="A887" i="1"/>
  <c r="T886" i="1"/>
  <c r="S886" i="1"/>
  <c r="R886" i="1"/>
  <c r="K886" i="1"/>
  <c r="E886" i="1"/>
  <c r="D886" i="1"/>
  <c r="C886" i="1"/>
  <c r="A886" i="1"/>
  <c r="T885" i="1"/>
  <c r="S885" i="1"/>
  <c r="R885" i="1"/>
  <c r="K885" i="1"/>
  <c r="E885" i="1"/>
  <c r="D885" i="1"/>
  <c r="C885" i="1"/>
  <c r="A885" i="1"/>
  <c r="T884" i="1"/>
  <c r="S884" i="1"/>
  <c r="R884" i="1"/>
  <c r="K884" i="1"/>
  <c r="E884" i="1"/>
  <c r="D884" i="1"/>
  <c r="C884" i="1"/>
  <c r="A884" i="1"/>
  <c r="T883" i="1"/>
  <c r="S883" i="1"/>
  <c r="R883" i="1"/>
  <c r="K883" i="1"/>
  <c r="E883" i="1"/>
  <c r="D883" i="1"/>
  <c r="C883" i="1"/>
  <c r="A883" i="1"/>
  <c r="T882" i="1"/>
  <c r="S882" i="1"/>
  <c r="R882" i="1"/>
  <c r="K882" i="1"/>
  <c r="E882" i="1"/>
  <c r="D882" i="1"/>
  <c r="C882" i="1"/>
  <c r="A882" i="1"/>
  <c r="T881" i="1"/>
  <c r="S881" i="1"/>
  <c r="R881" i="1"/>
  <c r="K881" i="1"/>
  <c r="E881" i="1"/>
  <c r="D881" i="1"/>
  <c r="C881" i="1"/>
  <c r="A881" i="1"/>
  <c r="T880" i="1"/>
  <c r="S880" i="1"/>
  <c r="R880" i="1"/>
  <c r="K880" i="1"/>
  <c r="E880" i="1"/>
  <c r="D880" i="1"/>
  <c r="C880" i="1"/>
  <c r="A880" i="1"/>
  <c r="T879" i="1"/>
  <c r="S879" i="1"/>
  <c r="R879" i="1"/>
  <c r="K879" i="1"/>
  <c r="E879" i="1"/>
  <c r="D879" i="1"/>
  <c r="C879" i="1"/>
  <c r="A879" i="1"/>
  <c r="T878" i="1"/>
  <c r="S878" i="1"/>
  <c r="R878" i="1"/>
  <c r="K878" i="1"/>
  <c r="E878" i="1"/>
  <c r="D878" i="1"/>
  <c r="C878" i="1"/>
  <c r="A878" i="1"/>
  <c r="T877" i="1"/>
  <c r="S877" i="1"/>
  <c r="R877" i="1"/>
  <c r="K877" i="1"/>
  <c r="E877" i="1"/>
  <c r="D877" i="1"/>
  <c r="C877" i="1"/>
  <c r="A877" i="1"/>
  <c r="T876" i="1"/>
  <c r="S876" i="1"/>
  <c r="R876" i="1"/>
  <c r="K876" i="1"/>
  <c r="E876" i="1"/>
  <c r="D876" i="1"/>
  <c r="C876" i="1"/>
  <c r="A876" i="1"/>
  <c r="T875" i="1"/>
  <c r="S875" i="1"/>
  <c r="R875" i="1"/>
  <c r="K875" i="1"/>
  <c r="E875" i="1"/>
  <c r="D875" i="1"/>
  <c r="C875" i="1"/>
  <c r="A875" i="1"/>
  <c r="T874" i="1"/>
  <c r="S874" i="1"/>
  <c r="R874" i="1"/>
  <c r="K874" i="1"/>
  <c r="E874" i="1"/>
  <c r="D874" i="1"/>
  <c r="C874" i="1"/>
  <c r="A874" i="1"/>
  <c r="T873" i="1"/>
  <c r="S873" i="1"/>
  <c r="R873" i="1"/>
  <c r="K873" i="1"/>
  <c r="E873" i="1"/>
  <c r="D873" i="1"/>
  <c r="C873" i="1"/>
  <c r="A873" i="1"/>
  <c r="T872" i="1"/>
  <c r="S872" i="1"/>
  <c r="R872" i="1"/>
  <c r="K872" i="1"/>
  <c r="E872" i="1"/>
  <c r="D872" i="1"/>
  <c r="C872" i="1"/>
  <c r="A872" i="1"/>
  <c r="T871" i="1"/>
  <c r="S871" i="1"/>
  <c r="R871" i="1"/>
  <c r="K871" i="1"/>
  <c r="E871" i="1"/>
  <c r="D871" i="1"/>
  <c r="C871" i="1"/>
  <c r="A871" i="1"/>
  <c r="T870" i="1"/>
  <c r="S870" i="1"/>
  <c r="R870" i="1"/>
  <c r="K870" i="1"/>
  <c r="E870" i="1"/>
  <c r="D870" i="1"/>
  <c r="C870" i="1"/>
  <c r="A870" i="1"/>
  <c r="T869" i="1"/>
  <c r="S869" i="1"/>
  <c r="R869" i="1"/>
  <c r="K869" i="1"/>
  <c r="E869" i="1"/>
  <c r="D869" i="1"/>
  <c r="C869" i="1"/>
  <c r="A869" i="1"/>
  <c r="T868" i="1"/>
  <c r="S868" i="1"/>
  <c r="R868" i="1"/>
  <c r="K868" i="1"/>
  <c r="E868" i="1"/>
  <c r="D868" i="1"/>
  <c r="C868" i="1"/>
  <c r="A868" i="1"/>
  <c r="T867" i="1"/>
  <c r="S867" i="1"/>
  <c r="R867" i="1"/>
  <c r="K867" i="1"/>
  <c r="E867" i="1"/>
  <c r="D867" i="1"/>
  <c r="C867" i="1"/>
  <c r="A867" i="1"/>
  <c r="T866" i="1"/>
  <c r="S866" i="1"/>
  <c r="R866" i="1"/>
  <c r="K866" i="1"/>
  <c r="E866" i="1"/>
  <c r="D866" i="1"/>
  <c r="C866" i="1"/>
  <c r="A866" i="1"/>
  <c r="T865" i="1"/>
  <c r="S865" i="1"/>
  <c r="R865" i="1"/>
  <c r="K865" i="1"/>
  <c r="E865" i="1"/>
  <c r="D865" i="1"/>
  <c r="C865" i="1"/>
  <c r="A865" i="1"/>
  <c r="T864" i="1"/>
  <c r="S864" i="1"/>
  <c r="R864" i="1"/>
  <c r="K864" i="1"/>
  <c r="E864" i="1"/>
  <c r="D864" i="1"/>
  <c r="C864" i="1"/>
  <c r="A864" i="1"/>
  <c r="T863" i="1"/>
  <c r="S863" i="1"/>
  <c r="R863" i="1"/>
  <c r="K863" i="1"/>
  <c r="E863" i="1"/>
  <c r="D863" i="1"/>
  <c r="C863" i="1"/>
  <c r="A863" i="1"/>
  <c r="T862" i="1"/>
  <c r="S862" i="1"/>
  <c r="R862" i="1"/>
  <c r="K862" i="1"/>
  <c r="E862" i="1"/>
  <c r="D862" i="1"/>
  <c r="C862" i="1"/>
  <c r="A862" i="1"/>
  <c r="T861" i="1"/>
  <c r="S861" i="1"/>
  <c r="R861" i="1"/>
  <c r="K861" i="1"/>
  <c r="E861" i="1"/>
  <c r="D861" i="1"/>
  <c r="C861" i="1"/>
  <c r="A861" i="1"/>
  <c r="T860" i="1"/>
  <c r="S860" i="1"/>
  <c r="R860" i="1"/>
  <c r="K860" i="1"/>
  <c r="E860" i="1"/>
  <c r="D860" i="1"/>
  <c r="C860" i="1"/>
  <c r="A860" i="1"/>
  <c r="T859" i="1"/>
  <c r="S859" i="1"/>
  <c r="R859" i="1"/>
  <c r="K859" i="1"/>
  <c r="E859" i="1"/>
  <c r="D859" i="1"/>
  <c r="C859" i="1"/>
  <c r="A859" i="1"/>
  <c r="T858" i="1"/>
  <c r="S858" i="1"/>
  <c r="R858" i="1"/>
  <c r="K858" i="1"/>
  <c r="E858" i="1"/>
  <c r="D858" i="1"/>
  <c r="C858" i="1"/>
  <c r="A858" i="1"/>
  <c r="T857" i="1"/>
  <c r="S857" i="1"/>
  <c r="R857" i="1"/>
  <c r="K857" i="1"/>
  <c r="E857" i="1"/>
  <c r="D857" i="1"/>
  <c r="C857" i="1"/>
  <c r="A857" i="1"/>
  <c r="T856" i="1"/>
  <c r="S856" i="1"/>
  <c r="R856" i="1"/>
  <c r="K856" i="1"/>
  <c r="E856" i="1"/>
  <c r="D856" i="1"/>
  <c r="C856" i="1"/>
  <c r="A856" i="1"/>
  <c r="T855" i="1"/>
  <c r="S855" i="1"/>
  <c r="R855" i="1"/>
  <c r="K855" i="1"/>
  <c r="E855" i="1"/>
  <c r="D855" i="1"/>
  <c r="C855" i="1"/>
  <c r="A855" i="1"/>
  <c r="T854" i="1"/>
  <c r="S854" i="1"/>
  <c r="R854" i="1"/>
  <c r="K854" i="1"/>
  <c r="E854" i="1"/>
  <c r="D854" i="1"/>
  <c r="C854" i="1"/>
  <c r="A854" i="1"/>
  <c r="T853" i="1"/>
  <c r="S853" i="1"/>
  <c r="R853" i="1"/>
  <c r="K853" i="1"/>
  <c r="E853" i="1"/>
  <c r="D853" i="1"/>
  <c r="C853" i="1"/>
  <c r="A853" i="1"/>
  <c r="T852" i="1"/>
  <c r="S852" i="1"/>
  <c r="R852" i="1"/>
  <c r="K852" i="1"/>
  <c r="E852" i="1"/>
  <c r="D852" i="1"/>
  <c r="C852" i="1"/>
  <c r="A852" i="1"/>
  <c r="T851" i="1"/>
  <c r="S851" i="1"/>
  <c r="R851" i="1"/>
  <c r="K851" i="1"/>
  <c r="E851" i="1"/>
  <c r="D851" i="1"/>
  <c r="C851" i="1"/>
  <c r="A851" i="1"/>
  <c r="T850" i="1"/>
  <c r="S850" i="1"/>
  <c r="R850" i="1"/>
  <c r="K850" i="1"/>
  <c r="E850" i="1"/>
  <c r="D850" i="1"/>
  <c r="C850" i="1"/>
  <c r="A850" i="1"/>
  <c r="T849" i="1"/>
  <c r="S849" i="1"/>
  <c r="R849" i="1"/>
  <c r="K849" i="1"/>
  <c r="E849" i="1"/>
  <c r="D849" i="1"/>
  <c r="C849" i="1"/>
  <c r="A849" i="1"/>
  <c r="T848" i="1"/>
  <c r="S848" i="1"/>
  <c r="R848" i="1"/>
  <c r="K848" i="1"/>
  <c r="E848" i="1"/>
  <c r="D848" i="1"/>
  <c r="C848" i="1"/>
  <c r="A848" i="1"/>
  <c r="T847" i="1"/>
  <c r="S847" i="1"/>
  <c r="R847" i="1"/>
  <c r="K847" i="1"/>
  <c r="E847" i="1"/>
  <c r="D847" i="1"/>
  <c r="C847" i="1"/>
  <c r="A847" i="1"/>
  <c r="T846" i="1"/>
  <c r="S846" i="1"/>
  <c r="R846" i="1"/>
  <c r="K846" i="1"/>
  <c r="E846" i="1"/>
  <c r="D846" i="1"/>
  <c r="C846" i="1"/>
  <c r="A846" i="1"/>
  <c r="T845" i="1"/>
  <c r="S845" i="1"/>
  <c r="R845" i="1"/>
  <c r="K845" i="1"/>
  <c r="E845" i="1"/>
  <c r="D845" i="1"/>
  <c r="C845" i="1"/>
  <c r="A845" i="1"/>
  <c r="T844" i="1"/>
  <c r="S844" i="1"/>
  <c r="R844" i="1"/>
  <c r="K844" i="1"/>
  <c r="E844" i="1"/>
  <c r="D844" i="1"/>
  <c r="C844" i="1"/>
  <c r="A844" i="1"/>
  <c r="T843" i="1"/>
  <c r="S843" i="1"/>
  <c r="R843" i="1"/>
  <c r="K843" i="1"/>
  <c r="E843" i="1"/>
  <c r="D843" i="1"/>
  <c r="C843" i="1"/>
  <c r="A843" i="1"/>
  <c r="T842" i="1"/>
  <c r="S842" i="1"/>
  <c r="R842" i="1"/>
  <c r="K842" i="1"/>
  <c r="E842" i="1"/>
  <c r="D842" i="1"/>
  <c r="C842" i="1"/>
  <c r="A842" i="1"/>
  <c r="T841" i="1"/>
  <c r="S841" i="1"/>
  <c r="R841" i="1"/>
  <c r="K841" i="1"/>
  <c r="E841" i="1"/>
  <c r="D841" i="1"/>
  <c r="C841" i="1"/>
  <c r="A841" i="1"/>
  <c r="T840" i="1"/>
  <c r="S840" i="1"/>
  <c r="R840" i="1"/>
  <c r="K840" i="1"/>
  <c r="E840" i="1"/>
  <c r="D840" i="1"/>
  <c r="C840" i="1"/>
  <c r="A840" i="1"/>
  <c r="T839" i="1"/>
  <c r="S839" i="1"/>
  <c r="R839" i="1"/>
  <c r="K839" i="1"/>
  <c r="E839" i="1"/>
  <c r="D839" i="1"/>
  <c r="C839" i="1"/>
  <c r="A839" i="1"/>
  <c r="T838" i="1"/>
  <c r="S838" i="1"/>
  <c r="R838" i="1"/>
  <c r="K838" i="1"/>
  <c r="E838" i="1"/>
  <c r="D838" i="1"/>
  <c r="C838" i="1"/>
  <c r="A838" i="1"/>
  <c r="T837" i="1"/>
  <c r="S837" i="1"/>
  <c r="R837" i="1"/>
  <c r="K837" i="1"/>
  <c r="E837" i="1"/>
  <c r="D837" i="1"/>
  <c r="C837" i="1"/>
  <c r="A837" i="1"/>
  <c r="T836" i="1"/>
  <c r="S836" i="1"/>
  <c r="R836" i="1"/>
  <c r="K836" i="1"/>
  <c r="E836" i="1"/>
  <c r="D836" i="1"/>
  <c r="C836" i="1"/>
  <c r="A836" i="1"/>
  <c r="T835" i="1"/>
  <c r="S835" i="1"/>
  <c r="R835" i="1"/>
  <c r="K835" i="1"/>
  <c r="E835" i="1"/>
  <c r="D835" i="1"/>
  <c r="C835" i="1"/>
  <c r="A835" i="1"/>
  <c r="T834" i="1"/>
  <c r="S834" i="1"/>
  <c r="R834" i="1"/>
  <c r="K834" i="1"/>
  <c r="E834" i="1"/>
  <c r="D834" i="1"/>
  <c r="C834" i="1"/>
  <c r="A834" i="1"/>
  <c r="T833" i="1"/>
  <c r="S833" i="1"/>
  <c r="R833" i="1"/>
  <c r="K833" i="1"/>
  <c r="E833" i="1"/>
  <c r="D833" i="1"/>
  <c r="C833" i="1"/>
  <c r="A833" i="1"/>
  <c r="T832" i="1"/>
  <c r="S832" i="1"/>
  <c r="R832" i="1"/>
  <c r="K832" i="1"/>
  <c r="E832" i="1"/>
  <c r="D832" i="1"/>
  <c r="C832" i="1"/>
  <c r="A832" i="1"/>
  <c r="T831" i="1"/>
  <c r="S831" i="1"/>
  <c r="R831" i="1"/>
  <c r="K831" i="1"/>
  <c r="E831" i="1"/>
  <c r="D831" i="1"/>
  <c r="C831" i="1"/>
  <c r="A831" i="1"/>
  <c r="T830" i="1"/>
  <c r="S830" i="1"/>
  <c r="R830" i="1"/>
  <c r="K830" i="1"/>
  <c r="E830" i="1"/>
  <c r="D830" i="1"/>
  <c r="C830" i="1"/>
  <c r="A830" i="1"/>
  <c r="T829" i="1"/>
  <c r="S829" i="1"/>
  <c r="R829" i="1"/>
  <c r="K829" i="1"/>
  <c r="E829" i="1"/>
  <c r="D829" i="1"/>
  <c r="C829" i="1"/>
  <c r="A829" i="1"/>
  <c r="T828" i="1"/>
  <c r="S828" i="1"/>
  <c r="R828" i="1"/>
  <c r="K828" i="1"/>
  <c r="E828" i="1"/>
  <c r="D828" i="1"/>
  <c r="C828" i="1"/>
  <c r="A828" i="1"/>
  <c r="T827" i="1"/>
  <c r="S827" i="1"/>
  <c r="R827" i="1"/>
  <c r="K827" i="1"/>
  <c r="E827" i="1"/>
  <c r="D827" i="1"/>
  <c r="C827" i="1"/>
  <c r="A827" i="1"/>
  <c r="T826" i="1"/>
  <c r="S826" i="1"/>
  <c r="R826" i="1"/>
  <c r="K826" i="1"/>
  <c r="E826" i="1"/>
  <c r="D826" i="1"/>
  <c r="C826" i="1"/>
  <c r="A826" i="1"/>
  <c r="T825" i="1"/>
  <c r="S825" i="1"/>
  <c r="R825" i="1"/>
  <c r="K825" i="1"/>
  <c r="E825" i="1"/>
  <c r="D825" i="1"/>
  <c r="C825" i="1"/>
  <c r="A825" i="1"/>
  <c r="T824" i="1"/>
  <c r="S824" i="1"/>
  <c r="R824" i="1"/>
  <c r="K824" i="1"/>
  <c r="E824" i="1"/>
  <c r="D824" i="1"/>
  <c r="C824" i="1"/>
  <c r="A824" i="1"/>
  <c r="T823" i="1"/>
  <c r="S823" i="1"/>
  <c r="R823" i="1"/>
  <c r="K823" i="1"/>
  <c r="E823" i="1"/>
  <c r="D823" i="1"/>
  <c r="C823" i="1"/>
  <c r="A823" i="1"/>
  <c r="T822" i="1"/>
  <c r="S822" i="1"/>
  <c r="R822" i="1"/>
  <c r="K822" i="1"/>
  <c r="E822" i="1"/>
  <c r="D822" i="1"/>
  <c r="C822" i="1"/>
  <c r="A822" i="1"/>
  <c r="T821" i="1"/>
  <c r="S821" i="1"/>
  <c r="R821" i="1"/>
  <c r="K821" i="1"/>
  <c r="E821" i="1"/>
  <c r="D821" i="1"/>
  <c r="C821" i="1"/>
  <c r="A821" i="1"/>
  <c r="T820" i="1"/>
  <c r="S820" i="1"/>
  <c r="R820" i="1"/>
  <c r="K820" i="1"/>
  <c r="E820" i="1"/>
  <c r="D820" i="1"/>
  <c r="C820" i="1"/>
  <c r="A820" i="1"/>
  <c r="T819" i="1"/>
  <c r="S819" i="1"/>
  <c r="R819" i="1"/>
  <c r="K819" i="1"/>
  <c r="E819" i="1"/>
  <c r="D819" i="1"/>
  <c r="C819" i="1"/>
  <c r="A819" i="1"/>
  <c r="T818" i="1"/>
  <c r="S818" i="1"/>
  <c r="R818" i="1"/>
  <c r="K818" i="1"/>
  <c r="E818" i="1"/>
  <c r="D818" i="1"/>
  <c r="C818" i="1"/>
  <c r="A818" i="1"/>
  <c r="T817" i="1"/>
  <c r="S817" i="1"/>
  <c r="R817" i="1"/>
  <c r="K817" i="1"/>
  <c r="E817" i="1"/>
  <c r="D817" i="1"/>
  <c r="C817" i="1"/>
  <c r="A817" i="1"/>
  <c r="T816" i="1"/>
  <c r="S816" i="1"/>
  <c r="R816" i="1"/>
  <c r="K816" i="1"/>
  <c r="E816" i="1"/>
  <c r="D816" i="1"/>
  <c r="C816" i="1"/>
  <c r="A816" i="1"/>
  <c r="T815" i="1"/>
  <c r="S815" i="1"/>
  <c r="R815" i="1"/>
  <c r="K815" i="1"/>
  <c r="E815" i="1"/>
  <c r="D815" i="1"/>
  <c r="C815" i="1"/>
  <c r="A815" i="1"/>
  <c r="T814" i="1"/>
  <c r="S814" i="1"/>
  <c r="R814" i="1"/>
  <c r="K814" i="1"/>
  <c r="E814" i="1"/>
  <c r="D814" i="1"/>
  <c r="C814" i="1"/>
  <c r="A814" i="1"/>
  <c r="T813" i="1"/>
  <c r="S813" i="1"/>
  <c r="R813" i="1"/>
  <c r="K813" i="1"/>
  <c r="E813" i="1"/>
  <c r="D813" i="1"/>
  <c r="C813" i="1"/>
  <c r="A813" i="1"/>
  <c r="T812" i="1"/>
  <c r="S812" i="1"/>
  <c r="R812" i="1"/>
  <c r="K812" i="1"/>
  <c r="E812" i="1"/>
  <c r="D812" i="1"/>
  <c r="C812" i="1"/>
  <c r="A812" i="1"/>
  <c r="T811" i="1"/>
  <c r="S811" i="1"/>
  <c r="R811" i="1"/>
  <c r="K811" i="1"/>
  <c r="E811" i="1"/>
  <c r="D811" i="1"/>
  <c r="C811" i="1"/>
  <c r="A811" i="1"/>
  <c r="T810" i="1"/>
  <c r="S810" i="1"/>
  <c r="R810" i="1"/>
  <c r="K810" i="1"/>
  <c r="E810" i="1"/>
  <c r="D810" i="1"/>
  <c r="C810" i="1"/>
  <c r="A810" i="1"/>
  <c r="T809" i="1"/>
  <c r="S809" i="1"/>
  <c r="R809" i="1"/>
  <c r="K809" i="1"/>
  <c r="E809" i="1"/>
  <c r="D809" i="1"/>
  <c r="C809" i="1"/>
  <c r="A809" i="1"/>
  <c r="T808" i="1"/>
  <c r="S808" i="1"/>
  <c r="R808" i="1"/>
  <c r="K808" i="1"/>
  <c r="E808" i="1"/>
  <c r="D808" i="1"/>
  <c r="C808" i="1"/>
  <c r="A808" i="1"/>
  <c r="T807" i="1"/>
  <c r="S807" i="1"/>
  <c r="R807" i="1"/>
  <c r="K807" i="1"/>
  <c r="E807" i="1"/>
  <c r="D807" i="1"/>
  <c r="C807" i="1"/>
  <c r="A807" i="1"/>
  <c r="T806" i="1"/>
  <c r="S806" i="1"/>
  <c r="R806" i="1"/>
  <c r="K806" i="1"/>
  <c r="E806" i="1"/>
  <c r="D806" i="1"/>
  <c r="C806" i="1"/>
  <c r="A806" i="1"/>
  <c r="T805" i="1"/>
  <c r="S805" i="1"/>
  <c r="R805" i="1"/>
  <c r="K805" i="1"/>
  <c r="E805" i="1"/>
  <c r="D805" i="1"/>
  <c r="C805" i="1"/>
  <c r="A805" i="1"/>
  <c r="T804" i="1"/>
  <c r="S804" i="1"/>
  <c r="R804" i="1"/>
  <c r="K804" i="1"/>
  <c r="E804" i="1"/>
  <c r="D804" i="1"/>
  <c r="C804" i="1"/>
  <c r="A804" i="1"/>
  <c r="T803" i="1"/>
  <c r="S803" i="1"/>
  <c r="R803" i="1"/>
  <c r="K803" i="1"/>
  <c r="E803" i="1"/>
  <c r="D803" i="1"/>
  <c r="C803" i="1"/>
  <c r="A803" i="1"/>
  <c r="T802" i="1"/>
  <c r="S802" i="1"/>
  <c r="R802" i="1"/>
  <c r="K802" i="1"/>
  <c r="E802" i="1"/>
  <c r="D802" i="1"/>
  <c r="C802" i="1"/>
  <c r="A802" i="1"/>
  <c r="T801" i="1"/>
  <c r="S801" i="1"/>
  <c r="R801" i="1"/>
  <c r="K801" i="1"/>
  <c r="E801" i="1"/>
  <c r="D801" i="1"/>
  <c r="C801" i="1"/>
  <c r="A801" i="1"/>
  <c r="T800" i="1"/>
  <c r="S800" i="1"/>
  <c r="R800" i="1"/>
  <c r="K800" i="1"/>
  <c r="E800" i="1"/>
  <c r="D800" i="1"/>
  <c r="C800" i="1"/>
  <c r="A800" i="1"/>
  <c r="T799" i="1"/>
  <c r="S799" i="1"/>
  <c r="R799" i="1"/>
  <c r="K799" i="1"/>
  <c r="E799" i="1"/>
  <c r="D799" i="1"/>
  <c r="C799" i="1"/>
  <c r="A799" i="1"/>
  <c r="T798" i="1"/>
  <c r="S798" i="1"/>
  <c r="R798" i="1"/>
  <c r="K798" i="1"/>
  <c r="E798" i="1"/>
  <c r="D798" i="1"/>
  <c r="C798" i="1"/>
  <c r="A798" i="1"/>
  <c r="T797" i="1"/>
  <c r="S797" i="1"/>
  <c r="R797" i="1"/>
  <c r="K797" i="1"/>
  <c r="E797" i="1"/>
  <c r="D797" i="1"/>
  <c r="C797" i="1"/>
  <c r="A797" i="1"/>
  <c r="T796" i="1"/>
  <c r="S796" i="1"/>
  <c r="R796" i="1"/>
  <c r="P796" i="1"/>
  <c r="K796" i="1"/>
  <c r="I796" i="1"/>
  <c r="E796" i="1"/>
  <c r="D796" i="1"/>
  <c r="C796" i="1"/>
  <c r="A796" i="1"/>
  <c r="T795" i="1"/>
  <c r="S795" i="1"/>
  <c r="R795" i="1"/>
  <c r="P795" i="1"/>
  <c r="K795" i="1"/>
  <c r="I795" i="1"/>
  <c r="E795" i="1"/>
  <c r="D795" i="1"/>
  <c r="C795" i="1"/>
  <c r="A795" i="1"/>
  <c r="T794" i="1"/>
  <c r="S794" i="1"/>
  <c r="R794" i="1"/>
  <c r="M794" i="1"/>
  <c r="K794" i="1"/>
  <c r="E794" i="1"/>
  <c r="D794" i="1"/>
  <c r="C794" i="1"/>
  <c r="A794" i="1"/>
  <c r="T793" i="1"/>
  <c r="S793" i="1"/>
  <c r="R793" i="1"/>
  <c r="M793" i="1"/>
  <c r="K793" i="1"/>
  <c r="E793" i="1"/>
  <c r="D793" i="1"/>
  <c r="C793" i="1"/>
  <c r="A793" i="1"/>
  <c r="T792" i="1"/>
  <c r="S792" i="1"/>
  <c r="R792" i="1"/>
  <c r="M792" i="1"/>
  <c r="K792" i="1"/>
  <c r="E792" i="1"/>
  <c r="D792" i="1"/>
  <c r="C792" i="1"/>
  <c r="A792" i="1"/>
  <c r="T791" i="1"/>
  <c r="S791" i="1"/>
  <c r="R791" i="1"/>
  <c r="M791" i="1"/>
  <c r="K791" i="1"/>
  <c r="E791" i="1"/>
  <c r="D791" i="1"/>
  <c r="C791" i="1"/>
  <c r="A791" i="1"/>
  <c r="T790" i="1"/>
  <c r="S790" i="1"/>
  <c r="R790" i="1"/>
  <c r="M790" i="1"/>
  <c r="K790" i="1"/>
  <c r="E790" i="1"/>
  <c r="D790" i="1"/>
  <c r="C790" i="1"/>
  <c r="A790" i="1"/>
  <c r="T789" i="1"/>
  <c r="S789" i="1"/>
  <c r="R789" i="1"/>
  <c r="M789" i="1"/>
  <c r="K789" i="1"/>
  <c r="E789" i="1"/>
  <c r="D789" i="1"/>
  <c r="C789" i="1"/>
  <c r="A789" i="1"/>
  <c r="T788" i="1"/>
  <c r="S788" i="1"/>
  <c r="R788" i="1"/>
  <c r="M788" i="1"/>
  <c r="K788" i="1"/>
  <c r="E788" i="1"/>
  <c r="D788" i="1"/>
  <c r="C788" i="1"/>
  <c r="A788" i="1"/>
  <c r="T787" i="1"/>
  <c r="S787" i="1"/>
  <c r="R787" i="1"/>
  <c r="M787" i="1"/>
  <c r="K787" i="1"/>
  <c r="E787" i="1"/>
  <c r="D787" i="1"/>
  <c r="C787" i="1"/>
  <c r="A787" i="1"/>
  <c r="T786" i="1"/>
  <c r="S786" i="1"/>
  <c r="R786" i="1"/>
  <c r="M786" i="1"/>
  <c r="K786" i="1"/>
  <c r="E786" i="1"/>
  <c r="D786" i="1"/>
  <c r="C786" i="1"/>
  <c r="A786" i="1"/>
  <c r="T785" i="1"/>
  <c r="S785" i="1"/>
  <c r="R785" i="1"/>
  <c r="M785" i="1"/>
  <c r="K785" i="1"/>
  <c r="E785" i="1"/>
  <c r="D785" i="1"/>
  <c r="C785" i="1"/>
  <c r="A785" i="1"/>
  <c r="T784" i="1"/>
  <c r="S784" i="1"/>
  <c r="R784" i="1"/>
  <c r="M784" i="1"/>
  <c r="K784" i="1"/>
  <c r="E784" i="1"/>
  <c r="D784" i="1"/>
  <c r="C784" i="1"/>
  <c r="A784" i="1"/>
  <c r="T783" i="1"/>
  <c r="S783" i="1"/>
  <c r="R783" i="1"/>
  <c r="K783" i="1"/>
  <c r="E783" i="1"/>
  <c r="D783" i="1"/>
  <c r="C783" i="1"/>
  <c r="A783" i="1"/>
  <c r="T782" i="1"/>
  <c r="S782" i="1"/>
  <c r="R782" i="1"/>
  <c r="K782" i="1"/>
  <c r="E782" i="1"/>
  <c r="D782" i="1"/>
  <c r="C782" i="1"/>
  <c r="A782" i="1"/>
  <c r="T781" i="1"/>
  <c r="S781" i="1"/>
  <c r="R781" i="1"/>
  <c r="K781" i="1"/>
  <c r="E781" i="1"/>
  <c r="D781" i="1"/>
  <c r="C781" i="1"/>
  <c r="A781" i="1"/>
  <c r="T780" i="1"/>
  <c r="S780" i="1"/>
  <c r="R780" i="1"/>
  <c r="K780" i="1"/>
  <c r="E780" i="1"/>
  <c r="D780" i="1"/>
  <c r="C780" i="1"/>
  <c r="A780" i="1"/>
  <c r="T779" i="1"/>
  <c r="S779" i="1"/>
  <c r="R779" i="1"/>
  <c r="K779" i="1"/>
  <c r="E779" i="1"/>
  <c r="D779" i="1"/>
  <c r="C779" i="1"/>
  <c r="A779" i="1"/>
  <c r="T778" i="1"/>
  <c r="S778" i="1"/>
  <c r="R778" i="1"/>
  <c r="K778" i="1"/>
  <c r="E778" i="1"/>
  <c r="D778" i="1"/>
  <c r="C778" i="1"/>
  <c r="A778" i="1"/>
  <c r="T777" i="1"/>
  <c r="S777" i="1"/>
  <c r="R777" i="1"/>
  <c r="K777" i="1"/>
  <c r="E777" i="1"/>
  <c r="D777" i="1"/>
  <c r="C777" i="1"/>
  <c r="A777" i="1"/>
  <c r="T776" i="1"/>
  <c r="S776" i="1"/>
  <c r="R776" i="1"/>
  <c r="K776" i="1"/>
  <c r="E776" i="1"/>
  <c r="D776" i="1"/>
  <c r="C776" i="1"/>
  <c r="A776" i="1"/>
  <c r="T775" i="1"/>
  <c r="S775" i="1"/>
  <c r="R775" i="1"/>
  <c r="K775" i="1"/>
  <c r="E775" i="1"/>
  <c r="D775" i="1"/>
  <c r="C775" i="1"/>
  <c r="A775" i="1"/>
  <c r="T774" i="1"/>
  <c r="S774" i="1"/>
  <c r="R774" i="1"/>
  <c r="K774" i="1"/>
  <c r="E774" i="1"/>
  <c r="D774" i="1"/>
  <c r="C774" i="1"/>
  <c r="A774" i="1"/>
  <c r="T773" i="1"/>
  <c r="S773" i="1"/>
  <c r="R773" i="1"/>
  <c r="K773" i="1"/>
  <c r="E773" i="1"/>
  <c r="D773" i="1"/>
  <c r="C773" i="1"/>
  <c r="A773" i="1"/>
  <c r="T772" i="1"/>
  <c r="S772" i="1"/>
  <c r="R772" i="1"/>
  <c r="K772" i="1"/>
  <c r="E772" i="1"/>
  <c r="D772" i="1"/>
  <c r="C772" i="1"/>
  <c r="A772" i="1"/>
  <c r="T771" i="1"/>
  <c r="S771" i="1"/>
  <c r="R771" i="1"/>
  <c r="K771" i="1"/>
  <c r="E771" i="1"/>
  <c r="D771" i="1"/>
  <c r="C771" i="1"/>
  <c r="A771" i="1"/>
  <c r="T770" i="1"/>
  <c r="S770" i="1"/>
  <c r="R770" i="1"/>
  <c r="K770" i="1"/>
  <c r="E770" i="1"/>
  <c r="D770" i="1"/>
  <c r="C770" i="1"/>
  <c r="A770" i="1"/>
  <c r="T769" i="1"/>
  <c r="S769" i="1"/>
  <c r="R769" i="1"/>
  <c r="K769" i="1"/>
  <c r="E769" i="1"/>
  <c r="D769" i="1"/>
  <c r="C769" i="1"/>
  <c r="A769" i="1"/>
  <c r="T768" i="1"/>
  <c r="S768" i="1"/>
  <c r="R768" i="1"/>
  <c r="K768" i="1"/>
  <c r="E768" i="1"/>
  <c r="D768" i="1"/>
  <c r="C768" i="1"/>
  <c r="A768" i="1"/>
  <c r="T767" i="1"/>
  <c r="S767" i="1"/>
  <c r="R767" i="1"/>
  <c r="K767" i="1"/>
  <c r="E767" i="1"/>
  <c r="D767" i="1"/>
  <c r="C767" i="1"/>
  <c r="A767" i="1"/>
  <c r="T766" i="1"/>
  <c r="S766" i="1"/>
  <c r="R766" i="1"/>
  <c r="K766" i="1"/>
  <c r="E766" i="1"/>
  <c r="D766" i="1"/>
  <c r="C766" i="1"/>
  <c r="A766" i="1"/>
  <c r="T765" i="1"/>
  <c r="S765" i="1"/>
  <c r="R765" i="1"/>
  <c r="K765" i="1"/>
  <c r="E765" i="1"/>
  <c r="D765" i="1"/>
  <c r="C765" i="1"/>
  <c r="A765" i="1"/>
  <c r="T764" i="1"/>
  <c r="S764" i="1"/>
  <c r="R764" i="1"/>
  <c r="K764" i="1"/>
  <c r="E764" i="1"/>
  <c r="D764" i="1"/>
  <c r="C764" i="1"/>
  <c r="A764" i="1"/>
  <c r="T763" i="1"/>
  <c r="S763" i="1"/>
  <c r="R763" i="1"/>
  <c r="K763" i="1"/>
  <c r="E763" i="1"/>
  <c r="D763" i="1"/>
  <c r="C763" i="1"/>
  <c r="A763" i="1"/>
  <c r="T762" i="1"/>
  <c r="S762" i="1"/>
  <c r="R762" i="1"/>
  <c r="K762" i="1"/>
  <c r="E762" i="1"/>
  <c r="D762" i="1"/>
  <c r="C762" i="1"/>
  <c r="A762" i="1"/>
  <c r="T761" i="1"/>
  <c r="S761" i="1"/>
  <c r="R761" i="1"/>
  <c r="K761" i="1"/>
  <c r="E761" i="1"/>
  <c r="D761" i="1"/>
  <c r="C761" i="1"/>
  <c r="A761" i="1"/>
  <c r="T760" i="1"/>
  <c r="S760" i="1"/>
  <c r="R760" i="1"/>
  <c r="K760" i="1"/>
  <c r="E760" i="1"/>
  <c r="D760" i="1"/>
  <c r="C760" i="1"/>
  <c r="A760" i="1"/>
  <c r="T759" i="1"/>
  <c r="S759" i="1"/>
  <c r="R759" i="1"/>
  <c r="K759" i="1"/>
  <c r="E759" i="1"/>
  <c r="D759" i="1"/>
  <c r="C759" i="1"/>
  <c r="A759" i="1"/>
  <c r="T758" i="1"/>
  <c r="S758" i="1"/>
  <c r="R758" i="1"/>
  <c r="K758" i="1"/>
  <c r="E758" i="1"/>
  <c r="D758" i="1"/>
  <c r="C758" i="1"/>
  <c r="A758" i="1"/>
  <c r="T757" i="1"/>
  <c r="S757" i="1"/>
  <c r="R757" i="1"/>
  <c r="K757" i="1"/>
  <c r="E757" i="1"/>
  <c r="D757" i="1"/>
  <c r="C757" i="1"/>
  <c r="A757" i="1"/>
  <c r="T756" i="1"/>
  <c r="S756" i="1"/>
  <c r="R756" i="1"/>
  <c r="K756" i="1"/>
  <c r="E756" i="1"/>
  <c r="D756" i="1"/>
  <c r="C756" i="1"/>
  <c r="A756" i="1"/>
  <c r="T755" i="1"/>
  <c r="S755" i="1"/>
  <c r="R755" i="1"/>
  <c r="K755" i="1"/>
  <c r="E755" i="1"/>
  <c r="D755" i="1"/>
  <c r="C755" i="1"/>
  <c r="A755" i="1"/>
  <c r="T754" i="1"/>
  <c r="S754" i="1"/>
  <c r="R754" i="1"/>
  <c r="K754" i="1"/>
  <c r="E754" i="1"/>
  <c r="D754" i="1"/>
  <c r="C754" i="1"/>
  <c r="A754" i="1"/>
  <c r="T753" i="1"/>
  <c r="S753" i="1"/>
  <c r="R753" i="1"/>
  <c r="K753" i="1"/>
  <c r="E753" i="1"/>
  <c r="D753" i="1"/>
  <c r="C753" i="1"/>
  <c r="A753" i="1"/>
  <c r="T752" i="1"/>
  <c r="S752" i="1"/>
  <c r="R752" i="1"/>
  <c r="K752" i="1"/>
  <c r="E752" i="1"/>
  <c r="D752" i="1"/>
  <c r="C752" i="1"/>
  <c r="A752" i="1"/>
  <c r="T751" i="1"/>
  <c r="S751" i="1"/>
  <c r="R751" i="1"/>
  <c r="K751" i="1"/>
  <c r="E751" i="1"/>
  <c r="D751" i="1"/>
  <c r="C751" i="1"/>
  <c r="A751" i="1"/>
  <c r="T750" i="1"/>
  <c r="S750" i="1"/>
  <c r="R750" i="1"/>
  <c r="K750" i="1"/>
  <c r="E750" i="1"/>
  <c r="D750" i="1"/>
  <c r="C750" i="1"/>
  <c r="A750" i="1"/>
  <c r="T749" i="1"/>
  <c r="S749" i="1"/>
  <c r="R749" i="1"/>
  <c r="K749" i="1"/>
  <c r="E749" i="1"/>
  <c r="D749" i="1"/>
  <c r="C749" i="1"/>
  <c r="A749" i="1"/>
  <c r="T748" i="1"/>
  <c r="S748" i="1"/>
  <c r="R748" i="1"/>
  <c r="K748" i="1"/>
  <c r="E748" i="1"/>
  <c r="D748" i="1"/>
  <c r="C748" i="1"/>
  <c r="A748" i="1"/>
  <c r="T747" i="1"/>
  <c r="S747" i="1"/>
  <c r="R747" i="1"/>
  <c r="K747" i="1"/>
  <c r="E747" i="1"/>
  <c r="D747" i="1"/>
  <c r="C747" i="1"/>
  <c r="A747" i="1"/>
  <c r="T746" i="1"/>
  <c r="S746" i="1"/>
  <c r="R746" i="1"/>
  <c r="K746" i="1"/>
  <c r="E746" i="1"/>
  <c r="D746" i="1"/>
  <c r="C746" i="1"/>
  <c r="A746" i="1"/>
  <c r="T745" i="1"/>
  <c r="S745" i="1"/>
  <c r="R745" i="1"/>
  <c r="K745" i="1"/>
  <c r="E745" i="1"/>
  <c r="D745" i="1"/>
  <c r="C745" i="1"/>
  <c r="A745" i="1"/>
  <c r="T744" i="1"/>
  <c r="S744" i="1"/>
  <c r="R744" i="1"/>
  <c r="K744" i="1"/>
  <c r="E744" i="1"/>
  <c r="D744" i="1"/>
  <c r="C744" i="1"/>
  <c r="A744" i="1"/>
  <c r="T743" i="1"/>
  <c r="S743" i="1"/>
  <c r="R743" i="1"/>
  <c r="K743" i="1"/>
  <c r="E743" i="1"/>
  <c r="D743" i="1"/>
  <c r="C743" i="1"/>
  <c r="A743" i="1"/>
  <c r="T742" i="1"/>
  <c r="S742" i="1"/>
  <c r="R742" i="1"/>
  <c r="K742" i="1"/>
  <c r="E742" i="1"/>
  <c r="D742" i="1"/>
  <c r="C742" i="1"/>
  <c r="A742" i="1"/>
  <c r="T741" i="1"/>
  <c r="S741" i="1"/>
  <c r="R741" i="1"/>
  <c r="K741" i="1"/>
  <c r="E741" i="1"/>
  <c r="D741" i="1"/>
  <c r="C741" i="1"/>
  <c r="A741" i="1"/>
  <c r="T740" i="1"/>
  <c r="S740" i="1"/>
  <c r="R740" i="1"/>
  <c r="K740" i="1"/>
  <c r="E740" i="1"/>
  <c r="D740" i="1"/>
  <c r="C740" i="1"/>
  <c r="A740" i="1"/>
  <c r="T739" i="1"/>
  <c r="S739" i="1"/>
  <c r="R739" i="1"/>
  <c r="K739" i="1"/>
  <c r="E739" i="1"/>
  <c r="D739" i="1"/>
  <c r="C739" i="1"/>
  <c r="A739" i="1"/>
  <c r="T738" i="1"/>
  <c r="S738" i="1"/>
  <c r="R738" i="1"/>
  <c r="K738" i="1"/>
  <c r="E738" i="1"/>
  <c r="D738" i="1"/>
  <c r="C738" i="1"/>
  <c r="A738" i="1"/>
  <c r="T737" i="1"/>
  <c r="S737" i="1"/>
  <c r="R737" i="1"/>
  <c r="K737" i="1"/>
  <c r="E737" i="1"/>
  <c r="D737" i="1"/>
  <c r="C737" i="1"/>
  <c r="A737" i="1"/>
  <c r="T736" i="1"/>
  <c r="S736" i="1"/>
  <c r="R736" i="1"/>
  <c r="M736" i="1"/>
  <c r="K736" i="1"/>
  <c r="I736" i="1"/>
  <c r="E736" i="1"/>
  <c r="D736" i="1"/>
  <c r="C736" i="1"/>
  <c r="A736" i="1"/>
  <c r="T735" i="1"/>
  <c r="S735" i="1"/>
  <c r="R735" i="1"/>
  <c r="K735" i="1"/>
  <c r="E735" i="1"/>
  <c r="D735" i="1"/>
  <c r="C735" i="1"/>
  <c r="A735" i="1"/>
  <c r="T734" i="1"/>
  <c r="S734" i="1"/>
  <c r="R734" i="1"/>
  <c r="K734" i="1"/>
  <c r="E734" i="1"/>
  <c r="D734" i="1"/>
  <c r="C734" i="1"/>
  <c r="A734" i="1"/>
  <c r="T733" i="1"/>
  <c r="S733" i="1"/>
  <c r="R733" i="1"/>
  <c r="K733" i="1"/>
  <c r="E733" i="1"/>
  <c r="D733" i="1"/>
  <c r="C733" i="1"/>
  <c r="A733" i="1"/>
  <c r="T732" i="1"/>
  <c r="S732" i="1"/>
  <c r="R732" i="1"/>
  <c r="K732" i="1"/>
  <c r="E732" i="1"/>
  <c r="D732" i="1"/>
  <c r="C732" i="1"/>
  <c r="A732" i="1"/>
  <c r="T731" i="1"/>
  <c r="S731" i="1"/>
  <c r="R731" i="1"/>
  <c r="K731" i="1"/>
  <c r="E731" i="1"/>
  <c r="D731" i="1"/>
  <c r="C731" i="1"/>
  <c r="A731" i="1"/>
  <c r="T730" i="1"/>
  <c r="S730" i="1"/>
  <c r="R730" i="1"/>
  <c r="K730" i="1"/>
  <c r="E730" i="1"/>
  <c r="D730" i="1"/>
  <c r="C730" i="1"/>
  <c r="A730" i="1"/>
  <c r="T729" i="1"/>
  <c r="S729" i="1"/>
  <c r="R729" i="1"/>
  <c r="K729" i="1"/>
  <c r="E729" i="1"/>
  <c r="D729" i="1"/>
  <c r="C729" i="1"/>
  <c r="A729" i="1"/>
  <c r="T728" i="1"/>
  <c r="S728" i="1"/>
  <c r="R728" i="1"/>
  <c r="K728" i="1"/>
  <c r="E728" i="1"/>
  <c r="D728" i="1"/>
  <c r="C728" i="1"/>
  <c r="A728" i="1"/>
  <c r="T727" i="1"/>
  <c r="S727" i="1"/>
  <c r="R727" i="1"/>
  <c r="K727" i="1"/>
  <c r="E727" i="1"/>
  <c r="D727" i="1"/>
  <c r="C727" i="1"/>
  <c r="A727" i="1"/>
  <c r="T726" i="1"/>
  <c r="S726" i="1"/>
  <c r="R726" i="1"/>
  <c r="K726" i="1"/>
  <c r="E726" i="1"/>
  <c r="D726" i="1"/>
  <c r="C726" i="1"/>
  <c r="A726" i="1"/>
  <c r="T725" i="1"/>
  <c r="S725" i="1"/>
  <c r="R725" i="1"/>
  <c r="K725" i="1"/>
  <c r="E725" i="1"/>
  <c r="D725" i="1"/>
  <c r="C725" i="1"/>
  <c r="A725" i="1"/>
  <c r="T724" i="1"/>
  <c r="S724" i="1"/>
  <c r="R724" i="1"/>
  <c r="K724" i="1"/>
  <c r="E724" i="1"/>
  <c r="D724" i="1"/>
  <c r="C724" i="1"/>
  <c r="A724" i="1"/>
  <c r="T723" i="1"/>
  <c r="S723" i="1"/>
  <c r="R723" i="1"/>
  <c r="K723" i="1"/>
  <c r="E723" i="1"/>
  <c r="D723" i="1"/>
  <c r="C723" i="1"/>
  <c r="A723" i="1"/>
  <c r="T722" i="1"/>
  <c r="S722" i="1"/>
  <c r="R722" i="1"/>
  <c r="M722" i="1"/>
  <c r="K722" i="1"/>
  <c r="E722" i="1"/>
  <c r="D722" i="1"/>
  <c r="C722" i="1"/>
  <c r="B722" i="1"/>
  <c r="A722" i="1"/>
  <c r="T721" i="1"/>
  <c r="S721" i="1"/>
  <c r="R721" i="1"/>
  <c r="M721" i="1"/>
  <c r="K721" i="1"/>
  <c r="E721" i="1"/>
  <c r="D721" i="1"/>
  <c r="C721" i="1"/>
  <c r="B721" i="1"/>
  <c r="A721" i="1"/>
  <c r="T720" i="1"/>
  <c r="S720" i="1"/>
  <c r="R720" i="1"/>
  <c r="M720" i="1"/>
  <c r="K720" i="1"/>
  <c r="I720" i="1"/>
  <c r="E720" i="1"/>
  <c r="D720" i="1"/>
  <c r="C720" i="1"/>
  <c r="B720" i="1"/>
  <c r="A720" i="1"/>
  <c r="T719" i="1"/>
  <c r="S719" i="1"/>
  <c r="R719" i="1"/>
  <c r="P719" i="1"/>
  <c r="M719" i="1"/>
  <c r="K719" i="1"/>
  <c r="I719" i="1"/>
  <c r="E719" i="1"/>
  <c r="D719" i="1"/>
  <c r="C719" i="1"/>
  <c r="A719" i="1"/>
  <c r="T718" i="1"/>
  <c r="S718" i="1"/>
  <c r="R718" i="1"/>
  <c r="Q718" i="1"/>
  <c r="P718" i="1"/>
  <c r="M718" i="1"/>
  <c r="K718" i="1"/>
  <c r="I718" i="1"/>
  <c r="E718" i="1"/>
  <c r="D718" i="1"/>
  <c r="C718" i="1"/>
  <c r="A718" i="1"/>
  <c r="T717" i="1"/>
  <c r="S717" i="1"/>
  <c r="R717" i="1"/>
  <c r="N717" i="1"/>
  <c r="K717" i="1"/>
  <c r="J717" i="1"/>
  <c r="I717" i="1"/>
  <c r="E717" i="1"/>
  <c r="D717" i="1"/>
  <c r="C717" i="1"/>
  <c r="A717" i="1"/>
  <c r="T716" i="1"/>
  <c r="S716" i="1"/>
  <c r="R716" i="1"/>
  <c r="N716" i="1"/>
  <c r="K716" i="1"/>
  <c r="I716" i="1"/>
  <c r="E716" i="1"/>
  <c r="D716" i="1"/>
  <c r="C716" i="1"/>
  <c r="A716" i="1"/>
  <c r="T715" i="1"/>
  <c r="S715" i="1"/>
  <c r="R715" i="1"/>
  <c r="K715" i="1"/>
  <c r="E715" i="1"/>
  <c r="D715" i="1"/>
  <c r="C715" i="1"/>
  <c r="A715" i="1"/>
  <c r="T714" i="1"/>
  <c r="S714" i="1"/>
  <c r="R714" i="1"/>
  <c r="K714" i="1"/>
  <c r="E714" i="1"/>
  <c r="D714" i="1"/>
  <c r="C714" i="1"/>
  <c r="A714" i="1"/>
  <c r="T713" i="1"/>
  <c r="S713" i="1"/>
  <c r="R713" i="1"/>
  <c r="K713" i="1"/>
  <c r="E713" i="1"/>
  <c r="D713" i="1"/>
  <c r="C713" i="1"/>
  <c r="A713" i="1"/>
  <c r="T712" i="1"/>
  <c r="S712" i="1"/>
  <c r="R712" i="1"/>
  <c r="K712" i="1"/>
  <c r="E712" i="1"/>
  <c r="D712" i="1"/>
  <c r="C712" i="1"/>
  <c r="A712" i="1"/>
  <c r="T711" i="1"/>
  <c r="S711" i="1"/>
  <c r="R711" i="1"/>
  <c r="K711" i="1"/>
  <c r="E711" i="1"/>
  <c r="D711" i="1"/>
  <c r="C711" i="1"/>
  <c r="A711" i="1"/>
  <c r="T710" i="1"/>
  <c r="S710" i="1"/>
  <c r="R710" i="1"/>
  <c r="K710" i="1"/>
  <c r="E710" i="1"/>
  <c r="D710" i="1"/>
  <c r="C710" i="1"/>
  <c r="A710" i="1"/>
  <c r="T709" i="1"/>
  <c r="S709" i="1"/>
  <c r="R709" i="1"/>
  <c r="M709" i="1"/>
  <c r="K709" i="1"/>
  <c r="E709" i="1"/>
  <c r="D709" i="1"/>
  <c r="C709" i="1"/>
  <c r="A709" i="1"/>
  <c r="T708" i="1"/>
  <c r="S708" i="1"/>
  <c r="R708" i="1"/>
  <c r="K708" i="1"/>
  <c r="E708" i="1"/>
  <c r="D708" i="1"/>
  <c r="C708" i="1"/>
  <c r="A708" i="1"/>
  <c r="T707" i="1"/>
  <c r="S707" i="1"/>
  <c r="R707" i="1"/>
  <c r="K707" i="1"/>
  <c r="E707" i="1"/>
  <c r="D707" i="1"/>
  <c r="C707" i="1"/>
  <c r="A707" i="1"/>
  <c r="T706" i="1"/>
  <c r="S706" i="1"/>
  <c r="R706" i="1"/>
  <c r="K706" i="1"/>
  <c r="E706" i="1"/>
  <c r="D706" i="1"/>
  <c r="C706" i="1"/>
  <c r="A706" i="1"/>
  <c r="T705" i="1"/>
  <c r="S705" i="1"/>
  <c r="R705" i="1"/>
  <c r="K705" i="1"/>
  <c r="E705" i="1"/>
  <c r="D705" i="1"/>
  <c r="C705" i="1"/>
  <c r="A705" i="1"/>
  <c r="T704" i="1"/>
  <c r="S704" i="1"/>
  <c r="R704" i="1"/>
  <c r="Q704" i="1"/>
  <c r="P704" i="1"/>
  <c r="K704" i="1"/>
  <c r="E704" i="1"/>
  <c r="D704" i="1"/>
  <c r="C704" i="1"/>
  <c r="B704" i="1"/>
  <c r="A704" i="1"/>
  <c r="T703" i="1"/>
  <c r="S703" i="1"/>
  <c r="R703" i="1"/>
  <c r="Q703" i="1"/>
  <c r="P703" i="1"/>
  <c r="K703" i="1"/>
  <c r="E703" i="1"/>
  <c r="D703" i="1"/>
  <c r="C703" i="1"/>
  <c r="A703" i="1"/>
  <c r="T702" i="1"/>
  <c r="S702" i="1"/>
  <c r="R702" i="1"/>
  <c r="Q702" i="1"/>
  <c r="P702" i="1"/>
  <c r="K702" i="1"/>
  <c r="I702" i="1"/>
  <c r="E702" i="1"/>
  <c r="D702" i="1"/>
  <c r="C702" i="1"/>
  <c r="A702" i="1"/>
  <c r="T701" i="1"/>
  <c r="S701" i="1"/>
  <c r="R701" i="1"/>
  <c r="K701" i="1"/>
  <c r="E701" i="1"/>
  <c r="D701" i="1"/>
  <c r="C701" i="1"/>
  <c r="A701" i="1"/>
  <c r="T700" i="1"/>
  <c r="S700" i="1"/>
  <c r="R700" i="1"/>
  <c r="K700" i="1"/>
  <c r="E700" i="1"/>
  <c r="D700" i="1"/>
  <c r="C700" i="1"/>
  <c r="A700" i="1"/>
  <c r="T699" i="1"/>
  <c r="S699" i="1"/>
  <c r="R699" i="1"/>
  <c r="K699" i="1"/>
  <c r="E699" i="1"/>
  <c r="D699" i="1"/>
  <c r="C699" i="1"/>
  <c r="A699" i="1"/>
  <c r="T698" i="1"/>
  <c r="S698" i="1"/>
  <c r="R698" i="1"/>
  <c r="K698" i="1"/>
  <c r="E698" i="1"/>
  <c r="D698" i="1"/>
  <c r="C698" i="1"/>
  <c r="A698" i="1"/>
  <c r="T697" i="1"/>
  <c r="S697" i="1"/>
  <c r="R697" i="1"/>
  <c r="K697" i="1"/>
  <c r="E697" i="1"/>
  <c r="D697" i="1"/>
  <c r="C697" i="1"/>
  <c r="A697" i="1"/>
  <c r="T696" i="1"/>
  <c r="S696" i="1"/>
  <c r="R696" i="1"/>
  <c r="K696" i="1"/>
  <c r="E696" i="1"/>
  <c r="D696" i="1"/>
  <c r="C696" i="1"/>
  <c r="A696" i="1"/>
  <c r="T695" i="1"/>
  <c r="S695" i="1"/>
  <c r="R695" i="1"/>
  <c r="K695" i="1"/>
  <c r="E695" i="1"/>
  <c r="D695" i="1"/>
  <c r="C695" i="1"/>
  <c r="A695" i="1"/>
  <c r="T694" i="1"/>
  <c r="S694" i="1"/>
  <c r="R694" i="1"/>
  <c r="K694" i="1"/>
  <c r="E694" i="1"/>
  <c r="D694" i="1"/>
  <c r="C694" i="1"/>
  <c r="A694" i="1"/>
  <c r="T693" i="1"/>
  <c r="S693" i="1"/>
  <c r="R693" i="1"/>
  <c r="K693" i="1"/>
  <c r="E693" i="1"/>
  <c r="D693" i="1"/>
  <c r="C693" i="1"/>
  <c r="A693" i="1"/>
  <c r="T692" i="1"/>
  <c r="S692" i="1"/>
  <c r="R692" i="1"/>
  <c r="K692" i="1"/>
  <c r="E692" i="1"/>
  <c r="D692" i="1"/>
  <c r="C692" i="1"/>
  <c r="A692" i="1"/>
  <c r="T691" i="1"/>
  <c r="S691" i="1"/>
  <c r="R691" i="1"/>
  <c r="K691" i="1"/>
  <c r="E691" i="1"/>
  <c r="D691" i="1"/>
  <c r="C691" i="1"/>
  <c r="A691" i="1"/>
  <c r="T690" i="1"/>
  <c r="S690" i="1"/>
  <c r="R690" i="1"/>
  <c r="K690" i="1"/>
  <c r="E690" i="1"/>
  <c r="D690" i="1"/>
  <c r="C690" i="1"/>
  <c r="A690" i="1"/>
  <c r="T689" i="1"/>
  <c r="S689" i="1"/>
  <c r="R689" i="1"/>
  <c r="K689" i="1"/>
  <c r="E689" i="1"/>
  <c r="D689" i="1"/>
  <c r="C689" i="1"/>
  <c r="A689" i="1"/>
  <c r="T688" i="1"/>
  <c r="S688" i="1"/>
  <c r="R688" i="1"/>
  <c r="K688" i="1"/>
  <c r="E688" i="1"/>
  <c r="D688" i="1"/>
  <c r="C688" i="1"/>
  <c r="A688" i="1"/>
  <c r="T687" i="1"/>
  <c r="S687" i="1"/>
  <c r="R687" i="1"/>
  <c r="K687" i="1"/>
  <c r="E687" i="1"/>
  <c r="D687" i="1"/>
  <c r="C687" i="1"/>
  <c r="A687" i="1"/>
  <c r="T686" i="1"/>
  <c r="S686" i="1"/>
  <c r="R686" i="1"/>
  <c r="K686" i="1"/>
  <c r="E686" i="1"/>
  <c r="D686" i="1"/>
  <c r="C686" i="1"/>
  <c r="A686" i="1"/>
  <c r="T685" i="1"/>
  <c r="S685" i="1"/>
  <c r="R685" i="1"/>
  <c r="K685" i="1"/>
  <c r="E685" i="1"/>
  <c r="D685" i="1"/>
  <c r="C685" i="1"/>
  <c r="A685" i="1"/>
  <c r="T684" i="1"/>
  <c r="S684" i="1"/>
  <c r="R684" i="1"/>
  <c r="K684" i="1"/>
  <c r="E684" i="1"/>
  <c r="D684" i="1"/>
  <c r="C684" i="1"/>
  <c r="A684" i="1"/>
  <c r="T683" i="1"/>
  <c r="S683" i="1"/>
  <c r="R683" i="1"/>
  <c r="K683" i="1"/>
  <c r="E683" i="1"/>
  <c r="D683" i="1"/>
  <c r="C683" i="1"/>
  <c r="A683" i="1"/>
  <c r="T682" i="1"/>
  <c r="S682" i="1"/>
  <c r="R682" i="1"/>
  <c r="K682" i="1"/>
  <c r="E682" i="1"/>
  <c r="D682" i="1"/>
  <c r="C682" i="1"/>
  <c r="A682" i="1"/>
  <c r="T681" i="1"/>
  <c r="S681" i="1"/>
  <c r="R681" i="1"/>
  <c r="K681" i="1"/>
  <c r="E681" i="1"/>
  <c r="D681" i="1"/>
  <c r="C681" i="1"/>
  <c r="A681" i="1"/>
  <c r="T680" i="1"/>
  <c r="S680" i="1"/>
  <c r="R680" i="1"/>
  <c r="K680" i="1"/>
  <c r="E680" i="1"/>
  <c r="D680" i="1"/>
  <c r="C680" i="1"/>
  <c r="A680" i="1"/>
  <c r="T679" i="1"/>
  <c r="S679" i="1"/>
  <c r="R679" i="1"/>
  <c r="K679" i="1"/>
  <c r="E679" i="1"/>
  <c r="D679" i="1"/>
  <c r="C679" i="1"/>
  <c r="A679" i="1"/>
  <c r="T678" i="1"/>
  <c r="S678" i="1"/>
  <c r="R678" i="1"/>
  <c r="K678" i="1"/>
  <c r="E678" i="1"/>
  <c r="D678" i="1"/>
  <c r="C678" i="1"/>
  <c r="A678" i="1"/>
  <c r="T677" i="1"/>
  <c r="S677" i="1"/>
  <c r="R677" i="1"/>
  <c r="K677" i="1"/>
  <c r="E677" i="1"/>
  <c r="D677" i="1"/>
  <c r="C677" i="1"/>
  <c r="A677" i="1"/>
  <c r="T676" i="1"/>
  <c r="S676" i="1"/>
  <c r="R676" i="1"/>
  <c r="K676" i="1"/>
  <c r="E676" i="1"/>
  <c r="D676" i="1"/>
  <c r="C676" i="1"/>
  <c r="A676" i="1"/>
  <c r="T675" i="1"/>
  <c r="S675" i="1"/>
  <c r="R675" i="1"/>
  <c r="K675" i="1"/>
  <c r="E675" i="1"/>
  <c r="D675" i="1"/>
  <c r="C675" i="1"/>
  <c r="A675" i="1"/>
  <c r="T674" i="1"/>
  <c r="S674" i="1"/>
  <c r="R674" i="1"/>
  <c r="K674" i="1"/>
  <c r="E674" i="1"/>
  <c r="D674" i="1"/>
  <c r="C674" i="1"/>
  <c r="A674" i="1"/>
  <c r="T673" i="1"/>
  <c r="S673" i="1"/>
  <c r="R673" i="1"/>
  <c r="K673" i="1"/>
  <c r="E673" i="1"/>
  <c r="D673" i="1"/>
  <c r="C673" i="1"/>
  <c r="A673" i="1"/>
  <c r="T672" i="1"/>
  <c r="S672" i="1"/>
  <c r="R672" i="1"/>
  <c r="K672" i="1"/>
  <c r="E672" i="1"/>
  <c r="D672" i="1"/>
  <c r="C672" i="1"/>
  <c r="A672" i="1"/>
  <c r="T671" i="1"/>
  <c r="S671" i="1"/>
  <c r="R671" i="1"/>
  <c r="K671" i="1"/>
  <c r="E671" i="1"/>
  <c r="D671" i="1"/>
  <c r="C671" i="1"/>
  <c r="A671" i="1"/>
  <c r="T670" i="1"/>
  <c r="S670" i="1"/>
  <c r="R670" i="1"/>
  <c r="P670" i="1"/>
  <c r="O670" i="1"/>
  <c r="M670" i="1"/>
  <c r="K670" i="1"/>
  <c r="I670" i="1"/>
  <c r="E670" i="1"/>
  <c r="D670" i="1"/>
  <c r="C670" i="1"/>
  <c r="A670" i="1"/>
  <c r="T669" i="1"/>
  <c r="S669" i="1"/>
  <c r="R669" i="1"/>
  <c r="P669" i="1"/>
  <c r="O669" i="1"/>
  <c r="N669" i="1"/>
  <c r="M669" i="1"/>
  <c r="K669" i="1"/>
  <c r="I669" i="1"/>
  <c r="E669" i="1"/>
  <c r="D669" i="1"/>
  <c r="C669" i="1"/>
  <c r="A669" i="1"/>
  <c r="T668" i="1"/>
  <c r="S668" i="1"/>
  <c r="R668" i="1"/>
  <c r="K668" i="1"/>
  <c r="E668" i="1"/>
  <c r="D668" i="1"/>
  <c r="C668" i="1"/>
  <c r="A668" i="1"/>
  <c r="T667" i="1"/>
  <c r="S667" i="1"/>
  <c r="R667" i="1"/>
  <c r="K667" i="1"/>
  <c r="E667" i="1"/>
  <c r="D667" i="1"/>
  <c r="C667" i="1"/>
  <c r="A667" i="1"/>
  <c r="T666" i="1"/>
  <c r="S666" i="1"/>
  <c r="R666" i="1"/>
  <c r="K666" i="1"/>
  <c r="E666" i="1"/>
  <c r="D666" i="1"/>
  <c r="C666" i="1"/>
  <c r="A666" i="1"/>
  <c r="T665" i="1"/>
  <c r="S665" i="1"/>
  <c r="R665" i="1"/>
  <c r="K665" i="1"/>
  <c r="E665" i="1"/>
  <c r="D665" i="1"/>
  <c r="C665" i="1"/>
  <c r="A665" i="1"/>
  <c r="T664" i="1"/>
  <c r="S664" i="1"/>
  <c r="R664" i="1"/>
  <c r="K664" i="1"/>
  <c r="E664" i="1"/>
  <c r="D664" i="1"/>
  <c r="C664" i="1"/>
  <c r="A664" i="1"/>
  <c r="T663" i="1"/>
  <c r="S663" i="1"/>
  <c r="R663" i="1"/>
  <c r="K663" i="1"/>
  <c r="E663" i="1"/>
  <c r="D663" i="1"/>
  <c r="C663" i="1"/>
  <c r="A663" i="1"/>
  <c r="T662" i="1"/>
  <c r="S662" i="1"/>
  <c r="R662" i="1"/>
  <c r="K662" i="1"/>
  <c r="E662" i="1"/>
  <c r="D662" i="1"/>
  <c r="C662" i="1"/>
  <c r="A662" i="1"/>
  <c r="T661" i="1"/>
  <c r="S661" i="1"/>
  <c r="R661" i="1"/>
  <c r="K661" i="1"/>
  <c r="E661" i="1"/>
  <c r="D661" i="1"/>
  <c r="C661" i="1"/>
  <c r="A661" i="1"/>
  <c r="T660" i="1"/>
  <c r="S660" i="1"/>
  <c r="R660" i="1"/>
  <c r="K660" i="1"/>
  <c r="E660" i="1"/>
  <c r="D660" i="1"/>
  <c r="C660" i="1"/>
  <c r="A660" i="1"/>
  <c r="T659" i="1"/>
  <c r="S659" i="1"/>
  <c r="R659" i="1"/>
  <c r="K659" i="1"/>
  <c r="E659" i="1"/>
  <c r="D659" i="1"/>
  <c r="C659" i="1"/>
  <c r="A659" i="1"/>
  <c r="T658" i="1"/>
  <c r="S658" i="1"/>
  <c r="R658" i="1"/>
  <c r="K658" i="1"/>
  <c r="I658" i="1"/>
  <c r="E658" i="1"/>
  <c r="D658" i="1"/>
  <c r="C658" i="1"/>
  <c r="A658" i="1"/>
  <c r="T657" i="1"/>
  <c r="S657" i="1"/>
  <c r="R657" i="1"/>
  <c r="K657" i="1"/>
  <c r="E657" i="1"/>
  <c r="D657" i="1"/>
  <c r="C657" i="1"/>
  <c r="A657" i="1"/>
  <c r="T656" i="1"/>
  <c r="S656" i="1"/>
  <c r="R656" i="1"/>
  <c r="K656" i="1"/>
  <c r="E656" i="1"/>
  <c r="D656" i="1"/>
  <c r="C656" i="1"/>
  <c r="A656" i="1"/>
  <c r="T655" i="1"/>
  <c r="S655" i="1"/>
  <c r="R655" i="1"/>
  <c r="K655" i="1"/>
  <c r="E655" i="1"/>
  <c r="D655" i="1"/>
  <c r="C655" i="1"/>
  <c r="A655" i="1"/>
  <c r="T654" i="1"/>
  <c r="S654" i="1"/>
  <c r="R654" i="1"/>
  <c r="K654" i="1"/>
  <c r="E654" i="1"/>
  <c r="D654" i="1"/>
  <c r="C654" i="1"/>
  <c r="A654" i="1"/>
  <c r="T653" i="1"/>
  <c r="S653" i="1"/>
  <c r="R653" i="1"/>
  <c r="K653" i="1"/>
  <c r="E653" i="1"/>
  <c r="D653" i="1"/>
  <c r="C653" i="1"/>
  <c r="A653" i="1"/>
  <c r="T652" i="1"/>
  <c r="S652" i="1"/>
  <c r="R652" i="1"/>
  <c r="K652" i="1"/>
  <c r="E652" i="1"/>
  <c r="D652" i="1"/>
  <c r="C652" i="1"/>
  <c r="A652" i="1"/>
  <c r="T651" i="1"/>
  <c r="S651" i="1"/>
  <c r="R651" i="1"/>
  <c r="K651" i="1"/>
  <c r="E651" i="1"/>
  <c r="D651" i="1"/>
  <c r="C651" i="1"/>
  <c r="A651" i="1"/>
  <c r="T650" i="1"/>
  <c r="S650" i="1"/>
  <c r="R650" i="1"/>
  <c r="K650" i="1"/>
  <c r="E650" i="1"/>
  <c r="D650" i="1"/>
  <c r="C650" i="1"/>
  <c r="A650" i="1"/>
  <c r="T649" i="1"/>
  <c r="S649" i="1"/>
  <c r="R649" i="1"/>
  <c r="K649" i="1"/>
  <c r="E649" i="1"/>
  <c r="D649" i="1"/>
  <c r="C649" i="1"/>
  <c r="A649" i="1"/>
  <c r="T648" i="1"/>
  <c r="S648" i="1"/>
  <c r="R648" i="1"/>
  <c r="K648" i="1"/>
  <c r="E648" i="1"/>
  <c r="D648" i="1"/>
  <c r="C648" i="1"/>
  <c r="A648" i="1"/>
  <c r="T647" i="1"/>
  <c r="S647" i="1"/>
  <c r="R647" i="1"/>
  <c r="K647" i="1"/>
  <c r="E647" i="1"/>
  <c r="D647" i="1"/>
  <c r="C647" i="1"/>
  <c r="A647" i="1"/>
  <c r="T646" i="1"/>
  <c r="S646" i="1"/>
  <c r="R646" i="1"/>
  <c r="K646" i="1"/>
  <c r="E646" i="1"/>
  <c r="D646" i="1"/>
  <c r="C646" i="1"/>
  <c r="A646" i="1"/>
  <c r="T645" i="1"/>
  <c r="S645" i="1"/>
  <c r="R645" i="1"/>
  <c r="K645" i="1"/>
  <c r="E645" i="1"/>
  <c r="D645" i="1"/>
  <c r="C645" i="1"/>
  <c r="A645" i="1"/>
  <c r="T644" i="1"/>
  <c r="S644" i="1"/>
  <c r="R644" i="1"/>
  <c r="K644" i="1"/>
  <c r="E644" i="1"/>
  <c r="D644" i="1"/>
  <c r="C644" i="1"/>
  <c r="A644" i="1"/>
  <c r="T643" i="1"/>
  <c r="S643" i="1"/>
  <c r="R643" i="1"/>
  <c r="K643" i="1"/>
  <c r="E643" i="1"/>
  <c r="D643" i="1"/>
  <c r="C643" i="1"/>
  <c r="A643" i="1"/>
  <c r="T642" i="1"/>
  <c r="S642" i="1"/>
  <c r="R642" i="1"/>
  <c r="K642" i="1"/>
  <c r="E642" i="1"/>
  <c r="D642" i="1"/>
  <c r="C642" i="1"/>
  <c r="A642" i="1"/>
  <c r="T641" i="1"/>
  <c r="S641" i="1"/>
  <c r="R641" i="1"/>
  <c r="K641" i="1"/>
  <c r="E641" i="1"/>
  <c r="D641" i="1"/>
  <c r="C641" i="1"/>
  <c r="A641" i="1"/>
  <c r="T640" i="1"/>
  <c r="S640" i="1"/>
  <c r="R640" i="1"/>
  <c r="K640" i="1"/>
  <c r="E640" i="1"/>
  <c r="D640" i="1"/>
  <c r="C640" i="1"/>
  <c r="A640" i="1"/>
  <c r="T639" i="1"/>
  <c r="S639" i="1"/>
  <c r="R639" i="1"/>
  <c r="K639" i="1"/>
  <c r="E639" i="1"/>
  <c r="D639" i="1"/>
  <c r="C639" i="1"/>
  <c r="A639" i="1"/>
  <c r="T638" i="1"/>
  <c r="S638" i="1"/>
  <c r="R638" i="1"/>
  <c r="K638" i="1"/>
  <c r="E638" i="1"/>
  <c r="D638" i="1"/>
  <c r="C638" i="1"/>
  <c r="A638" i="1"/>
  <c r="T637" i="1"/>
  <c r="S637" i="1"/>
  <c r="R637" i="1"/>
  <c r="K637" i="1"/>
  <c r="E637" i="1"/>
  <c r="D637" i="1"/>
  <c r="C637" i="1"/>
  <c r="A637" i="1"/>
  <c r="T636" i="1"/>
  <c r="S636" i="1"/>
  <c r="R636" i="1"/>
  <c r="K636" i="1"/>
  <c r="E636" i="1"/>
  <c r="D636" i="1"/>
  <c r="C636" i="1"/>
  <c r="A636" i="1"/>
  <c r="T635" i="1"/>
  <c r="S635" i="1"/>
  <c r="R635" i="1"/>
  <c r="K635" i="1"/>
  <c r="E635" i="1"/>
  <c r="D635" i="1"/>
  <c r="C635" i="1"/>
  <c r="A635" i="1"/>
  <c r="T634" i="1"/>
  <c r="S634" i="1"/>
  <c r="R634" i="1"/>
  <c r="K634" i="1"/>
  <c r="E634" i="1"/>
  <c r="D634" i="1"/>
  <c r="C634" i="1"/>
  <c r="A634" i="1"/>
  <c r="T633" i="1"/>
  <c r="S633" i="1"/>
  <c r="R633" i="1"/>
  <c r="K633" i="1"/>
  <c r="E633" i="1"/>
  <c r="D633" i="1"/>
  <c r="C633" i="1"/>
  <c r="A633" i="1"/>
  <c r="T632" i="1"/>
  <c r="S632" i="1"/>
  <c r="R632" i="1"/>
  <c r="K632" i="1"/>
  <c r="E632" i="1"/>
  <c r="D632" i="1"/>
  <c r="C632" i="1"/>
  <c r="A632" i="1"/>
  <c r="T631" i="1"/>
  <c r="S631" i="1"/>
  <c r="R631" i="1"/>
  <c r="K631" i="1"/>
  <c r="E631" i="1"/>
  <c r="D631" i="1"/>
  <c r="C631" i="1"/>
  <c r="A631" i="1"/>
  <c r="T630" i="1"/>
  <c r="S630" i="1"/>
  <c r="R630" i="1"/>
  <c r="K630" i="1"/>
  <c r="E630" i="1"/>
  <c r="D630" i="1"/>
  <c r="C630" i="1"/>
  <c r="A630" i="1"/>
  <c r="S629" i="1"/>
  <c r="R629" i="1"/>
  <c r="K629" i="1"/>
  <c r="E629" i="1"/>
  <c r="D629" i="1"/>
  <c r="C629" i="1"/>
  <c r="A629" i="1"/>
  <c r="S628" i="1"/>
  <c r="R628" i="1"/>
  <c r="K628" i="1"/>
  <c r="E628" i="1"/>
  <c r="D628" i="1"/>
  <c r="C628" i="1"/>
  <c r="A628" i="1"/>
  <c r="S627" i="1"/>
  <c r="R627" i="1"/>
  <c r="K627" i="1"/>
  <c r="E627" i="1"/>
  <c r="D627" i="1"/>
  <c r="C627" i="1"/>
  <c r="A627" i="1"/>
  <c r="S626" i="1"/>
  <c r="R626" i="1"/>
  <c r="K626" i="1"/>
  <c r="E626" i="1"/>
  <c r="D626" i="1"/>
  <c r="C626" i="1"/>
  <c r="A626" i="1"/>
  <c r="S625" i="1"/>
  <c r="R625" i="1"/>
  <c r="K625" i="1"/>
  <c r="E625" i="1"/>
  <c r="D625" i="1"/>
  <c r="C625" i="1"/>
  <c r="A625" i="1"/>
  <c r="T624" i="1"/>
  <c r="S624" i="1"/>
  <c r="R624" i="1"/>
  <c r="K624" i="1"/>
  <c r="E624" i="1"/>
  <c r="D624" i="1"/>
  <c r="C624" i="1"/>
  <c r="A624" i="1"/>
  <c r="T623" i="1"/>
  <c r="S623" i="1"/>
  <c r="R623" i="1"/>
  <c r="K623" i="1"/>
  <c r="E623" i="1"/>
  <c r="D623" i="1"/>
  <c r="C623" i="1"/>
  <c r="A623" i="1"/>
  <c r="T622" i="1"/>
  <c r="S622" i="1"/>
  <c r="R622" i="1"/>
  <c r="K622" i="1"/>
  <c r="E622" i="1"/>
  <c r="D622" i="1"/>
  <c r="C622" i="1"/>
  <c r="A622" i="1"/>
  <c r="T621" i="1"/>
  <c r="S621" i="1"/>
  <c r="R621" i="1"/>
  <c r="K621" i="1"/>
  <c r="E621" i="1"/>
  <c r="D621" i="1"/>
  <c r="C621" i="1"/>
  <c r="A621" i="1"/>
  <c r="T620" i="1"/>
  <c r="S620" i="1"/>
  <c r="R620" i="1"/>
  <c r="K620" i="1"/>
  <c r="E620" i="1"/>
  <c r="D620" i="1"/>
  <c r="C620" i="1"/>
  <c r="A620" i="1"/>
  <c r="T619" i="1"/>
  <c r="S619" i="1"/>
  <c r="R619" i="1"/>
  <c r="K619" i="1"/>
  <c r="E619" i="1"/>
  <c r="D619" i="1"/>
  <c r="C619" i="1"/>
  <c r="A619" i="1"/>
  <c r="T618" i="1"/>
  <c r="S618" i="1"/>
  <c r="R618" i="1"/>
  <c r="K618" i="1"/>
  <c r="E618" i="1"/>
  <c r="D618" i="1"/>
  <c r="C618" i="1"/>
  <c r="A618" i="1"/>
  <c r="T617" i="1"/>
  <c r="S617" i="1"/>
  <c r="R617" i="1"/>
  <c r="K617" i="1"/>
  <c r="E617" i="1"/>
  <c r="D617" i="1"/>
  <c r="C617" i="1"/>
  <c r="A617" i="1"/>
  <c r="T616" i="1"/>
  <c r="S616" i="1"/>
  <c r="R616" i="1"/>
  <c r="K616" i="1"/>
  <c r="E616" i="1"/>
  <c r="D616" i="1"/>
  <c r="C616" i="1"/>
  <c r="A616" i="1"/>
  <c r="T615" i="1"/>
  <c r="S615" i="1"/>
  <c r="R615" i="1"/>
  <c r="K615" i="1"/>
  <c r="E615" i="1"/>
  <c r="D615" i="1"/>
  <c r="C615" i="1"/>
  <c r="A615" i="1"/>
  <c r="T614" i="1"/>
  <c r="S614" i="1"/>
  <c r="R614" i="1"/>
  <c r="K614" i="1"/>
  <c r="E614" i="1"/>
  <c r="D614" i="1"/>
  <c r="C614" i="1"/>
  <c r="A614" i="1"/>
  <c r="T613" i="1"/>
  <c r="S613" i="1"/>
  <c r="R613" i="1"/>
  <c r="K613" i="1"/>
  <c r="E613" i="1"/>
  <c r="D613" i="1"/>
  <c r="C613" i="1"/>
  <c r="A613" i="1"/>
  <c r="T612" i="1"/>
  <c r="S612" i="1"/>
  <c r="R612" i="1"/>
  <c r="K612" i="1"/>
  <c r="E612" i="1"/>
  <c r="D612" i="1"/>
  <c r="C612" i="1"/>
  <c r="A612" i="1"/>
  <c r="T611" i="1"/>
  <c r="S611" i="1"/>
  <c r="R611" i="1"/>
  <c r="K611" i="1"/>
  <c r="E611" i="1"/>
  <c r="D611" i="1"/>
  <c r="C611" i="1"/>
  <c r="A611" i="1"/>
  <c r="T610" i="1"/>
  <c r="S610" i="1"/>
  <c r="R610" i="1"/>
  <c r="K610" i="1"/>
  <c r="E610" i="1"/>
  <c r="D610" i="1"/>
  <c r="C610" i="1"/>
  <c r="A610" i="1"/>
  <c r="T609" i="1"/>
  <c r="S609" i="1"/>
  <c r="R609" i="1"/>
  <c r="K609" i="1"/>
  <c r="E609" i="1"/>
  <c r="D609" i="1"/>
  <c r="C609" i="1"/>
  <c r="A609" i="1"/>
  <c r="T608" i="1"/>
  <c r="S608" i="1"/>
  <c r="R608" i="1"/>
  <c r="K608" i="1"/>
  <c r="E608" i="1"/>
  <c r="D608" i="1"/>
  <c r="C608" i="1"/>
  <c r="A608" i="1"/>
  <c r="T607" i="1"/>
  <c r="S607" i="1"/>
  <c r="R607" i="1"/>
  <c r="K607" i="1"/>
  <c r="E607" i="1"/>
  <c r="D607" i="1"/>
  <c r="C607" i="1"/>
  <c r="A607" i="1"/>
  <c r="T606" i="1"/>
  <c r="S606" i="1"/>
  <c r="R606" i="1"/>
  <c r="K606" i="1"/>
  <c r="E606" i="1"/>
  <c r="D606" i="1"/>
  <c r="C606" i="1"/>
  <c r="A606" i="1"/>
  <c r="T605" i="1"/>
  <c r="S605" i="1"/>
  <c r="R605" i="1"/>
  <c r="K605" i="1"/>
  <c r="E605" i="1"/>
  <c r="D605" i="1"/>
  <c r="C605" i="1"/>
  <c r="A605" i="1"/>
  <c r="T604" i="1"/>
  <c r="S604" i="1"/>
  <c r="R604" i="1"/>
  <c r="K604" i="1"/>
  <c r="E604" i="1"/>
  <c r="D604" i="1"/>
  <c r="C604" i="1"/>
  <c r="A604" i="1"/>
  <c r="T603" i="1"/>
  <c r="S603" i="1"/>
  <c r="R603" i="1"/>
  <c r="K603" i="1"/>
  <c r="E603" i="1"/>
  <c r="D603" i="1"/>
  <c r="C603" i="1"/>
  <c r="A603" i="1"/>
  <c r="T602" i="1"/>
  <c r="S602" i="1"/>
  <c r="R602" i="1"/>
  <c r="K602" i="1"/>
  <c r="E602" i="1"/>
  <c r="D602" i="1"/>
  <c r="C602" i="1"/>
  <c r="A602" i="1"/>
  <c r="T601" i="1"/>
  <c r="S601" i="1"/>
  <c r="R601" i="1"/>
  <c r="K601" i="1"/>
  <c r="E601" i="1"/>
  <c r="D601" i="1"/>
  <c r="C601" i="1"/>
  <c r="A601" i="1"/>
  <c r="T600" i="1"/>
  <c r="S600" i="1"/>
  <c r="R600" i="1"/>
  <c r="K600" i="1"/>
  <c r="E600" i="1"/>
  <c r="D600" i="1"/>
  <c r="C600" i="1"/>
  <c r="A600" i="1"/>
  <c r="T599" i="1"/>
  <c r="S599" i="1"/>
  <c r="R599" i="1"/>
  <c r="K599" i="1"/>
  <c r="E599" i="1"/>
  <c r="D599" i="1"/>
  <c r="C599" i="1"/>
  <c r="A599" i="1"/>
  <c r="T598" i="1"/>
  <c r="S598" i="1"/>
  <c r="R598" i="1"/>
  <c r="K598" i="1"/>
  <c r="E598" i="1"/>
  <c r="D598" i="1"/>
  <c r="C598" i="1"/>
  <c r="A598" i="1"/>
  <c r="T597" i="1"/>
  <c r="S597" i="1"/>
  <c r="R597" i="1"/>
  <c r="K597" i="1"/>
  <c r="E597" i="1"/>
  <c r="D597" i="1"/>
  <c r="C597" i="1"/>
  <c r="A597" i="1"/>
  <c r="T596" i="1"/>
  <c r="S596" i="1"/>
  <c r="R596" i="1"/>
  <c r="K596" i="1"/>
  <c r="E596" i="1"/>
  <c r="D596" i="1"/>
  <c r="C596" i="1"/>
  <c r="A596" i="1"/>
  <c r="T595" i="1"/>
  <c r="S595" i="1"/>
  <c r="R595" i="1"/>
  <c r="K595" i="1"/>
  <c r="E595" i="1"/>
  <c r="D595" i="1"/>
  <c r="C595" i="1"/>
  <c r="A595" i="1"/>
  <c r="T594" i="1"/>
  <c r="S594" i="1"/>
  <c r="R594" i="1"/>
  <c r="K594" i="1"/>
  <c r="E594" i="1"/>
  <c r="D594" i="1"/>
  <c r="C594" i="1"/>
  <c r="A594" i="1"/>
  <c r="T593" i="1"/>
  <c r="S593" i="1"/>
  <c r="R593" i="1"/>
  <c r="Q593" i="1"/>
  <c r="P593" i="1"/>
  <c r="K593" i="1"/>
  <c r="E593" i="1"/>
  <c r="D593" i="1"/>
  <c r="C593" i="1"/>
  <c r="A593" i="1"/>
  <c r="T592" i="1"/>
  <c r="S592" i="1"/>
  <c r="R592" i="1"/>
  <c r="Q592" i="1"/>
  <c r="P592" i="1"/>
  <c r="K592" i="1"/>
  <c r="E592" i="1"/>
  <c r="D592" i="1"/>
  <c r="C592" i="1"/>
  <c r="A592" i="1"/>
  <c r="T591" i="1"/>
  <c r="S591" i="1"/>
  <c r="R591" i="1"/>
  <c r="Q591" i="1"/>
  <c r="P591" i="1"/>
  <c r="K591" i="1"/>
  <c r="E591" i="1"/>
  <c r="D591" i="1"/>
  <c r="C591" i="1"/>
  <c r="A591" i="1"/>
  <c r="T590" i="1"/>
  <c r="S590" i="1"/>
  <c r="R590" i="1"/>
  <c r="Q590" i="1"/>
  <c r="P590" i="1"/>
  <c r="K590" i="1"/>
  <c r="E590" i="1"/>
  <c r="D590" i="1"/>
  <c r="C590" i="1"/>
  <c r="A590" i="1"/>
  <c r="T589" i="1"/>
  <c r="S589" i="1"/>
  <c r="R589" i="1"/>
  <c r="Q589" i="1"/>
  <c r="P589" i="1"/>
  <c r="K589" i="1"/>
  <c r="E589" i="1"/>
  <c r="D589" i="1"/>
  <c r="C589" i="1"/>
  <c r="A589" i="1"/>
  <c r="T588" i="1"/>
  <c r="S588" i="1"/>
  <c r="R588" i="1"/>
  <c r="Q588" i="1"/>
  <c r="P588" i="1"/>
  <c r="K588" i="1"/>
  <c r="E588" i="1"/>
  <c r="D588" i="1"/>
  <c r="C588" i="1"/>
  <c r="A588" i="1"/>
  <c r="T587" i="1"/>
  <c r="S587" i="1"/>
  <c r="R587" i="1"/>
  <c r="Q587" i="1"/>
  <c r="P587" i="1"/>
  <c r="K587" i="1"/>
  <c r="E587" i="1"/>
  <c r="D587" i="1"/>
  <c r="C587" i="1"/>
  <c r="A587" i="1"/>
  <c r="T586" i="1"/>
  <c r="S586" i="1"/>
  <c r="R586" i="1"/>
  <c r="Q586" i="1"/>
  <c r="P586" i="1"/>
  <c r="K586" i="1"/>
  <c r="E586" i="1"/>
  <c r="D586" i="1"/>
  <c r="C586" i="1"/>
  <c r="A586" i="1"/>
  <c r="T585" i="1"/>
  <c r="S585" i="1"/>
  <c r="R585" i="1"/>
  <c r="Q585" i="1"/>
  <c r="P585" i="1"/>
  <c r="K585" i="1"/>
  <c r="E585" i="1"/>
  <c r="D585" i="1"/>
  <c r="C585" i="1"/>
  <c r="A585" i="1"/>
  <c r="T584" i="1"/>
  <c r="S584" i="1"/>
  <c r="R584" i="1"/>
  <c r="Q584" i="1"/>
  <c r="P584" i="1"/>
  <c r="K584" i="1"/>
  <c r="E584" i="1"/>
  <c r="D584" i="1"/>
  <c r="C584" i="1"/>
  <c r="A584" i="1"/>
  <c r="T583" i="1"/>
  <c r="S583" i="1"/>
  <c r="R583" i="1"/>
  <c r="Q583" i="1"/>
  <c r="P583" i="1"/>
  <c r="K583" i="1"/>
  <c r="E583" i="1"/>
  <c r="D583" i="1"/>
  <c r="C583" i="1"/>
  <c r="A583" i="1"/>
  <c r="T582" i="1"/>
  <c r="S582" i="1"/>
  <c r="R582" i="1"/>
  <c r="Q582" i="1"/>
  <c r="P582" i="1"/>
  <c r="K582" i="1"/>
  <c r="E582" i="1"/>
  <c r="D582" i="1"/>
  <c r="C582" i="1"/>
  <c r="A582" i="1"/>
  <c r="T581" i="1"/>
  <c r="S581" i="1"/>
  <c r="R581" i="1"/>
  <c r="Q581" i="1"/>
  <c r="P581" i="1"/>
  <c r="K581" i="1"/>
  <c r="E581" i="1"/>
  <c r="D581" i="1"/>
  <c r="C581" i="1"/>
  <c r="A581" i="1"/>
  <c r="T580" i="1"/>
  <c r="S580" i="1"/>
  <c r="R580" i="1"/>
  <c r="Q580" i="1"/>
  <c r="P580" i="1"/>
  <c r="K580" i="1"/>
  <c r="E580" i="1"/>
  <c r="D580" i="1"/>
  <c r="C580" i="1"/>
  <c r="A580" i="1"/>
  <c r="T579" i="1"/>
  <c r="S579" i="1"/>
  <c r="R579" i="1"/>
  <c r="K579" i="1"/>
  <c r="E579" i="1"/>
  <c r="D579" i="1"/>
  <c r="C579" i="1"/>
  <c r="A579" i="1"/>
  <c r="T578" i="1"/>
  <c r="S578" i="1"/>
  <c r="R578" i="1"/>
  <c r="K578" i="1"/>
  <c r="E578" i="1"/>
  <c r="D578" i="1"/>
  <c r="C578" i="1"/>
  <c r="A578" i="1"/>
  <c r="T577" i="1"/>
  <c r="S577" i="1"/>
  <c r="R577" i="1"/>
  <c r="K577" i="1"/>
  <c r="E577" i="1"/>
  <c r="D577" i="1"/>
  <c r="C577" i="1"/>
  <c r="A577" i="1"/>
  <c r="T576" i="1"/>
  <c r="S576" i="1"/>
  <c r="R576" i="1"/>
  <c r="K576" i="1"/>
  <c r="E576" i="1"/>
  <c r="D576" i="1"/>
  <c r="C576" i="1"/>
  <c r="A576" i="1"/>
  <c r="T575" i="1"/>
  <c r="S575" i="1"/>
  <c r="R575" i="1"/>
  <c r="K575" i="1"/>
  <c r="E575" i="1"/>
  <c r="D575" i="1"/>
  <c r="C575" i="1"/>
  <c r="A575" i="1"/>
  <c r="T574" i="1"/>
  <c r="S574" i="1"/>
  <c r="R574" i="1"/>
  <c r="K574" i="1"/>
  <c r="E574" i="1"/>
  <c r="D574" i="1"/>
  <c r="C574" i="1"/>
  <c r="A574" i="1"/>
  <c r="T573" i="1"/>
  <c r="S573" i="1"/>
  <c r="R573" i="1"/>
  <c r="K573" i="1"/>
  <c r="E573" i="1"/>
  <c r="D573" i="1"/>
  <c r="C573" i="1"/>
  <c r="A573" i="1"/>
  <c r="T572" i="1"/>
  <c r="S572" i="1"/>
  <c r="R572" i="1"/>
  <c r="K572" i="1"/>
  <c r="E572" i="1"/>
  <c r="D572" i="1"/>
  <c r="C572" i="1"/>
  <c r="A572" i="1"/>
  <c r="T571" i="1"/>
  <c r="S571" i="1"/>
  <c r="R571" i="1"/>
  <c r="K571" i="1"/>
  <c r="E571" i="1"/>
  <c r="D571" i="1"/>
  <c r="C571" i="1"/>
  <c r="A571" i="1"/>
  <c r="T570" i="1"/>
  <c r="S570" i="1"/>
  <c r="R570" i="1"/>
  <c r="Q570" i="1"/>
  <c r="P570" i="1"/>
  <c r="K570" i="1"/>
  <c r="E570" i="1"/>
  <c r="D570" i="1"/>
  <c r="C570" i="1"/>
  <c r="B570" i="1"/>
  <c r="A570" i="1"/>
  <c r="T569" i="1"/>
  <c r="S569" i="1"/>
  <c r="R569" i="1"/>
  <c r="Q569" i="1"/>
  <c r="P569" i="1"/>
  <c r="K569" i="1"/>
  <c r="E569" i="1"/>
  <c r="D569" i="1"/>
  <c r="C569" i="1"/>
  <c r="B569" i="1"/>
  <c r="A569" i="1"/>
  <c r="T568" i="1"/>
  <c r="S568" i="1"/>
  <c r="R568" i="1"/>
  <c r="Q568" i="1"/>
  <c r="P568" i="1"/>
  <c r="K568" i="1"/>
  <c r="E568" i="1"/>
  <c r="D568" i="1"/>
  <c r="C568" i="1"/>
  <c r="B568" i="1"/>
  <c r="A568" i="1"/>
  <c r="T567" i="1"/>
  <c r="S567" i="1"/>
  <c r="R567" i="1"/>
  <c r="K567" i="1"/>
  <c r="E567" i="1"/>
  <c r="D567" i="1"/>
  <c r="C567" i="1"/>
  <c r="A567" i="1"/>
  <c r="T566" i="1"/>
  <c r="S566" i="1"/>
  <c r="R566" i="1"/>
  <c r="K566" i="1"/>
  <c r="E566" i="1"/>
  <c r="D566" i="1"/>
  <c r="C566" i="1"/>
  <c r="A566" i="1"/>
  <c r="T565" i="1"/>
  <c r="S565" i="1"/>
  <c r="R565" i="1"/>
  <c r="K565" i="1"/>
  <c r="E565" i="1"/>
  <c r="D565" i="1"/>
  <c r="C565" i="1"/>
  <c r="A565" i="1"/>
  <c r="T564" i="1"/>
  <c r="S564" i="1"/>
  <c r="R564" i="1"/>
  <c r="K564" i="1"/>
  <c r="E564" i="1"/>
  <c r="D564" i="1"/>
  <c r="C564" i="1"/>
  <c r="A564" i="1"/>
  <c r="T563" i="1"/>
  <c r="S563" i="1"/>
  <c r="R563" i="1"/>
  <c r="K563" i="1"/>
  <c r="E563" i="1"/>
  <c r="D563" i="1"/>
  <c r="C563" i="1"/>
  <c r="A563" i="1"/>
  <c r="T562" i="1"/>
  <c r="S562" i="1"/>
  <c r="R562" i="1"/>
  <c r="K562" i="1"/>
  <c r="E562" i="1"/>
  <c r="D562" i="1"/>
  <c r="C562" i="1"/>
  <c r="A562" i="1"/>
  <c r="T561" i="1"/>
  <c r="S561" i="1"/>
  <c r="R561" i="1"/>
  <c r="K561" i="1"/>
  <c r="E561" i="1"/>
  <c r="D561" i="1"/>
  <c r="C561" i="1"/>
  <c r="A561" i="1"/>
  <c r="T560" i="1"/>
  <c r="S560" i="1"/>
  <c r="R560" i="1"/>
  <c r="K560" i="1"/>
  <c r="E560" i="1"/>
  <c r="D560" i="1"/>
  <c r="C560" i="1"/>
  <c r="A560" i="1"/>
  <c r="T559" i="1"/>
  <c r="S559" i="1"/>
  <c r="R559" i="1"/>
  <c r="K559" i="1"/>
  <c r="E559" i="1"/>
  <c r="D559" i="1"/>
  <c r="C559" i="1"/>
  <c r="A559" i="1"/>
  <c r="T558" i="1"/>
  <c r="S558" i="1"/>
  <c r="R558" i="1"/>
  <c r="K558" i="1"/>
  <c r="E558" i="1"/>
  <c r="D558" i="1"/>
  <c r="C558" i="1"/>
  <c r="A558" i="1"/>
  <c r="T557" i="1"/>
  <c r="S557" i="1"/>
  <c r="R557" i="1"/>
  <c r="K557" i="1"/>
  <c r="E557" i="1"/>
  <c r="D557" i="1"/>
  <c r="C557" i="1"/>
  <c r="A557" i="1"/>
  <c r="T556" i="1"/>
  <c r="S556" i="1"/>
  <c r="R556" i="1"/>
  <c r="K556" i="1"/>
  <c r="E556" i="1"/>
  <c r="D556" i="1"/>
  <c r="C556" i="1"/>
  <c r="A556" i="1"/>
  <c r="T555" i="1"/>
  <c r="S555" i="1"/>
  <c r="R555" i="1"/>
  <c r="K555" i="1"/>
  <c r="E555" i="1"/>
  <c r="D555" i="1"/>
  <c r="C555" i="1"/>
  <c r="A555" i="1"/>
  <c r="T554" i="1"/>
  <c r="S554" i="1"/>
  <c r="R554" i="1"/>
  <c r="K554" i="1"/>
  <c r="E554" i="1"/>
  <c r="D554" i="1"/>
  <c r="C554" i="1"/>
  <c r="A554" i="1"/>
  <c r="T553" i="1"/>
  <c r="S553" i="1"/>
  <c r="R553" i="1"/>
  <c r="K553" i="1"/>
  <c r="E553" i="1"/>
  <c r="D553" i="1"/>
  <c r="C553" i="1"/>
  <c r="A553" i="1"/>
  <c r="T552" i="1"/>
  <c r="S552" i="1"/>
  <c r="R552" i="1"/>
  <c r="K552" i="1"/>
  <c r="E552" i="1"/>
  <c r="D552" i="1"/>
  <c r="C552" i="1"/>
  <c r="A552" i="1"/>
  <c r="T551" i="1"/>
  <c r="S551" i="1"/>
  <c r="R551" i="1"/>
  <c r="K551" i="1"/>
  <c r="E551" i="1"/>
  <c r="D551" i="1"/>
  <c r="C551" i="1"/>
  <c r="A551" i="1"/>
  <c r="T550" i="1"/>
  <c r="S550" i="1"/>
  <c r="R550" i="1"/>
  <c r="K550" i="1"/>
  <c r="E550" i="1"/>
  <c r="D550" i="1"/>
  <c r="C550" i="1"/>
  <c r="A550" i="1"/>
  <c r="T549" i="1"/>
  <c r="S549" i="1"/>
  <c r="R549" i="1"/>
  <c r="K549" i="1"/>
  <c r="E549" i="1"/>
  <c r="D549" i="1"/>
  <c r="C549" i="1"/>
  <c r="A549" i="1"/>
  <c r="T548" i="1"/>
  <c r="S548" i="1"/>
  <c r="R548" i="1"/>
  <c r="K548" i="1"/>
  <c r="E548" i="1"/>
  <c r="D548" i="1"/>
  <c r="C548" i="1"/>
  <c r="A548" i="1"/>
  <c r="T547" i="1"/>
  <c r="S547" i="1"/>
  <c r="R547" i="1"/>
  <c r="P547" i="1"/>
  <c r="O547" i="1"/>
  <c r="L547" i="1"/>
  <c r="K547" i="1"/>
  <c r="J547" i="1"/>
  <c r="I547" i="1"/>
  <c r="H547" i="1"/>
  <c r="F547" i="1"/>
  <c r="E547" i="1"/>
  <c r="D547" i="1"/>
  <c r="C547" i="1"/>
  <c r="A547" i="1"/>
  <c r="T546" i="1"/>
  <c r="S546" i="1"/>
  <c r="R546" i="1"/>
  <c r="K546" i="1"/>
  <c r="E546" i="1"/>
  <c r="D546" i="1"/>
  <c r="C546" i="1"/>
  <c r="A546" i="1"/>
  <c r="T545" i="1"/>
  <c r="S545" i="1"/>
  <c r="R545" i="1"/>
  <c r="K545" i="1"/>
  <c r="E545" i="1"/>
  <c r="D545" i="1"/>
  <c r="C545" i="1"/>
  <c r="A545" i="1"/>
  <c r="T544" i="1"/>
  <c r="S544" i="1"/>
  <c r="R544" i="1"/>
  <c r="K544" i="1"/>
  <c r="E544" i="1"/>
  <c r="D544" i="1"/>
  <c r="C544" i="1"/>
  <c r="A544" i="1"/>
  <c r="T543" i="1"/>
  <c r="S543" i="1"/>
  <c r="R543" i="1"/>
  <c r="K543" i="1"/>
  <c r="E543" i="1"/>
  <c r="D543" i="1"/>
  <c r="C543" i="1"/>
  <c r="A543" i="1"/>
  <c r="T542" i="1"/>
  <c r="S542" i="1"/>
  <c r="R542" i="1"/>
  <c r="K542" i="1"/>
  <c r="E542" i="1"/>
  <c r="D542" i="1"/>
  <c r="C542" i="1"/>
  <c r="A542" i="1"/>
  <c r="T541" i="1"/>
  <c r="S541" i="1"/>
  <c r="R541" i="1"/>
  <c r="K541" i="1"/>
  <c r="E541" i="1"/>
  <c r="D541" i="1"/>
  <c r="C541" i="1"/>
  <c r="A541" i="1"/>
  <c r="T540" i="1"/>
  <c r="S540" i="1"/>
  <c r="R540" i="1"/>
  <c r="K540" i="1"/>
  <c r="E540" i="1"/>
  <c r="D540" i="1"/>
  <c r="C540" i="1"/>
  <c r="A540" i="1"/>
  <c r="T539" i="1"/>
  <c r="S539" i="1"/>
  <c r="R539" i="1"/>
  <c r="K539" i="1"/>
  <c r="E539" i="1"/>
  <c r="D539" i="1"/>
  <c r="C539" i="1"/>
  <c r="A539" i="1"/>
  <c r="T538" i="1"/>
  <c r="S538" i="1"/>
  <c r="R538" i="1"/>
  <c r="K538" i="1"/>
  <c r="E538" i="1"/>
  <c r="D538" i="1"/>
  <c r="C538" i="1"/>
  <c r="A538" i="1"/>
  <c r="T537" i="1"/>
  <c r="S537" i="1"/>
  <c r="R537" i="1"/>
  <c r="K537" i="1"/>
  <c r="E537" i="1"/>
  <c r="D537" i="1"/>
  <c r="C537" i="1"/>
  <c r="A537" i="1"/>
  <c r="T536" i="1"/>
  <c r="S536" i="1"/>
  <c r="R536" i="1"/>
  <c r="K536" i="1"/>
  <c r="E536" i="1"/>
  <c r="D536" i="1"/>
  <c r="C536" i="1"/>
  <c r="A536" i="1"/>
  <c r="T535" i="1"/>
  <c r="S535" i="1"/>
  <c r="R535" i="1"/>
  <c r="K535" i="1"/>
  <c r="E535" i="1"/>
  <c r="D535" i="1"/>
  <c r="C535" i="1"/>
  <c r="A535" i="1"/>
  <c r="T534" i="1"/>
  <c r="S534" i="1"/>
  <c r="R534" i="1"/>
  <c r="K534" i="1"/>
  <c r="E534" i="1"/>
  <c r="D534" i="1"/>
  <c r="C534" i="1"/>
  <c r="A534" i="1"/>
  <c r="T533" i="1"/>
  <c r="S533" i="1"/>
  <c r="R533" i="1"/>
  <c r="K533" i="1"/>
  <c r="E533" i="1"/>
  <c r="D533" i="1"/>
  <c r="C533" i="1"/>
  <c r="A533" i="1"/>
  <c r="T532" i="1"/>
  <c r="S532" i="1"/>
  <c r="R532" i="1"/>
  <c r="K532" i="1"/>
  <c r="E532" i="1"/>
  <c r="D532" i="1"/>
  <c r="C532" i="1"/>
  <c r="A532" i="1"/>
  <c r="T531" i="1"/>
  <c r="S531" i="1"/>
  <c r="R531" i="1"/>
  <c r="K531" i="1"/>
  <c r="E531" i="1"/>
  <c r="D531" i="1"/>
  <c r="C531" i="1"/>
  <c r="A531" i="1"/>
  <c r="T530" i="1"/>
  <c r="S530" i="1"/>
  <c r="R530" i="1"/>
  <c r="K530" i="1"/>
  <c r="E530" i="1"/>
  <c r="D530" i="1"/>
  <c r="C530" i="1"/>
  <c r="A530" i="1"/>
  <c r="T529" i="1"/>
  <c r="S529" i="1"/>
  <c r="R529" i="1"/>
  <c r="K529" i="1"/>
  <c r="E529" i="1"/>
  <c r="D529" i="1"/>
  <c r="C529" i="1"/>
  <c r="A529" i="1"/>
  <c r="T528" i="1"/>
  <c r="S528" i="1"/>
  <c r="R528" i="1"/>
  <c r="K528" i="1"/>
  <c r="E528" i="1"/>
  <c r="D528" i="1"/>
  <c r="C528" i="1"/>
  <c r="A528" i="1"/>
  <c r="T527" i="1"/>
  <c r="S527" i="1"/>
  <c r="R527" i="1"/>
  <c r="K527" i="1"/>
  <c r="E527" i="1"/>
  <c r="D527" i="1"/>
  <c r="C527" i="1"/>
  <c r="A527" i="1"/>
  <c r="T526" i="1"/>
  <c r="S526" i="1"/>
  <c r="R526" i="1"/>
  <c r="K526" i="1"/>
  <c r="E526" i="1"/>
  <c r="D526" i="1"/>
  <c r="C526" i="1"/>
  <c r="A526" i="1"/>
  <c r="T525" i="1"/>
  <c r="S525" i="1"/>
  <c r="R525" i="1"/>
  <c r="K525" i="1"/>
  <c r="E525" i="1"/>
  <c r="D525" i="1"/>
  <c r="C525" i="1"/>
  <c r="A525" i="1"/>
  <c r="S524" i="1"/>
  <c r="R524" i="1"/>
  <c r="K524" i="1"/>
  <c r="E524" i="1"/>
  <c r="D524" i="1"/>
  <c r="C524" i="1"/>
  <c r="A524" i="1"/>
  <c r="S523" i="1"/>
  <c r="R523" i="1"/>
  <c r="K523" i="1"/>
  <c r="E523" i="1"/>
  <c r="D523" i="1"/>
  <c r="C523" i="1"/>
  <c r="A523" i="1"/>
  <c r="S522" i="1"/>
  <c r="R522" i="1"/>
  <c r="K522" i="1"/>
  <c r="E522" i="1"/>
  <c r="D522" i="1"/>
  <c r="C522" i="1"/>
  <c r="A522" i="1"/>
  <c r="S521" i="1"/>
  <c r="R521" i="1"/>
  <c r="K521" i="1"/>
  <c r="E521" i="1"/>
  <c r="D521" i="1"/>
  <c r="C521" i="1"/>
  <c r="A521" i="1"/>
  <c r="S520" i="1"/>
  <c r="R520" i="1"/>
  <c r="K520" i="1"/>
  <c r="E520" i="1"/>
  <c r="D520" i="1"/>
  <c r="C520" i="1"/>
  <c r="A520" i="1"/>
  <c r="S519" i="1"/>
  <c r="R519" i="1"/>
  <c r="K519" i="1"/>
  <c r="E519" i="1"/>
  <c r="D519" i="1"/>
  <c r="C519" i="1"/>
  <c r="A519" i="1"/>
  <c r="S518" i="1"/>
  <c r="R518" i="1"/>
  <c r="K518" i="1"/>
  <c r="E518" i="1"/>
  <c r="D518" i="1"/>
  <c r="C518" i="1"/>
  <c r="A518" i="1"/>
  <c r="S517" i="1"/>
  <c r="R517" i="1"/>
  <c r="K517" i="1"/>
  <c r="E517" i="1"/>
  <c r="D517" i="1"/>
  <c r="C517" i="1"/>
  <c r="A517" i="1"/>
  <c r="S516" i="1"/>
  <c r="R516" i="1"/>
  <c r="Q516" i="1"/>
  <c r="P516" i="1"/>
  <c r="K516" i="1"/>
  <c r="E516" i="1"/>
  <c r="D516" i="1"/>
  <c r="C516" i="1"/>
  <c r="A516" i="1"/>
  <c r="T515" i="1"/>
  <c r="S515" i="1"/>
  <c r="R515" i="1"/>
  <c r="K515" i="1"/>
  <c r="E515" i="1"/>
  <c r="D515" i="1"/>
  <c r="C515" i="1"/>
  <c r="A515" i="1"/>
  <c r="T514" i="1"/>
  <c r="S514" i="1"/>
  <c r="R514" i="1"/>
  <c r="K514" i="1"/>
  <c r="E514" i="1"/>
  <c r="D514" i="1"/>
  <c r="C514" i="1"/>
  <c r="A514" i="1"/>
  <c r="T513" i="1"/>
  <c r="S513" i="1"/>
  <c r="R513" i="1"/>
  <c r="K513" i="1"/>
  <c r="E513" i="1"/>
  <c r="D513" i="1"/>
  <c r="C513" i="1"/>
  <c r="A513" i="1"/>
  <c r="T512" i="1"/>
  <c r="S512" i="1"/>
  <c r="R512" i="1"/>
  <c r="K512" i="1"/>
  <c r="E512" i="1"/>
  <c r="D512" i="1"/>
  <c r="C512" i="1"/>
  <c r="A512" i="1"/>
  <c r="T511" i="1"/>
  <c r="S511" i="1"/>
  <c r="R511" i="1"/>
  <c r="K511" i="1"/>
  <c r="E511" i="1"/>
  <c r="D511" i="1"/>
  <c r="C511" i="1"/>
  <c r="A511" i="1"/>
  <c r="T510" i="1"/>
  <c r="S510" i="1"/>
  <c r="R510" i="1"/>
  <c r="K510" i="1"/>
  <c r="E510" i="1"/>
  <c r="D510" i="1"/>
  <c r="C510" i="1"/>
  <c r="A510" i="1"/>
  <c r="T509" i="1"/>
  <c r="S509" i="1"/>
  <c r="R509" i="1"/>
  <c r="K509" i="1"/>
  <c r="E509" i="1"/>
  <c r="D509" i="1"/>
  <c r="C509" i="1"/>
  <c r="A509" i="1"/>
  <c r="T508" i="1"/>
  <c r="S508" i="1"/>
  <c r="R508" i="1"/>
  <c r="K508" i="1"/>
  <c r="E508" i="1"/>
  <c r="D508" i="1"/>
  <c r="C508" i="1"/>
  <c r="A508" i="1"/>
  <c r="T507" i="1"/>
  <c r="S507" i="1"/>
  <c r="R507" i="1"/>
  <c r="K507" i="1"/>
  <c r="E507" i="1"/>
  <c r="D507" i="1"/>
  <c r="C507" i="1"/>
  <c r="A507" i="1"/>
  <c r="T506" i="1"/>
  <c r="S506" i="1"/>
  <c r="R506" i="1"/>
  <c r="P506" i="1"/>
  <c r="O506" i="1"/>
  <c r="L506" i="1"/>
  <c r="K506" i="1"/>
  <c r="J506" i="1"/>
  <c r="I506" i="1"/>
  <c r="H506" i="1"/>
  <c r="F506" i="1"/>
  <c r="E506" i="1"/>
  <c r="D506" i="1"/>
  <c r="C506" i="1"/>
  <c r="A506" i="1"/>
  <c r="T505" i="1"/>
  <c r="S505" i="1"/>
  <c r="R505" i="1"/>
  <c r="K505" i="1"/>
  <c r="E505" i="1"/>
  <c r="D505" i="1"/>
  <c r="C505" i="1"/>
  <c r="A505" i="1"/>
  <c r="T504" i="1"/>
  <c r="S504" i="1"/>
  <c r="R504" i="1"/>
  <c r="K504" i="1"/>
  <c r="E504" i="1"/>
  <c r="D504" i="1"/>
  <c r="C504" i="1"/>
  <c r="A504" i="1"/>
  <c r="T503" i="1"/>
  <c r="S503" i="1"/>
  <c r="R503" i="1"/>
  <c r="K503" i="1"/>
  <c r="E503" i="1"/>
  <c r="D503" i="1"/>
  <c r="C503" i="1"/>
  <c r="A503" i="1"/>
  <c r="T502" i="1"/>
  <c r="S502" i="1"/>
  <c r="R502" i="1"/>
  <c r="Q502" i="1"/>
  <c r="P502" i="1"/>
  <c r="K502" i="1"/>
  <c r="E502" i="1"/>
  <c r="D502" i="1"/>
  <c r="C502" i="1"/>
  <c r="B502" i="1"/>
  <c r="A502" i="1"/>
  <c r="T501" i="1"/>
  <c r="S501" i="1"/>
  <c r="R501" i="1"/>
  <c r="Q501" i="1"/>
  <c r="P501" i="1"/>
  <c r="K501" i="1"/>
  <c r="E501" i="1"/>
  <c r="D501" i="1"/>
  <c r="C501" i="1"/>
  <c r="B501" i="1"/>
  <c r="A501" i="1"/>
  <c r="T500" i="1"/>
  <c r="S500" i="1"/>
  <c r="R500" i="1"/>
  <c r="Q500" i="1"/>
  <c r="P500" i="1"/>
  <c r="K500" i="1"/>
  <c r="E500" i="1"/>
  <c r="D500" i="1"/>
  <c r="C500" i="1"/>
  <c r="B500" i="1"/>
  <c r="A500" i="1"/>
  <c r="T499" i="1"/>
  <c r="S499" i="1"/>
  <c r="R499" i="1"/>
  <c r="Q499" i="1"/>
  <c r="P499" i="1"/>
  <c r="K499" i="1"/>
  <c r="E499" i="1"/>
  <c r="D499" i="1"/>
  <c r="C499" i="1"/>
  <c r="A499" i="1"/>
  <c r="T498" i="1"/>
  <c r="S498" i="1"/>
  <c r="R498" i="1"/>
  <c r="Q498" i="1"/>
  <c r="P498" i="1"/>
  <c r="K498" i="1"/>
  <c r="E498" i="1"/>
  <c r="D498" i="1"/>
  <c r="C498" i="1"/>
  <c r="B498" i="1"/>
  <c r="A498" i="1"/>
  <c r="T497" i="1"/>
  <c r="S497" i="1"/>
  <c r="R497" i="1"/>
  <c r="Q497" i="1"/>
  <c r="P497" i="1"/>
  <c r="K497" i="1"/>
  <c r="E497" i="1"/>
  <c r="D497" i="1"/>
  <c r="C497" i="1"/>
  <c r="B497" i="1"/>
  <c r="A497" i="1"/>
  <c r="T496" i="1"/>
  <c r="S496" i="1"/>
  <c r="R496" i="1"/>
  <c r="Q496" i="1"/>
  <c r="P496" i="1"/>
  <c r="K496" i="1"/>
  <c r="E496" i="1"/>
  <c r="D496" i="1"/>
  <c r="C496" i="1"/>
  <c r="B496" i="1"/>
  <c r="A496" i="1"/>
  <c r="T495" i="1"/>
  <c r="S495" i="1"/>
  <c r="R495" i="1"/>
  <c r="Q495" i="1"/>
  <c r="P495" i="1"/>
  <c r="K495" i="1"/>
  <c r="E495" i="1"/>
  <c r="D495" i="1"/>
  <c r="C495" i="1"/>
  <c r="B495" i="1"/>
  <c r="A495" i="1"/>
  <c r="T494" i="1"/>
  <c r="S494" i="1"/>
  <c r="R494" i="1"/>
  <c r="Q494" i="1"/>
  <c r="P494" i="1"/>
  <c r="K494" i="1"/>
  <c r="E494" i="1"/>
  <c r="D494" i="1"/>
  <c r="C494" i="1"/>
  <c r="B494" i="1"/>
  <c r="A494" i="1"/>
  <c r="T493" i="1"/>
  <c r="S493" i="1"/>
  <c r="R493" i="1"/>
  <c r="Q493" i="1"/>
  <c r="P493" i="1"/>
  <c r="K493" i="1"/>
  <c r="E493" i="1"/>
  <c r="D493" i="1"/>
  <c r="C493" i="1"/>
  <c r="B493" i="1"/>
  <c r="A493" i="1"/>
  <c r="T492" i="1"/>
  <c r="S492" i="1"/>
  <c r="R492" i="1"/>
  <c r="Q492" i="1"/>
  <c r="P492" i="1"/>
  <c r="K492" i="1"/>
  <c r="E492" i="1"/>
  <c r="D492" i="1"/>
  <c r="C492" i="1"/>
  <c r="B492" i="1"/>
  <c r="A492" i="1"/>
  <c r="T491" i="1"/>
  <c r="S491" i="1"/>
  <c r="R491" i="1"/>
  <c r="Q491" i="1"/>
  <c r="P491" i="1"/>
  <c r="K491" i="1"/>
  <c r="E491" i="1"/>
  <c r="D491" i="1"/>
  <c r="C491" i="1"/>
  <c r="B491" i="1"/>
  <c r="A491" i="1"/>
  <c r="T490" i="1"/>
  <c r="S490" i="1"/>
  <c r="R490" i="1"/>
  <c r="Q490" i="1"/>
  <c r="P490" i="1"/>
  <c r="K490" i="1"/>
  <c r="E490" i="1"/>
  <c r="D490" i="1"/>
  <c r="C490" i="1"/>
  <c r="B490" i="1"/>
  <c r="A490" i="1"/>
  <c r="T489" i="1"/>
  <c r="S489" i="1"/>
  <c r="R489" i="1"/>
  <c r="P489" i="1"/>
  <c r="O489" i="1"/>
  <c r="L489" i="1"/>
  <c r="K489" i="1"/>
  <c r="J489" i="1"/>
  <c r="I489" i="1"/>
  <c r="H489" i="1"/>
  <c r="F489" i="1"/>
  <c r="E489" i="1"/>
  <c r="D489" i="1"/>
  <c r="C489" i="1"/>
  <c r="A489" i="1"/>
  <c r="T488" i="1"/>
  <c r="S488" i="1"/>
  <c r="R488" i="1"/>
  <c r="Q488" i="1"/>
  <c r="P488" i="1"/>
  <c r="O488" i="1"/>
  <c r="L488" i="1"/>
  <c r="K488" i="1"/>
  <c r="J488" i="1"/>
  <c r="I488" i="1"/>
  <c r="H488" i="1"/>
  <c r="F488" i="1"/>
  <c r="E488" i="1"/>
  <c r="D488" i="1"/>
  <c r="C488" i="1"/>
  <c r="B488" i="1"/>
  <c r="A488" i="1"/>
  <c r="T487" i="1"/>
  <c r="S487" i="1"/>
  <c r="R487" i="1"/>
  <c r="Q487" i="1"/>
  <c r="P487" i="1"/>
  <c r="K487" i="1"/>
  <c r="E487" i="1"/>
  <c r="D487" i="1"/>
  <c r="C487" i="1"/>
  <c r="B487" i="1"/>
  <c r="A487" i="1"/>
  <c r="T486" i="1"/>
  <c r="S486" i="1"/>
  <c r="R486" i="1"/>
  <c r="Q486" i="1"/>
  <c r="P486" i="1"/>
  <c r="K486" i="1"/>
  <c r="E486" i="1"/>
  <c r="D486" i="1"/>
  <c r="C486" i="1"/>
  <c r="B486" i="1"/>
  <c r="A486" i="1"/>
  <c r="T485" i="1"/>
  <c r="S485" i="1"/>
  <c r="R485" i="1"/>
  <c r="Q485" i="1"/>
  <c r="P485" i="1"/>
  <c r="O485" i="1"/>
  <c r="L485" i="1"/>
  <c r="K485" i="1"/>
  <c r="J485" i="1"/>
  <c r="I485" i="1"/>
  <c r="H485" i="1"/>
  <c r="F485" i="1"/>
  <c r="E485" i="1"/>
  <c r="D485" i="1"/>
  <c r="C485" i="1"/>
  <c r="A485" i="1"/>
  <c r="T484" i="1"/>
  <c r="S484" i="1"/>
  <c r="R484" i="1"/>
  <c r="Q484" i="1"/>
  <c r="P484" i="1"/>
  <c r="K484" i="1"/>
  <c r="E484" i="1"/>
  <c r="D484" i="1"/>
  <c r="C484" i="1"/>
  <c r="B484" i="1"/>
  <c r="A484" i="1"/>
  <c r="T483" i="1"/>
  <c r="S483" i="1"/>
  <c r="R483" i="1"/>
  <c r="Q483" i="1"/>
  <c r="P483" i="1"/>
  <c r="K483" i="1"/>
  <c r="E483" i="1"/>
  <c r="D483" i="1"/>
  <c r="C483" i="1"/>
  <c r="B483" i="1"/>
  <c r="A483" i="1"/>
  <c r="T482" i="1"/>
  <c r="S482" i="1"/>
  <c r="R482" i="1"/>
  <c r="Q482" i="1"/>
  <c r="P482" i="1"/>
  <c r="K482" i="1"/>
  <c r="E482" i="1"/>
  <c r="D482" i="1"/>
  <c r="C482" i="1"/>
  <c r="A482" i="1"/>
  <c r="T481" i="1"/>
  <c r="S481" i="1"/>
  <c r="R481" i="1"/>
  <c r="K481" i="1"/>
  <c r="E481" i="1"/>
  <c r="D481" i="1"/>
  <c r="C481" i="1"/>
  <c r="A481" i="1"/>
  <c r="T480" i="1"/>
  <c r="S480" i="1"/>
  <c r="R480" i="1"/>
  <c r="K480" i="1"/>
  <c r="E480" i="1"/>
  <c r="D480" i="1"/>
  <c r="C480" i="1"/>
  <c r="A480" i="1"/>
  <c r="T479" i="1"/>
  <c r="S479" i="1"/>
  <c r="R479" i="1"/>
  <c r="K479" i="1"/>
  <c r="E479" i="1"/>
  <c r="D479" i="1"/>
  <c r="C479" i="1"/>
  <c r="A479" i="1"/>
  <c r="T478" i="1"/>
  <c r="S478" i="1"/>
  <c r="R478" i="1"/>
  <c r="K478" i="1"/>
  <c r="E478" i="1"/>
  <c r="D478" i="1"/>
  <c r="C478" i="1"/>
  <c r="A478" i="1"/>
  <c r="T477" i="1"/>
  <c r="S477" i="1"/>
  <c r="R477" i="1"/>
  <c r="K477" i="1"/>
  <c r="E477" i="1"/>
  <c r="D477" i="1"/>
  <c r="C477" i="1"/>
  <c r="A477" i="1"/>
  <c r="T476" i="1"/>
  <c r="S476" i="1"/>
  <c r="R476" i="1"/>
  <c r="Q476" i="1"/>
  <c r="P476" i="1"/>
  <c r="O476" i="1"/>
  <c r="L476" i="1"/>
  <c r="K476" i="1"/>
  <c r="J476" i="1"/>
  <c r="I476" i="1"/>
  <c r="H476" i="1"/>
  <c r="F476" i="1"/>
  <c r="E476" i="1"/>
  <c r="D476" i="1"/>
  <c r="C476" i="1"/>
  <c r="A476" i="1"/>
  <c r="T475" i="1"/>
  <c r="S475" i="1"/>
  <c r="R475" i="1"/>
  <c r="K475" i="1"/>
  <c r="E475" i="1"/>
  <c r="D475" i="1"/>
  <c r="C475" i="1"/>
  <c r="A475" i="1"/>
  <c r="T474" i="1"/>
  <c r="S474" i="1"/>
  <c r="R474" i="1"/>
  <c r="K474" i="1"/>
  <c r="E474" i="1"/>
  <c r="D474" i="1"/>
  <c r="C474" i="1"/>
  <c r="A474" i="1"/>
  <c r="T473" i="1"/>
  <c r="S473" i="1"/>
  <c r="R473" i="1"/>
  <c r="K473" i="1"/>
  <c r="E473" i="1"/>
  <c r="D473" i="1"/>
  <c r="C473" i="1"/>
  <c r="A473" i="1"/>
  <c r="T472" i="1"/>
  <c r="S472" i="1"/>
  <c r="R472" i="1"/>
  <c r="K472" i="1"/>
  <c r="E472" i="1"/>
  <c r="D472" i="1"/>
  <c r="C472" i="1"/>
  <c r="A472" i="1"/>
  <c r="T471" i="1"/>
  <c r="S471" i="1"/>
  <c r="R471" i="1"/>
  <c r="K471" i="1"/>
  <c r="E471" i="1"/>
  <c r="D471" i="1"/>
  <c r="C471" i="1"/>
  <c r="A471" i="1"/>
  <c r="T470" i="1"/>
  <c r="S470" i="1"/>
  <c r="R470" i="1"/>
  <c r="K470" i="1"/>
  <c r="E470" i="1"/>
  <c r="D470" i="1"/>
  <c r="C470" i="1"/>
  <c r="A470" i="1"/>
  <c r="T469" i="1"/>
  <c r="S469" i="1"/>
  <c r="R469" i="1"/>
  <c r="K469" i="1"/>
  <c r="E469" i="1"/>
  <c r="D469" i="1"/>
  <c r="C469" i="1"/>
  <c r="A469" i="1"/>
  <c r="T468" i="1"/>
  <c r="S468" i="1"/>
  <c r="R468" i="1"/>
  <c r="K468" i="1"/>
  <c r="E468" i="1"/>
  <c r="D468" i="1"/>
  <c r="C468" i="1"/>
  <c r="A468" i="1"/>
  <c r="T467" i="1"/>
  <c r="S467" i="1"/>
  <c r="R467" i="1"/>
  <c r="K467" i="1"/>
  <c r="E467" i="1"/>
  <c r="D467" i="1"/>
  <c r="C467" i="1"/>
  <c r="A467" i="1"/>
  <c r="T466" i="1"/>
  <c r="S466" i="1"/>
  <c r="R466" i="1"/>
  <c r="K466" i="1"/>
  <c r="E466" i="1"/>
  <c r="D466" i="1"/>
  <c r="C466" i="1"/>
  <c r="A466" i="1"/>
  <c r="T465" i="1"/>
  <c r="S465" i="1"/>
  <c r="R465" i="1"/>
  <c r="K465" i="1"/>
  <c r="E465" i="1"/>
  <c r="D465" i="1"/>
  <c r="C465" i="1"/>
  <c r="A465" i="1"/>
  <c r="T464" i="1"/>
  <c r="S464" i="1"/>
  <c r="R464" i="1"/>
  <c r="K464" i="1"/>
  <c r="E464" i="1"/>
  <c r="D464" i="1"/>
  <c r="C464" i="1"/>
  <c r="A464" i="1"/>
  <c r="T463" i="1"/>
  <c r="S463" i="1"/>
  <c r="R463" i="1"/>
  <c r="K463" i="1"/>
  <c r="E463" i="1"/>
  <c r="D463" i="1"/>
  <c r="C463" i="1"/>
  <c r="A463" i="1"/>
  <c r="T462" i="1"/>
  <c r="S462" i="1"/>
  <c r="R462" i="1"/>
  <c r="K462" i="1"/>
  <c r="E462" i="1"/>
  <c r="D462" i="1"/>
  <c r="C462" i="1"/>
  <c r="A462" i="1"/>
  <c r="T461" i="1"/>
  <c r="S461" i="1"/>
  <c r="R461" i="1"/>
  <c r="K461" i="1"/>
  <c r="E461" i="1"/>
  <c r="D461" i="1"/>
  <c r="C461" i="1"/>
  <c r="A461" i="1"/>
  <c r="T460" i="1"/>
  <c r="S460" i="1"/>
  <c r="R460" i="1"/>
  <c r="K460" i="1"/>
  <c r="E460" i="1"/>
  <c r="D460" i="1"/>
  <c r="C460" i="1"/>
  <c r="A460" i="1"/>
  <c r="T459" i="1"/>
  <c r="S459" i="1"/>
  <c r="R459" i="1"/>
  <c r="K459" i="1"/>
  <c r="E459" i="1"/>
  <c r="D459" i="1"/>
  <c r="C459" i="1"/>
  <c r="A459" i="1"/>
  <c r="T458" i="1"/>
  <c r="S458" i="1"/>
  <c r="R458" i="1"/>
  <c r="K458" i="1"/>
  <c r="E458" i="1"/>
  <c r="D458" i="1"/>
  <c r="C458" i="1"/>
  <c r="A458" i="1"/>
  <c r="T457" i="1"/>
  <c r="S457" i="1"/>
  <c r="R457" i="1"/>
  <c r="K457" i="1"/>
  <c r="E457" i="1"/>
  <c r="D457" i="1"/>
  <c r="C457" i="1"/>
  <c r="A457" i="1"/>
  <c r="T456" i="1"/>
  <c r="S456" i="1"/>
  <c r="R456" i="1"/>
  <c r="K456" i="1"/>
  <c r="E456" i="1"/>
  <c r="D456" i="1"/>
  <c r="C456" i="1"/>
  <c r="A456" i="1"/>
  <c r="T455" i="1"/>
  <c r="S455" i="1"/>
  <c r="R455" i="1"/>
  <c r="K455" i="1"/>
  <c r="E455" i="1"/>
  <c r="D455" i="1"/>
  <c r="C455" i="1"/>
  <c r="A455" i="1"/>
  <c r="T454" i="1"/>
  <c r="S454" i="1"/>
  <c r="R454" i="1"/>
  <c r="K454" i="1"/>
  <c r="E454" i="1"/>
  <c r="D454" i="1"/>
  <c r="C454" i="1"/>
  <c r="A454" i="1"/>
  <c r="T453" i="1"/>
  <c r="S453" i="1"/>
  <c r="R453" i="1"/>
  <c r="K453" i="1"/>
  <c r="E453" i="1"/>
  <c r="D453" i="1"/>
  <c r="C453" i="1"/>
  <c r="A453" i="1"/>
  <c r="T452" i="1"/>
  <c r="S452" i="1"/>
  <c r="R452" i="1"/>
  <c r="K452" i="1"/>
  <c r="E452" i="1"/>
  <c r="D452" i="1"/>
  <c r="C452" i="1"/>
  <c r="A452" i="1"/>
  <c r="T451" i="1"/>
  <c r="S451" i="1"/>
  <c r="R451" i="1"/>
  <c r="K451" i="1"/>
  <c r="E451" i="1"/>
  <c r="D451" i="1"/>
  <c r="C451" i="1"/>
  <c r="A451" i="1"/>
  <c r="T450" i="1"/>
  <c r="S450" i="1"/>
  <c r="R450" i="1"/>
  <c r="K450" i="1"/>
  <c r="E450" i="1"/>
  <c r="D450" i="1"/>
  <c r="C450" i="1"/>
  <c r="A450" i="1"/>
  <c r="T449" i="1"/>
  <c r="S449" i="1"/>
  <c r="R449" i="1"/>
  <c r="K449" i="1"/>
  <c r="E449" i="1"/>
  <c r="D449" i="1"/>
  <c r="C449" i="1"/>
  <c r="A449" i="1"/>
  <c r="T448" i="1"/>
  <c r="S448" i="1"/>
  <c r="R448" i="1"/>
  <c r="K448" i="1"/>
  <c r="E448" i="1"/>
  <c r="D448" i="1"/>
  <c r="C448" i="1"/>
  <c r="A448" i="1"/>
  <c r="T447" i="1"/>
  <c r="S447" i="1"/>
  <c r="R447" i="1"/>
  <c r="K447" i="1"/>
  <c r="E447" i="1"/>
  <c r="D447" i="1"/>
  <c r="C447" i="1"/>
  <c r="A447" i="1"/>
  <c r="T446" i="1"/>
  <c r="S446" i="1"/>
  <c r="R446" i="1"/>
  <c r="K446" i="1"/>
  <c r="E446" i="1"/>
  <c r="D446" i="1"/>
  <c r="C446" i="1"/>
  <c r="A446" i="1"/>
  <c r="T445" i="1"/>
  <c r="S445" i="1"/>
  <c r="R445" i="1"/>
  <c r="K445" i="1"/>
  <c r="E445" i="1"/>
  <c r="D445" i="1"/>
  <c r="C445" i="1"/>
  <c r="A445" i="1"/>
  <c r="T444" i="1"/>
  <c r="S444" i="1"/>
  <c r="R444" i="1"/>
  <c r="K444" i="1"/>
  <c r="E444" i="1"/>
  <c r="D444" i="1"/>
  <c r="C444" i="1"/>
  <c r="A444" i="1"/>
  <c r="T443" i="1"/>
  <c r="S443" i="1"/>
  <c r="R443" i="1"/>
  <c r="K443" i="1"/>
  <c r="E443" i="1"/>
  <c r="D443" i="1"/>
  <c r="C443" i="1"/>
  <c r="A443" i="1"/>
  <c r="T442" i="1"/>
  <c r="S442" i="1"/>
  <c r="R442" i="1"/>
  <c r="K442" i="1"/>
  <c r="E442" i="1"/>
  <c r="D442" i="1"/>
  <c r="C442" i="1"/>
  <c r="A442" i="1"/>
  <c r="T441" i="1"/>
  <c r="S441" i="1"/>
  <c r="R441" i="1"/>
  <c r="K441" i="1"/>
  <c r="E441" i="1"/>
  <c r="D441" i="1"/>
  <c r="C441" i="1"/>
  <c r="A441" i="1"/>
  <c r="T440" i="1"/>
  <c r="S440" i="1"/>
  <c r="R440" i="1"/>
  <c r="K440" i="1"/>
  <c r="E440" i="1"/>
  <c r="D440" i="1"/>
  <c r="C440" i="1"/>
  <c r="A440" i="1"/>
  <c r="T439" i="1"/>
  <c r="S439" i="1"/>
  <c r="R439" i="1"/>
  <c r="K439" i="1"/>
  <c r="E439" i="1"/>
  <c r="D439" i="1"/>
  <c r="C439" i="1"/>
  <c r="A439" i="1"/>
  <c r="T438" i="1"/>
  <c r="S438" i="1"/>
  <c r="R438" i="1"/>
  <c r="K438" i="1"/>
  <c r="E438" i="1"/>
  <c r="D438" i="1"/>
  <c r="C438" i="1"/>
  <c r="A438" i="1"/>
  <c r="T437" i="1"/>
  <c r="S437" i="1"/>
  <c r="R437" i="1"/>
  <c r="K437" i="1"/>
  <c r="E437" i="1"/>
  <c r="D437" i="1"/>
  <c r="C437" i="1"/>
  <c r="A437" i="1"/>
  <c r="T436" i="1"/>
  <c r="S436" i="1"/>
  <c r="R436" i="1"/>
  <c r="K436" i="1"/>
  <c r="E436" i="1"/>
  <c r="D436" i="1"/>
  <c r="C436" i="1"/>
  <c r="A436" i="1"/>
  <c r="T435" i="1"/>
  <c r="S435" i="1"/>
  <c r="R435" i="1"/>
  <c r="K435" i="1"/>
  <c r="E435" i="1"/>
  <c r="D435" i="1"/>
  <c r="C435" i="1"/>
  <c r="A435" i="1"/>
  <c r="T434" i="1"/>
  <c r="S434" i="1"/>
  <c r="R434" i="1"/>
  <c r="K434" i="1"/>
  <c r="E434" i="1"/>
  <c r="D434" i="1"/>
  <c r="C434" i="1"/>
  <c r="A434" i="1"/>
  <c r="T433" i="1"/>
  <c r="S433" i="1"/>
  <c r="R433" i="1"/>
  <c r="K433" i="1"/>
  <c r="E433" i="1"/>
  <c r="D433" i="1"/>
  <c r="C433" i="1"/>
  <c r="A433" i="1"/>
  <c r="T432" i="1"/>
  <c r="S432" i="1"/>
  <c r="R432" i="1"/>
  <c r="K432" i="1"/>
  <c r="E432" i="1"/>
  <c r="D432" i="1"/>
  <c r="C432" i="1"/>
  <c r="A432" i="1"/>
  <c r="T431" i="1"/>
  <c r="S431" i="1"/>
  <c r="R431" i="1"/>
  <c r="K431" i="1"/>
  <c r="E431" i="1"/>
  <c r="D431" i="1"/>
  <c r="C431" i="1"/>
  <c r="A431" i="1"/>
  <c r="T430" i="1"/>
  <c r="S430" i="1"/>
  <c r="R430" i="1"/>
  <c r="K430" i="1"/>
  <c r="E430" i="1"/>
  <c r="D430" i="1"/>
  <c r="C430" i="1"/>
  <c r="A430" i="1"/>
  <c r="T429" i="1"/>
  <c r="S429" i="1"/>
  <c r="R429" i="1"/>
  <c r="K429" i="1"/>
  <c r="E429" i="1"/>
  <c r="D429" i="1"/>
  <c r="C429" i="1"/>
  <c r="A429" i="1"/>
  <c r="T428" i="1"/>
  <c r="S428" i="1"/>
  <c r="R428" i="1"/>
  <c r="K428" i="1"/>
  <c r="E428" i="1"/>
  <c r="D428" i="1"/>
  <c r="C428" i="1"/>
  <c r="A428" i="1"/>
  <c r="T427" i="1"/>
  <c r="S427" i="1"/>
  <c r="R427" i="1"/>
  <c r="K427" i="1"/>
  <c r="E427" i="1"/>
  <c r="D427" i="1"/>
  <c r="C427" i="1"/>
  <c r="A427" i="1"/>
  <c r="T426" i="1"/>
  <c r="S426" i="1"/>
  <c r="R426" i="1"/>
  <c r="K426" i="1"/>
  <c r="E426" i="1"/>
  <c r="D426" i="1"/>
  <c r="C426" i="1"/>
  <c r="A426" i="1"/>
  <c r="T425" i="1"/>
  <c r="S425" i="1"/>
  <c r="R425" i="1"/>
  <c r="K425" i="1"/>
  <c r="E425" i="1"/>
  <c r="D425" i="1"/>
  <c r="C425" i="1"/>
  <c r="A425" i="1"/>
  <c r="T424" i="1"/>
  <c r="S424" i="1"/>
  <c r="R424" i="1"/>
  <c r="K424" i="1"/>
  <c r="E424" i="1"/>
  <c r="D424" i="1"/>
  <c r="C424" i="1"/>
  <c r="A424" i="1"/>
  <c r="T423" i="1"/>
  <c r="S423" i="1"/>
  <c r="R423" i="1"/>
  <c r="K423" i="1"/>
  <c r="E423" i="1"/>
  <c r="D423" i="1"/>
  <c r="C423" i="1"/>
  <c r="A423" i="1"/>
  <c r="T422" i="1"/>
  <c r="S422" i="1"/>
  <c r="R422" i="1"/>
  <c r="K422" i="1"/>
  <c r="E422" i="1"/>
  <c r="D422" i="1"/>
  <c r="C422" i="1"/>
  <c r="A422" i="1"/>
  <c r="T421" i="1"/>
  <c r="S421" i="1"/>
  <c r="R421" i="1"/>
  <c r="K421" i="1"/>
  <c r="E421" i="1"/>
  <c r="D421" i="1"/>
  <c r="C421" i="1"/>
  <c r="A421" i="1"/>
  <c r="T420" i="1"/>
  <c r="S420" i="1"/>
  <c r="R420" i="1"/>
  <c r="K420" i="1"/>
  <c r="E420" i="1"/>
  <c r="D420" i="1"/>
  <c r="C420" i="1"/>
  <c r="A420" i="1"/>
  <c r="T419" i="1"/>
  <c r="S419" i="1"/>
  <c r="R419" i="1"/>
  <c r="K419" i="1"/>
  <c r="E419" i="1"/>
  <c r="D419" i="1"/>
  <c r="C419" i="1"/>
  <c r="A419" i="1"/>
  <c r="T418" i="1"/>
  <c r="S418" i="1"/>
  <c r="R418" i="1"/>
  <c r="K418" i="1"/>
  <c r="E418" i="1"/>
  <c r="D418" i="1"/>
  <c r="C418" i="1"/>
  <c r="A418" i="1"/>
  <c r="T417" i="1"/>
  <c r="S417" i="1"/>
  <c r="R417" i="1"/>
  <c r="K417" i="1"/>
  <c r="E417" i="1"/>
  <c r="D417" i="1"/>
  <c r="C417" i="1"/>
  <c r="A417" i="1"/>
  <c r="T416" i="1"/>
  <c r="S416" i="1"/>
  <c r="R416" i="1"/>
  <c r="K416" i="1"/>
  <c r="E416" i="1"/>
  <c r="D416" i="1"/>
  <c r="C416" i="1"/>
  <c r="A416" i="1"/>
  <c r="T415" i="1"/>
  <c r="S415" i="1"/>
  <c r="R415" i="1"/>
  <c r="K415" i="1"/>
  <c r="E415" i="1"/>
  <c r="D415" i="1"/>
  <c r="C415" i="1"/>
  <c r="A415" i="1"/>
  <c r="T414" i="1"/>
  <c r="S414" i="1"/>
  <c r="R414" i="1"/>
  <c r="K414" i="1"/>
  <c r="E414" i="1"/>
  <c r="D414" i="1"/>
  <c r="C414" i="1"/>
  <c r="A414" i="1"/>
  <c r="T413" i="1"/>
  <c r="S413" i="1"/>
  <c r="R413" i="1"/>
  <c r="K413" i="1"/>
  <c r="E413" i="1"/>
  <c r="D413" i="1"/>
  <c r="C413" i="1"/>
  <c r="A413" i="1"/>
  <c r="T412" i="1"/>
  <c r="S412" i="1"/>
  <c r="R412" i="1"/>
  <c r="K412" i="1"/>
  <c r="E412" i="1"/>
  <c r="D412" i="1"/>
  <c r="C412" i="1"/>
  <c r="A412" i="1"/>
  <c r="T411" i="1"/>
  <c r="S411" i="1"/>
  <c r="R411" i="1"/>
  <c r="K411" i="1"/>
  <c r="E411" i="1"/>
  <c r="D411" i="1"/>
  <c r="C411" i="1"/>
  <c r="A411" i="1"/>
  <c r="T410" i="1"/>
  <c r="S410" i="1"/>
  <c r="R410" i="1"/>
  <c r="K410" i="1"/>
  <c r="E410" i="1"/>
  <c r="D410" i="1"/>
  <c r="C410" i="1"/>
  <c r="A410" i="1"/>
  <c r="T409" i="1"/>
  <c r="S409" i="1"/>
  <c r="R409" i="1"/>
  <c r="K409" i="1"/>
  <c r="E409" i="1"/>
  <c r="D409" i="1"/>
  <c r="C409" i="1"/>
  <c r="A409" i="1"/>
  <c r="T408" i="1"/>
  <c r="S408" i="1"/>
  <c r="R408" i="1"/>
  <c r="K408" i="1"/>
  <c r="E408" i="1"/>
  <c r="D408" i="1"/>
  <c r="C408" i="1"/>
  <c r="A408" i="1"/>
  <c r="T407" i="1"/>
  <c r="S407" i="1"/>
  <c r="R407" i="1"/>
  <c r="K407" i="1"/>
  <c r="E407" i="1"/>
  <c r="D407" i="1"/>
  <c r="C407" i="1"/>
  <c r="A407" i="1"/>
  <c r="T406" i="1"/>
  <c r="S406" i="1"/>
  <c r="R406" i="1"/>
  <c r="K406" i="1"/>
  <c r="E406" i="1"/>
  <c r="D406" i="1"/>
  <c r="C406" i="1"/>
  <c r="A406" i="1"/>
  <c r="T405" i="1"/>
  <c r="S405" i="1"/>
  <c r="R405" i="1"/>
  <c r="K405" i="1"/>
  <c r="E405" i="1"/>
  <c r="D405" i="1"/>
  <c r="C405" i="1"/>
  <c r="A405" i="1"/>
  <c r="T404" i="1"/>
  <c r="S404" i="1"/>
  <c r="R404" i="1"/>
  <c r="K404" i="1"/>
  <c r="E404" i="1"/>
  <c r="D404" i="1"/>
  <c r="C404" i="1"/>
  <c r="A404" i="1"/>
  <c r="T403" i="1"/>
  <c r="S403" i="1"/>
  <c r="R403" i="1"/>
  <c r="K403" i="1"/>
  <c r="E403" i="1"/>
  <c r="D403" i="1"/>
  <c r="C403" i="1"/>
  <c r="A403" i="1"/>
  <c r="T402" i="1"/>
  <c r="S402" i="1"/>
  <c r="R402" i="1"/>
  <c r="K402" i="1"/>
  <c r="E402" i="1"/>
  <c r="D402" i="1"/>
  <c r="C402" i="1"/>
  <c r="A402" i="1"/>
  <c r="T401" i="1"/>
  <c r="S401" i="1"/>
  <c r="R401" i="1"/>
  <c r="K401" i="1"/>
  <c r="E401" i="1"/>
  <c r="D401" i="1"/>
  <c r="C401" i="1"/>
  <c r="A401" i="1"/>
  <c r="T400" i="1"/>
  <c r="S400" i="1"/>
  <c r="R400" i="1"/>
  <c r="K400" i="1"/>
  <c r="E400" i="1"/>
  <c r="D400" i="1"/>
  <c r="C400" i="1"/>
  <c r="A400" i="1"/>
  <c r="T399" i="1"/>
  <c r="S399" i="1"/>
  <c r="R399" i="1"/>
  <c r="K399" i="1"/>
  <c r="E399" i="1"/>
  <c r="D399" i="1"/>
  <c r="C399" i="1"/>
  <c r="A399" i="1"/>
  <c r="T398" i="1"/>
  <c r="S398" i="1"/>
  <c r="R398" i="1"/>
  <c r="K398" i="1"/>
  <c r="E398" i="1"/>
  <c r="D398" i="1"/>
  <c r="C398" i="1"/>
  <c r="A398" i="1"/>
  <c r="T397" i="1"/>
  <c r="S397" i="1"/>
  <c r="R397" i="1"/>
  <c r="K397" i="1"/>
  <c r="E397" i="1"/>
  <c r="D397" i="1"/>
  <c r="C397" i="1"/>
  <c r="A397" i="1"/>
  <c r="T396" i="1"/>
  <c r="S396" i="1"/>
  <c r="R396" i="1"/>
  <c r="K396" i="1"/>
  <c r="E396" i="1"/>
  <c r="D396" i="1"/>
  <c r="C396" i="1"/>
  <c r="A396" i="1"/>
  <c r="T395" i="1"/>
  <c r="S395" i="1"/>
  <c r="R395" i="1"/>
  <c r="K395" i="1"/>
  <c r="E395" i="1"/>
  <c r="D395" i="1"/>
  <c r="C395" i="1"/>
  <c r="A395" i="1"/>
  <c r="T394" i="1"/>
  <c r="S394" i="1"/>
  <c r="R394" i="1"/>
  <c r="K394" i="1"/>
  <c r="E394" i="1"/>
  <c r="D394" i="1"/>
  <c r="C394" i="1"/>
  <c r="A394" i="1"/>
  <c r="T393" i="1"/>
  <c r="S393" i="1"/>
  <c r="R393" i="1"/>
  <c r="K393" i="1"/>
  <c r="E393" i="1"/>
  <c r="D393" i="1"/>
  <c r="C393" i="1"/>
  <c r="A393" i="1"/>
  <c r="T392" i="1"/>
  <c r="S392" i="1"/>
  <c r="R392" i="1"/>
  <c r="K392" i="1"/>
  <c r="E392" i="1"/>
  <c r="D392" i="1"/>
  <c r="C392" i="1"/>
  <c r="A392" i="1"/>
  <c r="T391" i="1"/>
  <c r="S391" i="1"/>
  <c r="R391" i="1"/>
  <c r="K391" i="1"/>
  <c r="E391" i="1"/>
  <c r="D391" i="1"/>
  <c r="C391" i="1"/>
  <c r="A391" i="1"/>
  <c r="T390" i="1"/>
  <c r="S390" i="1"/>
  <c r="R390" i="1"/>
  <c r="K390" i="1"/>
  <c r="E390" i="1"/>
  <c r="D390" i="1"/>
  <c r="C390" i="1"/>
  <c r="A390" i="1"/>
  <c r="T389" i="1"/>
  <c r="S389" i="1"/>
  <c r="R389" i="1"/>
  <c r="K389" i="1"/>
  <c r="E389" i="1"/>
  <c r="D389" i="1"/>
  <c r="C389" i="1"/>
  <c r="A389" i="1"/>
  <c r="T388" i="1"/>
  <c r="S388" i="1"/>
  <c r="R388" i="1"/>
  <c r="K388" i="1"/>
  <c r="E388" i="1"/>
  <c r="D388" i="1"/>
  <c r="C388" i="1"/>
  <c r="A388" i="1"/>
  <c r="T387" i="1"/>
  <c r="S387" i="1"/>
  <c r="R387" i="1"/>
  <c r="K387" i="1"/>
  <c r="E387" i="1"/>
  <c r="D387" i="1"/>
  <c r="C387" i="1"/>
  <c r="A387" i="1"/>
  <c r="T386" i="1"/>
  <c r="S386" i="1"/>
  <c r="R386" i="1"/>
  <c r="K386" i="1"/>
  <c r="E386" i="1"/>
  <c r="D386" i="1"/>
  <c r="C386" i="1"/>
  <c r="A386" i="1"/>
  <c r="T385" i="1"/>
  <c r="S385" i="1"/>
  <c r="R385" i="1"/>
  <c r="K385" i="1"/>
  <c r="E385" i="1"/>
  <c r="D385" i="1"/>
  <c r="C385" i="1"/>
  <c r="A385" i="1"/>
  <c r="T384" i="1"/>
  <c r="S384" i="1"/>
  <c r="R384" i="1"/>
  <c r="K384" i="1"/>
  <c r="E384" i="1"/>
  <c r="D384" i="1"/>
  <c r="C384" i="1"/>
  <c r="A384" i="1"/>
  <c r="T383" i="1"/>
  <c r="S383" i="1"/>
  <c r="R383" i="1"/>
  <c r="K383" i="1"/>
  <c r="E383" i="1"/>
  <c r="D383" i="1"/>
  <c r="C383" i="1"/>
  <c r="A383" i="1"/>
  <c r="T382" i="1"/>
  <c r="S382" i="1"/>
  <c r="R382" i="1"/>
  <c r="K382" i="1"/>
  <c r="E382" i="1"/>
  <c r="D382" i="1"/>
  <c r="C382" i="1"/>
  <c r="A382" i="1"/>
  <c r="T381" i="1"/>
  <c r="S381" i="1"/>
  <c r="R381" i="1"/>
  <c r="K381" i="1"/>
  <c r="E381" i="1"/>
  <c r="D381" i="1"/>
  <c r="C381" i="1"/>
  <c r="A381" i="1"/>
  <c r="T380" i="1"/>
  <c r="S380" i="1"/>
  <c r="R380" i="1"/>
  <c r="K380" i="1"/>
  <c r="E380" i="1"/>
  <c r="D380" i="1"/>
  <c r="C380" i="1"/>
  <c r="A380" i="1"/>
  <c r="T379" i="1"/>
  <c r="S379" i="1"/>
  <c r="R379" i="1"/>
  <c r="K379" i="1"/>
  <c r="E379" i="1"/>
  <c r="D379" i="1"/>
  <c r="C379" i="1"/>
  <c r="A379" i="1"/>
  <c r="T378" i="1"/>
  <c r="S378" i="1"/>
  <c r="R378" i="1"/>
  <c r="K378" i="1"/>
  <c r="E378" i="1"/>
  <c r="D378" i="1"/>
  <c r="C378" i="1"/>
  <c r="A378" i="1"/>
  <c r="T377" i="1"/>
  <c r="S377" i="1"/>
  <c r="R377" i="1"/>
  <c r="K377" i="1"/>
  <c r="E377" i="1"/>
  <c r="D377" i="1"/>
  <c r="C377" i="1"/>
  <c r="A377" i="1"/>
  <c r="T376" i="1"/>
  <c r="S376" i="1"/>
  <c r="R376" i="1"/>
  <c r="K376" i="1"/>
  <c r="E376" i="1"/>
  <c r="D376" i="1"/>
  <c r="C376" i="1"/>
  <c r="A376" i="1"/>
  <c r="T375" i="1"/>
  <c r="S375" i="1"/>
  <c r="R375" i="1"/>
  <c r="K375" i="1"/>
  <c r="E375" i="1"/>
  <c r="D375" i="1"/>
  <c r="C375" i="1"/>
  <c r="A375" i="1"/>
  <c r="T374" i="1"/>
  <c r="S374" i="1"/>
  <c r="R374" i="1"/>
  <c r="K374" i="1"/>
  <c r="E374" i="1"/>
  <c r="D374" i="1"/>
  <c r="C374" i="1"/>
  <c r="A374" i="1"/>
  <c r="T373" i="1"/>
  <c r="S373" i="1"/>
  <c r="R373" i="1"/>
  <c r="K373" i="1"/>
  <c r="E373" i="1"/>
  <c r="D373" i="1"/>
  <c r="C373" i="1"/>
  <c r="A373" i="1"/>
  <c r="T372" i="1"/>
  <c r="S372" i="1"/>
  <c r="R372" i="1"/>
  <c r="K372" i="1"/>
  <c r="E372" i="1"/>
  <c r="D372" i="1"/>
  <c r="C372" i="1"/>
  <c r="A372" i="1"/>
  <c r="T371" i="1"/>
  <c r="S371" i="1"/>
  <c r="R371" i="1"/>
  <c r="K371" i="1"/>
  <c r="E371" i="1"/>
  <c r="D371" i="1"/>
  <c r="C371" i="1"/>
  <c r="A371" i="1"/>
  <c r="T370" i="1"/>
  <c r="S370" i="1"/>
  <c r="R370" i="1"/>
  <c r="K370" i="1"/>
  <c r="E370" i="1"/>
  <c r="D370" i="1"/>
  <c r="C370" i="1"/>
  <c r="A370" i="1"/>
  <c r="T369" i="1"/>
  <c r="S369" i="1"/>
  <c r="R369" i="1"/>
  <c r="K369" i="1"/>
  <c r="E369" i="1"/>
  <c r="D369" i="1"/>
  <c r="C369" i="1"/>
  <c r="A369" i="1"/>
  <c r="T368" i="1"/>
  <c r="S368" i="1"/>
  <c r="R368" i="1"/>
  <c r="K368" i="1"/>
  <c r="E368" i="1"/>
  <c r="D368" i="1"/>
  <c r="C368" i="1"/>
  <c r="A368" i="1"/>
  <c r="T367" i="1"/>
  <c r="S367" i="1"/>
  <c r="R367" i="1"/>
  <c r="K367" i="1"/>
  <c r="E367" i="1"/>
  <c r="D367" i="1"/>
  <c r="C367" i="1"/>
  <c r="A367" i="1"/>
  <c r="T366" i="1"/>
  <c r="S366" i="1"/>
  <c r="R366" i="1"/>
  <c r="K366" i="1"/>
  <c r="E366" i="1"/>
  <c r="D366" i="1"/>
  <c r="C366" i="1"/>
  <c r="A366" i="1"/>
  <c r="T365" i="1"/>
  <c r="S365" i="1"/>
  <c r="R365" i="1"/>
  <c r="K365" i="1"/>
  <c r="E365" i="1"/>
  <c r="D365" i="1"/>
  <c r="C365" i="1"/>
  <c r="A365" i="1"/>
  <c r="T364" i="1"/>
  <c r="S364" i="1"/>
  <c r="R364" i="1"/>
  <c r="K364" i="1"/>
  <c r="E364" i="1"/>
  <c r="D364" i="1"/>
  <c r="C364" i="1"/>
  <c r="A364" i="1"/>
  <c r="T363" i="1"/>
  <c r="S363" i="1"/>
  <c r="R363" i="1"/>
  <c r="K363" i="1"/>
  <c r="E363" i="1"/>
  <c r="D363" i="1"/>
  <c r="C363" i="1"/>
  <c r="A363" i="1"/>
  <c r="T362" i="1"/>
  <c r="S362" i="1"/>
  <c r="R362" i="1"/>
  <c r="K362" i="1"/>
  <c r="E362" i="1"/>
  <c r="D362" i="1"/>
  <c r="C362" i="1"/>
  <c r="A362" i="1"/>
  <c r="T361" i="1"/>
  <c r="S361" i="1"/>
  <c r="R361" i="1"/>
  <c r="K361" i="1"/>
  <c r="E361" i="1"/>
  <c r="D361" i="1"/>
  <c r="C361" i="1"/>
  <c r="A361" i="1"/>
  <c r="T360" i="1"/>
  <c r="S360" i="1"/>
  <c r="R360" i="1"/>
  <c r="K360" i="1"/>
  <c r="E360" i="1"/>
  <c r="D360" i="1"/>
  <c r="C360" i="1"/>
  <c r="A360" i="1"/>
  <c r="T359" i="1"/>
  <c r="S359" i="1"/>
  <c r="R359" i="1"/>
  <c r="K359" i="1"/>
  <c r="E359" i="1"/>
  <c r="D359" i="1"/>
  <c r="C359" i="1"/>
  <c r="A359" i="1"/>
  <c r="T358" i="1"/>
  <c r="S358" i="1"/>
  <c r="R358" i="1"/>
  <c r="K358" i="1"/>
  <c r="E358" i="1"/>
  <c r="D358" i="1"/>
  <c r="C358" i="1"/>
  <c r="A358" i="1"/>
  <c r="T357" i="1"/>
  <c r="S357" i="1"/>
  <c r="R357" i="1"/>
  <c r="K357" i="1"/>
  <c r="E357" i="1"/>
  <c r="D357" i="1"/>
  <c r="C357" i="1"/>
  <c r="A357" i="1"/>
  <c r="T356" i="1"/>
  <c r="S356" i="1"/>
  <c r="R356" i="1"/>
  <c r="K356" i="1"/>
  <c r="E356" i="1"/>
  <c r="D356" i="1"/>
  <c r="C356" i="1"/>
  <c r="A356" i="1"/>
  <c r="T355" i="1"/>
  <c r="S355" i="1"/>
  <c r="R355" i="1"/>
  <c r="K355" i="1"/>
  <c r="E355" i="1"/>
  <c r="D355" i="1"/>
  <c r="C355" i="1"/>
  <c r="A355" i="1"/>
  <c r="T354" i="1"/>
  <c r="S354" i="1"/>
  <c r="R354" i="1"/>
  <c r="K354" i="1"/>
  <c r="E354" i="1"/>
  <c r="D354" i="1"/>
  <c r="C354" i="1"/>
  <c r="A354" i="1"/>
  <c r="T353" i="1"/>
  <c r="S353" i="1"/>
  <c r="R353" i="1"/>
  <c r="K353" i="1"/>
  <c r="E353" i="1"/>
  <c r="D353" i="1"/>
  <c r="C353" i="1"/>
  <c r="A353" i="1"/>
  <c r="T352" i="1"/>
  <c r="S352" i="1"/>
  <c r="R352" i="1"/>
  <c r="K352" i="1"/>
  <c r="E352" i="1"/>
  <c r="D352" i="1"/>
  <c r="C352" i="1"/>
  <c r="A352" i="1"/>
  <c r="T351" i="1"/>
  <c r="S351" i="1"/>
  <c r="R351" i="1"/>
  <c r="K351" i="1"/>
  <c r="E351" i="1"/>
  <c r="D351" i="1"/>
  <c r="C351" i="1"/>
  <c r="A351" i="1"/>
  <c r="T350" i="1"/>
  <c r="S350" i="1"/>
  <c r="R350" i="1"/>
  <c r="K350" i="1"/>
  <c r="E350" i="1"/>
  <c r="D350" i="1"/>
  <c r="C350" i="1"/>
  <c r="A350" i="1"/>
  <c r="T349" i="1"/>
  <c r="S349" i="1"/>
  <c r="R349" i="1"/>
  <c r="K349" i="1"/>
  <c r="E349" i="1"/>
  <c r="D349" i="1"/>
  <c r="C349" i="1"/>
  <c r="A349" i="1"/>
  <c r="T348" i="1"/>
  <c r="S348" i="1"/>
  <c r="R348" i="1"/>
  <c r="K348" i="1"/>
  <c r="E348" i="1"/>
  <c r="D348" i="1"/>
  <c r="C348" i="1"/>
  <c r="A348" i="1"/>
  <c r="T347" i="1"/>
  <c r="S347" i="1"/>
  <c r="R347" i="1"/>
  <c r="K347" i="1"/>
  <c r="E347" i="1"/>
  <c r="D347" i="1"/>
  <c r="C347" i="1"/>
  <c r="A347" i="1"/>
  <c r="T346" i="1"/>
  <c r="S346" i="1"/>
  <c r="R346" i="1"/>
  <c r="K346" i="1"/>
  <c r="E346" i="1"/>
  <c r="D346" i="1"/>
  <c r="C346" i="1"/>
  <c r="A346" i="1"/>
  <c r="T345" i="1"/>
  <c r="S345" i="1"/>
  <c r="R345" i="1"/>
  <c r="K345" i="1"/>
  <c r="E345" i="1"/>
  <c r="D345" i="1"/>
  <c r="C345" i="1"/>
  <c r="A345" i="1"/>
  <c r="T344" i="1"/>
  <c r="S344" i="1"/>
  <c r="R344" i="1"/>
  <c r="K344" i="1"/>
  <c r="E344" i="1"/>
  <c r="D344" i="1"/>
  <c r="C344" i="1"/>
  <c r="A344" i="1"/>
  <c r="T343" i="1"/>
  <c r="S343" i="1"/>
  <c r="R343" i="1"/>
  <c r="K343" i="1"/>
  <c r="E343" i="1"/>
  <c r="D343" i="1"/>
  <c r="C343" i="1"/>
  <c r="A343" i="1"/>
  <c r="T342" i="1"/>
  <c r="S342" i="1"/>
  <c r="R342" i="1"/>
  <c r="K342" i="1"/>
  <c r="E342" i="1"/>
  <c r="D342" i="1"/>
  <c r="C342" i="1"/>
  <c r="A342" i="1"/>
  <c r="T341" i="1"/>
  <c r="S341" i="1"/>
  <c r="R341" i="1"/>
  <c r="K341" i="1"/>
  <c r="E341" i="1"/>
  <c r="D341" i="1"/>
  <c r="C341" i="1"/>
  <c r="A341" i="1"/>
  <c r="T340" i="1"/>
  <c r="S340" i="1"/>
  <c r="R340" i="1"/>
  <c r="K340" i="1"/>
  <c r="E340" i="1"/>
  <c r="D340" i="1"/>
  <c r="C340" i="1"/>
  <c r="A340" i="1"/>
  <c r="T339" i="1"/>
  <c r="S339" i="1"/>
  <c r="R339" i="1"/>
  <c r="K339" i="1"/>
  <c r="E339" i="1"/>
  <c r="D339" i="1"/>
  <c r="C339" i="1"/>
  <c r="A339" i="1"/>
  <c r="T338" i="1"/>
  <c r="S338" i="1"/>
  <c r="R338" i="1"/>
  <c r="K338" i="1"/>
  <c r="E338" i="1"/>
  <c r="D338" i="1"/>
  <c r="C338" i="1"/>
  <c r="A338" i="1"/>
  <c r="T337" i="1"/>
  <c r="S337" i="1"/>
  <c r="R337" i="1"/>
  <c r="K337" i="1"/>
  <c r="E337" i="1"/>
  <c r="D337" i="1"/>
  <c r="C337" i="1"/>
  <c r="A337" i="1"/>
  <c r="T336" i="1"/>
  <c r="S336" i="1"/>
  <c r="R336" i="1"/>
  <c r="K336" i="1"/>
  <c r="E336" i="1"/>
  <c r="D336" i="1"/>
  <c r="C336" i="1"/>
  <c r="A336" i="1"/>
  <c r="T335" i="1"/>
  <c r="S335" i="1"/>
  <c r="R335" i="1"/>
  <c r="K335" i="1"/>
  <c r="E335" i="1"/>
  <c r="D335" i="1"/>
  <c r="C335" i="1"/>
  <c r="A335" i="1"/>
  <c r="T334" i="1"/>
  <c r="S334" i="1"/>
  <c r="R334" i="1"/>
  <c r="K334" i="1"/>
  <c r="E334" i="1"/>
  <c r="D334" i="1"/>
  <c r="C334" i="1"/>
  <c r="A334" i="1"/>
  <c r="T333" i="1"/>
  <c r="S333" i="1"/>
  <c r="R333" i="1"/>
  <c r="K333" i="1"/>
  <c r="E333" i="1"/>
  <c r="D333" i="1"/>
  <c r="C333" i="1"/>
  <c r="A333" i="1"/>
  <c r="T332" i="1"/>
  <c r="S332" i="1"/>
  <c r="R332" i="1"/>
  <c r="K332" i="1"/>
  <c r="E332" i="1"/>
  <c r="D332" i="1"/>
  <c r="C332" i="1"/>
  <c r="A332" i="1"/>
  <c r="T331" i="1"/>
  <c r="S331" i="1"/>
  <c r="R331" i="1"/>
  <c r="K331" i="1"/>
  <c r="E331" i="1"/>
  <c r="D331" i="1"/>
  <c r="C331" i="1"/>
  <c r="A331" i="1"/>
  <c r="T330" i="1"/>
  <c r="S330" i="1"/>
  <c r="R330" i="1"/>
  <c r="K330" i="1"/>
  <c r="E330" i="1"/>
  <c r="D330" i="1"/>
  <c r="C330" i="1"/>
  <c r="A330" i="1"/>
  <c r="T329" i="1"/>
  <c r="S329" i="1"/>
  <c r="R329" i="1"/>
  <c r="K329" i="1"/>
  <c r="E329" i="1"/>
  <c r="D329" i="1"/>
  <c r="C329" i="1"/>
  <c r="A329" i="1"/>
  <c r="T328" i="1"/>
  <c r="S328" i="1"/>
  <c r="R328" i="1"/>
  <c r="K328" i="1"/>
  <c r="E328" i="1"/>
  <c r="D328" i="1"/>
  <c r="C328" i="1"/>
  <c r="A328" i="1"/>
  <c r="T327" i="1"/>
  <c r="S327" i="1"/>
  <c r="R327" i="1"/>
  <c r="K327" i="1"/>
  <c r="E327" i="1"/>
  <c r="D327" i="1"/>
  <c r="C327" i="1"/>
  <c r="A327" i="1"/>
  <c r="T326" i="1"/>
  <c r="S326" i="1"/>
  <c r="R326" i="1"/>
  <c r="K326" i="1"/>
  <c r="E326" i="1"/>
  <c r="D326" i="1"/>
  <c r="C326" i="1"/>
  <c r="A326" i="1"/>
  <c r="T325" i="1"/>
  <c r="S325" i="1"/>
  <c r="R325" i="1"/>
  <c r="K325" i="1"/>
  <c r="E325" i="1"/>
  <c r="D325" i="1"/>
  <c r="C325" i="1"/>
  <c r="A325" i="1"/>
  <c r="T324" i="1"/>
  <c r="S324" i="1"/>
  <c r="R324" i="1"/>
  <c r="K324" i="1"/>
  <c r="E324" i="1"/>
  <c r="D324" i="1"/>
  <c r="C324" i="1"/>
  <c r="A324" i="1"/>
  <c r="T323" i="1"/>
  <c r="S323" i="1"/>
  <c r="R323" i="1"/>
  <c r="K323" i="1"/>
  <c r="E323" i="1"/>
  <c r="D323" i="1"/>
  <c r="C323" i="1"/>
  <c r="A323" i="1"/>
  <c r="T322" i="1"/>
  <c r="S322" i="1"/>
  <c r="R322" i="1"/>
  <c r="K322" i="1"/>
  <c r="E322" i="1"/>
  <c r="D322" i="1"/>
  <c r="C322" i="1"/>
  <c r="A322" i="1"/>
  <c r="T321" i="1"/>
  <c r="S321" i="1"/>
  <c r="R321" i="1"/>
  <c r="K321" i="1"/>
  <c r="E321" i="1"/>
  <c r="D321" i="1"/>
  <c r="C321" i="1"/>
  <c r="A321" i="1"/>
  <c r="T320" i="1"/>
  <c r="S320" i="1"/>
  <c r="R320" i="1"/>
  <c r="K320" i="1"/>
  <c r="E320" i="1"/>
  <c r="D320" i="1"/>
  <c r="C320" i="1"/>
  <c r="A320" i="1"/>
  <c r="T319" i="1"/>
  <c r="S319" i="1"/>
  <c r="R319" i="1"/>
  <c r="K319" i="1"/>
  <c r="E319" i="1"/>
  <c r="D319" i="1"/>
  <c r="C319" i="1"/>
  <c r="A319" i="1"/>
  <c r="T318" i="1"/>
  <c r="S318" i="1"/>
  <c r="R318" i="1"/>
  <c r="K318" i="1"/>
  <c r="E318" i="1"/>
  <c r="D318" i="1"/>
  <c r="C318" i="1"/>
  <c r="A318" i="1"/>
  <c r="T317" i="1"/>
  <c r="S317" i="1"/>
  <c r="R317" i="1"/>
  <c r="K317" i="1"/>
  <c r="E317" i="1"/>
  <c r="D317" i="1"/>
  <c r="C317" i="1"/>
  <c r="A317" i="1"/>
  <c r="T316" i="1"/>
  <c r="S316" i="1"/>
  <c r="R316" i="1"/>
  <c r="K316" i="1"/>
  <c r="E316" i="1"/>
  <c r="D316" i="1"/>
  <c r="C316" i="1"/>
  <c r="A316" i="1"/>
  <c r="T315" i="1"/>
  <c r="S315" i="1"/>
  <c r="R315" i="1"/>
  <c r="K315" i="1"/>
  <c r="E315" i="1"/>
  <c r="D315" i="1"/>
  <c r="C315" i="1"/>
  <c r="A315" i="1"/>
  <c r="T314" i="1"/>
  <c r="S314" i="1"/>
  <c r="R314" i="1"/>
  <c r="K314" i="1"/>
  <c r="E314" i="1"/>
  <c r="D314" i="1"/>
  <c r="C314" i="1"/>
  <c r="A314" i="1"/>
  <c r="T313" i="1"/>
  <c r="S313" i="1"/>
  <c r="R313" i="1"/>
  <c r="K313" i="1"/>
  <c r="E313" i="1"/>
  <c r="D313" i="1"/>
  <c r="C313" i="1"/>
  <c r="A313" i="1"/>
  <c r="T312" i="1"/>
  <c r="S312" i="1"/>
  <c r="R312" i="1"/>
  <c r="K312" i="1"/>
  <c r="E312" i="1"/>
  <c r="D312" i="1"/>
  <c r="C312" i="1"/>
  <c r="A312" i="1"/>
  <c r="T311" i="1"/>
  <c r="S311" i="1"/>
  <c r="R311" i="1"/>
  <c r="K311" i="1"/>
  <c r="E311" i="1"/>
  <c r="D311" i="1"/>
  <c r="C311" i="1"/>
  <c r="A311" i="1"/>
  <c r="T310" i="1"/>
  <c r="S310" i="1"/>
  <c r="R310" i="1"/>
  <c r="K310" i="1"/>
  <c r="E310" i="1"/>
  <c r="D310" i="1"/>
  <c r="C310" i="1"/>
  <c r="A310" i="1"/>
  <c r="T309" i="1"/>
  <c r="S309" i="1"/>
  <c r="R309" i="1"/>
  <c r="K309" i="1"/>
  <c r="E309" i="1"/>
  <c r="D309" i="1"/>
  <c r="C309" i="1"/>
  <c r="A309" i="1"/>
  <c r="T308" i="1"/>
  <c r="S308" i="1"/>
  <c r="R308" i="1"/>
  <c r="K308" i="1"/>
  <c r="E308" i="1"/>
  <c r="D308" i="1"/>
  <c r="C308" i="1"/>
  <c r="A308" i="1"/>
  <c r="T307" i="1"/>
  <c r="S307" i="1"/>
  <c r="R307" i="1"/>
  <c r="K307" i="1"/>
  <c r="E307" i="1"/>
  <c r="D307" i="1"/>
  <c r="C307" i="1"/>
  <c r="A307" i="1"/>
  <c r="T306" i="1"/>
  <c r="S306" i="1"/>
  <c r="R306" i="1"/>
  <c r="K306" i="1"/>
  <c r="E306" i="1"/>
  <c r="D306" i="1"/>
  <c r="C306" i="1"/>
  <c r="A306" i="1"/>
  <c r="T305" i="1"/>
  <c r="S305" i="1"/>
  <c r="R305" i="1"/>
  <c r="K305" i="1"/>
  <c r="E305" i="1"/>
  <c r="D305" i="1"/>
  <c r="C305" i="1"/>
  <c r="A305" i="1"/>
  <c r="T304" i="1"/>
  <c r="S304" i="1"/>
  <c r="R304" i="1"/>
  <c r="K304" i="1"/>
  <c r="E304" i="1"/>
  <c r="D304" i="1"/>
  <c r="C304" i="1"/>
  <c r="A304" i="1"/>
  <c r="T303" i="1"/>
  <c r="S303" i="1"/>
  <c r="R303" i="1"/>
  <c r="K303" i="1"/>
  <c r="E303" i="1"/>
  <c r="D303" i="1"/>
  <c r="C303" i="1"/>
  <c r="A303" i="1"/>
  <c r="T302" i="1"/>
  <c r="S302" i="1"/>
  <c r="R302" i="1"/>
  <c r="K302" i="1"/>
  <c r="E302" i="1"/>
  <c r="D302" i="1"/>
  <c r="C302" i="1"/>
  <c r="A302" i="1"/>
  <c r="T301" i="1"/>
  <c r="S301" i="1"/>
  <c r="R301" i="1"/>
  <c r="K301" i="1"/>
  <c r="E301" i="1"/>
  <c r="D301" i="1"/>
  <c r="C301" i="1"/>
  <c r="A301" i="1"/>
  <c r="T300" i="1"/>
  <c r="S300" i="1"/>
  <c r="R300" i="1"/>
  <c r="K300" i="1"/>
  <c r="E300" i="1"/>
  <c r="D300" i="1"/>
  <c r="C300" i="1"/>
  <c r="A300" i="1"/>
  <c r="T299" i="1"/>
  <c r="S299" i="1"/>
  <c r="R299" i="1"/>
  <c r="K299" i="1"/>
  <c r="E299" i="1"/>
  <c r="D299" i="1"/>
  <c r="C299" i="1"/>
  <c r="A299" i="1"/>
  <c r="T298" i="1"/>
  <c r="S298" i="1"/>
  <c r="R298" i="1"/>
  <c r="K298" i="1"/>
  <c r="E298" i="1"/>
  <c r="D298" i="1"/>
  <c r="C298" i="1"/>
  <c r="A298" i="1"/>
  <c r="T297" i="1"/>
  <c r="S297" i="1"/>
  <c r="R297" i="1"/>
  <c r="K297" i="1"/>
  <c r="E297" i="1"/>
  <c r="D297" i="1"/>
  <c r="C297" i="1"/>
  <c r="A297" i="1"/>
  <c r="T296" i="1"/>
  <c r="S296" i="1"/>
  <c r="R296" i="1"/>
  <c r="K296" i="1"/>
  <c r="E296" i="1"/>
  <c r="D296" i="1"/>
  <c r="C296" i="1"/>
  <c r="A296" i="1"/>
  <c r="T295" i="1"/>
  <c r="S295" i="1"/>
  <c r="R295" i="1"/>
  <c r="K295" i="1"/>
  <c r="E295" i="1"/>
  <c r="D295" i="1"/>
  <c r="C295" i="1"/>
  <c r="A295" i="1"/>
  <c r="T294" i="1"/>
  <c r="S294" i="1"/>
  <c r="R294" i="1"/>
  <c r="K294" i="1"/>
  <c r="E294" i="1"/>
  <c r="D294" i="1"/>
  <c r="C294" i="1"/>
  <c r="A294" i="1"/>
  <c r="T293" i="1"/>
  <c r="S293" i="1"/>
  <c r="R293" i="1"/>
  <c r="K293" i="1"/>
  <c r="E293" i="1"/>
  <c r="D293" i="1"/>
  <c r="C293" i="1"/>
  <c r="A293" i="1"/>
  <c r="T292" i="1"/>
  <c r="S292" i="1"/>
  <c r="R292" i="1"/>
  <c r="K292" i="1"/>
  <c r="E292" i="1"/>
  <c r="D292" i="1"/>
  <c r="C292" i="1"/>
  <c r="A292" i="1"/>
  <c r="T291" i="1"/>
  <c r="S291" i="1"/>
  <c r="R291" i="1"/>
  <c r="K291" i="1"/>
  <c r="E291" i="1"/>
  <c r="D291" i="1"/>
  <c r="C291" i="1"/>
  <c r="A291" i="1"/>
  <c r="T290" i="1"/>
  <c r="S290" i="1"/>
  <c r="R290" i="1"/>
  <c r="K290" i="1"/>
  <c r="E290" i="1"/>
  <c r="D290" i="1"/>
  <c r="C290" i="1"/>
  <c r="A290" i="1"/>
  <c r="T289" i="1"/>
  <c r="S289" i="1"/>
  <c r="R289" i="1"/>
  <c r="K289" i="1"/>
  <c r="E289" i="1"/>
  <c r="D289" i="1"/>
  <c r="C289" i="1"/>
  <c r="A289" i="1"/>
  <c r="T288" i="1"/>
  <c r="S288" i="1"/>
  <c r="R288" i="1"/>
  <c r="K288" i="1"/>
  <c r="E288" i="1"/>
  <c r="D288" i="1"/>
  <c r="C288" i="1"/>
  <c r="A288" i="1"/>
  <c r="T287" i="1"/>
  <c r="S287" i="1"/>
  <c r="R287" i="1"/>
  <c r="K287" i="1"/>
  <c r="E287" i="1"/>
  <c r="D287" i="1"/>
  <c r="C287" i="1"/>
  <c r="A287" i="1"/>
  <c r="T286" i="1"/>
  <c r="S286" i="1"/>
  <c r="R286" i="1"/>
  <c r="K286" i="1"/>
  <c r="E286" i="1"/>
  <c r="D286" i="1"/>
  <c r="C286" i="1"/>
  <c r="A286" i="1"/>
  <c r="T285" i="1"/>
  <c r="S285" i="1"/>
  <c r="R285" i="1"/>
  <c r="K285" i="1"/>
  <c r="E285" i="1"/>
  <c r="D285" i="1"/>
  <c r="C285" i="1"/>
  <c r="A285" i="1"/>
  <c r="T284" i="1"/>
  <c r="S284" i="1"/>
  <c r="R284" i="1"/>
  <c r="K284" i="1"/>
  <c r="E284" i="1"/>
  <c r="D284" i="1"/>
  <c r="C284" i="1"/>
  <c r="A284" i="1"/>
  <c r="T283" i="1"/>
  <c r="S283" i="1"/>
  <c r="R283" i="1"/>
  <c r="K283" i="1"/>
  <c r="E283" i="1"/>
  <c r="D283" i="1"/>
  <c r="C283" i="1"/>
  <c r="A283" i="1"/>
  <c r="T282" i="1"/>
  <c r="S282" i="1"/>
  <c r="R282" i="1"/>
  <c r="K282" i="1"/>
  <c r="E282" i="1"/>
  <c r="D282" i="1"/>
  <c r="C282" i="1"/>
  <c r="A282" i="1"/>
  <c r="T281" i="1"/>
  <c r="S281" i="1"/>
  <c r="R281" i="1"/>
  <c r="K281" i="1"/>
  <c r="E281" i="1"/>
  <c r="D281" i="1"/>
  <c r="C281" i="1"/>
  <c r="A281" i="1"/>
  <c r="T280" i="1"/>
  <c r="S280" i="1"/>
  <c r="R280" i="1"/>
  <c r="K280" i="1"/>
  <c r="E280" i="1"/>
  <c r="D280" i="1"/>
  <c r="C280" i="1"/>
  <c r="A280" i="1"/>
  <c r="T279" i="1"/>
  <c r="S279" i="1"/>
  <c r="R279" i="1"/>
  <c r="K279" i="1"/>
  <c r="E279" i="1"/>
  <c r="D279" i="1"/>
  <c r="C279" i="1"/>
  <c r="A279" i="1"/>
  <c r="T278" i="1"/>
  <c r="S278" i="1"/>
  <c r="R278" i="1"/>
  <c r="K278" i="1"/>
  <c r="E278" i="1"/>
  <c r="D278" i="1"/>
  <c r="C278" i="1"/>
  <c r="A278" i="1"/>
  <c r="T277" i="1"/>
  <c r="S277" i="1"/>
  <c r="R277" i="1"/>
  <c r="K277" i="1"/>
  <c r="E277" i="1"/>
  <c r="D277" i="1"/>
  <c r="C277" i="1"/>
  <c r="A277" i="1"/>
  <c r="T276" i="1"/>
  <c r="S276" i="1"/>
  <c r="R276" i="1"/>
  <c r="P276" i="1"/>
  <c r="O276" i="1"/>
  <c r="N276" i="1"/>
  <c r="L276" i="1"/>
  <c r="K276" i="1"/>
  <c r="J276" i="1"/>
  <c r="I276" i="1"/>
  <c r="H276" i="1"/>
  <c r="F276" i="1"/>
  <c r="E276" i="1"/>
  <c r="D276" i="1"/>
  <c r="C276" i="1"/>
  <c r="A276" i="1"/>
  <c r="T275" i="1"/>
  <c r="S275" i="1"/>
  <c r="R275" i="1"/>
  <c r="K275" i="1"/>
  <c r="E275" i="1"/>
  <c r="D275" i="1"/>
  <c r="C275" i="1"/>
  <c r="A275" i="1"/>
  <c r="T274" i="1"/>
  <c r="S274" i="1"/>
  <c r="R274" i="1"/>
  <c r="K274" i="1"/>
  <c r="E274" i="1"/>
  <c r="D274" i="1"/>
  <c r="C274" i="1"/>
  <c r="A274" i="1"/>
  <c r="T273" i="1"/>
  <c r="S273" i="1"/>
  <c r="R273" i="1"/>
  <c r="K273" i="1"/>
  <c r="E273" i="1"/>
  <c r="D273" i="1"/>
  <c r="C273" i="1"/>
  <c r="A273" i="1"/>
  <c r="T272" i="1"/>
  <c r="S272" i="1"/>
  <c r="R272" i="1"/>
  <c r="K272" i="1"/>
  <c r="E272" i="1"/>
  <c r="D272" i="1"/>
  <c r="C272" i="1"/>
  <c r="A272" i="1"/>
  <c r="T271" i="1"/>
  <c r="S271" i="1"/>
  <c r="R271" i="1"/>
  <c r="K271" i="1"/>
  <c r="E271" i="1"/>
  <c r="D271" i="1"/>
  <c r="C271" i="1"/>
  <c r="A271" i="1"/>
  <c r="T270" i="1"/>
  <c r="S270" i="1"/>
  <c r="R270" i="1"/>
  <c r="K270" i="1"/>
  <c r="E270" i="1"/>
  <c r="D270" i="1"/>
  <c r="C270" i="1"/>
  <c r="A270" i="1"/>
  <c r="T269" i="1"/>
  <c r="S269" i="1"/>
  <c r="R269" i="1"/>
  <c r="K269" i="1"/>
  <c r="E269" i="1"/>
  <c r="D269" i="1"/>
  <c r="C269" i="1"/>
  <c r="A269" i="1"/>
  <c r="T268" i="1"/>
  <c r="S268" i="1"/>
  <c r="R268" i="1"/>
  <c r="K268" i="1"/>
  <c r="E268" i="1"/>
  <c r="D268" i="1"/>
  <c r="C268" i="1"/>
  <c r="A268" i="1"/>
  <c r="T267" i="1"/>
  <c r="S267" i="1"/>
  <c r="R267" i="1"/>
  <c r="K267" i="1"/>
  <c r="E267" i="1"/>
  <c r="D267" i="1"/>
  <c r="C267" i="1"/>
  <c r="A267" i="1"/>
  <c r="T266" i="1"/>
  <c r="S266" i="1"/>
  <c r="R266" i="1"/>
  <c r="K266" i="1"/>
  <c r="E266" i="1"/>
  <c r="D266" i="1"/>
  <c r="C266" i="1"/>
  <c r="A266" i="1"/>
  <c r="T265" i="1"/>
  <c r="S265" i="1"/>
  <c r="R265" i="1"/>
  <c r="K265" i="1"/>
  <c r="E265" i="1"/>
  <c r="D265" i="1"/>
  <c r="C265" i="1"/>
  <c r="A265" i="1"/>
  <c r="T264" i="1"/>
  <c r="S264" i="1"/>
  <c r="R264" i="1"/>
  <c r="K264" i="1"/>
  <c r="E264" i="1"/>
  <c r="D264" i="1"/>
  <c r="C264" i="1"/>
  <c r="A264" i="1"/>
  <c r="T263" i="1"/>
  <c r="S263" i="1"/>
  <c r="R263" i="1"/>
  <c r="K263" i="1"/>
  <c r="E263" i="1"/>
  <c r="D263" i="1"/>
  <c r="C263" i="1"/>
  <c r="A263" i="1"/>
  <c r="T262" i="1"/>
  <c r="S262" i="1"/>
  <c r="R262" i="1"/>
  <c r="K262" i="1"/>
  <c r="E262" i="1"/>
  <c r="D262" i="1"/>
  <c r="C262" i="1"/>
  <c r="A262" i="1"/>
  <c r="T261" i="1"/>
  <c r="S261" i="1"/>
  <c r="R261" i="1"/>
  <c r="K261" i="1"/>
  <c r="E261" i="1"/>
  <c r="D261" i="1"/>
  <c r="C261" i="1"/>
  <c r="A261" i="1"/>
  <c r="T260" i="1"/>
  <c r="S260" i="1"/>
  <c r="R260" i="1"/>
  <c r="K260" i="1"/>
  <c r="E260" i="1"/>
  <c r="D260" i="1"/>
  <c r="C260" i="1"/>
  <c r="A260" i="1"/>
  <c r="T259" i="1"/>
  <c r="S259" i="1"/>
  <c r="R259" i="1"/>
  <c r="K259" i="1"/>
  <c r="E259" i="1"/>
  <c r="D259" i="1"/>
  <c r="C259" i="1"/>
  <c r="A259" i="1"/>
  <c r="T258" i="1"/>
  <c r="S258" i="1"/>
  <c r="R258" i="1"/>
  <c r="K258" i="1"/>
  <c r="E258" i="1"/>
  <c r="D258" i="1"/>
  <c r="C258" i="1"/>
  <c r="A258" i="1"/>
  <c r="T257" i="1"/>
  <c r="S257" i="1"/>
  <c r="R257" i="1"/>
  <c r="K257" i="1"/>
  <c r="E257" i="1"/>
  <c r="D257" i="1"/>
  <c r="C257" i="1"/>
  <c r="A257" i="1"/>
  <c r="T256" i="1"/>
  <c r="S256" i="1"/>
  <c r="R256" i="1"/>
  <c r="K256" i="1"/>
  <c r="E256" i="1"/>
  <c r="D256" i="1"/>
  <c r="C256" i="1"/>
  <c r="A256" i="1"/>
  <c r="T255" i="1"/>
  <c r="S255" i="1"/>
  <c r="R255" i="1"/>
  <c r="K255" i="1"/>
  <c r="E255" i="1"/>
  <c r="D255" i="1"/>
  <c r="C255" i="1"/>
  <c r="A255" i="1"/>
  <c r="T254" i="1"/>
  <c r="S254" i="1"/>
  <c r="R254" i="1"/>
  <c r="K254" i="1"/>
  <c r="E254" i="1"/>
  <c r="D254" i="1"/>
  <c r="C254" i="1"/>
  <c r="A254" i="1"/>
  <c r="T253" i="1"/>
  <c r="S253" i="1"/>
  <c r="R253" i="1"/>
  <c r="K253" i="1"/>
  <c r="E253" i="1"/>
  <c r="D253" i="1"/>
  <c r="C253" i="1"/>
  <c r="A253" i="1"/>
  <c r="T252" i="1"/>
  <c r="S252" i="1"/>
  <c r="R252" i="1"/>
  <c r="K252" i="1"/>
  <c r="E252" i="1"/>
  <c r="D252" i="1"/>
  <c r="C252" i="1"/>
  <c r="A252" i="1"/>
  <c r="T251" i="1"/>
  <c r="S251" i="1"/>
  <c r="R251" i="1"/>
  <c r="K251" i="1"/>
  <c r="E251" i="1"/>
  <c r="D251" i="1"/>
  <c r="C251" i="1"/>
  <c r="A251" i="1"/>
  <c r="T250" i="1"/>
  <c r="S250" i="1"/>
  <c r="R250" i="1"/>
  <c r="K250" i="1"/>
  <c r="E250" i="1"/>
  <c r="D250" i="1"/>
  <c r="C250" i="1"/>
  <c r="A250" i="1"/>
  <c r="T249" i="1"/>
  <c r="S249" i="1"/>
  <c r="R249" i="1"/>
  <c r="K249" i="1"/>
  <c r="E249" i="1"/>
  <c r="D249" i="1"/>
  <c r="C249" i="1"/>
  <c r="A249" i="1"/>
  <c r="T248" i="1"/>
  <c r="S248" i="1"/>
  <c r="R248" i="1"/>
  <c r="K248" i="1"/>
  <c r="E248" i="1"/>
  <c r="D248" i="1"/>
  <c r="C248" i="1"/>
  <c r="A248" i="1"/>
  <c r="T247" i="1"/>
  <c r="S247" i="1"/>
  <c r="R247" i="1"/>
  <c r="K247" i="1"/>
  <c r="E247" i="1"/>
  <c r="D247" i="1"/>
  <c r="C247" i="1"/>
  <c r="A247" i="1"/>
  <c r="T246" i="1"/>
  <c r="S246" i="1"/>
  <c r="R246" i="1"/>
  <c r="K246" i="1"/>
  <c r="E246" i="1"/>
  <c r="D246" i="1"/>
  <c r="C246" i="1"/>
  <c r="A246" i="1"/>
  <c r="T245" i="1"/>
  <c r="S245" i="1"/>
  <c r="R245" i="1"/>
  <c r="K245" i="1"/>
  <c r="E245" i="1"/>
  <c r="D245" i="1"/>
  <c r="C245" i="1"/>
  <c r="A245" i="1"/>
  <c r="T244" i="1"/>
  <c r="S244" i="1"/>
  <c r="R244" i="1"/>
  <c r="K244" i="1"/>
  <c r="E244" i="1"/>
  <c r="D244" i="1"/>
  <c r="C244" i="1"/>
  <c r="A244" i="1"/>
  <c r="T243" i="1"/>
  <c r="S243" i="1"/>
  <c r="R243" i="1"/>
  <c r="K243" i="1"/>
  <c r="E243" i="1"/>
  <c r="D243" i="1"/>
  <c r="C243" i="1"/>
  <c r="A243" i="1"/>
  <c r="T242" i="1"/>
  <c r="S242" i="1"/>
  <c r="R242" i="1"/>
  <c r="K242" i="1"/>
  <c r="E242" i="1"/>
  <c r="D242" i="1"/>
  <c r="C242" i="1"/>
  <c r="A242" i="1"/>
  <c r="T241" i="1"/>
  <c r="S241" i="1"/>
  <c r="R241" i="1"/>
  <c r="K241" i="1"/>
  <c r="E241" i="1"/>
  <c r="D241" i="1"/>
  <c r="C241" i="1"/>
  <c r="A241" i="1"/>
  <c r="T240" i="1"/>
  <c r="S240" i="1"/>
  <c r="R240" i="1"/>
  <c r="K240" i="1"/>
  <c r="E240" i="1"/>
  <c r="D240" i="1"/>
  <c r="C240" i="1"/>
  <c r="A240" i="1"/>
  <c r="T239" i="1"/>
  <c r="S239" i="1"/>
  <c r="R239" i="1"/>
  <c r="K239" i="1"/>
  <c r="E239" i="1"/>
  <c r="D239" i="1"/>
  <c r="C239" i="1"/>
  <c r="A239" i="1"/>
  <c r="T238" i="1"/>
  <c r="S238" i="1"/>
  <c r="R238" i="1"/>
  <c r="K238" i="1"/>
  <c r="E238" i="1"/>
  <c r="D238" i="1"/>
  <c r="C238" i="1"/>
  <c r="A238" i="1"/>
  <c r="T237" i="1"/>
  <c r="S237" i="1"/>
  <c r="R237" i="1"/>
  <c r="K237" i="1"/>
  <c r="E237" i="1"/>
  <c r="D237" i="1"/>
  <c r="C237" i="1"/>
  <c r="A237" i="1"/>
  <c r="T236" i="1"/>
  <c r="S236" i="1"/>
  <c r="R236" i="1"/>
  <c r="K236" i="1"/>
  <c r="E236" i="1"/>
  <c r="D236" i="1"/>
  <c r="C236" i="1"/>
  <c r="A236" i="1"/>
  <c r="T235" i="1"/>
  <c r="S235" i="1"/>
  <c r="R235" i="1"/>
  <c r="K235" i="1"/>
  <c r="E235" i="1"/>
  <c r="D235" i="1"/>
  <c r="C235" i="1"/>
  <c r="A235" i="1"/>
  <c r="T234" i="1"/>
  <c r="S234" i="1"/>
  <c r="R234" i="1"/>
  <c r="K234" i="1"/>
  <c r="E234" i="1"/>
  <c r="D234" i="1"/>
  <c r="C234" i="1"/>
  <c r="A234" i="1"/>
  <c r="T233" i="1"/>
  <c r="S233" i="1"/>
  <c r="R233" i="1"/>
  <c r="K233" i="1"/>
  <c r="E233" i="1"/>
  <c r="D233" i="1"/>
  <c r="C233" i="1"/>
  <c r="A233" i="1"/>
  <c r="T232" i="1"/>
  <c r="S232" i="1"/>
  <c r="R232" i="1"/>
  <c r="K232" i="1"/>
  <c r="E232" i="1"/>
  <c r="D232" i="1"/>
  <c r="C232" i="1"/>
  <c r="A232" i="1"/>
  <c r="T231" i="1"/>
  <c r="S231" i="1"/>
  <c r="R231" i="1"/>
  <c r="K231" i="1"/>
  <c r="E231" i="1"/>
  <c r="D231" i="1"/>
  <c r="C231" i="1"/>
  <c r="A231" i="1"/>
  <c r="T230" i="1"/>
  <c r="S230" i="1"/>
  <c r="R230" i="1"/>
  <c r="K230" i="1"/>
  <c r="E230" i="1"/>
  <c r="D230" i="1"/>
  <c r="C230" i="1"/>
  <c r="A230" i="1"/>
  <c r="T229" i="1"/>
  <c r="S229" i="1"/>
  <c r="R229" i="1"/>
  <c r="K229" i="1"/>
  <c r="E229" i="1"/>
  <c r="D229" i="1"/>
  <c r="C229" i="1"/>
  <c r="A229" i="1"/>
  <c r="T228" i="1"/>
  <c r="S228" i="1"/>
  <c r="R228" i="1"/>
  <c r="K228" i="1"/>
  <c r="E228" i="1"/>
  <c r="D228" i="1"/>
  <c r="C228" i="1"/>
  <c r="A228" i="1"/>
  <c r="T227" i="1"/>
  <c r="S227" i="1"/>
  <c r="R227" i="1"/>
  <c r="K227" i="1"/>
  <c r="E227" i="1"/>
  <c r="D227" i="1"/>
  <c r="C227" i="1"/>
  <c r="A227" i="1"/>
  <c r="T226" i="1"/>
  <c r="S226" i="1"/>
  <c r="R226" i="1"/>
  <c r="K226" i="1"/>
  <c r="E226" i="1"/>
  <c r="D226" i="1"/>
  <c r="C226" i="1"/>
  <c r="A226" i="1"/>
  <c r="T225" i="1"/>
  <c r="S225" i="1"/>
  <c r="R225" i="1"/>
  <c r="K225" i="1"/>
  <c r="E225" i="1"/>
  <c r="D225" i="1"/>
  <c r="C225" i="1"/>
  <c r="A225" i="1"/>
  <c r="T224" i="1"/>
  <c r="S224" i="1"/>
  <c r="R224" i="1"/>
  <c r="K224" i="1"/>
  <c r="E224" i="1"/>
  <c r="D224" i="1"/>
  <c r="C224" i="1"/>
  <c r="A224" i="1"/>
  <c r="T223" i="1"/>
  <c r="S223" i="1"/>
  <c r="R223" i="1"/>
  <c r="K223" i="1"/>
  <c r="E223" i="1"/>
  <c r="D223" i="1"/>
  <c r="C223" i="1"/>
  <c r="A223" i="1"/>
  <c r="T222" i="1"/>
  <c r="S222" i="1"/>
  <c r="R222" i="1"/>
  <c r="K222" i="1"/>
  <c r="E222" i="1"/>
  <c r="D222" i="1"/>
  <c r="C222" i="1"/>
  <c r="A222" i="1"/>
  <c r="T221" i="1"/>
  <c r="S221" i="1"/>
  <c r="R221" i="1"/>
  <c r="K221" i="1"/>
  <c r="E221" i="1"/>
  <c r="D221" i="1"/>
  <c r="C221" i="1"/>
  <c r="A221" i="1"/>
  <c r="T220" i="1"/>
  <c r="S220" i="1"/>
  <c r="R220" i="1"/>
  <c r="K220" i="1"/>
  <c r="E220" i="1"/>
  <c r="D220" i="1"/>
  <c r="C220" i="1"/>
  <c r="A220" i="1"/>
  <c r="T219" i="1"/>
  <c r="S219" i="1"/>
  <c r="R219" i="1"/>
  <c r="K219" i="1"/>
  <c r="E219" i="1"/>
  <c r="D219" i="1"/>
  <c r="C219" i="1"/>
  <c r="A219" i="1"/>
  <c r="T218" i="1"/>
  <c r="S218" i="1"/>
  <c r="R218" i="1"/>
  <c r="K218" i="1"/>
  <c r="E218" i="1"/>
  <c r="D218" i="1"/>
  <c r="C218" i="1"/>
  <c r="A218" i="1"/>
  <c r="T217" i="1"/>
  <c r="S217" i="1"/>
  <c r="R217" i="1"/>
  <c r="K217" i="1"/>
  <c r="E217" i="1"/>
  <c r="D217" i="1"/>
  <c r="C217" i="1"/>
  <c r="A217" i="1"/>
  <c r="T216" i="1"/>
  <c r="S216" i="1"/>
  <c r="R216" i="1"/>
  <c r="K216" i="1"/>
  <c r="E216" i="1"/>
  <c r="D216" i="1"/>
  <c r="C216" i="1"/>
  <c r="A216" i="1"/>
  <c r="T215" i="1"/>
  <c r="S215" i="1"/>
  <c r="R215" i="1"/>
  <c r="K215" i="1"/>
  <c r="E215" i="1"/>
  <c r="D215" i="1"/>
  <c r="C215" i="1"/>
  <c r="A215" i="1"/>
  <c r="T214" i="1"/>
  <c r="S214" i="1"/>
  <c r="R214" i="1"/>
  <c r="K214" i="1"/>
  <c r="E214" i="1"/>
  <c r="D214" i="1"/>
  <c r="C214" i="1"/>
  <c r="A214" i="1"/>
  <c r="T213" i="1"/>
  <c r="S213" i="1"/>
  <c r="R213" i="1"/>
  <c r="K213" i="1"/>
  <c r="E213" i="1"/>
  <c r="D213" i="1"/>
  <c r="C213" i="1"/>
  <c r="A213" i="1"/>
  <c r="T212" i="1"/>
  <c r="S212" i="1"/>
  <c r="R212" i="1"/>
  <c r="K212" i="1"/>
  <c r="E212" i="1"/>
  <c r="D212" i="1"/>
  <c r="C212" i="1"/>
  <c r="A212" i="1"/>
  <c r="T211" i="1"/>
  <c r="S211" i="1"/>
  <c r="R211" i="1"/>
  <c r="K211" i="1"/>
  <c r="E211" i="1"/>
  <c r="D211" i="1"/>
  <c r="C211" i="1"/>
  <c r="A211" i="1"/>
  <c r="T210" i="1"/>
  <c r="S210" i="1"/>
  <c r="R210" i="1"/>
  <c r="K210" i="1"/>
  <c r="E210" i="1"/>
  <c r="D210" i="1"/>
  <c r="C210" i="1"/>
  <c r="A210" i="1"/>
  <c r="T209" i="1"/>
  <c r="S209" i="1"/>
  <c r="R209" i="1"/>
  <c r="K209" i="1"/>
  <c r="E209" i="1"/>
  <c r="D209" i="1"/>
  <c r="C209" i="1"/>
  <c r="A209" i="1"/>
  <c r="T208" i="1"/>
  <c r="S208" i="1"/>
  <c r="R208" i="1"/>
  <c r="K208" i="1"/>
  <c r="E208" i="1"/>
  <c r="D208" i="1"/>
  <c r="C208" i="1"/>
  <c r="A208" i="1"/>
  <c r="T207" i="1"/>
  <c r="S207" i="1"/>
  <c r="R207" i="1"/>
  <c r="K207" i="1"/>
  <c r="E207" i="1"/>
  <c r="D207" i="1"/>
  <c r="C207" i="1"/>
  <c r="A207" i="1"/>
  <c r="T206" i="1"/>
  <c r="S206" i="1"/>
  <c r="R206" i="1"/>
  <c r="K206" i="1"/>
  <c r="E206" i="1"/>
  <c r="D206" i="1"/>
  <c r="C206" i="1"/>
  <c r="A206" i="1"/>
  <c r="T205" i="1"/>
  <c r="S205" i="1"/>
  <c r="R205" i="1"/>
  <c r="K205" i="1"/>
  <c r="E205" i="1"/>
  <c r="D205" i="1"/>
  <c r="C205" i="1"/>
  <c r="A205" i="1"/>
  <c r="T204" i="1"/>
  <c r="S204" i="1"/>
  <c r="R204" i="1"/>
  <c r="P204" i="1"/>
  <c r="O204" i="1"/>
  <c r="L204" i="1"/>
  <c r="K204" i="1"/>
  <c r="J204" i="1"/>
  <c r="I204" i="1"/>
  <c r="H204" i="1"/>
  <c r="F204" i="1"/>
  <c r="E204" i="1"/>
  <c r="D204" i="1"/>
  <c r="C204" i="1"/>
  <c r="A204" i="1"/>
  <c r="T203" i="1"/>
  <c r="S203" i="1"/>
  <c r="R203" i="1"/>
  <c r="K203" i="1"/>
  <c r="E203" i="1"/>
  <c r="D203" i="1"/>
  <c r="C203" i="1"/>
  <c r="A203" i="1"/>
  <c r="T202" i="1"/>
  <c r="S202" i="1"/>
  <c r="R202" i="1"/>
  <c r="K202" i="1"/>
  <c r="E202" i="1"/>
  <c r="D202" i="1"/>
  <c r="C202" i="1"/>
  <c r="A202" i="1"/>
  <c r="T201" i="1"/>
  <c r="S201" i="1"/>
  <c r="R201" i="1"/>
  <c r="P201" i="1"/>
  <c r="O201" i="1"/>
  <c r="N201" i="1"/>
  <c r="L201" i="1"/>
  <c r="K201" i="1"/>
  <c r="J201" i="1"/>
  <c r="I201" i="1"/>
  <c r="H201" i="1"/>
  <c r="F201" i="1"/>
  <c r="E201" i="1"/>
  <c r="D201" i="1"/>
  <c r="C201" i="1"/>
  <c r="A201" i="1"/>
  <c r="T200" i="1"/>
  <c r="S200" i="1"/>
  <c r="R200" i="1"/>
  <c r="K200" i="1"/>
  <c r="E200" i="1"/>
  <c r="D200" i="1"/>
  <c r="C200" i="1"/>
  <c r="A200" i="1"/>
  <c r="T199" i="1"/>
  <c r="S199" i="1"/>
  <c r="R199" i="1"/>
  <c r="K199" i="1"/>
  <c r="E199" i="1"/>
  <c r="D199" i="1"/>
  <c r="C199" i="1"/>
  <c r="A199" i="1"/>
  <c r="T198" i="1"/>
  <c r="S198" i="1"/>
  <c r="R198" i="1"/>
  <c r="K198" i="1"/>
  <c r="E198" i="1"/>
  <c r="D198" i="1"/>
  <c r="C198" i="1"/>
  <c r="A198" i="1"/>
  <c r="T197" i="1"/>
  <c r="S197" i="1"/>
  <c r="R197" i="1"/>
  <c r="K197" i="1"/>
  <c r="E197" i="1"/>
  <c r="D197" i="1"/>
  <c r="C197" i="1"/>
  <c r="A197" i="1"/>
  <c r="T196" i="1"/>
  <c r="S196" i="1"/>
  <c r="R196" i="1"/>
  <c r="K196" i="1"/>
  <c r="E196" i="1"/>
  <c r="D196" i="1"/>
  <c r="C196" i="1"/>
  <c r="A196" i="1"/>
  <c r="T195" i="1"/>
  <c r="S195" i="1"/>
  <c r="R195" i="1"/>
  <c r="K195" i="1"/>
  <c r="E195" i="1"/>
  <c r="D195" i="1"/>
  <c r="C195" i="1"/>
  <c r="A195" i="1"/>
  <c r="T194" i="1"/>
  <c r="S194" i="1"/>
  <c r="R194" i="1"/>
  <c r="K194" i="1"/>
  <c r="E194" i="1"/>
  <c r="D194" i="1"/>
  <c r="C194" i="1"/>
  <c r="A194" i="1"/>
  <c r="T193" i="1"/>
  <c r="S193" i="1"/>
  <c r="R193" i="1"/>
  <c r="K193" i="1"/>
  <c r="E193" i="1"/>
  <c r="D193" i="1"/>
  <c r="C193" i="1"/>
  <c r="A193" i="1"/>
  <c r="T192" i="1"/>
  <c r="S192" i="1"/>
  <c r="R192" i="1"/>
  <c r="K192" i="1"/>
  <c r="E192" i="1"/>
  <c r="D192" i="1"/>
  <c r="C192" i="1"/>
  <c r="A192" i="1"/>
  <c r="T191" i="1"/>
  <c r="S191" i="1"/>
  <c r="R191" i="1"/>
  <c r="K191" i="1"/>
  <c r="E191" i="1"/>
  <c r="D191" i="1"/>
  <c r="C191" i="1"/>
  <c r="A191" i="1"/>
  <c r="T190" i="1"/>
  <c r="S190" i="1"/>
  <c r="R190" i="1"/>
  <c r="K190" i="1"/>
  <c r="E190" i="1"/>
  <c r="D190" i="1"/>
  <c r="C190" i="1"/>
  <c r="A190" i="1"/>
  <c r="T189" i="1"/>
  <c r="S189" i="1"/>
  <c r="R189" i="1"/>
  <c r="K189" i="1"/>
  <c r="E189" i="1"/>
  <c r="D189" i="1"/>
  <c r="C189" i="1"/>
  <c r="A189" i="1"/>
  <c r="T188" i="1"/>
  <c r="S188" i="1"/>
  <c r="R188" i="1"/>
  <c r="K188" i="1"/>
  <c r="E188" i="1"/>
  <c r="D188" i="1"/>
  <c r="C188" i="1"/>
  <c r="A188" i="1"/>
  <c r="T187" i="1"/>
  <c r="S187" i="1"/>
  <c r="R187" i="1"/>
  <c r="K187" i="1"/>
  <c r="E187" i="1"/>
  <c r="D187" i="1"/>
  <c r="C187" i="1"/>
  <c r="A187" i="1"/>
  <c r="T186" i="1"/>
  <c r="S186" i="1"/>
  <c r="R186" i="1"/>
  <c r="K186" i="1"/>
  <c r="E186" i="1"/>
  <c r="D186" i="1"/>
  <c r="C186" i="1"/>
  <c r="A186" i="1"/>
  <c r="T185" i="1"/>
  <c r="S185" i="1"/>
  <c r="R185" i="1"/>
  <c r="K185" i="1"/>
  <c r="E185" i="1"/>
  <c r="D185" i="1"/>
  <c r="C185" i="1"/>
  <c r="A185" i="1"/>
  <c r="T184" i="1"/>
  <c r="S184" i="1"/>
  <c r="R184" i="1"/>
  <c r="K184" i="1"/>
  <c r="E184" i="1"/>
  <c r="D184" i="1"/>
  <c r="C184" i="1"/>
  <c r="A184" i="1"/>
  <c r="T183" i="1"/>
  <c r="S183" i="1"/>
  <c r="R183" i="1"/>
  <c r="K183" i="1"/>
  <c r="E183" i="1"/>
  <c r="D183" i="1"/>
  <c r="C183" i="1"/>
  <c r="A183" i="1"/>
  <c r="T182" i="1"/>
  <c r="S182" i="1"/>
  <c r="R182" i="1"/>
  <c r="K182" i="1"/>
  <c r="E182" i="1"/>
  <c r="D182" i="1"/>
  <c r="C182" i="1"/>
  <c r="A182" i="1"/>
  <c r="T181" i="1"/>
  <c r="S181" i="1"/>
  <c r="R181" i="1"/>
  <c r="K181" i="1"/>
  <c r="E181" i="1"/>
  <c r="D181" i="1"/>
  <c r="C181" i="1"/>
  <c r="A181" i="1"/>
  <c r="T180" i="1"/>
  <c r="S180" i="1"/>
  <c r="R180" i="1"/>
  <c r="K180" i="1"/>
  <c r="E180" i="1"/>
  <c r="D180" i="1"/>
  <c r="C180" i="1"/>
  <c r="A180" i="1"/>
  <c r="T179" i="1"/>
  <c r="S179" i="1"/>
  <c r="R179" i="1"/>
  <c r="K179" i="1"/>
  <c r="E179" i="1"/>
  <c r="D179" i="1"/>
  <c r="C179" i="1"/>
  <c r="A179" i="1"/>
  <c r="T178" i="1"/>
  <c r="S178" i="1"/>
  <c r="R178" i="1"/>
  <c r="K178" i="1"/>
  <c r="E178" i="1"/>
  <c r="D178" i="1"/>
  <c r="C178" i="1"/>
  <c r="A178" i="1"/>
  <c r="T177" i="1"/>
  <c r="S177" i="1"/>
  <c r="R177" i="1"/>
  <c r="K177" i="1"/>
  <c r="E177" i="1"/>
  <c r="D177" i="1"/>
  <c r="C177" i="1"/>
  <c r="A177" i="1"/>
  <c r="T176" i="1"/>
  <c r="S176" i="1"/>
  <c r="R176" i="1"/>
  <c r="K176" i="1"/>
  <c r="E176" i="1"/>
  <c r="D176" i="1"/>
  <c r="C176" i="1"/>
  <c r="A176" i="1"/>
  <c r="T175" i="1"/>
  <c r="S175" i="1"/>
  <c r="R175" i="1"/>
  <c r="K175" i="1"/>
  <c r="E175" i="1"/>
  <c r="D175" i="1"/>
  <c r="C175" i="1"/>
  <c r="A175" i="1"/>
  <c r="T174" i="1"/>
  <c r="S174" i="1"/>
  <c r="R174" i="1"/>
  <c r="K174" i="1"/>
  <c r="E174" i="1"/>
  <c r="D174" i="1"/>
  <c r="C174" i="1"/>
  <c r="A174" i="1"/>
  <c r="T173" i="1"/>
  <c r="S173" i="1"/>
  <c r="R173" i="1"/>
  <c r="M173" i="1"/>
  <c r="K173" i="1"/>
  <c r="E173" i="1"/>
  <c r="D173" i="1"/>
  <c r="C173" i="1"/>
  <c r="A173" i="1"/>
  <c r="T172" i="1"/>
  <c r="S172" i="1"/>
  <c r="R172" i="1"/>
  <c r="K172" i="1"/>
  <c r="E172" i="1"/>
  <c r="D172" i="1"/>
  <c r="C172" i="1"/>
  <c r="A172" i="1"/>
  <c r="T171" i="1"/>
  <c r="S171" i="1"/>
  <c r="R171" i="1"/>
  <c r="K171" i="1"/>
  <c r="E171" i="1"/>
  <c r="D171" i="1"/>
  <c r="C171" i="1"/>
  <c r="A171" i="1"/>
  <c r="T170" i="1"/>
  <c r="S170" i="1"/>
  <c r="R170" i="1"/>
  <c r="K170" i="1"/>
  <c r="E170" i="1"/>
  <c r="D170" i="1"/>
  <c r="C170" i="1"/>
  <c r="A170" i="1"/>
  <c r="T169" i="1"/>
  <c r="S169" i="1"/>
  <c r="R169" i="1"/>
  <c r="K169" i="1"/>
  <c r="E169" i="1"/>
  <c r="D169" i="1"/>
  <c r="C169" i="1"/>
  <c r="A169" i="1"/>
  <c r="T168" i="1"/>
  <c r="S168" i="1"/>
  <c r="R168" i="1"/>
  <c r="K168" i="1"/>
  <c r="E168" i="1"/>
  <c r="D168" i="1"/>
  <c r="C168" i="1"/>
  <c r="A168" i="1"/>
  <c r="T167" i="1"/>
  <c r="S167" i="1"/>
  <c r="R167" i="1"/>
  <c r="K167" i="1"/>
  <c r="E167" i="1"/>
  <c r="D167" i="1"/>
  <c r="C167" i="1"/>
  <c r="A167" i="1"/>
  <c r="T166" i="1"/>
  <c r="S166" i="1"/>
  <c r="R166" i="1"/>
  <c r="K166" i="1"/>
  <c r="E166" i="1"/>
  <c r="D166" i="1"/>
  <c r="C166" i="1"/>
  <c r="A166" i="1"/>
  <c r="T165" i="1"/>
  <c r="S165" i="1"/>
  <c r="R165" i="1"/>
  <c r="K165" i="1"/>
  <c r="E165" i="1"/>
  <c r="D165" i="1"/>
  <c r="C165" i="1"/>
  <c r="A165" i="1"/>
  <c r="T164" i="1"/>
  <c r="S164" i="1"/>
  <c r="R164" i="1"/>
  <c r="K164" i="1"/>
  <c r="E164" i="1"/>
  <c r="D164" i="1"/>
  <c r="C164" i="1"/>
  <c r="A164" i="1"/>
  <c r="T163" i="1"/>
  <c r="S163" i="1"/>
  <c r="R163" i="1"/>
  <c r="K163" i="1"/>
  <c r="E163" i="1"/>
  <c r="D163" i="1"/>
  <c r="C163" i="1"/>
  <c r="A163" i="1"/>
  <c r="T162" i="1"/>
  <c r="S162" i="1"/>
  <c r="R162" i="1"/>
  <c r="K162" i="1"/>
  <c r="E162" i="1"/>
  <c r="D162" i="1"/>
  <c r="C162" i="1"/>
  <c r="A162" i="1"/>
  <c r="T161" i="1"/>
  <c r="S161" i="1"/>
  <c r="R161" i="1"/>
  <c r="K161" i="1"/>
  <c r="E161" i="1"/>
  <c r="D161" i="1"/>
  <c r="C161" i="1"/>
  <c r="A161" i="1"/>
  <c r="T160" i="1"/>
  <c r="S160" i="1"/>
  <c r="R160" i="1"/>
  <c r="K160" i="1"/>
  <c r="E160" i="1"/>
  <c r="D160" i="1"/>
  <c r="C160" i="1"/>
  <c r="A160" i="1"/>
  <c r="T159" i="1"/>
  <c r="S159" i="1"/>
  <c r="R159" i="1"/>
  <c r="K159" i="1"/>
  <c r="E159" i="1"/>
  <c r="D159" i="1"/>
  <c r="C159" i="1"/>
  <c r="A159" i="1"/>
  <c r="T158" i="1"/>
  <c r="S158" i="1"/>
  <c r="R158" i="1"/>
  <c r="Q158" i="1"/>
  <c r="P158" i="1"/>
  <c r="O158" i="1"/>
  <c r="N158" i="1"/>
  <c r="L158" i="1"/>
  <c r="K158" i="1"/>
  <c r="J158" i="1"/>
  <c r="I158" i="1"/>
  <c r="H158" i="1"/>
  <c r="F158" i="1"/>
  <c r="E158" i="1"/>
  <c r="D158" i="1"/>
  <c r="C158" i="1"/>
  <c r="A158" i="1"/>
  <c r="T157" i="1"/>
  <c r="S157" i="1"/>
  <c r="R157" i="1"/>
  <c r="K157" i="1"/>
  <c r="E157" i="1"/>
  <c r="D157" i="1"/>
  <c r="C157" i="1"/>
  <c r="A157" i="1"/>
  <c r="T156" i="1"/>
  <c r="S156" i="1"/>
  <c r="R156" i="1"/>
  <c r="K156" i="1"/>
  <c r="E156" i="1"/>
  <c r="D156" i="1"/>
  <c r="C156" i="1"/>
  <c r="A156" i="1"/>
  <c r="T155" i="1"/>
  <c r="S155" i="1"/>
  <c r="R155" i="1"/>
  <c r="K155" i="1"/>
  <c r="E155" i="1"/>
  <c r="D155" i="1"/>
  <c r="C155" i="1"/>
  <c r="A155" i="1"/>
  <c r="T154" i="1"/>
  <c r="S154" i="1"/>
  <c r="R154" i="1"/>
  <c r="K154" i="1"/>
  <c r="E154" i="1"/>
  <c r="D154" i="1"/>
  <c r="C154" i="1"/>
  <c r="A154" i="1"/>
  <c r="T153" i="1"/>
  <c r="S153" i="1"/>
  <c r="R153" i="1"/>
  <c r="K153" i="1"/>
  <c r="E153" i="1"/>
  <c r="D153" i="1"/>
  <c r="C153" i="1"/>
  <c r="A153" i="1"/>
  <c r="T152" i="1"/>
  <c r="S152" i="1"/>
  <c r="R152" i="1"/>
  <c r="K152" i="1"/>
  <c r="E152" i="1"/>
  <c r="D152" i="1"/>
  <c r="C152" i="1"/>
  <c r="A152" i="1"/>
  <c r="T151" i="1"/>
  <c r="S151" i="1"/>
  <c r="R151" i="1"/>
  <c r="K151" i="1"/>
  <c r="E151" i="1"/>
  <c r="D151" i="1"/>
  <c r="C151" i="1"/>
  <c r="A151" i="1"/>
  <c r="T150" i="1"/>
  <c r="S150" i="1"/>
  <c r="R150" i="1"/>
  <c r="K150" i="1"/>
  <c r="E150" i="1"/>
  <c r="D150" i="1"/>
  <c r="C150" i="1"/>
  <c r="A150" i="1"/>
  <c r="T149" i="1"/>
  <c r="S149" i="1"/>
  <c r="R149" i="1"/>
  <c r="K149" i="1"/>
  <c r="E149" i="1"/>
  <c r="D149" i="1"/>
  <c r="C149" i="1"/>
  <c r="A149" i="1"/>
  <c r="T148" i="1"/>
  <c r="S148" i="1"/>
  <c r="R148" i="1"/>
  <c r="K148" i="1"/>
  <c r="E148" i="1"/>
  <c r="D148" i="1"/>
  <c r="C148" i="1"/>
  <c r="A148" i="1"/>
  <c r="T147" i="1"/>
  <c r="S147" i="1"/>
  <c r="R147" i="1"/>
  <c r="K147" i="1"/>
  <c r="E147" i="1"/>
  <c r="D147" i="1"/>
  <c r="C147" i="1"/>
  <c r="A147" i="1"/>
  <c r="T146" i="1"/>
  <c r="S146" i="1"/>
  <c r="R146" i="1"/>
  <c r="K146" i="1"/>
  <c r="E146" i="1"/>
  <c r="D146" i="1"/>
  <c r="C146" i="1"/>
  <c r="A146" i="1"/>
  <c r="T145" i="1"/>
  <c r="S145" i="1"/>
  <c r="R145" i="1"/>
  <c r="K145" i="1"/>
  <c r="E145" i="1"/>
  <c r="D145" i="1"/>
  <c r="C145" i="1"/>
  <c r="A145" i="1"/>
  <c r="T144" i="1"/>
  <c r="S144" i="1"/>
  <c r="R144" i="1"/>
  <c r="K144" i="1"/>
  <c r="E144" i="1"/>
  <c r="D144" i="1"/>
  <c r="C144" i="1"/>
  <c r="A144" i="1"/>
  <c r="T143" i="1"/>
  <c r="S143" i="1"/>
  <c r="R143" i="1"/>
  <c r="K143" i="1"/>
  <c r="E143" i="1"/>
  <c r="D143" i="1"/>
  <c r="C143" i="1"/>
  <c r="A143" i="1"/>
  <c r="T142" i="1"/>
  <c r="S142" i="1"/>
  <c r="R142" i="1"/>
  <c r="K142" i="1"/>
  <c r="E142" i="1"/>
  <c r="D142" i="1"/>
  <c r="C142" i="1"/>
  <c r="A142" i="1"/>
  <c r="T141" i="1"/>
  <c r="S141" i="1"/>
  <c r="R141" i="1"/>
  <c r="K141" i="1"/>
  <c r="E141" i="1"/>
  <c r="D141" i="1"/>
  <c r="C141" i="1"/>
  <c r="A141" i="1"/>
  <c r="T140" i="1"/>
  <c r="S140" i="1"/>
  <c r="R140" i="1"/>
  <c r="K140" i="1"/>
  <c r="E140" i="1"/>
  <c r="D140" i="1"/>
  <c r="C140" i="1"/>
  <c r="A140" i="1"/>
  <c r="T139" i="1"/>
  <c r="S139" i="1"/>
  <c r="R139" i="1"/>
  <c r="K139" i="1"/>
  <c r="E139" i="1"/>
  <c r="D139" i="1"/>
  <c r="C139" i="1"/>
  <c r="A139" i="1"/>
  <c r="T138" i="1"/>
  <c r="S138" i="1"/>
  <c r="R138" i="1"/>
  <c r="K138" i="1"/>
  <c r="E138" i="1"/>
  <c r="D138" i="1"/>
  <c r="C138" i="1"/>
  <c r="A138" i="1"/>
  <c r="T137" i="1"/>
  <c r="S137" i="1"/>
  <c r="R137" i="1"/>
  <c r="K137" i="1"/>
  <c r="E137" i="1"/>
  <c r="D137" i="1"/>
  <c r="C137" i="1"/>
  <c r="A137" i="1"/>
  <c r="T136" i="1"/>
  <c r="S136" i="1"/>
  <c r="R136" i="1"/>
  <c r="K136" i="1"/>
  <c r="E136" i="1"/>
  <c r="D136" i="1"/>
  <c r="C136" i="1"/>
  <c r="A136" i="1"/>
  <c r="T135" i="1"/>
  <c r="S135" i="1"/>
  <c r="R135" i="1"/>
  <c r="K135" i="1"/>
  <c r="E135" i="1"/>
  <c r="D135" i="1"/>
  <c r="C135" i="1"/>
  <c r="A135" i="1"/>
  <c r="T134" i="1"/>
  <c r="S134" i="1"/>
  <c r="R134" i="1"/>
  <c r="K134" i="1"/>
  <c r="E134" i="1"/>
  <c r="D134" i="1"/>
  <c r="C134" i="1"/>
  <c r="A134" i="1"/>
  <c r="T133" i="1"/>
  <c r="S133" i="1"/>
  <c r="R133" i="1"/>
  <c r="K133" i="1"/>
  <c r="E133" i="1"/>
  <c r="D133" i="1"/>
  <c r="C133" i="1"/>
  <c r="A133" i="1"/>
  <c r="T132" i="1"/>
  <c r="S132" i="1"/>
  <c r="R132" i="1"/>
  <c r="K132" i="1"/>
  <c r="E132" i="1"/>
  <c r="D132" i="1"/>
  <c r="C132" i="1"/>
  <c r="A132" i="1"/>
  <c r="T131" i="1"/>
  <c r="S131" i="1"/>
  <c r="R131" i="1"/>
  <c r="K131" i="1"/>
  <c r="E131" i="1"/>
  <c r="D131" i="1"/>
  <c r="C131" i="1"/>
  <c r="A131" i="1"/>
  <c r="T130" i="1"/>
  <c r="S130" i="1"/>
  <c r="R130" i="1"/>
  <c r="K130" i="1"/>
  <c r="E130" i="1"/>
  <c r="D130" i="1"/>
  <c r="C130" i="1"/>
  <c r="A130" i="1"/>
  <c r="T129" i="1"/>
  <c r="S129" i="1"/>
  <c r="R129" i="1"/>
  <c r="K129" i="1"/>
  <c r="E129" i="1"/>
  <c r="D129" i="1"/>
  <c r="C129" i="1"/>
  <c r="A129" i="1"/>
  <c r="T128" i="1"/>
  <c r="S128" i="1"/>
  <c r="R128" i="1"/>
  <c r="K128" i="1"/>
  <c r="E128" i="1"/>
  <c r="D128" i="1"/>
  <c r="C128" i="1"/>
  <c r="A128" i="1"/>
  <c r="T127" i="1"/>
  <c r="S127" i="1"/>
  <c r="R127" i="1"/>
  <c r="K127" i="1"/>
  <c r="E127" i="1"/>
  <c r="D127" i="1"/>
  <c r="C127" i="1"/>
  <c r="A127" i="1"/>
  <c r="T126" i="1"/>
  <c r="S126" i="1"/>
  <c r="R126" i="1"/>
  <c r="K126" i="1"/>
  <c r="E126" i="1"/>
  <c r="D126" i="1"/>
  <c r="C126" i="1"/>
  <c r="A126" i="1"/>
  <c r="T125" i="1"/>
  <c r="S125" i="1"/>
  <c r="R125" i="1"/>
  <c r="K125" i="1"/>
  <c r="E125" i="1"/>
  <c r="D125" i="1"/>
  <c r="C125" i="1"/>
  <c r="A125" i="1"/>
  <c r="T124" i="1"/>
  <c r="S124" i="1"/>
  <c r="R124" i="1"/>
  <c r="K124" i="1"/>
  <c r="E124" i="1"/>
  <c r="D124" i="1"/>
  <c r="C124" i="1"/>
  <c r="A124" i="1"/>
  <c r="T123" i="1"/>
  <c r="S123" i="1"/>
  <c r="R123" i="1"/>
  <c r="K123" i="1"/>
  <c r="E123" i="1"/>
  <c r="D123" i="1"/>
  <c r="C123" i="1"/>
  <c r="A123" i="1"/>
  <c r="T122" i="1"/>
  <c r="S122" i="1"/>
  <c r="R122" i="1"/>
  <c r="K122" i="1"/>
  <c r="E122" i="1"/>
  <c r="D122" i="1"/>
  <c r="C122" i="1"/>
  <c r="A122" i="1"/>
  <c r="T121" i="1"/>
  <c r="S121" i="1"/>
  <c r="R121" i="1"/>
  <c r="K121" i="1"/>
  <c r="E121" i="1"/>
  <c r="D121" i="1"/>
  <c r="C121" i="1"/>
  <c r="A121" i="1"/>
  <c r="T120" i="1"/>
  <c r="S120" i="1"/>
  <c r="R120" i="1"/>
  <c r="K120" i="1"/>
  <c r="E120" i="1"/>
  <c r="D120" i="1"/>
  <c r="C120" i="1"/>
  <c r="A120" i="1"/>
  <c r="T119" i="1"/>
  <c r="S119" i="1"/>
  <c r="R119" i="1"/>
  <c r="K119" i="1"/>
  <c r="E119" i="1"/>
  <c r="D119" i="1"/>
  <c r="C119" i="1"/>
  <c r="A119" i="1"/>
  <c r="T118" i="1"/>
  <c r="S118" i="1"/>
  <c r="R118" i="1"/>
  <c r="K118" i="1"/>
  <c r="E118" i="1"/>
  <c r="D118" i="1"/>
  <c r="C118" i="1"/>
  <c r="A118" i="1"/>
  <c r="T117" i="1"/>
  <c r="S117" i="1"/>
  <c r="R117" i="1"/>
  <c r="K117" i="1"/>
  <c r="E117" i="1"/>
  <c r="D117" i="1"/>
  <c r="C117" i="1"/>
  <c r="A117" i="1"/>
  <c r="T116" i="1"/>
  <c r="S116" i="1"/>
  <c r="R116" i="1"/>
  <c r="K116" i="1"/>
  <c r="E116" i="1"/>
  <c r="D116" i="1"/>
  <c r="C116" i="1"/>
  <c r="A116" i="1"/>
  <c r="T115" i="1"/>
  <c r="S115" i="1"/>
  <c r="R115" i="1"/>
  <c r="K115" i="1"/>
  <c r="E115" i="1"/>
  <c r="D115" i="1"/>
  <c r="C115" i="1"/>
  <c r="A115" i="1"/>
  <c r="T114" i="1"/>
  <c r="S114" i="1"/>
  <c r="R114" i="1"/>
  <c r="K114" i="1"/>
  <c r="E114" i="1"/>
  <c r="D114" i="1"/>
  <c r="C114" i="1"/>
  <c r="A114" i="1"/>
  <c r="T113" i="1"/>
  <c r="S113" i="1"/>
  <c r="R113" i="1"/>
  <c r="K113" i="1"/>
  <c r="E113" i="1"/>
  <c r="D113" i="1"/>
  <c r="C113" i="1"/>
  <c r="A113" i="1"/>
  <c r="T112" i="1"/>
  <c r="S112" i="1"/>
  <c r="R112" i="1"/>
  <c r="K112" i="1"/>
  <c r="E112" i="1"/>
  <c r="D112" i="1"/>
  <c r="C112" i="1"/>
  <c r="A112" i="1"/>
  <c r="T111" i="1"/>
  <c r="S111" i="1"/>
  <c r="R111" i="1"/>
  <c r="K111" i="1"/>
  <c r="E111" i="1"/>
  <c r="D111" i="1"/>
  <c r="C111" i="1"/>
  <c r="A111" i="1"/>
  <c r="T110" i="1"/>
  <c r="S110" i="1"/>
  <c r="R110" i="1"/>
  <c r="K110" i="1"/>
  <c r="E110" i="1"/>
  <c r="D110" i="1"/>
  <c r="C110" i="1"/>
  <c r="A110" i="1"/>
  <c r="T109" i="1"/>
  <c r="S109" i="1"/>
  <c r="R109" i="1"/>
  <c r="K109" i="1"/>
  <c r="E109" i="1"/>
  <c r="D109" i="1"/>
  <c r="C109" i="1"/>
  <c r="A109" i="1"/>
  <c r="T108" i="1"/>
  <c r="S108" i="1"/>
  <c r="R108" i="1"/>
  <c r="K108" i="1"/>
  <c r="E108" i="1"/>
  <c r="D108" i="1"/>
  <c r="C108" i="1"/>
  <c r="A108" i="1"/>
  <c r="T107" i="1"/>
  <c r="S107" i="1"/>
  <c r="R107" i="1"/>
  <c r="K107" i="1"/>
  <c r="E107" i="1"/>
  <c r="D107" i="1"/>
  <c r="C107" i="1"/>
  <c r="A107" i="1"/>
  <c r="T106" i="1"/>
  <c r="S106" i="1"/>
  <c r="R106" i="1"/>
  <c r="K106" i="1"/>
  <c r="E106" i="1"/>
  <c r="D106" i="1"/>
  <c r="C106" i="1"/>
  <c r="A106" i="1"/>
  <c r="T105" i="1"/>
  <c r="S105" i="1"/>
  <c r="R105" i="1"/>
  <c r="K105" i="1"/>
  <c r="E105" i="1"/>
  <c r="D105" i="1"/>
  <c r="C105" i="1"/>
  <c r="A105" i="1"/>
  <c r="T104" i="1"/>
  <c r="S104" i="1"/>
  <c r="R104" i="1"/>
  <c r="K104" i="1"/>
  <c r="E104" i="1"/>
  <c r="D104" i="1"/>
  <c r="C104" i="1"/>
  <c r="A104" i="1"/>
  <c r="T103" i="1"/>
  <c r="S103" i="1"/>
  <c r="R103" i="1"/>
  <c r="K103" i="1"/>
  <c r="E103" i="1"/>
  <c r="D103" i="1"/>
  <c r="C103" i="1"/>
  <c r="A103" i="1"/>
  <c r="T102" i="1"/>
  <c r="S102" i="1"/>
  <c r="R102" i="1"/>
  <c r="K102" i="1"/>
  <c r="E102" i="1"/>
  <c r="D102" i="1"/>
  <c r="C102" i="1"/>
  <c r="A102" i="1"/>
  <c r="T101" i="1"/>
  <c r="S101" i="1"/>
  <c r="R101" i="1"/>
  <c r="K101" i="1"/>
  <c r="E101" i="1"/>
  <c r="D101" i="1"/>
  <c r="C101" i="1"/>
  <c r="A101" i="1"/>
  <c r="T100" i="1"/>
  <c r="S100" i="1"/>
  <c r="R100" i="1"/>
  <c r="K100" i="1"/>
  <c r="E100" i="1"/>
  <c r="D100" i="1"/>
  <c r="C100" i="1"/>
  <c r="A100" i="1"/>
  <c r="T99" i="1"/>
  <c r="S99" i="1"/>
  <c r="R99" i="1"/>
  <c r="K99" i="1"/>
  <c r="E99" i="1"/>
  <c r="D99" i="1"/>
  <c r="C99" i="1"/>
  <c r="A99" i="1"/>
  <c r="T98" i="1"/>
  <c r="S98" i="1"/>
  <c r="R98" i="1"/>
  <c r="K98" i="1"/>
  <c r="E98" i="1"/>
  <c r="D98" i="1"/>
  <c r="C98" i="1"/>
  <c r="A98" i="1"/>
  <c r="T97" i="1"/>
  <c r="S97" i="1"/>
  <c r="R97" i="1"/>
  <c r="K97" i="1"/>
  <c r="E97" i="1"/>
  <c r="D97" i="1"/>
  <c r="C97" i="1"/>
  <c r="A97" i="1"/>
  <c r="T96" i="1"/>
  <c r="S96" i="1"/>
  <c r="R96" i="1"/>
  <c r="K96" i="1"/>
  <c r="E96" i="1"/>
  <c r="D96" i="1"/>
  <c r="C96" i="1"/>
  <c r="A96" i="1"/>
  <c r="T95" i="1"/>
  <c r="S95" i="1"/>
  <c r="R95" i="1"/>
  <c r="K95" i="1"/>
  <c r="E95" i="1"/>
  <c r="D95" i="1"/>
  <c r="C95" i="1"/>
  <c r="A95" i="1"/>
  <c r="T94" i="1"/>
  <c r="S94" i="1"/>
  <c r="R94" i="1"/>
  <c r="K94" i="1"/>
  <c r="E94" i="1"/>
  <c r="D94" i="1"/>
  <c r="C94" i="1"/>
  <c r="A94" i="1"/>
  <c r="T93" i="1"/>
  <c r="S93" i="1"/>
  <c r="R93" i="1"/>
  <c r="K93" i="1"/>
  <c r="E93" i="1"/>
  <c r="D93" i="1"/>
  <c r="C93" i="1"/>
  <c r="A93" i="1"/>
  <c r="T92" i="1"/>
  <c r="S92" i="1"/>
  <c r="R92" i="1"/>
  <c r="K92" i="1"/>
  <c r="E92" i="1"/>
  <c r="D92" i="1"/>
  <c r="C92" i="1"/>
  <c r="A92" i="1"/>
  <c r="T91" i="1"/>
  <c r="S91" i="1"/>
  <c r="R91" i="1"/>
  <c r="K91" i="1"/>
  <c r="E91" i="1"/>
  <c r="D91" i="1"/>
  <c r="C91" i="1"/>
  <c r="A91" i="1"/>
  <c r="T90" i="1"/>
  <c r="S90" i="1"/>
  <c r="R90" i="1"/>
  <c r="K90" i="1"/>
  <c r="E90" i="1"/>
  <c r="D90" i="1"/>
  <c r="C90" i="1"/>
  <c r="A90" i="1"/>
  <c r="T89" i="1"/>
  <c r="S89" i="1"/>
  <c r="R89" i="1"/>
  <c r="K89" i="1"/>
  <c r="E89" i="1"/>
  <c r="D89" i="1"/>
  <c r="C89" i="1"/>
  <c r="A89" i="1"/>
  <c r="T88" i="1"/>
  <c r="S88" i="1"/>
  <c r="R88" i="1"/>
  <c r="K88" i="1"/>
  <c r="E88" i="1"/>
  <c r="D88" i="1"/>
  <c r="C88" i="1"/>
  <c r="A88" i="1"/>
  <c r="T87" i="1"/>
  <c r="S87" i="1"/>
  <c r="R87" i="1"/>
  <c r="K87" i="1"/>
  <c r="E87" i="1"/>
  <c r="D87" i="1"/>
  <c r="C87" i="1"/>
  <c r="A87" i="1"/>
  <c r="T86" i="1"/>
  <c r="S86" i="1"/>
  <c r="R86" i="1"/>
  <c r="K86" i="1"/>
  <c r="E86" i="1"/>
  <c r="D86" i="1"/>
  <c r="C86" i="1"/>
  <c r="A86" i="1"/>
  <c r="T85" i="1"/>
  <c r="S85" i="1"/>
  <c r="R85" i="1"/>
  <c r="K85" i="1"/>
  <c r="E85" i="1"/>
  <c r="D85" i="1"/>
  <c r="C85" i="1"/>
  <c r="A85" i="1"/>
  <c r="T84" i="1"/>
  <c r="S84" i="1"/>
  <c r="R84" i="1"/>
  <c r="K84" i="1"/>
  <c r="E84" i="1"/>
  <c r="D84" i="1"/>
  <c r="C84" i="1"/>
  <c r="A84" i="1"/>
  <c r="T83" i="1"/>
  <c r="S83" i="1"/>
  <c r="R83" i="1"/>
  <c r="K83" i="1"/>
  <c r="E83" i="1"/>
  <c r="D83" i="1"/>
  <c r="C83" i="1"/>
  <c r="A83" i="1"/>
  <c r="T82" i="1"/>
  <c r="S82" i="1"/>
  <c r="R82" i="1"/>
  <c r="K82" i="1"/>
  <c r="E82" i="1"/>
  <c r="D82" i="1"/>
  <c r="C82" i="1"/>
  <c r="A82" i="1"/>
  <c r="T81" i="1"/>
  <c r="S81" i="1"/>
  <c r="R81" i="1"/>
  <c r="K81" i="1"/>
  <c r="E81" i="1"/>
  <c r="D81" i="1"/>
  <c r="C81" i="1"/>
  <c r="A81" i="1"/>
  <c r="T80" i="1"/>
  <c r="S80" i="1"/>
  <c r="R80" i="1"/>
  <c r="K80" i="1"/>
  <c r="E80" i="1"/>
  <c r="D80" i="1"/>
  <c r="C80" i="1"/>
  <c r="A80" i="1"/>
  <c r="T79" i="1"/>
  <c r="S79" i="1"/>
  <c r="R79" i="1"/>
  <c r="K79" i="1"/>
  <c r="E79" i="1"/>
  <c r="D79" i="1"/>
  <c r="C79" i="1"/>
  <c r="A79" i="1"/>
  <c r="T78" i="1"/>
  <c r="S78" i="1"/>
  <c r="R78" i="1"/>
  <c r="K78" i="1"/>
  <c r="E78" i="1"/>
  <c r="D78" i="1"/>
  <c r="C78" i="1"/>
  <c r="A78" i="1"/>
  <c r="T77" i="1"/>
  <c r="S77" i="1"/>
  <c r="R77" i="1"/>
  <c r="K77" i="1"/>
  <c r="E77" i="1"/>
  <c r="D77" i="1"/>
  <c r="C77" i="1"/>
  <c r="A77" i="1"/>
  <c r="T76" i="1"/>
  <c r="S76" i="1"/>
  <c r="R76" i="1"/>
  <c r="K76" i="1"/>
  <c r="E76" i="1"/>
  <c r="D76" i="1"/>
  <c r="C76" i="1"/>
  <c r="A76" i="1"/>
  <c r="T75" i="1"/>
  <c r="S75" i="1"/>
  <c r="R75" i="1"/>
  <c r="K75" i="1"/>
  <c r="E75" i="1"/>
  <c r="D75" i="1"/>
  <c r="C75" i="1"/>
  <c r="A75" i="1"/>
  <c r="T74" i="1"/>
  <c r="S74" i="1"/>
  <c r="R74" i="1"/>
  <c r="K74" i="1"/>
  <c r="E74" i="1"/>
  <c r="D74" i="1"/>
  <c r="C74" i="1"/>
  <c r="A74" i="1"/>
  <c r="T73" i="1"/>
  <c r="S73" i="1"/>
  <c r="R73" i="1"/>
  <c r="K73" i="1"/>
  <c r="E73" i="1"/>
  <c r="D73" i="1"/>
  <c r="C73" i="1"/>
  <c r="A73" i="1"/>
  <c r="T72" i="1"/>
  <c r="S72" i="1"/>
  <c r="R72" i="1"/>
  <c r="K72" i="1"/>
  <c r="E72" i="1"/>
  <c r="D72" i="1"/>
  <c r="C72" i="1"/>
  <c r="A72" i="1"/>
  <c r="T71" i="1"/>
  <c r="S71" i="1"/>
  <c r="R71" i="1"/>
  <c r="K71" i="1"/>
  <c r="E71" i="1"/>
  <c r="D71" i="1"/>
  <c r="C71" i="1"/>
  <c r="A71" i="1"/>
  <c r="T70" i="1"/>
  <c r="S70" i="1"/>
  <c r="R70" i="1"/>
  <c r="K70" i="1"/>
  <c r="E70" i="1"/>
  <c r="D70" i="1"/>
  <c r="C70" i="1"/>
  <c r="A70" i="1"/>
  <c r="T69" i="1"/>
  <c r="S69" i="1"/>
  <c r="R69" i="1"/>
  <c r="K69" i="1"/>
  <c r="E69" i="1"/>
  <c r="D69" i="1"/>
  <c r="C69" i="1"/>
  <c r="A69" i="1"/>
  <c r="T68" i="1"/>
  <c r="S68" i="1"/>
  <c r="R68" i="1"/>
  <c r="K68" i="1"/>
  <c r="E68" i="1"/>
  <c r="D68" i="1"/>
  <c r="C68" i="1"/>
  <c r="A68" i="1"/>
  <c r="T67" i="1"/>
  <c r="S67" i="1"/>
  <c r="R67" i="1"/>
  <c r="K67" i="1"/>
  <c r="E67" i="1"/>
  <c r="D67" i="1"/>
  <c r="C67" i="1"/>
  <c r="A67" i="1"/>
  <c r="T66" i="1"/>
  <c r="S66" i="1"/>
  <c r="R66" i="1"/>
  <c r="K66" i="1"/>
  <c r="E66" i="1"/>
  <c r="D66" i="1"/>
  <c r="C66" i="1"/>
  <c r="A66" i="1"/>
  <c r="T65" i="1"/>
  <c r="S65" i="1"/>
  <c r="R65" i="1"/>
  <c r="K65" i="1"/>
  <c r="E65" i="1"/>
  <c r="D65" i="1"/>
  <c r="C65" i="1"/>
  <c r="A65" i="1"/>
  <c r="T64" i="1"/>
  <c r="S64" i="1"/>
  <c r="R64" i="1"/>
  <c r="K64" i="1"/>
  <c r="E64" i="1"/>
  <c r="D64" i="1"/>
  <c r="C64" i="1"/>
  <c r="A64" i="1"/>
  <c r="T63" i="1"/>
  <c r="S63" i="1"/>
  <c r="R63" i="1"/>
  <c r="K63" i="1"/>
  <c r="E63" i="1"/>
  <c r="D63" i="1"/>
  <c r="C63" i="1"/>
  <c r="A63" i="1"/>
  <c r="T62" i="1"/>
  <c r="S62" i="1"/>
  <c r="R62" i="1"/>
  <c r="K62" i="1"/>
  <c r="E62" i="1"/>
  <c r="D62" i="1"/>
  <c r="C62" i="1"/>
  <c r="A62" i="1"/>
  <c r="T61" i="1"/>
  <c r="S61" i="1"/>
  <c r="R61" i="1"/>
  <c r="K61" i="1"/>
  <c r="E61" i="1"/>
  <c r="D61" i="1"/>
  <c r="C61" i="1"/>
  <c r="A61" i="1"/>
  <c r="T60" i="1"/>
  <c r="S60" i="1"/>
  <c r="R60" i="1"/>
  <c r="K60" i="1"/>
  <c r="E60" i="1"/>
  <c r="D60" i="1"/>
  <c r="C60" i="1"/>
  <c r="A60" i="1"/>
  <c r="T59" i="1"/>
  <c r="S59" i="1"/>
  <c r="R59" i="1"/>
  <c r="K59" i="1"/>
  <c r="E59" i="1"/>
  <c r="D59" i="1"/>
  <c r="C59" i="1"/>
  <c r="A59" i="1"/>
  <c r="T58" i="1"/>
  <c r="S58" i="1"/>
  <c r="R58" i="1"/>
  <c r="K58" i="1"/>
  <c r="E58" i="1"/>
  <c r="D58" i="1"/>
  <c r="C58" i="1"/>
  <c r="A58" i="1"/>
  <c r="T57" i="1"/>
  <c r="S57" i="1"/>
  <c r="R57" i="1"/>
  <c r="K57" i="1"/>
  <c r="E57" i="1"/>
  <c r="D57" i="1"/>
  <c r="C57" i="1"/>
  <c r="A57" i="1"/>
  <c r="T56" i="1"/>
  <c r="S56" i="1"/>
  <c r="R56" i="1"/>
  <c r="K56" i="1"/>
  <c r="E56" i="1"/>
  <c r="D56" i="1"/>
  <c r="C56" i="1"/>
  <c r="A56" i="1"/>
  <c r="T55" i="1"/>
  <c r="S55" i="1"/>
  <c r="R55" i="1"/>
  <c r="K55" i="1"/>
  <c r="E55" i="1"/>
  <c r="D55" i="1"/>
  <c r="C55" i="1"/>
  <c r="A55" i="1"/>
  <c r="T54" i="1"/>
  <c r="S54" i="1"/>
  <c r="R54" i="1"/>
  <c r="K54" i="1"/>
  <c r="E54" i="1"/>
  <c r="D54" i="1"/>
  <c r="C54" i="1"/>
  <c r="A54" i="1"/>
  <c r="T53" i="1"/>
  <c r="S53" i="1"/>
  <c r="R53" i="1"/>
  <c r="K53" i="1"/>
  <c r="E53" i="1"/>
  <c r="D53" i="1"/>
  <c r="C53" i="1"/>
  <c r="A53" i="1"/>
  <c r="T52" i="1"/>
  <c r="S52" i="1"/>
  <c r="R52" i="1"/>
  <c r="P52" i="1"/>
  <c r="O52" i="1"/>
  <c r="N52" i="1"/>
  <c r="L52" i="1"/>
  <c r="K52" i="1"/>
  <c r="J52" i="1"/>
  <c r="I52" i="1"/>
  <c r="H52" i="1"/>
  <c r="F52" i="1"/>
  <c r="E52" i="1"/>
  <c r="D52" i="1"/>
  <c r="C52" i="1"/>
  <c r="A52" i="1"/>
  <c r="T51" i="1"/>
  <c r="S51" i="1"/>
  <c r="R51" i="1"/>
  <c r="K51" i="1"/>
  <c r="E51" i="1"/>
  <c r="D51" i="1"/>
  <c r="C51" i="1"/>
  <c r="A51" i="1"/>
  <c r="T50" i="1"/>
  <c r="S50" i="1"/>
  <c r="R50" i="1"/>
  <c r="P50" i="1"/>
  <c r="O50" i="1"/>
  <c r="N50" i="1"/>
  <c r="L50" i="1"/>
  <c r="K50" i="1"/>
  <c r="J50" i="1"/>
  <c r="I50" i="1"/>
  <c r="H50" i="1"/>
  <c r="F50" i="1"/>
  <c r="E50" i="1"/>
  <c r="D50" i="1"/>
  <c r="C50" i="1"/>
  <c r="A50" i="1"/>
  <c r="T49" i="1"/>
  <c r="S49" i="1"/>
  <c r="R49" i="1"/>
  <c r="P49" i="1"/>
  <c r="O49" i="1"/>
  <c r="N49" i="1"/>
  <c r="L49" i="1"/>
  <c r="K49" i="1"/>
  <c r="J49" i="1"/>
  <c r="I49" i="1"/>
  <c r="H49" i="1"/>
  <c r="F49" i="1"/>
  <c r="E49" i="1"/>
  <c r="D49" i="1"/>
  <c r="C49" i="1"/>
  <c r="A49" i="1"/>
  <c r="T48" i="1"/>
  <c r="S48" i="1"/>
  <c r="R48" i="1"/>
  <c r="P48" i="1"/>
  <c r="O48" i="1"/>
  <c r="N48" i="1"/>
  <c r="L48" i="1"/>
  <c r="K48" i="1"/>
  <c r="J48" i="1"/>
  <c r="I48" i="1"/>
  <c r="H48" i="1"/>
  <c r="F48" i="1"/>
  <c r="E48" i="1"/>
  <c r="D48" i="1"/>
  <c r="C48" i="1"/>
  <c r="A48" i="1"/>
  <c r="T47" i="1"/>
  <c r="S47" i="1"/>
  <c r="R47" i="1"/>
  <c r="K47" i="1"/>
  <c r="E47" i="1"/>
  <c r="D47" i="1"/>
  <c r="C47" i="1"/>
  <c r="A47" i="1"/>
  <c r="T46" i="1"/>
  <c r="S46" i="1"/>
  <c r="R46" i="1"/>
  <c r="K46" i="1"/>
  <c r="E46" i="1"/>
  <c r="D46" i="1"/>
  <c r="C46" i="1"/>
  <c r="A46" i="1"/>
  <c r="T45" i="1"/>
  <c r="S45" i="1"/>
  <c r="R45" i="1"/>
  <c r="K45" i="1"/>
  <c r="E45" i="1"/>
  <c r="D45" i="1"/>
  <c r="C45" i="1"/>
  <c r="A45" i="1"/>
  <c r="T44" i="1"/>
  <c r="S44" i="1"/>
  <c r="R44" i="1"/>
  <c r="K44" i="1"/>
  <c r="E44" i="1"/>
  <c r="D44" i="1"/>
  <c r="C44" i="1"/>
  <c r="A44" i="1"/>
  <c r="T43" i="1"/>
  <c r="S43" i="1"/>
  <c r="R43" i="1"/>
  <c r="K43" i="1"/>
  <c r="E43" i="1"/>
  <c r="D43" i="1"/>
  <c r="C43" i="1"/>
  <c r="A43" i="1"/>
  <c r="T42" i="1"/>
  <c r="S42" i="1"/>
  <c r="R42" i="1"/>
  <c r="K42" i="1"/>
  <c r="E42" i="1"/>
  <c r="D42" i="1"/>
  <c r="C42" i="1"/>
  <c r="A42" i="1"/>
  <c r="T41" i="1"/>
  <c r="S41" i="1"/>
  <c r="R41" i="1"/>
  <c r="K41" i="1"/>
  <c r="E41" i="1"/>
  <c r="D41" i="1"/>
  <c r="C41" i="1"/>
  <c r="A41" i="1"/>
  <c r="T40" i="1"/>
  <c r="S40" i="1"/>
  <c r="R40" i="1"/>
  <c r="P40" i="1"/>
  <c r="N40" i="1"/>
  <c r="L40" i="1"/>
  <c r="K40" i="1"/>
  <c r="J40" i="1"/>
  <c r="I40" i="1"/>
  <c r="H40" i="1"/>
  <c r="F40" i="1"/>
  <c r="E40" i="1"/>
  <c r="D40" i="1"/>
  <c r="C40" i="1"/>
  <c r="A40" i="1"/>
  <c r="S39" i="1"/>
  <c r="R39" i="1"/>
  <c r="K39" i="1"/>
  <c r="E39" i="1"/>
  <c r="D39" i="1"/>
  <c r="C39" i="1"/>
  <c r="A39" i="1"/>
  <c r="S38" i="1"/>
  <c r="R38" i="1"/>
  <c r="K38" i="1"/>
  <c r="E38" i="1"/>
  <c r="D38" i="1"/>
  <c r="C38" i="1"/>
  <c r="A38" i="1"/>
  <c r="S37" i="1"/>
  <c r="R37" i="1"/>
  <c r="Q37" i="1"/>
  <c r="P37" i="1"/>
  <c r="O37" i="1"/>
  <c r="N37" i="1"/>
  <c r="L37" i="1"/>
  <c r="K37" i="1"/>
  <c r="J37" i="1"/>
  <c r="I37" i="1"/>
  <c r="H37" i="1"/>
  <c r="F37" i="1"/>
  <c r="E37" i="1"/>
  <c r="D37" i="1"/>
  <c r="C37" i="1"/>
  <c r="A37" i="1"/>
  <c r="T36" i="1"/>
  <c r="S36" i="1"/>
  <c r="R36" i="1"/>
  <c r="K36" i="1"/>
  <c r="E36" i="1"/>
  <c r="D36" i="1"/>
  <c r="C36" i="1"/>
  <c r="A36" i="1"/>
  <c r="T35" i="1"/>
  <c r="S35" i="1"/>
  <c r="R35" i="1"/>
  <c r="K35" i="1"/>
  <c r="E35" i="1"/>
  <c r="D35" i="1"/>
  <c r="C35" i="1"/>
  <c r="A35" i="1"/>
  <c r="T34" i="1"/>
  <c r="S34" i="1"/>
  <c r="R34" i="1"/>
  <c r="K34" i="1"/>
  <c r="E34" i="1"/>
  <c r="D34" i="1"/>
  <c r="C34" i="1"/>
  <c r="A34" i="1"/>
  <c r="T33" i="1"/>
  <c r="S33" i="1"/>
  <c r="R33" i="1"/>
  <c r="P33" i="1"/>
  <c r="O33" i="1"/>
  <c r="N33" i="1"/>
  <c r="L33" i="1"/>
  <c r="K33" i="1"/>
  <c r="J33" i="1"/>
  <c r="I33" i="1"/>
  <c r="H33" i="1"/>
  <c r="F33" i="1"/>
  <c r="E33" i="1"/>
  <c r="D33" i="1"/>
  <c r="C33" i="1"/>
  <c r="A33" i="1"/>
  <c r="T32" i="1"/>
  <c r="S32" i="1"/>
  <c r="R32" i="1"/>
  <c r="P32" i="1"/>
  <c r="K32" i="1"/>
  <c r="E32" i="1"/>
  <c r="D32" i="1"/>
  <c r="C32" i="1"/>
  <c r="A32" i="1"/>
  <c r="T31" i="1"/>
  <c r="S31" i="1"/>
  <c r="R31" i="1"/>
  <c r="P31" i="1"/>
  <c r="K31" i="1"/>
  <c r="E31" i="1"/>
  <c r="D31" i="1"/>
  <c r="C31" i="1"/>
  <c r="A31" i="1"/>
  <c r="T30" i="1"/>
  <c r="S30" i="1"/>
  <c r="R30" i="1"/>
  <c r="P30" i="1"/>
  <c r="K30" i="1"/>
  <c r="E30" i="1"/>
  <c r="D30" i="1"/>
  <c r="C30" i="1"/>
  <c r="A30" i="1"/>
  <c r="T29" i="1"/>
  <c r="S29" i="1"/>
  <c r="R29" i="1"/>
  <c r="P29" i="1"/>
  <c r="K29" i="1"/>
  <c r="E29" i="1"/>
  <c r="D29" i="1"/>
  <c r="C29" i="1"/>
  <c r="A29" i="1"/>
  <c r="T28" i="1"/>
  <c r="S28" i="1"/>
  <c r="R28" i="1"/>
  <c r="P28" i="1"/>
  <c r="K28" i="1"/>
  <c r="E28" i="1"/>
  <c r="D28" i="1"/>
  <c r="C28" i="1"/>
  <c r="A28" i="1"/>
  <c r="T27" i="1"/>
  <c r="S27" i="1"/>
  <c r="K27" i="1"/>
  <c r="E27" i="1"/>
  <c r="D27" i="1"/>
  <c r="C27" i="1"/>
  <c r="A27" i="1"/>
  <c r="T26" i="1"/>
  <c r="S26" i="1"/>
  <c r="K26" i="1"/>
  <c r="E26" i="1"/>
  <c r="D26" i="1"/>
  <c r="C26" i="1"/>
  <c r="A26" i="1"/>
  <c r="T25" i="1"/>
  <c r="S25" i="1"/>
  <c r="K25" i="1"/>
  <c r="E25" i="1"/>
  <c r="D25" i="1"/>
  <c r="C25" i="1"/>
  <c r="A25" i="1"/>
  <c r="T24" i="1"/>
  <c r="S24" i="1"/>
  <c r="K24" i="1"/>
  <c r="E24" i="1"/>
  <c r="D24" i="1"/>
  <c r="C24" i="1"/>
  <c r="A24" i="1"/>
  <c r="T23" i="1"/>
  <c r="S23" i="1"/>
  <c r="K23" i="1"/>
  <c r="E23" i="1"/>
  <c r="D23" i="1"/>
  <c r="C23" i="1"/>
  <c r="A23" i="1"/>
  <c r="T22" i="1"/>
  <c r="S22" i="1"/>
  <c r="K22" i="1"/>
  <c r="E22" i="1"/>
  <c r="D22" i="1"/>
  <c r="C22" i="1"/>
  <c r="A22" i="1"/>
  <c r="T21" i="1"/>
  <c r="S21" i="1"/>
  <c r="K21" i="1"/>
  <c r="E21" i="1"/>
  <c r="D21" i="1"/>
  <c r="C21" i="1"/>
  <c r="A21" i="1"/>
  <c r="T20" i="1"/>
  <c r="S20" i="1"/>
  <c r="P20" i="1"/>
  <c r="K20" i="1"/>
  <c r="E20" i="1"/>
  <c r="D20" i="1"/>
  <c r="C20" i="1"/>
  <c r="A20" i="1"/>
  <c r="T19" i="1"/>
  <c r="S19" i="1"/>
  <c r="P19" i="1"/>
  <c r="K19" i="1"/>
  <c r="E19" i="1"/>
  <c r="D19" i="1"/>
  <c r="C19" i="1"/>
  <c r="A19" i="1"/>
  <c r="T18" i="1"/>
  <c r="S18" i="1"/>
  <c r="P18" i="1"/>
  <c r="K18" i="1"/>
  <c r="E18" i="1"/>
  <c r="D18" i="1"/>
  <c r="C18" i="1"/>
  <c r="A18" i="1"/>
  <c r="T17" i="1"/>
  <c r="S17" i="1"/>
  <c r="P17" i="1"/>
  <c r="K17" i="1"/>
  <c r="E17" i="1"/>
  <c r="D17" i="1"/>
  <c r="C17" i="1"/>
  <c r="A17" i="1"/>
  <c r="T16" i="1"/>
  <c r="S16" i="1"/>
  <c r="P16" i="1"/>
  <c r="K16" i="1"/>
  <c r="E16" i="1"/>
  <c r="D16" i="1"/>
  <c r="C16" i="1"/>
  <c r="A16" i="1"/>
  <c r="T15" i="1"/>
  <c r="S15" i="1"/>
  <c r="R15" i="1"/>
  <c r="P15" i="1"/>
  <c r="O15" i="1"/>
  <c r="N15" i="1"/>
  <c r="L15" i="1"/>
  <c r="K15" i="1"/>
  <c r="J15" i="1"/>
  <c r="I15" i="1"/>
  <c r="H15" i="1"/>
  <c r="F15" i="1"/>
  <c r="E15" i="1"/>
  <c r="D15" i="1"/>
  <c r="C15" i="1"/>
  <c r="A15" i="1"/>
  <c r="T14" i="1"/>
  <c r="S14" i="1"/>
  <c r="R14" i="1"/>
  <c r="P14" i="1"/>
  <c r="O14" i="1"/>
  <c r="N14" i="1"/>
  <c r="L14" i="1"/>
  <c r="K14" i="1"/>
  <c r="J14" i="1"/>
  <c r="I14" i="1"/>
  <c r="H14" i="1"/>
  <c r="F14" i="1"/>
  <c r="E14" i="1"/>
  <c r="D14" i="1"/>
  <c r="C14" i="1"/>
  <c r="A14" i="1"/>
  <c r="S13" i="1"/>
  <c r="R13" i="1"/>
  <c r="Q13" i="1"/>
  <c r="P13" i="1"/>
  <c r="O13" i="1"/>
  <c r="N13" i="1"/>
  <c r="L13" i="1"/>
  <c r="K13" i="1"/>
  <c r="J13" i="1"/>
  <c r="I13" i="1"/>
  <c r="H13" i="1"/>
  <c r="F13" i="1"/>
  <c r="E13" i="1"/>
  <c r="D13" i="1"/>
  <c r="C13" i="1"/>
  <c r="A13" i="1"/>
  <c r="S12" i="1"/>
  <c r="R12" i="1"/>
  <c r="Q12" i="1"/>
  <c r="P12" i="1"/>
  <c r="O12" i="1"/>
  <c r="N12" i="1"/>
  <c r="L12" i="1"/>
  <c r="K12" i="1"/>
  <c r="J12" i="1"/>
  <c r="I12" i="1"/>
  <c r="H12" i="1"/>
  <c r="F12" i="1"/>
  <c r="E12" i="1"/>
  <c r="D12" i="1"/>
  <c r="C12" i="1"/>
  <c r="A12" i="1"/>
  <c r="T11" i="1"/>
  <c r="S11" i="1"/>
  <c r="O11" i="1"/>
  <c r="M11" i="1"/>
  <c r="J11" i="1"/>
  <c r="I11" i="1"/>
  <c r="E11" i="1"/>
  <c r="D11" i="1"/>
  <c r="C11" i="1"/>
  <c r="A11" i="1"/>
  <c r="T10" i="1"/>
  <c r="S10" i="1"/>
  <c r="R10" i="1"/>
  <c r="Q10" i="1"/>
  <c r="P10" i="1"/>
  <c r="N10" i="1"/>
  <c r="L10" i="1"/>
  <c r="K10" i="1"/>
  <c r="J10" i="1"/>
  <c r="I10" i="1"/>
  <c r="H10" i="1"/>
  <c r="F10" i="1"/>
  <c r="E10" i="1"/>
  <c r="D10" i="1"/>
  <c r="C10" i="1"/>
  <c r="A10" i="1"/>
  <c r="T9" i="1"/>
  <c r="S9" i="1"/>
  <c r="Q9" i="1"/>
  <c r="P9" i="1"/>
  <c r="K9" i="1"/>
  <c r="I9" i="1"/>
  <c r="E9" i="1"/>
  <c r="D9" i="1"/>
  <c r="C9" i="1"/>
  <c r="B9" i="1"/>
  <c r="A9" i="1"/>
  <c r="T8" i="1"/>
  <c r="S8" i="1"/>
  <c r="Q8" i="1"/>
  <c r="P8" i="1"/>
  <c r="K8" i="1"/>
  <c r="I8" i="1"/>
  <c r="E8" i="1"/>
  <c r="D8" i="1"/>
  <c r="C8" i="1"/>
  <c r="B8" i="1"/>
  <c r="A8" i="1"/>
  <c r="T7" i="1"/>
  <c r="S7" i="1"/>
  <c r="Q7" i="1"/>
  <c r="P7" i="1"/>
  <c r="K7" i="1"/>
  <c r="I7" i="1"/>
  <c r="E7" i="1"/>
  <c r="D7" i="1"/>
  <c r="C7" i="1"/>
  <c r="A7" i="1"/>
  <c r="T6" i="1"/>
  <c r="S6" i="1"/>
  <c r="R6" i="1"/>
  <c r="Q6" i="1"/>
  <c r="P6" i="1"/>
  <c r="K6" i="1"/>
  <c r="I6" i="1"/>
  <c r="E6" i="1"/>
  <c r="D6" i="1"/>
  <c r="C6" i="1"/>
  <c r="A6" i="1"/>
  <c r="T5" i="1"/>
  <c r="S5" i="1"/>
  <c r="R5" i="1"/>
  <c r="Q5" i="1"/>
  <c r="P5" i="1"/>
  <c r="K5" i="1"/>
  <c r="I5" i="1"/>
  <c r="E5" i="1"/>
  <c r="D5" i="1"/>
  <c r="C5" i="1"/>
  <c r="A5" i="1"/>
  <c r="T4" i="1"/>
  <c r="S4" i="1"/>
  <c r="R4" i="1"/>
  <c r="Q4" i="1"/>
  <c r="P4" i="1"/>
  <c r="K4" i="1"/>
  <c r="I4" i="1"/>
  <c r="E4" i="1"/>
  <c r="D4" i="1"/>
  <c r="C4" i="1"/>
  <c r="A4" i="1"/>
  <c r="T3" i="1"/>
  <c r="S3" i="1"/>
  <c r="R3" i="1"/>
  <c r="Q3" i="1"/>
  <c r="P3" i="1"/>
  <c r="M3" i="1"/>
  <c r="K3" i="1"/>
  <c r="J3" i="1"/>
  <c r="I3" i="1"/>
  <c r="E3" i="1"/>
  <c r="D3" i="1"/>
  <c r="C3" i="1"/>
  <c r="A3" i="1"/>
  <c r="T2" i="1"/>
  <c r="S2" i="1"/>
  <c r="R2" i="1"/>
  <c r="Q2" i="1"/>
  <c r="P2" i="1"/>
  <c r="K2" i="1"/>
  <c r="J2" i="1"/>
  <c r="I2" i="1"/>
  <c r="E2" i="1"/>
  <c r="D2" i="1"/>
  <c r="C2" i="1"/>
  <c r="A2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<sst xmlns="http://schemas.openxmlformats.org/spreadsheetml/2006/main" count="5" uniqueCount="5">
  <si>
    <t>Data</t>
  </si>
  <si>
    <t xml:space="preserve">Număr </t>
  </si>
  <si>
    <t>Tip număr</t>
  </si>
  <si>
    <t>Referință</t>
  </si>
  <si>
    <t>Observații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</si>
</sst>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&quot;-&quot;mm&quot;-&quot;dd"/>
    <numFmt numFmtId="167" formatCode="m/d/yyyy;@"/>
  </numFmts>
  <fonts count="5">
    <font>
      <sz val="10"/>
      <color rgb="FF000000"/>
      <name val="Arial"/>
    </font>
    <font>
      <sz val="11"/>
      <color rgb="FF000000"/>
      <name val="Inconsolata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165" fontId="2" fillId="0" borderId="0" xfId="0" applyNumberFormat="1" applyFont="1" applyAlignment="1"/>
    <xf numFmtId="0" fontId="2" fillId="0" borderId="0" xfId="0" applyFont="1" applyAlignment="1"/>
    <xf numFmtId="165" fontId="3" fillId="0" borderId="0" xfId="0" applyNumberFormat="1" applyFont="1" applyAlignment="1"/>
    <xf numFmtId="165" fontId="3" fillId="0" borderId="0" xfId="0" applyNumberFormat="1" applyFont="1"/>
    <xf numFmtId="167" fontId="2" fillId="0" borderId="0" xfId="0" applyNumberFormat="1" applyFont="1" applyAlignment="1"/>
    <xf numFmtId="167" fontId="3" fillId="0" borderId="0" xfId="0" applyNumberFormat="1" applyFont="1"/>
    <xf numFmtId="167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www.ms.ro/2020/07/31/buletin-informativ-31-07-2020/" TargetMode="External"/><Relationship Id="rId3182" Type="http://schemas.openxmlformats.org/officeDocument/2006/relationships/hyperlink" Target="http://www.ms.ro/2020/08/15/33355/" TargetMode="External"/><Relationship Id="rId4233" Type="http://schemas.openxmlformats.org/officeDocument/2006/relationships/hyperlink" Target="https://www.ebihoreanul.ro/stiri/28-de-noi-imbolnaviri-cu-covid-19-in-bihor-inclusiv-in-randul-personalului-upu-smurd-158401.html" TargetMode="External"/><Relationship Id="rId3999" Type="http://schemas.openxmlformats.org/officeDocument/2006/relationships/hyperlink" Target="https://www.ebihoreanul.ro/stiri/a-fost-depasit-pragul-de-2000-de-cazuri-covid-19diagnosticate-in-bihor-158350.html" TargetMode="External"/><Relationship Id="rId170" Type="http://schemas.openxmlformats.org/officeDocument/2006/relationships/hyperlink" Target="https://stirioficiale.ro/informatii/buletin-de-presa-13-aprilie-2020-ora-13-47" TargetMode="External"/><Relationship Id="rId987" Type="http://schemas.openxmlformats.org/officeDocument/2006/relationships/hyperlink" Target="https://stirioficiale.ro/informatii/buletin-de-presa-15-mai-2020-ora-13-00" TargetMode="External"/><Relationship Id="rId2668" Type="http://schemas.openxmlformats.org/officeDocument/2006/relationships/hyperlink" Target="http://www.ms.ro/2020/08/10/buletin-informativ-10-08-2020" TargetMode="External"/><Relationship Id="rId3719" Type="http://schemas.openxmlformats.org/officeDocument/2006/relationships/hyperlink" Target="https://www.ebihoreanul.ro/stiri/record-alarmant-in-bihor-inca-85-de-cazuri-noi-de-covid-si-inca-doua-decese-158311.html" TargetMode="External"/><Relationship Id="rId4090" Type="http://schemas.openxmlformats.org/officeDocument/2006/relationships/hyperlink" Target="http://www.ms.ro/2020/08/24/buletin-informativ-24-08-2020" TargetMode="External"/><Relationship Id="rId1684" Type="http://schemas.openxmlformats.org/officeDocument/2006/relationships/hyperlink" Target="https://stirioficiale.ro/informatii/buletin-de-presa-29-iulie-2020-ora-13-00" TargetMode="External"/><Relationship Id="rId2735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707" Type="http://schemas.openxmlformats.org/officeDocument/2006/relationships/hyperlink" Target="http://www.ms.ro/2020/04/26/buletin-informativ-26-04-2020/" TargetMode="External"/><Relationship Id="rId1337" Type="http://schemas.openxmlformats.org/officeDocument/2006/relationships/hyperlink" Target="http://www.ms.ro/2020/07/02/buletin-informativ-02-07-2020/" TargetMode="External"/><Relationship Id="rId1751" Type="http://schemas.openxmlformats.org/officeDocument/2006/relationships/hyperlink" Target="http://www.ms.ro/2020/07/30/buletin-informativ-30-07-2020/" TargetMode="External"/><Relationship Id="rId2802" Type="http://schemas.openxmlformats.org/officeDocument/2006/relationships/hyperlink" Target="http://www.ms.ro/2020/08/12/buletin-informativ-12-08-2020" TargetMode="External"/><Relationship Id="rId43" Type="http://schemas.openxmlformats.org/officeDocument/2006/relationships/hyperlink" Target="http://www.ms.ro/2020/04/03/buletin-informativ-03-04-2020/" TargetMode="External"/><Relationship Id="rId1404" Type="http://schemas.openxmlformats.org/officeDocument/2006/relationships/hyperlink" Target="https://www.ebihoreanul.ro/stiri/doua-noi-cazuri-covid-in-bihor-descoperite-la-persoane-internate-in-spitalul-municipal-din-oradea-157581.html" TargetMode="External"/><Relationship Id="rId3576" Type="http://schemas.openxmlformats.org/officeDocument/2006/relationships/hyperlink" Target="http://www.ms.ro/2020/08/19/buletin-informativ-19-08-2020" TargetMode="External"/><Relationship Id="rId497" Type="http://schemas.openxmlformats.org/officeDocument/2006/relationships/hyperlink" Target="https://stirioficiale.ro/informatii/buletin-de-presa-21-aprilie-2020-ora-13-24" TargetMode="External"/><Relationship Id="rId2178" Type="http://schemas.openxmlformats.org/officeDocument/2006/relationships/hyperlink" Target="http://www.ms.ro/2020/08/05/buletin-informativ-05-08-2020/" TargetMode="External"/><Relationship Id="rId3229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3990" Type="http://schemas.openxmlformats.org/officeDocument/2006/relationships/hyperlink" Target="http://www.ms.ro/2020/08/22/buletin-informativ-22-08-2020" TargetMode="External"/><Relationship Id="rId1194" Type="http://schemas.openxmlformats.org/officeDocument/2006/relationships/hyperlink" Target="http://www.ms.ro/2020/05/31/buletin-informativ-31-05-2020/" TargetMode="External"/><Relationship Id="rId2592" Type="http://schemas.openxmlformats.org/officeDocument/2006/relationships/hyperlink" Target="http://www.ms.ro/2020/08/09/buletin-informativ-09-08-2020" TargetMode="External"/><Relationship Id="rId3643" Type="http://schemas.openxmlformats.org/officeDocument/2006/relationships/hyperlink" Target="https://www.ebihoreanul.ro/stiri/record-alarmant-in-bihor-inca-85-de-cazuri-noi-de-covid-si-inca-doua-decese-158311.html" TargetMode="External"/><Relationship Id="rId217" Type="http://schemas.openxmlformats.org/officeDocument/2006/relationships/hyperlink" Target="http://www.ms.ro/2020/04/13/buletin-informativ-13-04-2020/" TargetMode="External"/><Relationship Id="rId564" Type="http://schemas.openxmlformats.org/officeDocument/2006/relationships/hyperlink" Target="https://stirioficiale.ro/informatii/buletin-de-presa-22-aprilie-2020-ora-13-36" TargetMode="External"/><Relationship Id="rId2245" Type="http://schemas.openxmlformats.org/officeDocument/2006/relationships/hyperlink" Target="https://www.ebihoreanul.ro/stiri/a-treia-zi-consecutiva-cu-decese-covid-in-bihor-si-inca-35-noi-imbolnaviri-raportate-oficial-pentru-ultimele-24-de-ore-158069.html" TargetMode="External"/><Relationship Id="rId3710" Type="http://schemas.openxmlformats.org/officeDocument/2006/relationships/hyperlink" Target="http://www.ms.ro/2020/08/20/buletin-informativ-20-08-2020" TargetMode="External"/><Relationship Id="rId631" Type="http://schemas.openxmlformats.org/officeDocument/2006/relationships/hyperlink" Target="http://www.ms.ro/2020/04/22/buletin-informativ-22-04-2020/" TargetMode="External"/><Relationship Id="rId1261" Type="http://schemas.openxmlformats.org/officeDocument/2006/relationships/hyperlink" Target="http://www.ms.ro/2020/06/05/buletin-informativ-05-06-2020/" TargetMode="External"/><Relationship Id="rId2312" Type="http://schemas.openxmlformats.org/officeDocument/2006/relationships/hyperlink" Target="http://www.ms.ro/2020/08/07/buletin-informativ-07-08-2020/" TargetMode="External"/><Relationship Id="rId3086" Type="http://schemas.openxmlformats.org/officeDocument/2006/relationships/hyperlink" Target="http://www.ms.ro/2020/08/14/buletin-informativ-14-08-2020" TargetMode="External"/><Relationship Id="rId4137" Type="http://schemas.openxmlformats.org/officeDocument/2006/relationships/hyperlink" Target="https://www.ebihoreanul.ro/stiri/record-de-decese-covid-in-romania-58-intr-o-singura-zi-in-bihor-au-murit-3-oameni-iar-alti-37-au-fost-diagnosticati-aproape-100-de-pacienti-vindecati-158383.html" TargetMode="External"/><Relationship Id="rId3153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4204" Type="http://schemas.openxmlformats.org/officeDocument/2006/relationships/hyperlink" Target="http://www.ms.ro/2020/08/26/buletin-informativ-26-08-2020" TargetMode="External"/><Relationship Id="rId141" Type="http://schemas.openxmlformats.org/officeDocument/2006/relationships/hyperlink" Target="http://www.ms.ro/2020/04/13/buletin-informativ-13-04-2020/" TargetMode="External"/><Relationship Id="rId3220" Type="http://schemas.openxmlformats.org/officeDocument/2006/relationships/hyperlink" Target="http://www.ms.ro/2020/08/15/33355/" TargetMode="External"/><Relationship Id="rId7" Type="http://schemas.openxmlformats.org/officeDocument/2006/relationships/hyperlink" Target="http://www.ms.ro/2020/03/20/buletin-informativ-20-03-2020/" TargetMode="External"/><Relationship Id="rId2986" Type="http://schemas.openxmlformats.org/officeDocument/2006/relationships/hyperlink" Target="http://www.ms.ro/2020/08/13/buletin-informativ-13-08-2020" TargetMode="External"/><Relationship Id="rId958" Type="http://schemas.openxmlformats.org/officeDocument/2006/relationships/hyperlink" Target="https://stirioficiale.ro/informatii/buletin-de-presa-8-mai-2020-ora-13-00" TargetMode="External"/><Relationship Id="rId1588" Type="http://schemas.openxmlformats.org/officeDocument/2006/relationships/hyperlink" Target="https://www.ebihoreanul.ro/stiri/inca-26-noi-cazuri-covid-depistate-in-bihor-intre-care-un-brancardier-si-o-asistenta-revenita-dupa-un-concediu-in-grecia-157871.html" TargetMode="External"/><Relationship Id="rId2639" Type="http://schemas.openxmlformats.org/officeDocument/2006/relationships/hyperlink" Target="https://www.ebihoreanul.ro/stiri/nc-un-deces-i-37-de-noi-mbolnviri-de-covid-19-n-bihor-o-parte-a-spitalului-din-beiu-va-trata-bolnavi-cu-covid-din-cauza-cazurilor-multe-din-zon-158138.html" TargetMode="External"/><Relationship Id="rId1655" Type="http://schemas.openxmlformats.org/officeDocument/2006/relationships/hyperlink" Target="http://www.ms.ro/2020/07/29/buletin-informativ-29-07-2020/" TargetMode="External"/><Relationship Id="rId2706" Type="http://schemas.openxmlformats.org/officeDocument/2006/relationships/hyperlink" Target="http://www.ms.ro/2020/08/11/buletin-informativ-11-08-2020" TargetMode="External"/><Relationship Id="rId4061" Type="http://schemas.openxmlformats.org/officeDocument/2006/relationships/hyperlink" Target="https://www.ebihoreanul.ro/stiri/inca-trei-decese-ale-unor-pacienti-infectati-cu-covid-19-in-bihor-cazuri-noi-de-imbolnavire-dar-si-multe-vindecari-158365.html" TargetMode="External"/><Relationship Id="rId1308" Type="http://schemas.openxmlformats.org/officeDocument/2006/relationships/hyperlink" Target="https://stirioficiale.ro/informatii/buletin-de-presa-14-iunie-2020-ora-13-00" TargetMode="External"/><Relationship Id="rId1722" Type="http://schemas.openxmlformats.org/officeDocument/2006/relationships/hyperlink" Target="https://stirioficiale.ro/informatii/buletin-de-presa-30-iulie-2020-ora-13-00" TargetMode="External"/><Relationship Id="rId14" Type="http://schemas.openxmlformats.org/officeDocument/2006/relationships/hyperlink" Target="https://www.ebihoreanul.ro/stiri/ultima-or-31-1/surse-inca-trei-bihoreni-diagnosticati-cu-coronavirus-primele-cazuri-care-provin-din-autoizolare-155513.html" TargetMode="External"/><Relationship Id="rId3894" Type="http://schemas.openxmlformats.org/officeDocument/2006/relationships/hyperlink" Target="http://www.ms.ro/2020/08/21/buletin-informativ-21-08-2020" TargetMode="External"/><Relationship Id="rId2496" Type="http://schemas.openxmlformats.org/officeDocument/2006/relationships/hyperlink" Target="http://www.ms.ro/2020/08/09/buletin-informativ-09-08-2020" TargetMode="External"/><Relationship Id="rId3547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3961" Type="http://schemas.openxmlformats.org/officeDocument/2006/relationships/hyperlink" Target="https://www.ebihoreanul.ro/stiri/niciun-deces-in-bihor-si-zeci-de-pacienti-covid-vindecati-dar-si-40-noi-imbolnaviri-inclusiv-angajati-ai-maternitatii-si-spitalului-militar-158339.html" TargetMode="External"/><Relationship Id="rId468" Type="http://schemas.openxmlformats.org/officeDocument/2006/relationships/hyperlink" Target="http://www.ms.ro/2020/04/20/buletin-informativ-20-04-2020/" TargetMode="External"/><Relationship Id="rId882" Type="http://schemas.openxmlformats.org/officeDocument/2006/relationships/hyperlink" Target="http://www.ms.ro/2020/05/01/buletin-informativ-01-05-2020/" TargetMode="External"/><Relationship Id="rId1098" Type="http://schemas.openxmlformats.org/officeDocument/2006/relationships/hyperlink" Target="http://www.ms.ro/2020/05/26/buletin-informativ-26-05-2020/" TargetMode="External"/><Relationship Id="rId2149" Type="http://schemas.openxmlformats.org/officeDocument/2006/relationships/hyperlink" Target="https://www.ebihoreanul.ro/stiri/record-dupa-record-in-bihor-intr-o-singura-zi-3-morti-si-59-noi-imbolnaviri-cu-covid-158047.html" TargetMode="External"/><Relationship Id="rId2563" Type="http://schemas.openxmlformats.org/officeDocument/2006/relationships/hyperlink" Target="https://stirioficiale.ro/informatii/buletin-de-presa-9-august-2020-ora-13-00" TargetMode="External"/><Relationship Id="rId3614" Type="http://schemas.openxmlformats.org/officeDocument/2006/relationships/hyperlink" Target="http://www.ms.ro/2020/08/20/buletin-informativ-20-08-2020" TargetMode="External"/><Relationship Id="rId535" Type="http://schemas.openxmlformats.org/officeDocument/2006/relationships/hyperlink" Target="https://stirioficiale.ro/informatii/buletin-de-presa-21-aprilie-2020-ora-13-43" TargetMode="External"/><Relationship Id="rId1165" Type="http://schemas.openxmlformats.org/officeDocument/2006/relationships/hyperlink" Target="https://www.bihon.ro/stirile-judetului-bihor/rezultatul-testarii-la-plexus-21-de-angajati-pozitivi-covid-19-iata-ce-masuri-ia-compania-americana-2295625/" TargetMode="External"/><Relationship Id="rId2216" Type="http://schemas.openxmlformats.org/officeDocument/2006/relationships/hyperlink" Target="http://www.ms.ro/2020/08/05/buletin-informativ-05-08-2020/" TargetMode="External"/><Relationship Id="rId2630" Type="http://schemas.openxmlformats.org/officeDocument/2006/relationships/hyperlink" Target="http://www.ms.ro/2020/08/10/buletin-informativ-10-08-2020" TargetMode="External"/><Relationship Id="rId602" Type="http://schemas.openxmlformats.org/officeDocument/2006/relationships/hyperlink" Target="https://stirioficiale.ro/informatii/buletin-de-presa-22-aprilie-2020-ora-13-55" TargetMode="External"/><Relationship Id="rId1232" Type="http://schemas.openxmlformats.org/officeDocument/2006/relationships/hyperlink" Target="http://www.ms.ro/2020/06/02/buletin-informativ-02-06-2020/" TargetMode="External"/><Relationship Id="rId3057" Type="http://schemas.openxmlformats.org/officeDocument/2006/relationships/hyperlink" Target="https://www.ebihoreanul.ro/stiri/inca-56-de-cazuri-de-coronavirus-in-bihor-158211.html" TargetMode="External"/><Relationship Id="rId4108" Type="http://schemas.openxmlformats.org/officeDocument/2006/relationships/hyperlink" Target="http://www.ms.ro/2020/08/24/buletin-informativ-24-08-2020" TargetMode="External"/><Relationship Id="rId3471" Type="http://schemas.openxmlformats.org/officeDocument/2006/relationships/hyperlink" Target="https://www.ebihoreanul.ro/stiri/coronavirus-in-bihor-inca-doua-decese-si-45-de-cazuri-noi-vezi-din-ce-localitati-158277.html" TargetMode="External"/><Relationship Id="rId392" Type="http://schemas.openxmlformats.org/officeDocument/2006/relationships/hyperlink" Target="http://www.ms.ro/2020/04/16/buletin-informativ-16-04-2020/" TargetMode="External"/><Relationship Id="rId2073" Type="http://schemas.openxmlformats.org/officeDocument/2006/relationships/hyperlink" Target="https://stirioficiale.ro/informatii/buletin-de-presa-3-august-2020-ora-13-00" TargetMode="External"/><Relationship Id="rId3124" Type="http://schemas.openxmlformats.org/officeDocument/2006/relationships/hyperlink" Target="http://www.ms.ro/2020/08/14/buletin-informativ-14-08-2020" TargetMode="External"/><Relationship Id="rId2140" Type="http://schemas.openxmlformats.org/officeDocument/2006/relationships/hyperlink" Target="http://www.ms.ro/2020/08/05/buletin-informativ-05-08-2020/" TargetMode="External"/><Relationship Id="rId112" Type="http://schemas.openxmlformats.org/officeDocument/2006/relationships/hyperlink" Target="https://stirioficiale.ro/informatii/buletin-de-presa-11-aprilie-2020-ora-13-63" TargetMode="External"/><Relationship Id="rId2957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929" Type="http://schemas.openxmlformats.org/officeDocument/2006/relationships/hyperlink" Target="http://www.ms.ro/2020/05/02/buletin-informativ-02-05-2020/" TargetMode="External"/><Relationship Id="rId1559" Type="http://schemas.openxmlformats.org/officeDocument/2006/relationships/hyperlink" Target="http://www.ms.ro/2020/07/26/buletin-informativ-26-07-2020/" TargetMode="External"/><Relationship Id="rId1973" Type="http://schemas.openxmlformats.org/officeDocument/2006/relationships/hyperlink" Target="http://www.ms.ro/2020/08/03/buletin-informativ-03-08-2020/" TargetMode="External"/><Relationship Id="rId4032" Type="http://schemas.openxmlformats.org/officeDocument/2006/relationships/hyperlink" Target="http://www.ms.ro/2020/08/23/buletin-informativ-23-08-2020" TargetMode="External"/><Relationship Id="rId58" Type="http://schemas.openxmlformats.org/officeDocument/2006/relationships/hyperlink" Target="https://stirioficiale.ro/informatii/buletin-de-presa-6-aprilie-2020-ora-13-00" TargetMode="External"/><Relationship Id="rId1419" Type="http://schemas.openxmlformats.org/officeDocument/2006/relationships/hyperlink" Target="http://www.ms.ro/2020/07/14/buletin-informativ-14-07-2020/" TargetMode="External"/><Relationship Id="rId1626" Type="http://schemas.openxmlformats.org/officeDocument/2006/relationships/hyperlink" Target="https://stirioficiale.ro/informatii/buletin-de-presa-28-iulie-2020-ora-13-00" TargetMode="External"/><Relationship Id="rId1833" Type="http://schemas.openxmlformats.org/officeDocument/2006/relationships/hyperlink" Target="http://www.ms.ro/2020/07/31/buletin-informativ-31-07-2020/" TargetMode="External"/><Relationship Id="rId1900" Type="http://schemas.openxmlformats.org/officeDocument/2006/relationships/hyperlink" Target="https://stirioficiale.ro/informatii/informare-de-presa-01-august-2020" TargetMode="External"/><Relationship Id="rId3798" Type="http://schemas.openxmlformats.org/officeDocument/2006/relationships/hyperlink" Target="http://www.ms.ro/2020/08/21/buletin-informativ-21-08-2020" TargetMode="External"/><Relationship Id="rId3658" Type="http://schemas.openxmlformats.org/officeDocument/2006/relationships/hyperlink" Target="http://www.ms.ro/2020/08/20/buletin-informativ-20-08-2020" TargetMode="External"/><Relationship Id="rId3865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579" Type="http://schemas.openxmlformats.org/officeDocument/2006/relationships/hyperlink" Target="http://www.ms.ro/2020/04/22/buletin-informativ-22-04-2020/" TargetMode="External"/><Relationship Id="rId786" Type="http://schemas.openxmlformats.org/officeDocument/2006/relationships/hyperlink" Target="https://stirioficiale.ro/informatii/buletin-de-presa-27-aprilie-2020-ora-13-00" TargetMode="External"/><Relationship Id="rId993" Type="http://schemas.openxmlformats.org/officeDocument/2006/relationships/hyperlink" Target="http://www.ms.ro/2020/05/16/buletin-informativ-16-05-2020/" TargetMode="External"/><Relationship Id="rId2467" Type="http://schemas.openxmlformats.org/officeDocument/2006/relationships/hyperlink" Target="https://stirioficiale.ro/informatii/buletin-de-presa-8-august-2020-ora-13-00" TargetMode="External"/><Relationship Id="rId2674" Type="http://schemas.openxmlformats.org/officeDocument/2006/relationships/hyperlink" Target="http://www.ms.ro/2020/08/11/buletin-informativ-11-08-2020" TargetMode="External"/><Relationship Id="rId3518" Type="http://schemas.openxmlformats.org/officeDocument/2006/relationships/hyperlink" Target="http://www.ms.ro/2020/08/19/buletin-informativ-19-08-2020" TargetMode="External"/><Relationship Id="rId439" Type="http://schemas.openxmlformats.org/officeDocument/2006/relationships/hyperlink" Target="https://stirioficiale.ro/informatii/buletin-de-presa-19-aprilie-2020-ora-13-10" TargetMode="External"/><Relationship Id="rId646" Type="http://schemas.openxmlformats.org/officeDocument/2006/relationships/hyperlink" Target="https://stirioficiale.ro/informatii/buletin-de-presa-23-aprilie-2020-ora-13-00" TargetMode="External"/><Relationship Id="rId1069" Type="http://schemas.openxmlformats.org/officeDocument/2006/relationships/hyperlink" Target="http://www.ms.ro/2020/05/22/buletin-informativ-22-05-2020/" TargetMode="External"/><Relationship Id="rId1276" Type="http://schemas.openxmlformats.org/officeDocument/2006/relationships/hyperlink" Target="https://stirioficiale.ro/informatii/buletin-de-presa-6-iunie-2020-ora-13-00" TargetMode="External"/><Relationship Id="rId1483" Type="http://schemas.openxmlformats.org/officeDocument/2006/relationships/hyperlink" Target="http://www.ms.ro/2020/07/23/buletin-informativ-23-07-2020/" TargetMode="External"/><Relationship Id="rId2327" Type="http://schemas.openxmlformats.org/officeDocument/2006/relationships/hyperlink" Target="https://www.ebihoreanul.ro/stiri/a-patra-zi-la-rand-cu-decese-covid-in-bihor-si-53-noi-imbolnaviri-in-ultimele-24-de-ore-158087.html" TargetMode="External"/><Relationship Id="rId2881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3725" Type="http://schemas.openxmlformats.org/officeDocument/2006/relationships/hyperlink" Target="https://www.ebihoreanul.ro/stiri/record-alarmant-in-bihor-inca-85-de-cazuri-noi-de-covid-si-inca-doua-decese-158311.html" TargetMode="External"/><Relationship Id="rId3932" Type="http://schemas.openxmlformats.org/officeDocument/2006/relationships/hyperlink" Target="http://www.ms.ro/2020/08/22/buletin-informativ-22-08-2020" TargetMode="External"/><Relationship Id="rId506" Type="http://schemas.openxmlformats.org/officeDocument/2006/relationships/hyperlink" Target="http://www.ms.ro/2020/04/21/buletin-informativ-21-04-2020/" TargetMode="External"/><Relationship Id="rId853" Type="http://schemas.openxmlformats.org/officeDocument/2006/relationships/hyperlink" Target="http://www.ms.ro/2020/04/29/buletin-informativ-29-04-2020/" TargetMode="External"/><Relationship Id="rId1136" Type="http://schemas.openxmlformats.org/officeDocument/2006/relationships/hyperlink" Target="http://www.ms.ro/2020/05/28/buletin-informativ-28-05-2020/" TargetMode="External"/><Relationship Id="rId1690" Type="http://schemas.openxmlformats.org/officeDocument/2006/relationships/hyperlink" Target="https://stirioficiale.ro/informatii/buletin-de-presa-29-iulie-2020-ora-13-00" TargetMode="External"/><Relationship Id="rId2534" Type="http://schemas.openxmlformats.org/officeDocument/2006/relationships/hyperlink" Target="http://www.ms.ro/2020/08/09/buletin-informativ-09-08-2020" TargetMode="External"/><Relationship Id="rId2741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713" Type="http://schemas.openxmlformats.org/officeDocument/2006/relationships/hyperlink" Target="http://www.ms.ro/2020/04/26/buletin-informativ-26-04-2020/" TargetMode="External"/><Relationship Id="rId920" Type="http://schemas.openxmlformats.org/officeDocument/2006/relationships/hyperlink" Target="http://www.ms.ro/2020/05/01/buletin-informativ-01-05-2020/" TargetMode="External"/><Relationship Id="rId1343" Type="http://schemas.openxmlformats.org/officeDocument/2006/relationships/hyperlink" Target="http://www.ms.ro/2020/07/04/buletin-informativ-04-07-2020/" TargetMode="External"/><Relationship Id="rId1550" Type="http://schemas.openxmlformats.org/officeDocument/2006/relationships/hyperlink" Target="https://stirioficiale.ro/informatii/buletin-de-presa-25-iulie-2020-ora-13-00" TargetMode="External"/><Relationship Id="rId2601" Type="http://schemas.openxmlformats.org/officeDocument/2006/relationships/hyperlink" Target="https://www.ebihoreanul.ro/stiri/nc-un-deces-i-37-de-noi-mbolnviri-de-covid-19-n-bihor-o-parte-a-spitalului-din-beiu-va-trata-bolnavi-cu-covid-din-cauza-cazurilor-multe-din-zon-158138.html" TargetMode="External"/><Relationship Id="rId1203" Type="http://schemas.openxmlformats.org/officeDocument/2006/relationships/hyperlink" Target="https://stirioficiale.ro/informatii/buletin-de-presa-31-mai-2020-ora-13-00" TargetMode="External"/><Relationship Id="rId1410" Type="http://schemas.openxmlformats.org/officeDocument/2006/relationships/hyperlink" Target="https://stirioficiale.ro/informatii/buletin-de-presa-13-iulie-2020-ora-13-00" TargetMode="External"/><Relationship Id="rId3168" Type="http://schemas.openxmlformats.org/officeDocument/2006/relationships/hyperlink" Target="http://www.ms.ro/2020/08/15/33355/" TargetMode="External"/><Relationship Id="rId3375" Type="http://schemas.openxmlformats.org/officeDocument/2006/relationships/hyperlink" Target="https://www.ebihoreanul.ro/stiri/dupa-doua-saptamani-numarul-imbolnavirilor-covid-scade-in-bihor-31-noi-infectari-dar-si-un-deces-158256.html" TargetMode="External"/><Relationship Id="rId3582" Type="http://schemas.openxmlformats.org/officeDocument/2006/relationships/hyperlink" Target="http://www.ms.ro/2020/08/19/buletin-informativ-19-08-2020" TargetMode="External"/><Relationship Id="rId4219" Type="http://schemas.openxmlformats.org/officeDocument/2006/relationships/hyperlink" Target="https://www.ebihoreanul.ro/stiri/28-de-noi-imbolnaviri-cu-covid-19-in-bihor-inclusiv-in-randul-personalului-upu-smurd-158401.html" TargetMode="External"/><Relationship Id="rId296" Type="http://schemas.openxmlformats.org/officeDocument/2006/relationships/hyperlink" Target="https://stirioficiale.ro/informatii/buletin-de-presa-13-aprilie-2020-ora-13-110" TargetMode="External"/><Relationship Id="rId2184" Type="http://schemas.openxmlformats.org/officeDocument/2006/relationships/hyperlink" Target="http://www.ms.ro/2020/08/05/buletin-informativ-05-08-2020/" TargetMode="External"/><Relationship Id="rId2391" Type="http://schemas.openxmlformats.org/officeDocument/2006/relationships/hyperlink" Target="https://www.ebihoreanul.ro/stiri/a-patra-zi-la-rand-cu-decese-covid-in-bihor-si-53-noi-imbolnaviri-in-ultimele-24-de-ore-158087.html" TargetMode="External"/><Relationship Id="rId3028" Type="http://schemas.openxmlformats.org/officeDocument/2006/relationships/hyperlink" Target="http://www.ms.ro/2020/08/14/buletin-informativ-14-08-2020" TargetMode="External"/><Relationship Id="rId3235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3442" Type="http://schemas.openxmlformats.org/officeDocument/2006/relationships/hyperlink" Target="http://www.ms.ro/2020/08/18/buletin-informativ-18-08-2020" TargetMode="External"/><Relationship Id="rId156" Type="http://schemas.openxmlformats.org/officeDocument/2006/relationships/hyperlink" Target="https://stirioficiale.ro/informatii/buletin-de-presa-13-aprilie-2020-ora-13-40" TargetMode="External"/><Relationship Id="rId363" Type="http://schemas.openxmlformats.org/officeDocument/2006/relationships/hyperlink" Target="https://stirioficiale.ro/informatii/buletin-de-presa-16-aprilie-2020-ora-13-53" TargetMode="External"/><Relationship Id="rId570" Type="http://schemas.openxmlformats.org/officeDocument/2006/relationships/hyperlink" Target="https://stirioficiale.ro/informatii/buletin-de-presa-22-aprilie-2020-ora-13-39" TargetMode="External"/><Relationship Id="rId2044" Type="http://schemas.openxmlformats.org/officeDocument/2006/relationships/hyperlink" Target="http://www.ms.ro/2020/08/03/buletin-informativ-03-08-2020/" TargetMode="External"/><Relationship Id="rId2251" Type="http://schemas.openxmlformats.org/officeDocument/2006/relationships/hyperlink" Target="https://www.ebihoreanul.ro/stiri/a-treia-zi-consecutiva-cu-decese-covid-in-bihor-si-inca-35-noi-imbolnaviri-raportate-oficial-pentru-ultimele-24-de-ore-158069.html" TargetMode="External"/><Relationship Id="rId3302" Type="http://schemas.openxmlformats.org/officeDocument/2006/relationships/hyperlink" Target="http://www.ms.ro/2020/08/16/buletin-informativ-16-08-2020" TargetMode="External"/><Relationship Id="rId223" Type="http://schemas.openxmlformats.org/officeDocument/2006/relationships/hyperlink" Target="http://www.ms.ro/2020/04/13/buletin-informativ-13-04-2020/" TargetMode="External"/><Relationship Id="rId430" Type="http://schemas.openxmlformats.org/officeDocument/2006/relationships/hyperlink" Target="http://www.ms.ro/2020/04/18/buletin-informativ-18-04-2020/" TargetMode="External"/><Relationship Id="rId1060" Type="http://schemas.openxmlformats.org/officeDocument/2006/relationships/hyperlink" Target="https://stirioficiale.ro/informatii/buletin-de-presa-22-mai-2020-ora-13-00" TargetMode="External"/><Relationship Id="rId2111" Type="http://schemas.openxmlformats.org/officeDocument/2006/relationships/hyperlink" Target="https://www.ebihoreanul.ro/stiri/record-dupa-record-in-bihor-intr-o-singura-zi-3-morti-si-59-noi-imbolnaviri-cu-covid-158047.html" TargetMode="External"/><Relationship Id="rId4076" Type="http://schemas.openxmlformats.org/officeDocument/2006/relationships/hyperlink" Target="http://www.ms.ro/2020/08/24/buletin-informativ-24-08-2020" TargetMode="External"/><Relationship Id="rId1877" Type="http://schemas.openxmlformats.org/officeDocument/2006/relationships/hyperlink" Target="http://www.ms.ro/2020/08/01/buletin-informativ-01-08-2020/" TargetMode="External"/><Relationship Id="rId2928" Type="http://schemas.openxmlformats.org/officeDocument/2006/relationships/hyperlink" Target="http://www.ms.ro/2020/08/13/buletin-informativ-13-08-2020" TargetMode="External"/><Relationship Id="rId1737" Type="http://schemas.openxmlformats.org/officeDocument/2006/relationships/hyperlink" Target="http://www.ms.ro/2020/07/30/buletin-informativ-30-07-2020/" TargetMode="External"/><Relationship Id="rId1944" Type="http://schemas.openxmlformats.org/officeDocument/2006/relationships/hyperlink" Target="https://stirioficiale.ro/informatii/buletin-de-presa-2-august-2020-ora-13-00" TargetMode="External"/><Relationship Id="rId3092" Type="http://schemas.openxmlformats.org/officeDocument/2006/relationships/hyperlink" Target="http://www.ms.ro/2020/08/14/buletin-informativ-14-08-2020" TargetMode="External"/><Relationship Id="rId4143" Type="http://schemas.openxmlformats.org/officeDocument/2006/relationships/hyperlink" Target="https://www.ebihoreanul.ro/stiri/record-de-decese-covid-in-romania-58-intr-o-singura-zi-in-bihor-au-murit-3-oameni-iar-alti-37-au-fost-diagnosticati-aproape-100-de-pacienti-vindecati-158383.html" TargetMode="External"/><Relationship Id="rId29" Type="http://schemas.openxmlformats.org/officeDocument/2006/relationships/hyperlink" Target="http://www.ms.ro/2020/04/02/buletin-informativ-02-04-2020/" TargetMode="External"/><Relationship Id="rId4003" Type="http://schemas.openxmlformats.org/officeDocument/2006/relationships/hyperlink" Target="https://www.ebihoreanul.ro/stiri/a-fost-depasit-pragul-de-2000-de-cazuri-covid-19diagnosticate-in-bihor-158350.html" TargetMode="External"/><Relationship Id="rId4210" Type="http://schemas.openxmlformats.org/officeDocument/2006/relationships/hyperlink" Target="http://www.ms.ro/2020/08/26/buletin-informativ-26-08-2020" TargetMode="External"/><Relationship Id="rId1804" Type="http://schemas.openxmlformats.org/officeDocument/2006/relationships/hyperlink" Target="https://stirioficiale.ro/informatii/buletin-de-presa-31-iulie-2020-ora-13-00" TargetMode="External"/><Relationship Id="rId3769" Type="http://schemas.openxmlformats.org/officeDocument/2006/relationships/hyperlink" Target="https://www.ebihoreanul.ro/stiri/record-alarmant-in-bihor-inca-85-de-cazuri-noi-de-covid-si-inca-doua-decese-158311.html" TargetMode="External"/><Relationship Id="rId3976" Type="http://schemas.openxmlformats.org/officeDocument/2006/relationships/hyperlink" Target="http://www.ms.ro/2020/08/22/buletin-informativ-22-08-2020" TargetMode="External"/><Relationship Id="rId897" Type="http://schemas.openxmlformats.org/officeDocument/2006/relationships/hyperlink" Target="http://www.ms.ro/2020/05/01/buletin-informativ-01-05-2020/" TargetMode="External"/><Relationship Id="rId2578" Type="http://schemas.openxmlformats.org/officeDocument/2006/relationships/hyperlink" Target="http://www.ms.ro/2020/08/09/buletin-informativ-09-08-2020" TargetMode="External"/><Relationship Id="rId2785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2992" Type="http://schemas.openxmlformats.org/officeDocument/2006/relationships/hyperlink" Target="http://www.ms.ro/2020/08/13/buletin-informativ-13-08-2020" TargetMode="External"/><Relationship Id="rId3629" Type="http://schemas.openxmlformats.org/officeDocument/2006/relationships/hyperlink" Target="https://www.ebihoreanul.ro/stiri/record-alarmant-in-bihor-inca-85-de-cazuri-noi-de-covid-si-inca-doua-decese-158311.html" TargetMode="External"/><Relationship Id="rId3836" Type="http://schemas.openxmlformats.org/officeDocument/2006/relationships/hyperlink" Target="http://www.ms.ro/2020/08/21/buletin-informativ-21-08-2020" TargetMode="External"/><Relationship Id="rId757" Type="http://schemas.openxmlformats.org/officeDocument/2006/relationships/hyperlink" Target="http://www.ms.ro/2020/04/27/buletin-informativ-27-04-2020/" TargetMode="External"/><Relationship Id="rId964" Type="http://schemas.openxmlformats.org/officeDocument/2006/relationships/hyperlink" Target="http://www.ms.ro/2020/05/08/buletin-informativ-08-05-2020/" TargetMode="External"/><Relationship Id="rId1387" Type="http://schemas.openxmlformats.org/officeDocument/2006/relationships/hyperlink" Target="http://www.ms.ro/2020/07/07/buletin-informativ-07-07-2020/" TargetMode="External"/><Relationship Id="rId1594" Type="http://schemas.openxmlformats.org/officeDocument/2006/relationships/hyperlink" Target="https://www.ebihoreanul.ro/stiri/inca-26-noi-cazuri-covid-depistate-in-bihor-intre-care-un-brancardier-si-o-asistenta-revenita-dupa-un-concediu-in-grecia-157871.html" TargetMode="External"/><Relationship Id="rId2438" Type="http://schemas.openxmlformats.org/officeDocument/2006/relationships/hyperlink" Target="http://www.ms.ro/2020/08/08/buletin-informativ-08-08-2020" TargetMode="External"/><Relationship Id="rId2645" Type="http://schemas.openxmlformats.org/officeDocument/2006/relationships/hyperlink" Target="https://www.ebihoreanul.ro/stiri/nc-un-deces-i-37-de-noi-mbolnviri-de-covid-19-n-bihor-o-parte-a-spitalului-din-beiu-va-trata-bolnavi-cu-covid-din-cauza-cazurilor-multe-din-zon-158138.html" TargetMode="External"/><Relationship Id="rId2852" Type="http://schemas.openxmlformats.org/officeDocument/2006/relationships/hyperlink" Target="http://www.ms.ro/2020/08/12/buletin-informativ-12-08-2020" TargetMode="External"/><Relationship Id="rId3903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93" Type="http://schemas.openxmlformats.org/officeDocument/2006/relationships/hyperlink" Target="http://www.ms.ro/2020/04/09/buletin-informativ-09-04-2020/" TargetMode="External"/><Relationship Id="rId617" Type="http://schemas.openxmlformats.org/officeDocument/2006/relationships/hyperlink" Target="http://www.ms.ro/2020/04/22/buletin-informativ-22-04-2020/" TargetMode="External"/><Relationship Id="rId824" Type="http://schemas.openxmlformats.org/officeDocument/2006/relationships/hyperlink" Target="https://stirioficiale.ro/informatii/buletin-de-presa-28-aprilie-2020-ora-13-00" TargetMode="External"/><Relationship Id="rId1247" Type="http://schemas.openxmlformats.org/officeDocument/2006/relationships/hyperlink" Target="https://stirioficiale.ro/informatii/buletin-de-presa-3-iunie-2020-ora-13-00" TargetMode="External"/><Relationship Id="rId1454" Type="http://schemas.openxmlformats.org/officeDocument/2006/relationships/hyperlink" Target="https://stirioficiale.ro/informatii/buletin-de-presa-22-iulie-2020-ora-13-00" TargetMode="External"/><Relationship Id="rId1661" Type="http://schemas.openxmlformats.org/officeDocument/2006/relationships/hyperlink" Target="http://www.ms.ro/2020/07/29/buletin-informativ-29-07-2020/" TargetMode="External"/><Relationship Id="rId2505" Type="http://schemas.openxmlformats.org/officeDocument/2006/relationships/hyperlink" Target="https://stirioficiale.ro/informatii/buletin-de-presa-9-august-2020-ora-13-00" TargetMode="External"/><Relationship Id="rId2712" Type="http://schemas.openxmlformats.org/officeDocument/2006/relationships/hyperlink" Target="http://www.ms.ro/2020/08/11/buletin-informativ-11-08-2020" TargetMode="External"/><Relationship Id="rId1107" Type="http://schemas.openxmlformats.org/officeDocument/2006/relationships/hyperlink" Target="https://stirioficiale.ro/informatii/buletin-de-presa-27-mai-2020-ora-13-00" TargetMode="External"/><Relationship Id="rId1314" Type="http://schemas.openxmlformats.org/officeDocument/2006/relationships/hyperlink" Target="https://www.ebihoreanul.ro/stiri/inca-patru-bihoreni-infectati-cu-coronavirus-intre-care-si-un-copil-157134.html" TargetMode="External"/><Relationship Id="rId1521" Type="http://schemas.openxmlformats.org/officeDocument/2006/relationships/hyperlink" Target="http://www.ms.ro/2020/07/24/buletin-informativ-24-07-2020/" TargetMode="External"/><Relationship Id="rId3279" Type="http://schemas.openxmlformats.org/officeDocument/2006/relationships/hyperlink" Target="https://www.ebihoreanul.ro/stiri/coronavirus-in-bihor-inca-trei-decese-inregistrate-50-de-cazuri-noi-diagnosticate-nicio-persoana-vindecata-158239.html" TargetMode="External"/><Relationship Id="rId3486" Type="http://schemas.openxmlformats.org/officeDocument/2006/relationships/hyperlink" Target="http://www.ms.ro/2020/08/18/buletin-informativ-18-08-2020" TargetMode="External"/><Relationship Id="rId3693" Type="http://schemas.openxmlformats.org/officeDocument/2006/relationships/hyperlink" Target="https://www.ebihoreanul.ro/stiri/record-alarmant-in-bihor-inca-85-de-cazuri-noi-de-covid-si-inca-doua-decese-158311.html" TargetMode="External"/><Relationship Id="rId20" Type="http://schemas.openxmlformats.org/officeDocument/2006/relationships/hyperlink" Target="https://www.g4media.ro/breaking-2460-de-cazuri-de-coronavirus-confirmate-in-romania-din-care-215-in-ultimele-24-de-ore-85-de-oameni-au-murit.html" TargetMode="External"/><Relationship Id="rId2088" Type="http://schemas.openxmlformats.org/officeDocument/2006/relationships/hyperlink" Target="http://www.ms.ro/2020/08/04/buletin-informativ-04-08-2020/" TargetMode="External"/><Relationship Id="rId2295" Type="http://schemas.openxmlformats.org/officeDocument/2006/relationships/hyperlink" Target="https://www.ebihoreanul.ro/stiri/a-patra-zi-la-rand-cu-decese-covid-in-bihor-si-53-noi-imbolnaviri-in-ultimele-24-de-ore-158087.html" TargetMode="External"/><Relationship Id="rId3139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3346" Type="http://schemas.openxmlformats.org/officeDocument/2006/relationships/hyperlink" Target="http://www.ms.ro/2020/08/16/buletin-informativ-16-08-2020" TargetMode="External"/><Relationship Id="rId267" Type="http://schemas.openxmlformats.org/officeDocument/2006/relationships/hyperlink" Target="http://www.ms.ro/2020/04/13/buletin-informativ-13-04-2020/" TargetMode="External"/><Relationship Id="rId474" Type="http://schemas.openxmlformats.org/officeDocument/2006/relationships/hyperlink" Target="http://www.ms.ro/2020/04/20/buletin-informativ-20-04-2020/" TargetMode="External"/><Relationship Id="rId2155" Type="http://schemas.openxmlformats.org/officeDocument/2006/relationships/hyperlink" Target="https://www.ebihoreanul.ro/stiri/record-dupa-record-in-bihor-intr-o-singura-zi-3-morti-si-59-noi-imbolnaviri-cu-covid-158047.html" TargetMode="External"/><Relationship Id="rId3553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3760" Type="http://schemas.openxmlformats.org/officeDocument/2006/relationships/hyperlink" Target="http://www.ms.ro/2020/08/20/buletin-informativ-20-08-2020" TargetMode="External"/><Relationship Id="rId127" Type="http://schemas.openxmlformats.org/officeDocument/2006/relationships/hyperlink" Target="http://www.ms.ro/2020/04/11/buletin-informativ-11-04-2020/" TargetMode="External"/><Relationship Id="rId681" Type="http://schemas.openxmlformats.org/officeDocument/2006/relationships/hyperlink" Target="http://www.ms.ro/2020/04/24/buletin-informativ-24-04-2020/" TargetMode="External"/><Relationship Id="rId2362" Type="http://schemas.openxmlformats.org/officeDocument/2006/relationships/hyperlink" Target="http://www.ms.ro/2020/08/07/buletin-informativ-07-08-2020/" TargetMode="External"/><Relationship Id="rId3206" Type="http://schemas.openxmlformats.org/officeDocument/2006/relationships/hyperlink" Target="http://www.ms.ro/2020/08/15/33355/" TargetMode="External"/><Relationship Id="rId3413" Type="http://schemas.openxmlformats.org/officeDocument/2006/relationships/hyperlink" Target="https://www.ebihoreanul.ro/stiri/coronavirus-in-bihor-inca-doua-decese-si-45-de-cazuri-noi-vezi-din-ce-localitati-158277.html" TargetMode="External"/><Relationship Id="rId3620" Type="http://schemas.openxmlformats.org/officeDocument/2006/relationships/hyperlink" Target="http://www.ms.ro/2020/08/20/buletin-informativ-20-08-2020" TargetMode="External"/><Relationship Id="rId334" Type="http://schemas.openxmlformats.org/officeDocument/2006/relationships/hyperlink" Target="http://www.ms.ro/2020/04/14/buletin-informativ-14-04-2020/" TargetMode="External"/><Relationship Id="rId541" Type="http://schemas.openxmlformats.org/officeDocument/2006/relationships/hyperlink" Target="https://stirioficiale.ro/informatii/buletin-de-presa-21-aprilie-2020-ora-13-46" TargetMode="External"/><Relationship Id="rId1171" Type="http://schemas.openxmlformats.org/officeDocument/2006/relationships/hyperlink" Target="https://www.bihon.ro/stirile-judetului-bihor/rezultatul-testarii-la-plexus-21-de-angajati-pozitivi-covid-19-iata-ce-masuri-ia-compania-americana-2295625/" TargetMode="External"/><Relationship Id="rId2015" Type="http://schemas.openxmlformats.org/officeDocument/2006/relationships/hyperlink" Target="http://www.ms.ro/2020/08/03/buletin-informativ-03-08-2020/" TargetMode="External"/><Relationship Id="rId2222" Type="http://schemas.openxmlformats.org/officeDocument/2006/relationships/hyperlink" Target="http://www.ms.ro/2020/08/05/buletin-informativ-05-08-2020/" TargetMode="External"/><Relationship Id="rId401" Type="http://schemas.openxmlformats.org/officeDocument/2006/relationships/hyperlink" Target="https://stirioficiale.ro/informatii/buletin-de-presa-16-aprilie-2020-ora-13-72" TargetMode="External"/><Relationship Id="rId1031" Type="http://schemas.openxmlformats.org/officeDocument/2006/relationships/hyperlink" Target="https://stirioficiale.ro/informatii/buletin-de-presa-19-mai-2020-ora-13-00" TargetMode="External"/><Relationship Id="rId1988" Type="http://schemas.openxmlformats.org/officeDocument/2006/relationships/hyperlink" Target="http://www.ms.ro/2020/08/03/buletin-informativ-03-08-2020/" TargetMode="External"/><Relationship Id="rId4187" Type="http://schemas.openxmlformats.org/officeDocument/2006/relationships/hyperlink" Target="https://www.ebihoreanul.ro/stiri/28-de-noi-imbolnaviri-cu-covid-19-in-bihor-inclusiv-in-randul-personalului-upu-smurd-158401.html" TargetMode="External"/><Relationship Id="rId4047" Type="http://schemas.openxmlformats.org/officeDocument/2006/relationships/hyperlink" Target="https://www.ebihoreanul.ro/stiri/a-fost-depasit-pragul-de-2000-de-cazuri-covid-19diagnosticate-in-bihor-158350.html" TargetMode="External"/><Relationship Id="rId1848" Type="http://schemas.openxmlformats.org/officeDocument/2006/relationships/hyperlink" Target="https://www.ebihoreanul.ro/stiri/nou-record-covid-in-bihor-52-de-cazuri-noi-157971.html" TargetMode="External"/><Relationship Id="rId3063" Type="http://schemas.openxmlformats.org/officeDocument/2006/relationships/hyperlink" Target="https://www.ebihoreanul.ro/stiri/inca-56-de-cazuri-de-coronavirus-in-bihor-158211.html" TargetMode="External"/><Relationship Id="rId3270" Type="http://schemas.openxmlformats.org/officeDocument/2006/relationships/hyperlink" Target="http://www.ms.ro/2020/08/16/buletin-informativ-16-08-2020" TargetMode="External"/><Relationship Id="rId4114" Type="http://schemas.openxmlformats.org/officeDocument/2006/relationships/hyperlink" Target="http://www.ms.ro/2020/08/25/buletin-informativ-25-08-2020" TargetMode="External"/><Relationship Id="rId191" Type="http://schemas.openxmlformats.org/officeDocument/2006/relationships/hyperlink" Target="http://www.ms.ro/2020/04/13/buletin-informativ-13-04-2020/" TargetMode="External"/><Relationship Id="rId1708" Type="http://schemas.openxmlformats.org/officeDocument/2006/relationships/hyperlink" Target="https://stirioficiale.ro/informatii/buletin-de-presa-30-iulie-2020-ora-13-00" TargetMode="External"/><Relationship Id="rId1915" Type="http://schemas.openxmlformats.org/officeDocument/2006/relationships/hyperlink" Target="http://www.ms.ro/2020/08/02/buletin-informativ-02-08-2020/" TargetMode="External"/><Relationship Id="rId3130" Type="http://schemas.openxmlformats.org/officeDocument/2006/relationships/hyperlink" Target="http://www.ms.ro/2020/08/14/buletin-informativ-14-08-2020" TargetMode="External"/><Relationship Id="rId2689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2896" Type="http://schemas.openxmlformats.org/officeDocument/2006/relationships/hyperlink" Target="http://www.ms.ro/2020/08/13/buletin-informativ-13-08-2020" TargetMode="External"/><Relationship Id="rId3947" Type="http://schemas.openxmlformats.org/officeDocument/2006/relationships/hyperlink" Target="https://www.ebihoreanul.ro/stiri/niciun-deces-in-bihor-si-zeci-de-pacienti-covid-vindecati-dar-si-40-noi-imbolnaviri-inclusiv-angajati-ai-maternitatii-si-spitalului-militar-158339.html" TargetMode="External"/><Relationship Id="rId868" Type="http://schemas.openxmlformats.org/officeDocument/2006/relationships/hyperlink" Target="http://www.ms.ro/2020/04/30/buletin-informativ-30-04-2020/" TargetMode="External"/><Relationship Id="rId1498" Type="http://schemas.openxmlformats.org/officeDocument/2006/relationships/hyperlink" Target="https://stirioficiale.ro/informatii/buletin-de-presa-23-iulie-2020-ora-13-00" TargetMode="External"/><Relationship Id="rId2549" Type="http://schemas.openxmlformats.org/officeDocument/2006/relationships/hyperlink" Target="https://stirioficiale.ro/informatii/buletin-de-presa-9-august-2020-ora-13-00" TargetMode="External"/><Relationship Id="rId2756" Type="http://schemas.openxmlformats.org/officeDocument/2006/relationships/hyperlink" Target="http://www.ms.ro/2020/08/11/buletin-informativ-11-08-2020" TargetMode="External"/><Relationship Id="rId2963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3807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728" Type="http://schemas.openxmlformats.org/officeDocument/2006/relationships/hyperlink" Target="https://stirioficiale.ro/informatii/buletin-de-presa-27-aprilie-2020-ora-13-00" TargetMode="External"/><Relationship Id="rId935" Type="http://schemas.openxmlformats.org/officeDocument/2006/relationships/hyperlink" Target="http://www.ms.ro/2020/05/03/buletin-informativ-03-05-2020/" TargetMode="External"/><Relationship Id="rId1358" Type="http://schemas.openxmlformats.org/officeDocument/2006/relationships/hyperlink" Target="https://stirioficiale.ro/informatii/buletin-de-presa-5-iulie-2020-ora-13-00" TargetMode="External"/><Relationship Id="rId1565" Type="http://schemas.openxmlformats.org/officeDocument/2006/relationships/hyperlink" Target="http://www.ms.ro/2020/07/27/buletin-informativ-27-07-2020/" TargetMode="External"/><Relationship Id="rId1772" Type="http://schemas.openxmlformats.org/officeDocument/2006/relationships/hyperlink" Target="https://stirioficiale.ro/informatii/buletin-de-presa-30-iulie-2020-ora-13-00" TargetMode="External"/><Relationship Id="rId2409" Type="http://schemas.openxmlformats.org/officeDocument/2006/relationships/hyperlink" Target="https://stirioficiale.ro/informatii/buletin-de-presa-8-august-2020-ora-13-00" TargetMode="External"/><Relationship Id="rId2616" Type="http://schemas.openxmlformats.org/officeDocument/2006/relationships/hyperlink" Target="http://www.ms.ro/2020/08/10/buletin-informativ-10-08-2020" TargetMode="External"/><Relationship Id="rId64" Type="http://schemas.openxmlformats.org/officeDocument/2006/relationships/hyperlink" Target="https://stirioficiale.ro/informatii/buletin-de-presa-6-aprilie-2020-ora-13-00" TargetMode="External"/><Relationship Id="rId1218" Type="http://schemas.openxmlformats.org/officeDocument/2006/relationships/hyperlink" Target="http://www.ms.ro/2020/06/01/buletin-informativ-01-06-2020/" TargetMode="External"/><Relationship Id="rId1425" Type="http://schemas.openxmlformats.org/officeDocument/2006/relationships/hyperlink" Target="http://www.ms.ro/2020/07/16/buletin-informativ-16-07-2020/" TargetMode="External"/><Relationship Id="rId2823" Type="http://schemas.openxmlformats.org/officeDocument/2006/relationships/hyperlink" Target="https://www.ebihoreanul.ro/stiri/o-angajata-de-la-finante-din-oradea-confirmata-cu-covid-19-colegele-ei-trimise-sa-lucreze-de-acasa-158194.html" TargetMode="External"/><Relationship Id="rId1632" Type="http://schemas.openxmlformats.org/officeDocument/2006/relationships/hyperlink" Target="https://stirioficiale.ro/informatii/buletin-de-presa-28-iulie-2020-ora-13-00" TargetMode="External"/><Relationship Id="rId2199" Type="http://schemas.openxmlformats.org/officeDocument/2006/relationships/hyperlink" Target="https://www.ebihoreanul.ro/stiri/record-dupa-record-in-bihor-intr-o-singura-zi-3-morti-si-59-noi-imbolnaviri-cu-covid-158047.html" TargetMode="External"/><Relationship Id="rId3597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3457" Type="http://schemas.openxmlformats.org/officeDocument/2006/relationships/hyperlink" Target="https://www.ebihoreanul.ro/stiri/coronavirus-in-bihor-inca-doua-decese-si-45-de-cazuri-noi-vezi-din-ce-localitati-158277.html" TargetMode="External"/><Relationship Id="rId3664" Type="http://schemas.openxmlformats.org/officeDocument/2006/relationships/hyperlink" Target="http://www.ms.ro/2020/08/20/buletin-informativ-20-08-2020" TargetMode="External"/><Relationship Id="rId3871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378" Type="http://schemas.openxmlformats.org/officeDocument/2006/relationships/hyperlink" Target="http://www.ms.ro/2020/04/16/buletin-informativ-16-04-2020/" TargetMode="External"/><Relationship Id="rId585" Type="http://schemas.openxmlformats.org/officeDocument/2006/relationships/hyperlink" Target="http://www.ms.ro/2020/04/22/buletin-informativ-22-04-2020/" TargetMode="External"/><Relationship Id="rId792" Type="http://schemas.openxmlformats.org/officeDocument/2006/relationships/hyperlink" Target="https://stirioficiale.ro/informatii/buletin-de-presa-27-aprilie-2020-ora-13-00" TargetMode="External"/><Relationship Id="rId2059" Type="http://schemas.openxmlformats.org/officeDocument/2006/relationships/hyperlink" Target="https://stirioficiale.ro/informatii/buletin-de-presa-3-august-2020-ora-13-00" TargetMode="External"/><Relationship Id="rId2266" Type="http://schemas.openxmlformats.org/officeDocument/2006/relationships/hyperlink" Target="http://www.ms.ro/2020/08/06/buletin-informativ-06-08-2020/" TargetMode="External"/><Relationship Id="rId2473" Type="http://schemas.openxmlformats.org/officeDocument/2006/relationships/hyperlink" Target="https://stirioficiale.ro/informatii/buletin-de-presa-8-august-2020-ora-13-00" TargetMode="External"/><Relationship Id="rId2680" Type="http://schemas.openxmlformats.org/officeDocument/2006/relationships/hyperlink" Target="http://www.ms.ro/2020/08/11/buletin-informativ-11-08-2020" TargetMode="External"/><Relationship Id="rId3317" Type="http://schemas.openxmlformats.org/officeDocument/2006/relationships/hyperlink" Target="https://www.ebihoreanul.ro/stiri/coronavirus-in-bihor-inca-trei-decese-inregistrate-50-de-cazuri-noi-diagnosticate-nicio-persoana-vindecata-158239.html" TargetMode="External"/><Relationship Id="rId3524" Type="http://schemas.openxmlformats.org/officeDocument/2006/relationships/hyperlink" Target="http://www.ms.ro/2020/08/19/buletin-informativ-19-08-2020" TargetMode="External"/><Relationship Id="rId3731" Type="http://schemas.openxmlformats.org/officeDocument/2006/relationships/hyperlink" Target="https://www.ebihoreanul.ro/stiri/record-alarmant-in-bihor-inca-85-de-cazuri-noi-de-covid-si-inca-doua-decese-158311.html" TargetMode="External"/><Relationship Id="rId238" Type="http://schemas.openxmlformats.org/officeDocument/2006/relationships/hyperlink" Target="https://stirioficiale.ro/informatii/buletin-de-presa-13-aprilie-2020-ora-13-81" TargetMode="External"/><Relationship Id="rId445" Type="http://schemas.openxmlformats.org/officeDocument/2006/relationships/hyperlink" Target="https://stirioficiale.ro/informatii/buletin-de-presa-20-aprilie-2020-ora-13-00" TargetMode="External"/><Relationship Id="rId652" Type="http://schemas.openxmlformats.org/officeDocument/2006/relationships/hyperlink" Target="https://stirioficiale.ro/informatii/buletin-de-presa-23-aprilie-2020-ora-13-00" TargetMode="External"/><Relationship Id="rId1075" Type="http://schemas.openxmlformats.org/officeDocument/2006/relationships/hyperlink" Target="http://www.ms.ro/2020/05/23/buletin-informativ-23-05-2020/" TargetMode="External"/><Relationship Id="rId1282" Type="http://schemas.openxmlformats.org/officeDocument/2006/relationships/hyperlink" Target="https://stirioficiale.ro/informatii/buletin-de-presa-7-iunie-2020-ora-13-00" TargetMode="External"/><Relationship Id="rId2126" Type="http://schemas.openxmlformats.org/officeDocument/2006/relationships/hyperlink" Target="http://www.ms.ro/2020/08/05/buletin-informativ-05-08-2020/" TargetMode="External"/><Relationship Id="rId2333" Type="http://schemas.openxmlformats.org/officeDocument/2006/relationships/hyperlink" Target="https://www.ebihoreanul.ro/stiri/a-patra-zi-la-rand-cu-decese-covid-in-bihor-si-53-noi-imbolnaviri-in-ultimele-24-de-ore-158087.html" TargetMode="External"/><Relationship Id="rId2540" Type="http://schemas.openxmlformats.org/officeDocument/2006/relationships/hyperlink" Target="http://www.ms.ro/2020/08/09/buletin-informativ-09-08-2020" TargetMode="External"/><Relationship Id="rId305" Type="http://schemas.openxmlformats.org/officeDocument/2006/relationships/hyperlink" Target="http://www.ms.ro/2020/04/13/buletin-informativ-13-04-2020/" TargetMode="External"/><Relationship Id="rId512" Type="http://schemas.openxmlformats.org/officeDocument/2006/relationships/hyperlink" Target="http://www.ms.ro/2020/04/21/buletin-informativ-21-04-2020/" TargetMode="External"/><Relationship Id="rId1142" Type="http://schemas.openxmlformats.org/officeDocument/2006/relationships/hyperlink" Target="http://www.ms.ro/2020/05/29/buletin-informativ-29-05-2020/" TargetMode="External"/><Relationship Id="rId2400" Type="http://schemas.openxmlformats.org/officeDocument/2006/relationships/hyperlink" Target="http://www.ms.ro/2020/08/08/buletin-informativ-08-08-2020" TargetMode="External"/><Relationship Id="rId1002" Type="http://schemas.openxmlformats.org/officeDocument/2006/relationships/hyperlink" Target="https://www.bihon.ro/stirile-judetului-bihor/angajati-confirmati-cu-coronavirus-in-parcul-industrial-de-pe-borsului-2284463/" TargetMode="External"/><Relationship Id="rId4158" Type="http://schemas.openxmlformats.org/officeDocument/2006/relationships/hyperlink" Target="http://www.ms.ro/2020/08/25/buletin-informativ-25-08-2020" TargetMode="External"/><Relationship Id="rId1959" Type="http://schemas.openxmlformats.org/officeDocument/2006/relationships/hyperlink" Target="http://www.ms.ro/2020/08/02/buletin-informativ-02-08-2020/" TargetMode="External"/><Relationship Id="rId3174" Type="http://schemas.openxmlformats.org/officeDocument/2006/relationships/hyperlink" Target="http://www.ms.ro/2020/08/15/33355/" TargetMode="External"/><Relationship Id="rId4018" Type="http://schemas.openxmlformats.org/officeDocument/2006/relationships/hyperlink" Target="http://www.ms.ro/2020/08/23/buletin-informativ-23-08-2020" TargetMode="External"/><Relationship Id="rId1819" Type="http://schemas.openxmlformats.org/officeDocument/2006/relationships/hyperlink" Target="http://www.ms.ro/2020/07/31/buletin-informativ-31-07-2020/" TargetMode="External"/><Relationship Id="rId3381" Type="http://schemas.openxmlformats.org/officeDocument/2006/relationships/hyperlink" Target="https://www.ebihoreanul.ro/stiri/dupa-doua-saptamani-numarul-imbolnavirilor-covid-scade-in-bihor-31-noi-infectari-dar-si-un-deces-158256.html" TargetMode="External"/><Relationship Id="rId4225" Type="http://schemas.openxmlformats.org/officeDocument/2006/relationships/hyperlink" Target="https://www.ebihoreanul.ro/stiri/28-de-noi-imbolnaviri-cu-covid-19-in-bihor-inclusiv-in-randul-personalului-upu-smurd-158401.html" TargetMode="External"/><Relationship Id="rId2190" Type="http://schemas.openxmlformats.org/officeDocument/2006/relationships/hyperlink" Target="http://www.ms.ro/2020/08/05/buletin-informativ-05-08-2020/" TargetMode="External"/><Relationship Id="rId3034" Type="http://schemas.openxmlformats.org/officeDocument/2006/relationships/hyperlink" Target="http://www.ms.ro/2020/08/14/buletin-informativ-14-08-2020" TargetMode="External"/><Relationship Id="rId3241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162" Type="http://schemas.openxmlformats.org/officeDocument/2006/relationships/hyperlink" Target="https://stirioficiale.ro/informatii/buletin-de-presa-13-aprilie-2020-ora-13-43" TargetMode="External"/><Relationship Id="rId2050" Type="http://schemas.openxmlformats.org/officeDocument/2006/relationships/hyperlink" Target="http://www.ms.ro/2020/08/03/buletin-informativ-03-08-2020/" TargetMode="External"/><Relationship Id="rId3101" Type="http://schemas.openxmlformats.org/officeDocument/2006/relationships/hyperlink" Target="https://www.ebihoreanul.ro/stiri/inca-56-de-cazuri-de-coronavirus-in-bihor-158211.html" TargetMode="External"/><Relationship Id="rId979" Type="http://schemas.openxmlformats.org/officeDocument/2006/relationships/hyperlink" Target="http://www.ms.ro/2020/05/12/buletin-informativ-12-05-2020/" TargetMode="External"/><Relationship Id="rId839" Type="http://schemas.openxmlformats.org/officeDocument/2006/relationships/hyperlink" Target="http://www.ms.ro/2020/04/28/buletin-informativ-28-04-2020/" TargetMode="External"/><Relationship Id="rId1469" Type="http://schemas.openxmlformats.org/officeDocument/2006/relationships/hyperlink" Target="http://www.ms.ro/2020/07/22/buletin-informativ-22-07-2020/" TargetMode="External"/><Relationship Id="rId2867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3918" Type="http://schemas.openxmlformats.org/officeDocument/2006/relationships/hyperlink" Target="http://www.ms.ro/2020/08/22/buletin-informativ-22-08-2020" TargetMode="External"/><Relationship Id="rId4082" Type="http://schemas.openxmlformats.org/officeDocument/2006/relationships/hyperlink" Target="http://www.ms.ro/2020/08/24/buletin-informativ-24-08-2020" TargetMode="External"/><Relationship Id="rId1676" Type="http://schemas.openxmlformats.org/officeDocument/2006/relationships/hyperlink" Target="https://stirioficiale.ro/informatii/buletin-de-presa-29-iulie-2020-ora-13-00" TargetMode="External"/><Relationship Id="rId1883" Type="http://schemas.openxmlformats.org/officeDocument/2006/relationships/hyperlink" Target="http://www.ms.ro/2020/08/01/buletin-informativ-01-08-2020/" TargetMode="External"/><Relationship Id="rId2727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2934" Type="http://schemas.openxmlformats.org/officeDocument/2006/relationships/hyperlink" Target="http://www.ms.ro/2020/08/13/buletin-informativ-13-08-2020" TargetMode="External"/><Relationship Id="rId906" Type="http://schemas.openxmlformats.org/officeDocument/2006/relationships/hyperlink" Target="http://www.ms.ro/2020/05/01/buletin-informativ-01-05-2020/" TargetMode="External"/><Relationship Id="rId1329" Type="http://schemas.openxmlformats.org/officeDocument/2006/relationships/hyperlink" Target="http://www.ms.ro/2020/06/26/buletin-informativ-26-06-2020/" TargetMode="External"/><Relationship Id="rId1536" Type="http://schemas.openxmlformats.org/officeDocument/2006/relationships/hyperlink" Target="https://stirioficiale.ro/informatii/buletin-de-presa-25-iulie-2020-ora-13-00" TargetMode="External"/><Relationship Id="rId1743" Type="http://schemas.openxmlformats.org/officeDocument/2006/relationships/hyperlink" Target="http://www.ms.ro/2020/07/30/buletin-informativ-30-07-2020/" TargetMode="External"/><Relationship Id="rId1950" Type="http://schemas.openxmlformats.org/officeDocument/2006/relationships/hyperlink" Target="https://stirioficiale.ro/informatii/buletin-de-presa-2-august-2020-ora-13-00" TargetMode="External"/><Relationship Id="rId35" Type="http://schemas.openxmlformats.org/officeDocument/2006/relationships/hyperlink" Target="http://www.ms.ro/2020/04/02/buletin-informativ-02-04-2020/" TargetMode="External"/><Relationship Id="rId1603" Type="http://schemas.openxmlformats.org/officeDocument/2006/relationships/hyperlink" Target="http://www.ms.ro/2020/07/27/buletin-informativ-27-07-2020/" TargetMode="External"/><Relationship Id="rId1810" Type="http://schemas.openxmlformats.org/officeDocument/2006/relationships/hyperlink" Target="https://stirioficiale.ro/informatii/buletin-de-presa-31-iulie-2020-ora-13-00" TargetMode="External"/><Relationship Id="rId3568" Type="http://schemas.openxmlformats.org/officeDocument/2006/relationships/hyperlink" Target="http://www.ms.ro/2020/08/19/buletin-informativ-19-08-2020" TargetMode="External"/><Relationship Id="rId3775" Type="http://schemas.openxmlformats.org/officeDocument/2006/relationships/hyperlink" Target="https://www.ebihoreanul.ro/stiri/record-alarmant-in-bihor-inca-85-de-cazuri-noi-de-covid-si-inca-doua-decese-158311.html" TargetMode="External"/><Relationship Id="rId3982" Type="http://schemas.openxmlformats.org/officeDocument/2006/relationships/hyperlink" Target="http://www.ms.ro/2020/08/22/buletin-informativ-22-08-2020" TargetMode="External"/><Relationship Id="rId489" Type="http://schemas.openxmlformats.org/officeDocument/2006/relationships/hyperlink" Target="https://stirioficiale.ro/informatii/buletin-de-presa-21-aprilie-2020-ora-13-20" TargetMode="External"/><Relationship Id="rId696" Type="http://schemas.openxmlformats.org/officeDocument/2006/relationships/hyperlink" Target="https://stirioficiale.ro/informatii/buletin-de-presa-25-aprilie-2020-ora-13-00" TargetMode="External"/><Relationship Id="rId2377" Type="http://schemas.openxmlformats.org/officeDocument/2006/relationships/hyperlink" Target="https://www.ebihoreanul.ro/stiri/a-patra-zi-la-rand-cu-decese-covid-in-bihor-si-53-noi-imbolnaviri-in-ultimele-24-de-ore-158087.html" TargetMode="External"/><Relationship Id="rId2584" Type="http://schemas.openxmlformats.org/officeDocument/2006/relationships/hyperlink" Target="http://www.ms.ro/2020/08/09/buletin-informativ-09-08-2020" TargetMode="External"/><Relationship Id="rId2791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3428" Type="http://schemas.openxmlformats.org/officeDocument/2006/relationships/hyperlink" Target="http://www.ms.ro/2020/08/18/buletin-informativ-18-08-2020" TargetMode="External"/><Relationship Id="rId3635" Type="http://schemas.openxmlformats.org/officeDocument/2006/relationships/hyperlink" Target="https://www.ebihoreanul.ro/stiri/record-alarmant-in-bihor-inca-85-de-cazuri-noi-de-covid-si-inca-doua-decese-158311.html" TargetMode="External"/><Relationship Id="rId349" Type="http://schemas.openxmlformats.org/officeDocument/2006/relationships/hyperlink" Target="https://stirioficiale.ro/informatii/buletin-de-presa-15-aprilie-2020-ora-13-55" TargetMode="External"/><Relationship Id="rId556" Type="http://schemas.openxmlformats.org/officeDocument/2006/relationships/hyperlink" Target="http://www.ms.ro/2020/04/21/buletin-informativ-21-04-2020/" TargetMode="External"/><Relationship Id="rId763" Type="http://schemas.openxmlformats.org/officeDocument/2006/relationships/hyperlink" Target="http://www.ms.ro/2020/04/27/buletin-informativ-27-04-2020/" TargetMode="External"/><Relationship Id="rId1186" Type="http://schemas.openxmlformats.org/officeDocument/2006/relationships/hyperlink" Target="http://www.ms.ro/2020/05/31/buletin-informativ-31-05-2020/" TargetMode="External"/><Relationship Id="rId1393" Type="http://schemas.openxmlformats.org/officeDocument/2006/relationships/hyperlink" Target="http://www.ms.ro/2020/07/08/buletin-informativ-07-08-2020/" TargetMode="External"/><Relationship Id="rId2237" Type="http://schemas.openxmlformats.org/officeDocument/2006/relationships/hyperlink" Target="https://www.ebihoreanul.ro/stiri/a-treia-zi-consecutiva-cu-decese-covid-in-bihor-si-inca-35-noi-imbolnaviri-raportate-oficial-pentru-ultimele-24-de-ore-158069.html" TargetMode="External"/><Relationship Id="rId2444" Type="http://schemas.openxmlformats.org/officeDocument/2006/relationships/hyperlink" Target="http://www.ms.ro/2020/08/08/buletin-informativ-08-08-2020" TargetMode="External"/><Relationship Id="rId3842" Type="http://schemas.openxmlformats.org/officeDocument/2006/relationships/hyperlink" Target="http://www.ms.ro/2020/08/21/buletin-informativ-21-08-2020" TargetMode="External"/><Relationship Id="rId209" Type="http://schemas.openxmlformats.org/officeDocument/2006/relationships/hyperlink" Target="http://www.ms.ro/2020/04/13/buletin-informativ-13-04-2020/" TargetMode="External"/><Relationship Id="rId416" Type="http://schemas.openxmlformats.org/officeDocument/2006/relationships/hyperlink" Target="http://www.ms.ro/2020/04/18/buletin-informativ-18-04-2020/" TargetMode="External"/><Relationship Id="rId970" Type="http://schemas.openxmlformats.org/officeDocument/2006/relationships/hyperlink" Target="http://www.ms.ro/2020/05/10/buletin-informativ-10-05-2020/" TargetMode="External"/><Relationship Id="rId1046" Type="http://schemas.openxmlformats.org/officeDocument/2006/relationships/hyperlink" Target="https://stirioficiale.ro/informatii/buletin-de-presa-21-mai-2020-ora-13-00" TargetMode="External"/><Relationship Id="rId1253" Type="http://schemas.openxmlformats.org/officeDocument/2006/relationships/hyperlink" Target="https://stirioficiale.ro/informatii/buletin-de-presa-4-iunie-2020-ora-13-00" TargetMode="External"/><Relationship Id="rId2651" Type="http://schemas.openxmlformats.org/officeDocument/2006/relationships/hyperlink" Target="https://www.ebihoreanul.ro/stiri/nc-un-deces-i-37-de-noi-mbolnviri-de-covid-19-n-bihor-o-parte-a-spitalului-din-beiu-va-trata-bolnavi-cu-covid-din-cauza-cazurilor-multe-din-zon-158138.html" TargetMode="External"/><Relationship Id="rId3702" Type="http://schemas.openxmlformats.org/officeDocument/2006/relationships/hyperlink" Target="http://www.ms.ro/2020/08/20/buletin-informativ-20-08-2020" TargetMode="External"/><Relationship Id="rId623" Type="http://schemas.openxmlformats.org/officeDocument/2006/relationships/hyperlink" Target="http://www.ms.ro/2020/04/22/buletin-informativ-22-04-2020/" TargetMode="External"/><Relationship Id="rId830" Type="http://schemas.openxmlformats.org/officeDocument/2006/relationships/hyperlink" Target="https://stirioficiale.ro/informatii/buletin-de-presa-28-aprilie-2020-ora-13-00" TargetMode="External"/><Relationship Id="rId1460" Type="http://schemas.openxmlformats.org/officeDocument/2006/relationships/hyperlink" Target="https://stirioficiale.ro/informatii/buletin-de-presa-22-iulie-2020-ora-13-00" TargetMode="External"/><Relationship Id="rId2304" Type="http://schemas.openxmlformats.org/officeDocument/2006/relationships/hyperlink" Target="http://www.ms.ro/2020/08/07/buletin-informativ-07-08-2020/" TargetMode="External"/><Relationship Id="rId2511" Type="http://schemas.openxmlformats.org/officeDocument/2006/relationships/hyperlink" Target="https://stirioficiale.ro/informatii/buletin-de-presa-9-august-2020-ora-13-00" TargetMode="External"/><Relationship Id="rId1113" Type="http://schemas.openxmlformats.org/officeDocument/2006/relationships/hyperlink" Target="https://stirioficiale.ro/informatii/buletin-de-presa-27-mai-2020-ora-13-00" TargetMode="External"/><Relationship Id="rId1320" Type="http://schemas.openxmlformats.org/officeDocument/2006/relationships/hyperlink" Target="https://stirioficiale.ro/informatii/buletin-de-presa-19-iunie-2020-ora-13-00" TargetMode="External"/><Relationship Id="rId3078" Type="http://schemas.openxmlformats.org/officeDocument/2006/relationships/hyperlink" Target="http://www.ms.ro/2020/08/14/buletin-informativ-14-08-2020" TargetMode="External"/><Relationship Id="rId3285" Type="http://schemas.openxmlformats.org/officeDocument/2006/relationships/hyperlink" Target="https://www.ebihoreanul.ro/stiri/coronavirus-in-bihor-inca-trei-decese-inregistrate-50-de-cazuri-noi-diagnosticate-nicio-persoana-vindecata-158239.html" TargetMode="External"/><Relationship Id="rId3492" Type="http://schemas.openxmlformats.org/officeDocument/2006/relationships/hyperlink" Target="http://www.ms.ro/2020/08/18/buletin-informativ-18-08-2020" TargetMode="External"/><Relationship Id="rId4129" Type="http://schemas.openxmlformats.org/officeDocument/2006/relationships/hyperlink" Target="https://www.ebihoreanul.ro/stiri/record-de-decese-covid-in-romania-58-intr-o-singura-zi-in-bihor-au-murit-3-oameni-iar-alti-37-au-fost-diagnosticati-aproape-100-de-pacienti-vindecati-158383.html" TargetMode="External"/><Relationship Id="rId2094" Type="http://schemas.openxmlformats.org/officeDocument/2006/relationships/hyperlink" Target="http://www.ms.ro/2020/08/04/buletin-informativ-04-08-2020/" TargetMode="External"/><Relationship Id="rId3145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3352" Type="http://schemas.openxmlformats.org/officeDocument/2006/relationships/hyperlink" Target="http://www.ms.ro/2020/08/17/buletin-informativ-17-08-2020" TargetMode="External"/><Relationship Id="rId273" Type="http://schemas.openxmlformats.org/officeDocument/2006/relationships/hyperlink" Target="http://www.ms.ro/2020/04/13/buletin-informativ-13-04-2020/" TargetMode="External"/><Relationship Id="rId480" Type="http://schemas.openxmlformats.org/officeDocument/2006/relationships/hyperlink" Target="http://www.ms.ro/2020/04/20/buletin-informativ-20-04-2020/" TargetMode="External"/><Relationship Id="rId2161" Type="http://schemas.openxmlformats.org/officeDocument/2006/relationships/hyperlink" Target="https://www.ebihoreanul.ro/stiri/record-dupa-record-in-bihor-intr-o-singura-zi-3-morti-si-59-noi-imbolnaviri-cu-covid-158047.html" TargetMode="External"/><Relationship Id="rId3005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3212" Type="http://schemas.openxmlformats.org/officeDocument/2006/relationships/hyperlink" Target="http://www.ms.ro/2020/08/15/33355/" TargetMode="External"/><Relationship Id="rId133" Type="http://schemas.openxmlformats.org/officeDocument/2006/relationships/hyperlink" Target="http://www.ms.ro/2020/04/13/buletin-informativ-13-04-2020/" TargetMode="External"/><Relationship Id="rId340" Type="http://schemas.openxmlformats.org/officeDocument/2006/relationships/hyperlink" Target="http://www.ms.ro/2020/04/14/buletin-informativ-14-04-2020/" TargetMode="External"/><Relationship Id="rId2021" Type="http://schemas.openxmlformats.org/officeDocument/2006/relationships/hyperlink" Target="https://www.ebihoreanul.ro/stiri/inca-50-de-cazuri-de-covid-19-in-bihor-in-urma-testelor-facute-duminica-157998.html" TargetMode="External"/><Relationship Id="rId200" Type="http://schemas.openxmlformats.org/officeDocument/2006/relationships/hyperlink" Target="https://stirioficiale.ro/informatii/buletin-de-presa-13-aprilie-2020-ora-13-62" TargetMode="External"/><Relationship Id="rId2978" Type="http://schemas.openxmlformats.org/officeDocument/2006/relationships/hyperlink" Target="http://www.ms.ro/2020/08/13/buletin-informativ-13-08-2020" TargetMode="External"/><Relationship Id="rId4193" Type="http://schemas.openxmlformats.org/officeDocument/2006/relationships/hyperlink" Target="https://www.ebihoreanul.ro/stiri/28-de-noi-imbolnaviri-cu-covid-19-in-bihor-inclusiv-in-randul-personalului-upu-smurd-158401.html" TargetMode="External"/><Relationship Id="rId1787" Type="http://schemas.openxmlformats.org/officeDocument/2006/relationships/hyperlink" Target="http://www.ms.ro/2020/07/31/buletin-informativ-31-07-2020/" TargetMode="External"/><Relationship Id="rId1994" Type="http://schemas.openxmlformats.org/officeDocument/2006/relationships/hyperlink" Target="http://www.ms.ro/2020/08/03/buletin-informativ-03-08-2020/" TargetMode="External"/><Relationship Id="rId2838" Type="http://schemas.openxmlformats.org/officeDocument/2006/relationships/hyperlink" Target="http://www.ms.ro/2020/08/12/buletin-informativ-12-08-2020" TargetMode="External"/><Relationship Id="rId79" Type="http://schemas.openxmlformats.org/officeDocument/2006/relationships/hyperlink" Target="http://www.ms.ro/2020/04/09/buletin-informativ-09-04-2020/" TargetMode="External"/><Relationship Id="rId1647" Type="http://schemas.openxmlformats.org/officeDocument/2006/relationships/hyperlink" Target="http://www.ms.ro/2020/07/28/buletin-informativ-28-07-2020/" TargetMode="External"/><Relationship Id="rId1854" Type="http://schemas.openxmlformats.org/officeDocument/2006/relationships/hyperlink" Target="https://www.ebihoreanul.ro/stiri/nou-record-covid-in-bihor-52-de-cazuri-noi-157971.html" TargetMode="External"/><Relationship Id="rId2905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4053" Type="http://schemas.openxmlformats.org/officeDocument/2006/relationships/hyperlink" Target="https://www.ebihoreanul.ro/stiri/a-fost-depasit-pragul-de-2000-de-cazuri-covid-19diagnosticate-in-bihor-158350.html" TargetMode="External"/><Relationship Id="rId1507" Type="http://schemas.openxmlformats.org/officeDocument/2006/relationships/hyperlink" Target="http://www.ms.ro/2020/07/24/buletin-informativ-24-07-2020/" TargetMode="External"/><Relationship Id="rId1714" Type="http://schemas.openxmlformats.org/officeDocument/2006/relationships/hyperlink" Target="https://stirioficiale.ro/informatii/buletin-de-presa-30-iulie-2020-ora-13-00" TargetMode="External"/><Relationship Id="rId4120" Type="http://schemas.openxmlformats.org/officeDocument/2006/relationships/hyperlink" Target="http://www.ms.ro/2020/08/25/buletin-informativ-25-08-2020" TargetMode="External"/><Relationship Id="rId1921" Type="http://schemas.openxmlformats.org/officeDocument/2006/relationships/hyperlink" Target="http://www.ms.ro/2020/08/02/buletin-informativ-02-08-2020/" TargetMode="External"/><Relationship Id="rId3679" Type="http://schemas.openxmlformats.org/officeDocument/2006/relationships/hyperlink" Target="https://www.ebihoreanul.ro/stiri/record-alarmant-in-bihor-inca-85-de-cazuri-noi-de-covid-si-inca-doua-decese-158311.html" TargetMode="External"/><Relationship Id="rId2488" Type="http://schemas.openxmlformats.org/officeDocument/2006/relationships/hyperlink" Target="http://www.ms.ro/2020/08/08/buletin-informativ-08-08-2020" TargetMode="External"/><Relationship Id="rId3886" Type="http://schemas.openxmlformats.org/officeDocument/2006/relationships/hyperlink" Target="http://www.ms.ro/2020/08/21/buletin-informativ-21-08-2020" TargetMode="External"/><Relationship Id="rId1297" Type="http://schemas.openxmlformats.org/officeDocument/2006/relationships/hyperlink" Target="http://www.ms.ro/2020/06/13/buletin-informativ-13-06-2020/" TargetMode="External"/><Relationship Id="rId2695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3539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3746" Type="http://schemas.openxmlformats.org/officeDocument/2006/relationships/hyperlink" Target="http://www.ms.ro/2020/08/20/buletin-informativ-20-08-2020" TargetMode="External"/><Relationship Id="rId3953" Type="http://schemas.openxmlformats.org/officeDocument/2006/relationships/hyperlink" Target="https://www.ebihoreanul.ro/stiri/niciun-deces-in-bihor-si-zeci-de-pacienti-covid-vindecati-dar-si-40-noi-imbolnaviri-inclusiv-angajati-ai-maternitatii-si-spitalului-militar-158339.html" TargetMode="External"/><Relationship Id="rId667" Type="http://schemas.openxmlformats.org/officeDocument/2006/relationships/hyperlink" Target="http://www.ms.ro/2020/04/24/buletin-informativ-24-04-2020/" TargetMode="External"/><Relationship Id="rId874" Type="http://schemas.openxmlformats.org/officeDocument/2006/relationships/hyperlink" Target="http://www.ms.ro/2020/04/30/buletin-informativ-30-04-2020/" TargetMode="External"/><Relationship Id="rId2348" Type="http://schemas.openxmlformats.org/officeDocument/2006/relationships/hyperlink" Target="http://www.ms.ro/2020/08/07/buletin-informativ-07-08-2020/" TargetMode="External"/><Relationship Id="rId2555" Type="http://schemas.openxmlformats.org/officeDocument/2006/relationships/hyperlink" Target="https://stirioficiale.ro/informatii/buletin-de-presa-9-august-2020-ora-13-00" TargetMode="External"/><Relationship Id="rId2762" Type="http://schemas.openxmlformats.org/officeDocument/2006/relationships/hyperlink" Target="http://www.ms.ro/2020/08/11/buletin-informativ-11-08-2020" TargetMode="External"/><Relationship Id="rId3606" Type="http://schemas.openxmlformats.org/officeDocument/2006/relationships/hyperlink" Target="http://www.ms.ro/2020/08/19/buletin-informativ-19-08-2020" TargetMode="External"/><Relationship Id="rId3813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527" Type="http://schemas.openxmlformats.org/officeDocument/2006/relationships/hyperlink" Target="https://stirioficiale.ro/informatii/buletin-de-presa-21-aprilie-2020-ora-13-39" TargetMode="External"/><Relationship Id="rId734" Type="http://schemas.openxmlformats.org/officeDocument/2006/relationships/hyperlink" Target="https://stirioficiale.ro/informatii/buletin-de-presa-27-aprilie-2020-ora-13-00" TargetMode="External"/><Relationship Id="rId941" Type="http://schemas.openxmlformats.org/officeDocument/2006/relationships/hyperlink" Target="http://www.ms.ro/2020/05/03/buletin-informativ-03-05-2020/" TargetMode="External"/><Relationship Id="rId1157" Type="http://schemas.openxmlformats.org/officeDocument/2006/relationships/hyperlink" Target="https://stirioficiale.ro/informatii/buletin-de-presa-29-mai-2020-ora-13-00" TargetMode="External"/><Relationship Id="rId1364" Type="http://schemas.openxmlformats.org/officeDocument/2006/relationships/hyperlink" Target="https://stirioficiale.ro/informatii/buletin-de-presa-5-iulie-2020-ora-13-00" TargetMode="External"/><Relationship Id="rId1571" Type="http://schemas.openxmlformats.org/officeDocument/2006/relationships/hyperlink" Target="http://www.ms.ro/2020/07/27/buletin-informativ-27-07-2020/" TargetMode="External"/><Relationship Id="rId2208" Type="http://schemas.openxmlformats.org/officeDocument/2006/relationships/hyperlink" Target="http://www.ms.ro/2020/08/05/buletin-informativ-05-08-2020/" TargetMode="External"/><Relationship Id="rId2415" Type="http://schemas.openxmlformats.org/officeDocument/2006/relationships/hyperlink" Target="https://stirioficiale.ro/informatii/buletin-de-presa-8-august-2020-ora-13-00" TargetMode="External"/><Relationship Id="rId2622" Type="http://schemas.openxmlformats.org/officeDocument/2006/relationships/hyperlink" Target="http://www.ms.ro/2020/08/10/buletin-informativ-10-08-2020" TargetMode="External"/><Relationship Id="rId70" Type="http://schemas.openxmlformats.org/officeDocument/2006/relationships/hyperlink" Target="http://www.ms.ro/2020/04/07/buletin-informativ-07-04-2020/" TargetMode="External"/><Relationship Id="rId801" Type="http://schemas.openxmlformats.org/officeDocument/2006/relationships/hyperlink" Target="http://www.ms.ro/2020/04/27/buletin-informativ-27-04-2020/" TargetMode="External"/><Relationship Id="rId1017" Type="http://schemas.openxmlformats.org/officeDocument/2006/relationships/hyperlink" Target="http://www.ms.ro/2020/05/18/buletin-informativ-18-05-2020/" TargetMode="External"/><Relationship Id="rId1224" Type="http://schemas.openxmlformats.org/officeDocument/2006/relationships/hyperlink" Target="http://www.ms.ro/2020/06/02/buletin-informativ-02-06-2020/" TargetMode="External"/><Relationship Id="rId1431" Type="http://schemas.openxmlformats.org/officeDocument/2006/relationships/hyperlink" Target="http://www.ms.ro/2020/07/17/buletin-informati-17-07-2020/" TargetMode="External"/><Relationship Id="rId3189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3396" Type="http://schemas.openxmlformats.org/officeDocument/2006/relationships/hyperlink" Target="http://www.ms.ro/2020/08/17/buletin-informativ-17-08-2020" TargetMode="External"/><Relationship Id="rId3049" Type="http://schemas.openxmlformats.org/officeDocument/2006/relationships/hyperlink" Target="https://www.ebihoreanul.ro/stiri/inca-56-de-cazuri-de-coronavirus-in-bihor-158211.html" TargetMode="External"/><Relationship Id="rId3256" Type="http://schemas.openxmlformats.org/officeDocument/2006/relationships/hyperlink" Target="http://www.ms.ro/2020/08/16/buletin-informativ-16-08-2020" TargetMode="External"/><Relationship Id="rId3463" Type="http://schemas.openxmlformats.org/officeDocument/2006/relationships/hyperlink" Target="https://www.ebihoreanul.ro/stiri/coronavirus-in-bihor-inca-doua-decese-si-45-de-cazuri-noi-vezi-din-ce-localitati-158277.html" TargetMode="External"/><Relationship Id="rId177" Type="http://schemas.openxmlformats.org/officeDocument/2006/relationships/hyperlink" Target="http://www.ms.ro/2020/04/13/buletin-informativ-13-04-2020/" TargetMode="External"/><Relationship Id="rId384" Type="http://schemas.openxmlformats.org/officeDocument/2006/relationships/hyperlink" Target="http://www.ms.ro/2020/04/16/buletin-informativ-16-04-2020/" TargetMode="External"/><Relationship Id="rId591" Type="http://schemas.openxmlformats.org/officeDocument/2006/relationships/hyperlink" Target="http://www.ms.ro/2020/04/22/buletin-informativ-22-04-2020/" TargetMode="External"/><Relationship Id="rId2065" Type="http://schemas.openxmlformats.org/officeDocument/2006/relationships/hyperlink" Target="https://stirioficiale.ro/informatii/buletin-de-presa-3-august-2020-ora-13-00" TargetMode="External"/><Relationship Id="rId2272" Type="http://schemas.openxmlformats.org/officeDocument/2006/relationships/hyperlink" Target="http://www.ms.ro/2020/08/06/buletin-informativ-06-08-2020/" TargetMode="External"/><Relationship Id="rId3116" Type="http://schemas.openxmlformats.org/officeDocument/2006/relationships/hyperlink" Target="http://www.ms.ro/2020/08/14/buletin-informativ-14-08-2020" TargetMode="External"/><Relationship Id="rId3670" Type="http://schemas.openxmlformats.org/officeDocument/2006/relationships/hyperlink" Target="http://www.ms.ro/2020/08/20/buletin-informativ-20-08-2020" TargetMode="External"/><Relationship Id="rId244" Type="http://schemas.openxmlformats.org/officeDocument/2006/relationships/hyperlink" Target="https://stirioficiale.ro/informatii/buletin-de-presa-13-aprilie-2020-ora-13-84" TargetMode="External"/><Relationship Id="rId1081" Type="http://schemas.openxmlformats.org/officeDocument/2006/relationships/hyperlink" Target="http://www.ms.ro/2020/05/23/buletin-informativ-23-05-2020/" TargetMode="External"/><Relationship Id="rId3323" Type="http://schemas.openxmlformats.org/officeDocument/2006/relationships/hyperlink" Target="https://www.ebihoreanul.ro/stiri/coronavirus-in-bihor-inca-trei-decese-inregistrate-50-de-cazuri-noi-diagnosticate-nicio-persoana-vindecata-158239.html" TargetMode="External"/><Relationship Id="rId3530" Type="http://schemas.openxmlformats.org/officeDocument/2006/relationships/hyperlink" Target="http://www.ms.ro/2020/08/19/buletin-informativ-19-08-2020" TargetMode="External"/><Relationship Id="rId451" Type="http://schemas.openxmlformats.org/officeDocument/2006/relationships/hyperlink" Target="https://stirioficiale.ro/informatii/buletin-de-presa-20-aprilie-2020-ora-13-00" TargetMode="External"/><Relationship Id="rId2132" Type="http://schemas.openxmlformats.org/officeDocument/2006/relationships/hyperlink" Target="http://www.ms.ro/2020/08/05/buletin-informativ-05-08-2020/" TargetMode="External"/><Relationship Id="rId104" Type="http://schemas.openxmlformats.org/officeDocument/2006/relationships/hyperlink" Target="http://www.ms.ro/2020/04/10/buletin-informativ-10-04-2020/" TargetMode="External"/><Relationship Id="rId311" Type="http://schemas.openxmlformats.org/officeDocument/2006/relationships/hyperlink" Target="http://www.ms.ro/2020/04/13/buletin-informativ-13-04-2020/" TargetMode="External"/><Relationship Id="rId1898" Type="http://schemas.openxmlformats.org/officeDocument/2006/relationships/hyperlink" Target="https://stirioficiale.ro/informatii/informare-de-presa-01-august-2020" TargetMode="External"/><Relationship Id="rId2949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4097" Type="http://schemas.openxmlformats.org/officeDocument/2006/relationships/hyperlink" Target="https://www.ebihoreanul.ro/stiri/inca-trei-decese-ale-unor-pacienti-infectati-cu-covid-19-in-bihor-cazuri-noi-de-imbolnavire-dar-si-multe-vindecari-158365.html" TargetMode="External"/><Relationship Id="rId1758" Type="http://schemas.openxmlformats.org/officeDocument/2006/relationships/hyperlink" Target="https://stirioficiale.ro/informatii/buletin-de-presa-30-iulie-2020-ora-13-00" TargetMode="External"/><Relationship Id="rId2809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4164" Type="http://schemas.openxmlformats.org/officeDocument/2006/relationships/hyperlink" Target="http://www.ms.ro/2020/08/25/buletin-informativ-25-08-2020" TargetMode="External"/><Relationship Id="rId1965" Type="http://schemas.openxmlformats.org/officeDocument/2006/relationships/hyperlink" Target="http://www.ms.ro/2020/08/02/buletin-informativ-02-08-2020/" TargetMode="External"/><Relationship Id="rId3180" Type="http://schemas.openxmlformats.org/officeDocument/2006/relationships/hyperlink" Target="http://www.ms.ro/2020/08/15/33355/" TargetMode="External"/><Relationship Id="rId4024" Type="http://schemas.openxmlformats.org/officeDocument/2006/relationships/hyperlink" Target="http://www.ms.ro/2020/08/23/buletin-informativ-23-08-2020" TargetMode="External"/><Relationship Id="rId4231" Type="http://schemas.openxmlformats.org/officeDocument/2006/relationships/hyperlink" Target="https://www.ebihoreanul.ro/stiri/28-de-noi-imbolnaviri-cu-covid-19-in-bihor-inclusiv-in-randul-personalului-upu-smurd-158401.html" TargetMode="External"/><Relationship Id="rId1618" Type="http://schemas.openxmlformats.org/officeDocument/2006/relationships/hyperlink" Target="https://stirioficiale.ro/informatii/buletin-de-presa-28-iulie-2020-ora-13-00" TargetMode="External"/><Relationship Id="rId1825" Type="http://schemas.openxmlformats.org/officeDocument/2006/relationships/hyperlink" Target="http://www.ms.ro/2020/07/31/buletin-informativ-31-07-2020/" TargetMode="External"/><Relationship Id="rId3040" Type="http://schemas.openxmlformats.org/officeDocument/2006/relationships/hyperlink" Target="http://www.ms.ro/2020/08/14/buletin-informativ-14-08-2020" TargetMode="External"/><Relationship Id="rId3997" Type="http://schemas.openxmlformats.org/officeDocument/2006/relationships/hyperlink" Target="https://www.ebihoreanul.ro/stiri/a-fost-depasit-pragul-de-2000-de-cazuri-covid-19diagnosticate-in-bihor-158350.html" TargetMode="External"/><Relationship Id="rId2599" Type="http://schemas.openxmlformats.org/officeDocument/2006/relationships/hyperlink" Target="https://www.ebihoreanul.ro/stiri/nc-un-deces-i-37-de-noi-mbolnviri-de-covid-19-n-bihor-o-parte-a-spitalului-din-beiu-va-trata-bolnavi-cu-covid-din-cauza-cazurilor-multe-din-zon-158138.html" TargetMode="External"/><Relationship Id="rId3857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778" Type="http://schemas.openxmlformats.org/officeDocument/2006/relationships/hyperlink" Target="https://stirioficiale.ro/informatii/buletin-de-presa-27-aprilie-2020-ora-13-00" TargetMode="External"/><Relationship Id="rId985" Type="http://schemas.openxmlformats.org/officeDocument/2006/relationships/hyperlink" Target="http://www.ms.ro/2020/05/30/decese-1254-1259/" TargetMode="External"/><Relationship Id="rId2459" Type="http://schemas.openxmlformats.org/officeDocument/2006/relationships/hyperlink" Target="https://stirioficiale.ro/informatii/buletin-de-presa-8-august-2020-ora-13-00" TargetMode="External"/><Relationship Id="rId2666" Type="http://schemas.openxmlformats.org/officeDocument/2006/relationships/hyperlink" Target="http://www.ms.ro/2020/08/10/buletin-informativ-10-08-2020" TargetMode="External"/><Relationship Id="rId2873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3717" Type="http://schemas.openxmlformats.org/officeDocument/2006/relationships/hyperlink" Target="https://www.ebihoreanul.ro/stiri/record-alarmant-in-bihor-inca-85-de-cazuri-noi-de-covid-si-inca-doua-decese-158311.html" TargetMode="External"/><Relationship Id="rId3924" Type="http://schemas.openxmlformats.org/officeDocument/2006/relationships/hyperlink" Target="http://www.ms.ro/2020/08/22/buletin-informativ-22-08-2020" TargetMode="External"/><Relationship Id="rId638" Type="http://schemas.openxmlformats.org/officeDocument/2006/relationships/hyperlink" Target="https://stirioficiale.ro/informatii/buletin-de-presa-22-aprilie-2020-ora-13-73" TargetMode="External"/><Relationship Id="rId845" Type="http://schemas.openxmlformats.org/officeDocument/2006/relationships/hyperlink" Target="http://www.ms.ro/2020/04/28/buletin-informativ-28-04-2020/" TargetMode="External"/><Relationship Id="rId1268" Type="http://schemas.openxmlformats.org/officeDocument/2006/relationships/hyperlink" Target="https://stirioficiale.ro/informatii/buletin-de-presa-6-iunie-2020-ora-13-00" TargetMode="External"/><Relationship Id="rId1475" Type="http://schemas.openxmlformats.org/officeDocument/2006/relationships/hyperlink" Target="http://www.ms.ro/2020/07/23/buletin-informativ-23-07-2020/" TargetMode="External"/><Relationship Id="rId1682" Type="http://schemas.openxmlformats.org/officeDocument/2006/relationships/hyperlink" Target="https://stirioficiale.ro/informatii/buletin-de-presa-29-iulie-2020-ora-13-00" TargetMode="External"/><Relationship Id="rId2319" Type="http://schemas.openxmlformats.org/officeDocument/2006/relationships/hyperlink" Target="https://www.ebihoreanul.ro/stiri/a-patra-zi-la-rand-cu-decese-covid-in-bihor-si-53-noi-imbolnaviri-in-ultimele-24-de-ore-158087.html" TargetMode="External"/><Relationship Id="rId2526" Type="http://schemas.openxmlformats.org/officeDocument/2006/relationships/hyperlink" Target="http://www.ms.ro/2020/08/09/buletin-informativ-09-08-2020" TargetMode="External"/><Relationship Id="rId2733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705" Type="http://schemas.openxmlformats.org/officeDocument/2006/relationships/hyperlink" Target="http://www.ms.ro/2020/04/26/buletin-informativ-26-04-2020/" TargetMode="External"/><Relationship Id="rId1128" Type="http://schemas.openxmlformats.org/officeDocument/2006/relationships/hyperlink" Target="http://www.ms.ro/2020/05/28/buletin-informativ-28-05-2020/" TargetMode="External"/><Relationship Id="rId1335" Type="http://schemas.openxmlformats.org/officeDocument/2006/relationships/hyperlink" Target="http://www.ms.ro/2020/06/29/buletin-informativ-28-06-2020-2/" TargetMode="External"/><Relationship Id="rId1542" Type="http://schemas.openxmlformats.org/officeDocument/2006/relationships/hyperlink" Target="https://stirioficiale.ro/informatii/buletin-de-presa-25-iulie-2020-ora-13-00" TargetMode="External"/><Relationship Id="rId2940" Type="http://schemas.openxmlformats.org/officeDocument/2006/relationships/hyperlink" Target="http://www.ms.ro/2020/08/13/buletin-informativ-13-08-2020" TargetMode="External"/><Relationship Id="rId912" Type="http://schemas.openxmlformats.org/officeDocument/2006/relationships/hyperlink" Target="http://www.ms.ro/2020/05/01/buletin-informativ-01-05-2020/" TargetMode="External"/><Relationship Id="rId2800" Type="http://schemas.openxmlformats.org/officeDocument/2006/relationships/hyperlink" Target="http://www.ms.ro/2020/08/12/buletin-informativ-12-08-2020" TargetMode="External"/><Relationship Id="rId41" Type="http://schemas.openxmlformats.org/officeDocument/2006/relationships/hyperlink" Target="http://www.ms.ro/2020/04/03/buletin-informativ-03-04-2020/" TargetMode="External"/><Relationship Id="rId1402" Type="http://schemas.openxmlformats.org/officeDocument/2006/relationships/hyperlink" Target="https://www.ebihoreanul.ro/stiri/un-nou-caz-coronavirus-in-bihor-fiica-unui-pacient-internat-luna-trecuta-la-sectia-ati-a-spitalului-municipal-din-oradea-157554.html" TargetMode="External"/><Relationship Id="rId288" Type="http://schemas.openxmlformats.org/officeDocument/2006/relationships/hyperlink" Target="https://stirioficiale.ro/informatii/buletin-de-presa-13-aprilie-2020-ora-13-106" TargetMode="External"/><Relationship Id="rId3367" Type="http://schemas.openxmlformats.org/officeDocument/2006/relationships/hyperlink" Target="https://www.ebihoreanul.ro/stiri/dupa-doua-saptamani-numarul-imbolnavirilor-covid-scade-in-bihor-31-noi-infectari-dar-si-un-deces-158256.html" TargetMode="External"/><Relationship Id="rId3574" Type="http://schemas.openxmlformats.org/officeDocument/2006/relationships/hyperlink" Target="http://www.ms.ro/2020/08/19/buletin-informativ-19-08-2020" TargetMode="External"/><Relationship Id="rId3781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495" Type="http://schemas.openxmlformats.org/officeDocument/2006/relationships/hyperlink" Target="https://stirioficiale.ro/informatii/buletin-de-presa-21-aprilie-2020-ora-13-23" TargetMode="External"/><Relationship Id="rId2176" Type="http://schemas.openxmlformats.org/officeDocument/2006/relationships/hyperlink" Target="http://www.ms.ro/2020/08/05/buletin-informativ-05-08-2020/" TargetMode="External"/><Relationship Id="rId2383" Type="http://schemas.openxmlformats.org/officeDocument/2006/relationships/hyperlink" Target="https://www.ebihoreanul.ro/stiri/a-patra-zi-la-rand-cu-decese-covid-in-bihor-si-53-noi-imbolnaviri-in-ultimele-24-de-ore-158087.html" TargetMode="External"/><Relationship Id="rId2590" Type="http://schemas.openxmlformats.org/officeDocument/2006/relationships/hyperlink" Target="http://www.ms.ro/2020/08/09/buletin-informativ-09-08-2020" TargetMode="External"/><Relationship Id="rId3227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3434" Type="http://schemas.openxmlformats.org/officeDocument/2006/relationships/hyperlink" Target="http://www.ms.ro/2020/08/18/buletin-informativ-18-08-2020" TargetMode="External"/><Relationship Id="rId3641" Type="http://schemas.openxmlformats.org/officeDocument/2006/relationships/hyperlink" Target="https://www.ebihoreanul.ro/stiri/record-alarmant-in-bihor-inca-85-de-cazuri-noi-de-covid-si-inca-doua-decese-158311.html" TargetMode="External"/><Relationship Id="rId148" Type="http://schemas.openxmlformats.org/officeDocument/2006/relationships/hyperlink" Target="https://stirioficiale.ro/informatii/buletin-de-presa-13-aprilie-2020-ora-13-36" TargetMode="External"/><Relationship Id="rId355" Type="http://schemas.openxmlformats.org/officeDocument/2006/relationships/hyperlink" Target="https://stirioficiale.ro/informatii/buletin-de-presa-15-aprilie-2020-ora-13-58" TargetMode="External"/><Relationship Id="rId562" Type="http://schemas.openxmlformats.org/officeDocument/2006/relationships/hyperlink" Target="https://stirioficiale.ro/informatii/buletin-de-presa-22-aprilie-2020-ora-13-35" TargetMode="External"/><Relationship Id="rId1192" Type="http://schemas.openxmlformats.org/officeDocument/2006/relationships/hyperlink" Target="http://www.ms.ro/2020/05/31/buletin-informativ-31-05-2020/" TargetMode="External"/><Relationship Id="rId2036" Type="http://schemas.openxmlformats.org/officeDocument/2006/relationships/hyperlink" Target="http://www.ms.ro/2020/08/03/buletin-informativ-03-08-2020/" TargetMode="External"/><Relationship Id="rId2243" Type="http://schemas.openxmlformats.org/officeDocument/2006/relationships/hyperlink" Target="https://www.ebihoreanul.ro/stiri/a-treia-zi-consecutiva-cu-decese-covid-in-bihor-si-inca-35-noi-imbolnaviri-raportate-oficial-pentru-ultimele-24-de-ore-158069.html" TargetMode="External"/><Relationship Id="rId2450" Type="http://schemas.openxmlformats.org/officeDocument/2006/relationships/hyperlink" Target="http://www.ms.ro/2020/08/08/buletin-informativ-08-08-2020" TargetMode="External"/><Relationship Id="rId3501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215" Type="http://schemas.openxmlformats.org/officeDocument/2006/relationships/hyperlink" Target="http://www.ms.ro/2020/04/13/buletin-informativ-13-04-2020/" TargetMode="External"/><Relationship Id="rId422" Type="http://schemas.openxmlformats.org/officeDocument/2006/relationships/hyperlink" Target="http://www.ms.ro/2020/04/18/buletin-informativ-18-04-2020/" TargetMode="External"/><Relationship Id="rId1052" Type="http://schemas.openxmlformats.org/officeDocument/2006/relationships/hyperlink" Target="https://stirioficiale.ro/informatii/buletin-de-presa-22-mai-2020-ora-13-00" TargetMode="External"/><Relationship Id="rId2103" Type="http://schemas.openxmlformats.org/officeDocument/2006/relationships/hyperlink" Target="https://stirioficiale.ro/informatii/buletin-de-presa-4-august-2020-ora-13-00" TargetMode="External"/><Relationship Id="rId2310" Type="http://schemas.openxmlformats.org/officeDocument/2006/relationships/hyperlink" Target="http://www.ms.ro/2020/08/07/buletin-informativ-07-08-2020/" TargetMode="External"/><Relationship Id="rId4068" Type="http://schemas.openxmlformats.org/officeDocument/2006/relationships/hyperlink" Target="http://www.ms.ro/2020/08/24/buletin-informativ-24-08-2020" TargetMode="External"/><Relationship Id="rId1869" Type="http://schemas.openxmlformats.org/officeDocument/2006/relationships/hyperlink" Target="http://www.ms.ro/2020/08/01/buletin-informativ-01-08-2020/" TargetMode="External"/><Relationship Id="rId3084" Type="http://schemas.openxmlformats.org/officeDocument/2006/relationships/hyperlink" Target="http://www.ms.ro/2020/08/14/buletin-informativ-14-08-2020" TargetMode="External"/><Relationship Id="rId3291" Type="http://schemas.openxmlformats.org/officeDocument/2006/relationships/hyperlink" Target="https://www.ebihoreanul.ro/stiri/coronavirus-in-bihor-inca-trei-decese-inregistrate-50-de-cazuri-noi-diagnosticate-nicio-persoana-vindecata-158239.html" TargetMode="External"/><Relationship Id="rId4135" Type="http://schemas.openxmlformats.org/officeDocument/2006/relationships/hyperlink" Target="https://www.ebihoreanul.ro/stiri/record-de-decese-covid-in-romania-58-intr-o-singura-zi-in-bihor-au-murit-3-oameni-iar-alti-37-au-fost-diagnosticati-aproape-100-de-pacienti-vindecati-158383.html" TargetMode="External"/><Relationship Id="rId1729" Type="http://schemas.openxmlformats.org/officeDocument/2006/relationships/hyperlink" Target="http://www.ms.ro/2020/07/30/buletin-informativ-30-07-2020/" TargetMode="External"/><Relationship Id="rId1936" Type="http://schemas.openxmlformats.org/officeDocument/2006/relationships/hyperlink" Target="https://stirioficiale.ro/informatii/buletin-de-presa-2-august-2020-ora-13-00" TargetMode="External"/><Relationship Id="rId3151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4202" Type="http://schemas.openxmlformats.org/officeDocument/2006/relationships/hyperlink" Target="http://www.ms.ro/2020/08/26/buletin-informativ-26-08-2020" TargetMode="External"/><Relationship Id="rId3011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3968" Type="http://schemas.openxmlformats.org/officeDocument/2006/relationships/hyperlink" Target="http://www.ms.ro/2020/08/22/buletin-informativ-22-08-2020" TargetMode="External"/><Relationship Id="rId5" Type="http://schemas.openxmlformats.org/officeDocument/2006/relationships/hyperlink" Target="http://www.ms.ro/2020/03/20/buletin-informativ-20-03-2020/" TargetMode="External"/><Relationship Id="rId889" Type="http://schemas.openxmlformats.org/officeDocument/2006/relationships/hyperlink" Target="http://www.ms.ro/2020/05/01/buletin-informativ-01-05-2020/" TargetMode="External"/><Relationship Id="rId2777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749" Type="http://schemas.openxmlformats.org/officeDocument/2006/relationships/hyperlink" Target="http://www.ms.ro/2020/04/27/buletin-informativ-27-04-2020/" TargetMode="External"/><Relationship Id="rId1379" Type="http://schemas.openxmlformats.org/officeDocument/2006/relationships/hyperlink" Target="http://www.ms.ro/2020/07/05/buletin-informativ-05-07-2020/" TargetMode="External"/><Relationship Id="rId1586" Type="http://schemas.openxmlformats.org/officeDocument/2006/relationships/hyperlink" Target="https://www.ebihoreanul.ro/stiri/inca-26-noi-cazuri-covid-depistate-in-bihor-intre-care-un-brancardier-si-o-asistenta-revenita-dupa-un-concediu-in-grecia-157871.html" TargetMode="External"/><Relationship Id="rId2984" Type="http://schemas.openxmlformats.org/officeDocument/2006/relationships/hyperlink" Target="http://www.ms.ro/2020/08/13/buletin-informativ-13-08-2020" TargetMode="External"/><Relationship Id="rId3828" Type="http://schemas.openxmlformats.org/officeDocument/2006/relationships/hyperlink" Target="http://www.ms.ro/2020/08/21/buletin-informativ-21-08-2020" TargetMode="External"/><Relationship Id="rId609" Type="http://schemas.openxmlformats.org/officeDocument/2006/relationships/hyperlink" Target="http://www.ms.ro/2020/04/22/buletin-informativ-22-04-2020/" TargetMode="External"/><Relationship Id="rId956" Type="http://schemas.openxmlformats.org/officeDocument/2006/relationships/hyperlink" Target="https://stirioficiale.ro/informatii/buletin-de-presa-6-mai-2020-ora-13-00" TargetMode="External"/><Relationship Id="rId1239" Type="http://schemas.openxmlformats.org/officeDocument/2006/relationships/hyperlink" Target="https://stirioficiale.ro/informatii/buletin-de-presa-2-iunie-2020-ora-13-00" TargetMode="External"/><Relationship Id="rId1793" Type="http://schemas.openxmlformats.org/officeDocument/2006/relationships/hyperlink" Target="http://www.ms.ro/2020/07/31/buletin-informativ-31-07-2020/" TargetMode="External"/><Relationship Id="rId2637" Type="http://schemas.openxmlformats.org/officeDocument/2006/relationships/hyperlink" Target="https://www.ebihoreanul.ro/stiri/nc-un-deces-i-37-de-noi-mbolnviri-de-covid-19-n-bihor-o-parte-a-spitalului-din-beiu-va-trata-bolnavi-cu-covid-din-cauza-cazurilor-multe-din-zon-158138.html" TargetMode="External"/><Relationship Id="rId2844" Type="http://schemas.openxmlformats.org/officeDocument/2006/relationships/hyperlink" Target="http://www.ms.ro/2020/08/12/buletin-informativ-12-08-2020" TargetMode="External"/><Relationship Id="rId85" Type="http://schemas.openxmlformats.org/officeDocument/2006/relationships/hyperlink" Target="http://www.ms.ro/2020/04/09/buletin-informativ-09-04-2020/" TargetMode="External"/><Relationship Id="rId816" Type="http://schemas.openxmlformats.org/officeDocument/2006/relationships/hyperlink" Target="https://stirioficiale.ro/informatii/buletin-de-presa-28-aprilie-2020-ora-13-00" TargetMode="External"/><Relationship Id="rId1446" Type="http://schemas.openxmlformats.org/officeDocument/2006/relationships/hyperlink" Target="https://stirioficiale.ro/informatii/buletin-de-presa-21-iulie-2020-ora-13-00" TargetMode="External"/><Relationship Id="rId1653" Type="http://schemas.openxmlformats.org/officeDocument/2006/relationships/hyperlink" Target="http://www.ms.ro/2020/07/29/buletin-informativ-29-07-2020/" TargetMode="External"/><Relationship Id="rId1860" Type="http://schemas.openxmlformats.org/officeDocument/2006/relationships/hyperlink" Target="https://stirioficiale.ro/informatii/informare-de-presa-01-august-2020" TargetMode="External"/><Relationship Id="rId2704" Type="http://schemas.openxmlformats.org/officeDocument/2006/relationships/hyperlink" Target="http://www.ms.ro/2020/08/11/buletin-informativ-11-08-2020" TargetMode="External"/><Relationship Id="rId2911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1306" Type="http://schemas.openxmlformats.org/officeDocument/2006/relationships/hyperlink" Target="https://stirioficiale.ro/informatii/buletin-de-presa-14-iunie-2020-ora-13-00" TargetMode="External"/><Relationship Id="rId1513" Type="http://schemas.openxmlformats.org/officeDocument/2006/relationships/hyperlink" Target="http://www.ms.ro/2020/07/24/buletin-informativ-24-07-2020/" TargetMode="External"/><Relationship Id="rId1720" Type="http://schemas.openxmlformats.org/officeDocument/2006/relationships/hyperlink" Target="https://stirioficiale.ro/informatii/buletin-de-presa-30-iulie-2020-ora-13-00" TargetMode="External"/><Relationship Id="rId12" Type="http://schemas.openxmlformats.org/officeDocument/2006/relationships/hyperlink" Target="https://www.ebihoreanul.ro/stiri/ultima-or-31-1/surse-inca-trei-bihoreni-diagnosticati-cu-coronavirus-primele-cazuri-care-provin-din-autoizolare-155513.html" TargetMode="External"/><Relationship Id="rId3478" Type="http://schemas.openxmlformats.org/officeDocument/2006/relationships/hyperlink" Target="http://www.ms.ro/2020/08/18/buletin-informativ-18-08-2020" TargetMode="External"/><Relationship Id="rId3685" Type="http://schemas.openxmlformats.org/officeDocument/2006/relationships/hyperlink" Target="https://www.ebihoreanul.ro/stiri/record-alarmant-in-bihor-inca-85-de-cazuri-noi-de-covid-si-inca-doua-decese-158311.html" TargetMode="External"/><Relationship Id="rId3892" Type="http://schemas.openxmlformats.org/officeDocument/2006/relationships/hyperlink" Target="http://www.ms.ro/2020/08/21/buletin-informativ-21-08-2020" TargetMode="External"/><Relationship Id="rId399" Type="http://schemas.openxmlformats.org/officeDocument/2006/relationships/hyperlink" Target="https://stirioficiale.ro/informatii/buletin-de-presa-16-aprilie-2020-ora-13-71" TargetMode="External"/><Relationship Id="rId2287" Type="http://schemas.openxmlformats.org/officeDocument/2006/relationships/hyperlink" Target="https://www.ebihoreanul.ro/stiri/a-treia-zi-consecutiva-cu-decese-covid-in-bihor-si-inca-35-noi-imbolnaviri-raportate-oficial-pentru-ultimele-24-de-ore-158069.html" TargetMode="External"/><Relationship Id="rId2494" Type="http://schemas.openxmlformats.org/officeDocument/2006/relationships/hyperlink" Target="http://www.ms.ro/2020/08/08/buletin-informativ-08-08-2020" TargetMode="External"/><Relationship Id="rId3338" Type="http://schemas.openxmlformats.org/officeDocument/2006/relationships/hyperlink" Target="http://www.ms.ro/2020/08/16/buletin-informativ-16-08-2020" TargetMode="External"/><Relationship Id="rId3545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3752" Type="http://schemas.openxmlformats.org/officeDocument/2006/relationships/hyperlink" Target="http://www.ms.ro/2020/08/20/buletin-informativ-20-08-2020" TargetMode="External"/><Relationship Id="rId259" Type="http://schemas.openxmlformats.org/officeDocument/2006/relationships/hyperlink" Target="http://www.ms.ro/2020/04/13/buletin-informativ-13-04-2020/" TargetMode="External"/><Relationship Id="rId466" Type="http://schemas.openxmlformats.org/officeDocument/2006/relationships/hyperlink" Target="http://www.ms.ro/2020/04/20/buletin-informativ-20-04-2020/" TargetMode="External"/><Relationship Id="rId673" Type="http://schemas.openxmlformats.org/officeDocument/2006/relationships/hyperlink" Target="http://www.ms.ro/2020/04/24/buletin-informativ-24-04-2020/" TargetMode="External"/><Relationship Id="rId880" Type="http://schemas.openxmlformats.org/officeDocument/2006/relationships/hyperlink" Target="http://www.ms.ro/2020/04/30/buletin-informativ-30-04-2020/" TargetMode="External"/><Relationship Id="rId1096" Type="http://schemas.openxmlformats.org/officeDocument/2006/relationships/hyperlink" Target="https://stirioficiale.ro/informatii/buletin-de-presa-26-mai-2020-ora-13-00" TargetMode="External"/><Relationship Id="rId2147" Type="http://schemas.openxmlformats.org/officeDocument/2006/relationships/hyperlink" Target="https://www.ebihoreanul.ro/stiri/record-dupa-record-in-bihor-intr-o-singura-zi-3-morti-si-59-noi-imbolnaviri-cu-covid-158047.html" TargetMode="External"/><Relationship Id="rId2354" Type="http://schemas.openxmlformats.org/officeDocument/2006/relationships/hyperlink" Target="http://www.ms.ro/2020/08/07/buletin-informativ-07-08-2020/" TargetMode="External"/><Relationship Id="rId2561" Type="http://schemas.openxmlformats.org/officeDocument/2006/relationships/hyperlink" Target="https://stirioficiale.ro/informatii/buletin-de-presa-9-august-2020-ora-13-00" TargetMode="External"/><Relationship Id="rId3405" Type="http://schemas.openxmlformats.org/officeDocument/2006/relationships/hyperlink" Target="https://www.ebihoreanul.ro/stiri/dupa-doua-saptamani-numarul-imbolnavirilor-covid-scade-in-bihor-31-noi-infectari-dar-si-un-deces-158256.html" TargetMode="External"/><Relationship Id="rId119" Type="http://schemas.openxmlformats.org/officeDocument/2006/relationships/hyperlink" Target="http://www.ms.ro/2020/04/11/buletin-informativ-11-04-2020/" TargetMode="External"/><Relationship Id="rId326" Type="http://schemas.openxmlformats.org/officeDocument/2006/relationships/hyperlink" Target="http://www.ms.ro/2020/04/14/buletin-informativ-14-04-2020/" TargetMode="External"/><Relationship Id="rId533" Type="http://schemas.openxmlformats.org/officeDocument/2006/relationships/hyperlink" Target="https://stirioficiale.ro/informatii/buletin-de-presa-21-aprilie-2020-ora-13-42" TargetMode="External"/><Relationship Id="rId1163" Type="http://schemas.openxmlformats.org/officeDocument/2006/relationships/hyperlink" Target="https://www.bihon.ro/stirile-judetului-bihor/rezultatul-testarii-la-plexus-21-de-angajati-pozitivi-covid-19-iata-ce-masuri-ia-compania-americana-2295625/" TargetMode="External"/><Relationship Id="rId1370" Type="http://schemas.openxmlformats.org/officeDocument/2006/relationships/hyperlink" Target="https://stirioficiale.ro/informatii/buletin-de-presa-5-iulie-2020-ora-13-00" TargetMode="External"/><Relationship Id="rId2007" Type="http://schemas.openxmlformats.org/officeDocument/2006/relationships/hyperlink" Target="https://www.ebihoreanul.ro/stiri/inca-50-de-cazuri-de-covid-19-in-bihor-in-urma-testelor-facute-duminica-157998.html" TargetMode="External"/><Relationship Id="rId2214" Type="http://schemas.openxmlformats.org/officeDocument/2006/relationships/hyperlink" Target="http://www.ms.ro/2020/08/05/buletin-informativ-05-08-2020/" TargetMode="External"/><Relationship Id="rId3612" Type="http://schemas.openxmlformats.org/officeDocument/2006/relationships/hyperlink" Target="http://www.ms.ro/2020/08/20/buletin-informativ-20-08-2020" TargetMode="External"/><Relationship Id="rId740" Type="http://schemas.openxmlformats.org/officeDocument/2006/relationships/hyperlink" Target="https://stirioficiale.ro/informatii/buletin-de-presa-27-aprilie-2020-ora-13-00" TargetMode="External"/><Relationship Id="rId1023" Type="http://schemas.openxmlformats.org/officeDocument/2006/relationships/hyperlink" Target="http://www.ms.ro/2020/05/28/decese-1230-1231/" TargetMode="External"/><Relationship Id="rId2421" Type="http://schemas.openxmlformats.org/officeDocument/2006/relationships/hyperlink" Target="https://stirioficiale.ro/informatii/buletin-de-presa-8-august-2020-ora-13-00" TargetMode="External"/><Relationship Id="rId4179" Type="http://schemas.openxmlformats.org/officeDocument/2006/relationships/hyperlink" Target="https://www.ebihoreanul.ro/stiri/record-de-decese-covid-in-romania-58-intr-o-singura-zi-in-bihor-au-murit-3-oameni-iar-alti-37-au-fost-diagnosticati-aproape-100-de-pacienti-vindecati-158383.html" TargetMode="External"/><Relationship Id="rId600" Type="http://schemas.openxmlformats.org/officeDocument/2006/relationships/hyperlink" Target="https://stirioficiale.ro/informatii/buletin-de-presa-22-aprilie-2020-ora-13-54" TargetMode="External"/><Relationship Id="rId1230" Type="http://schemas.openxmlformats.org/officeDocument/2006/relationships/hyperlink" Target="http://www.ms.ro/2020/06/02/buletin-informativ-02-06-2020/" TargetMode="External"/><Relationship Id="rId3195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4039" Type="http://schemas.openxmlformats.org/officeDocument/2006/relationships/hyperlink" Target="https://www.ebihoreanul.ro/stiri/a-fost-depasit-pragul-de-2000-de-cazuri-covid-19diagnosticate-in-bihor-158350.html" TargetMode="External"/><Relationship Id="rId3055" Type="http://schemas.openxmlformats.org/officeDocument/2006/relationships/hyperlink" Target="https://www.ebihoreanul.ro/stiri/inca-56-de-cazuri-de-coronavirus-in-bihor-158211.html" TargetMode="External"/><Relationship Id="rId3262" Type="http://schemas.openxmlformats.org/officeDocument/2006/relationships/hyperlink" Target="http://www.ms.ro/2020/08/16/buletin-informativ-16-08-2020" TargetMode="External"/><Relationship Id="rId4106" Type="http://schemas.openxmlformats.org/officeDocument/2006/relationships/hyperlink" Target="http://www.ms.ro/2020/08/24/buletin-informativ-24-08-2020" TargetMode="External"/><Relationship Id="rId183" Type="http://schemas.openxmlformats.org/officeDocument/2006/relationships/hyperlink" Target="http://www.ms.ro/2020/04/13/buletin-informativ-13-04-2020/" TargetMode="External"/><Relationship Id="rId390" Type="http://schemas.openxmlformats.org/officeDocument/2006/relationships/hyperlink" Target="http://www.ms.ro/2020/04/16/buletin-informativ-16-04-2020/" TargetMode="External"/><Relationship Id="rId1907" Type="http://schemas.openxmlformats.org/officeDocument/2006/relationships/hyperlink" Target="http://www.ms.ro/2020/08/01/buletin-informativ-01-08-2020/" TargetMode="External"/><Relationship Id="rId2071" Type="http://schemas.openxmlformats.org/officeDocument/2006/relationships/hyperlink" Target="https://stirioficiale.ro/informatii/buletin-de-presa-3-august-2020-ora-13-00" TargetMode="External"/><Relationship Id="rId3122" Type="http://schemas.openxmlformats.org/officeDocument/2006/relationships/hyperlink" Target="http://www.ms.ro/2020/08/14/buletin-informativ-14-08-2020" TargetMode="External"/><Relationship Id="rId250" Type="http://schemas.openxmlformats.org/officeDocument/2006/relationships/hyperlink" Target="https://stirioficiale.ro/informatii/buletin-de-presa-13-aprilie-2020-ora-13-87" TargetMode="External"/><Relationship Id="rId110" Type="http://schemas.openxmlformats.org/officeDocument/2006/relationships/hyperlink" Target="https://stirioficiale.ro/informatii/buletin-de-presa-11-aprilie-2020-ora-13-62" TargetMode="External"/><Relationship Id="rId2888" Type="http://schemas.openxmlformats.org/officeDocument/2006/relationships/hyperlink" Target="http://www.ms.ro/2020/08/12/buletin-informativ-12-08-2020" TargetMode="External"/><Relationship Id="rId3939" Type="http://schemas.openxmlformats.org/officeDocument/2006/relationships/hyperlink" Target="https://www.ebihoreanul.ro/stiri/niciun-deces-in-bihor-si-zeci-de-pacienti-covid-vindecati-dar-si-40-noi-imbolnaviri-inclusiv-angajati-ai-maternitatii-si-spitalului-militar-158339.html" TargetMode="External"/><Relationship Id="rId1697" Type="http://schemas.openxmlformats.org/officeDocument/2006/relationships/hyperlink" Target="http://www.ms.ro/2020/07/29/buletin-informativ-29-07-2020/" TargetMode="External"/><Relationship Id="rId2748" Type="http://schemas.openxmlformats.org/officeDocument/2006/relationships/hyperlink" Target="http://www.ms.ro/2020/08/11/buletin-informativ-11-08-2020" TargetMode="External"/><Relationship Id="rId2955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927" Type="http://schemas.openxmlformats.org/officeDocument/2006/relationships/hyperlink" Target="http://www.ms.ro/2020/05/01/buletin-informativ-01-05-2020/" TargetMode="External"/><Relationship Id="rId1557" Type="http://schemas.openxmlformats.org/officeDocument/2006/relationships/hyperlink" Target="http://www.ms.ro/2020/07/26/buletin-informativ-26-07-2020/" TargetMode="External"/><Relationship Id="rId1764" Type="http://schemas.openxmlformats.org/officeDocument/2006/relationships/hyperlink" Target="https://stirioficiale.ro/informatii/buletin-de-presa-30-iulie-2020-ora-13-00" TargetMode="External"/><Relationship Id="rId1971" Type="http://schemas.openxmlformats.org/officeDocument/2006/relationships/hyperlink" Target="https://www.ebihoreanul.ro/stiri/inca-50-de-cazuri-de-covid-19-in-bihor-in-urma-testelor-facute-duminica-157998.html" TargetMode="External"/><Relationship Id="rId2608" Type="http://schemas.openxmlformats.org/officeDocument/2006/relationships/hyperlink" Target="http://www.ms.ro/2020/08/10/buletin-informativ-10-08-2020" TargetMode="External"/><Relationship Id="rId2815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4170" Type="http://schemas.openxmlformats.org/officeDocument/2006/relationships/hyperlink" Target="http://www.ms.ro/2020/08/25/buletin-informativ-25-08-2020" TargetMode="External"/><Relationship Id="rId56" Type="http://schemas.openxmlformats.org/officeDocument/2006/relationships/hyperlink" Target="https://stirioficiale.ro/informatii/buletin-de-presa-6-aprilie-2020-ora-13-00" TargetMode="External"/><Relationship Id="rId1417" Type="http://schemas.openxmlformats.org/officeDocument/2006/relationships/hyperlink" Target="http://www.ms.ro/2020/07/14/buletin-informativ-14-07-2020/" TargetMode="External"/><Relationship Id="rId1624" Type="http://schemas.openxmlformats.org/officeDocument/2006/relationships/hyperlink" Target="https://stirioficiale.ro/informatii/buletin-de-presa-28-iulie-2020-ora-13-00" TargetMode="External"/><Relationship Id="rId1831" Type="http://schemas.openxmlformats.org/officeDocument/2006/relationships/hyperlink" Target="http://www.ms.ro/2020/07/31/buletin-informativ-31-07-2020/" TargetMode="External"/><Relationship Id="rId4030" Type="http://schemas.openxmlformats.org/officeDocument/2006/relationships/hyperlink" Target="http://www.ms.ro/2020/08/23/buletin-informativ-23-08-2020" TargetMode="External"/><Relationship Id="rId3589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3796" Type="http://schemas.openxmlformats.org/officeDocument/2006/relationships/hyperlink" Target="http://www.ms.ro/2020/08/21/buletin-informativ-21-08-2020" TargetMode="External"/><Relationship Id="rId2398" Type="http://schemas.openxmlformats.org/officeDocument/2006/relationships/hyperlink" Target="http://www.ms.ro/2020/08/07/buletin-informativ-07-08-2020/" TargetMode="External"/><Relationship Id="rId3449" Type="http://schemas.openxmlformats.org/officeDocument/2006/relationships/hyperlink" Target="https://www.ebihoreanul.ro/stiri/coronavirus-in-bihor-inca-doua-decese-si-45-de-cazuri-noi-vezi-din-ce-localitati-158277.html" TargetMode="External"/><Relationship Id="rId577" Type="http://schemas.openxmlformats.org/officeDocument/2006/relationships/hyperlink" Target="http://www.ms.ro/2020/04/22/buletin-informativ-22-04-2020/" TargetMode="External"/><Relationship Id="rId2258" Type="http://schemas.openxmlformats.org/officeDocument/2006/relationships/hyperlink" Target="http://www.ms.ro/2020/08/06/buletin-informativ-06-08-2020/" TargetMode="External"/><Relationship Id="rId3656" Type="http://schemas.openxmlformats.org/officeDocument/2006/relationships/hyperlink" Target="http://www.ms.ro/2020/08/20/buletin-informativ-20-08-2020" TargetMode="External"/><Relationship Id="rId3863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784" Type="http://schemas.openxmlformats.org/officeDocument/2006/relationships/hyperlink" Target="https://stirioficiale.ro/informatii/buletin-de-presa-27-aprilie-2020-ora-13-00" TargetMode="External"/><Relationship Id="rId991" Type="http://schemas.openxmlformats.org/officeDocument/2006/relationships/hyperlink" Target="http://www.ms.ro/2020/05/16/buletin-informativ-16-05-2020/" TargetMode="External"/><Relationship Id="rId1067" Type="http://schemas.openxmlformats.org/officeDocument/2006/relationships/hyperlink" Target="http://www.ms.ro/2020/05/22/buletin-informativ-22-05-2020/" TargetMode="External"/><Relationship Id="rId2465" Type="http://schemas.openxmlformats.org/officeDocument/2006/relationships/hyperlink" Target="https://stirioficiale.ro/informatii/buletin-de-presa-8-august-2020-ora-13-00" TargetMode="External"/><Relationship Id="rId2672" Type="http://schemas.openxmlformats.org/officeDocument/2006/relationships/hyperlink" Target="http://www.ms.ro/2020/08/10/buletin-informativ-10-08-2020" TargetMode="External"/><Relationship Id="rId3309" Type="http://schemas.openxmlformats.org/officeDocument/2006/relationships/hyperlink" Target="https://www.ebihoreanul.ro/stiri/coronavirus-in-bihor-inca-trei-decese-inregistrate-50-de-cazuri-noi-diagnosticate-nicio-persoana-vindecata-158239.html" TargetMode="External"/><Relationship Id="rId3516" Type="http://schemas.openxmlformats.org/officeDocument/2006/relationships/hyperlink" Target="http://www.ms.ro/2020/08/19/buletin-informativ-19-08-2020" TargetMode="External"/><Relationship Id="rId3723" Type="http://schemas.openxmlformats.org/officeDocument/2006/relationships/hyperlink" Target="https://www.ebihoreanul.ro/stiri/record-alarmant-in-bihor-inca-85-de-cazuri-noi-de-covid-si-inca-doua-decese-158311.html" TargetMode="External"/><Relationship Id="rId3930" Type="http://schemas.openxmlformats.org/officeDocument/2006/relationships/hyperlink" Target="http://www.ms.ro/2020/08/22/buletin-informativ-22-08-2020" TargetMode="External"/><Relationship Id="rId437" Type="http://schemas.openxmlformats.org/officeDocument/2006/relationships/hyperlink" Target="https://stirioficiale.ro/informatii/buletin-de-presa-19-aprilie-2020-ora-13-10" TargetMode="External"/><Relationship Id="rId644" Type="http://schemas.openxmlformats.org/officeDocument/2006/relationships/hyperlink" Target="https://stirioficiale.ro/informatii/buletin-de-presa-23-aprilie-2020-ora-13-00" TargetMode="External"/><Relationship Id="rId851" Type="http://schemas.openxmlformats.org/officeDocument/2006/relationships/hyperlink" Target="http://www.ms.ro/2020/04/29/buletin-informativ-29-04-2020/" TargetMode="External"/><Relationship Id="rId1274" Type="http://schemas.openxmlformats.org/officeDocument/2006/relationships/hyperlink" Target="https://stirioficiale.ro/informatii/buletin-de-presa-6-iunie-2020-ora-13-00" TargetMode="External"/><Relationship Id="rId1481" Type="http://schemas.openxmlformats.org/officeDocument/2006/relationships/hyperlink" Target="http://www.ms.ro/2020/07/23/buletin-informativ-23-07-2020/" TargetMode="External"/><Relationship Id="rId2118" Type="http://schemas.openxmlformats.org/officeDocument/2006/relationships/hyperlink" Target="http://www.ms.ro/2020/08/05/buletin-informativ-05-08-2020/" TargetMode="External"/><Relationship Id="rId2325" Type="http://schemas.openxmlformats.org/officeDocument/2006/relationships/hyperlink" Target="https://www.ebihoreanul.ro/stiri/a-patra-zi-la-rand-cu-decese-covid-in-bihor-si-53-noi-imbolnaviri-in-ultimele-24-de-ore-158087.html" TargetMode="External"/><Relationship Id="rId2532" Type="http://schemas.openxmlformats.org/officeDocument/2006/relationships/hyperlink" Target="http://www.ms.ro/2020/08/09/buletin-informativ-09-08-2020" TargetMode="External"/><Relationship Id="rId504" Type="http://schemas.openxmlformats.org/officeDocument/2006/relationships/hyperlink" Target="http://www.ms.ro/2020/04/21/buletin-informativ-21-04-2020/" TargetMode="External"/><Relationship Id="rId711" Type="http://schemas.openxmlformats.org/officeDocument/2006/relationships/hyperlink" Target="http://www.ms.ro/2020/04/26/buletin-informativ-26-04-2020/" TargetMode="External"/><Relationship Id="rId1134" Type="http://schemas.openxmlformats.org/officeDocument/2006/relationships/hyperlink" Target="http://www.ms.ro/2020/05/28/buletin-informativ-28-05-2020/" TargetMode="External"/><Relationship Id="rId1341" Type="http://schemas.openxmlformats.org/officeDocument/2006/relationships/hyperlink" Target="http://www.ms.ro/2020/07/04/buletin-informativ-04-07-2020/" TargetMode="External"/><Relationship Id="rId1201" Type="http://schemas.openxmlformats.org/officeDocument/2006/relationships/hyperlink" Target="https://stirioficiale.ro/informatii/buletin-de-presa-31-mai-2020-ora-13-00" TargetMode="External"/><Relationship Id="rId3099" Type="http://schemas.openxmlformats.org/officeDocument/2006/relationships/hyperlink" Target="https://www.ebihoreanul.ro/stiri/inca-56-de-cazuri-de-coronavirus-in-bihor-158211.html" TargetMode="External"/><Relationship Id="rId3166" Type="http://schemas.openxmlformats.org/officeDocument/2006/relationships/hyperlink" Target="http://www.ms.ro/2020/08/15/33355/" TargetMode="External"/><Relationship Id="rId3373" Type="http://schemas.openxmlformats.org/officeDocument/2006/relationships/hyperlink" Target="https://www.ebihoreanul.ro/stiri/dupa-doua-saptamani-numarul-imbolnavirilor-covid-scade-in-bihor-31-noi-infectari-dar-si-un-deces-158256.html" TargetMode="External"/><Relationship Id="rId3580" Type="http://schemas.openxmlformats.org/officeDocument/2006/relationships/hyperlink" Target="http://www.ms.ro/2020/08/19/buletin-informativ-19-08-2020" TargetMode="External"/><Relationship Id="rId4217" Type="http://schemas.openxmlformats.org/officeDocument/2006/relationships/hyperlink" Target="https://www.ebihoreanul.ro/stiri/28-de-noi-imbolnaviri-cu-covid-19-in-bihor-inclusiv-in-randul-personalului-upu-smurd-158401.html" TargetMode="External"/><Relationship Id="rId294" Type="http://schemas.openxmlformats.org/officeDocument/2006/relationships/hyperlink" Target="https://stirioficiale.ro/informatii/buletin-de-presa-13-aprilie-2020-ora-13-109" TargetMode="External"/><Relationship Id="rId2182" Type="http://schemas.openxmlformats.org/officeDocument/2006/relationships/hyperlink" Target="http://www.ms.ro/2020/08/05/buletin-informativ-05-08-2020/" TargetMode="External"/><Relationship Id="rId3026" Type="http://schemas.openxmlformats.org/officeDocument/2006/relationships/hyperlink" Target="http://www.ms.ro/2020/08/14/buletin-informativ-14-08-2020" TargetMode="External"/><Relationship Id="rId3233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154" Type="http://schemas.openxmlformats.org/officeDocument/2006/relationships/hyperlink" Target="https://stirioficiale.ro/informatii/buletin-de-presa-13-aprilie-2020-ora-13-39" TargetMode="External"/><Relationship Id="rId361" Type="http://schemas.openxmlformats.org/officeDocument/2006/relationships/hyperlink" Target="https://stirioficiale.ro/informatii/buletin-de-presa-15-aprilie-2020-ora-13-61" TargetMode="External"/><Relationship Id="rId2042" Type="http://schemas.openxmlformats.org/officeDocument/2006/relationships/hyperlink" Target="http://www.ms.ro/2020/08/03/buletin-informativ-03-08-2020/" TargetMode="External"/><Relationship Id="rId3440" Type="http://schemas.openxmlformats.org/officeDocument/2006/relationships/hyperlink" Target="http://www.ms.ro/2020/08/18/buletin-informativ-18-08-2020" TargetMode="External"/><Relationship Id="rId2999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3300" Type="http://schemas.openxmlformats.org/officeDocument/2006/relationships/hyperlink" Target="http://www.ms.ro/2020/08/16/buletin-informativ-16-08-2020" TargetMode="External"/><Relationship Id="rId221" Type="http://schemas.openxmlformats.org/officeDocument/2006/relationships/hyperlink" Target="http://www.ms.ro/2020/04/13/buletin-informativ-13-04-2020/" TargetMode="External"/><Relationship Id="rId2859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1668" Type="http://schemas.openxmlformats.org/officeDocument/2006/relationships/hyperlink" Target="https://stirioficiale.ro/informatii/buletin-de-presa-29-iulie-2020-ora-13-00" TargetMode="External"/><Relationship Id="rId1875" Type="http://schemas.openxmlformats.org/officeDocument/2006/relationships/hyperlink" Target="http://www.ms.ro/2020/08/01/buletin-informativ-01-08-2020/" TargetMode="External"/><Relationship Id="rId2719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4074" Type="http://schemas.openxmlformats.org/officeDocument/2006/relationships/hyperlink" Target="http://www.ms.ro/2020/08/24/buletin-informativ-24-08-2020" TargetMode="External"/><Relationship Id="rId1528" Type="http://schemas.openxmlformats.org/officeDocument/2006/relationships/hyperlink" Target="https://stirioficiale.ro/informatii/buletin-de-presa-25-iulie-2020-ora-13-00" TargetMode="External"/><Relationship Id="rId2926" Type="http://schemas.openxmlformats.org/officeDocument/2006/relationships/hyperlink" Target="http://www.ms.ro/2020/08/13/buletin-informativ-13-08-2020" TargetMode="External"/><Relationship Id="rId3090" Type="http://schemas.openxmlformats.org/officeDocument/2006/relationships/hyperlink" Target="http://www.ms.ro/2020/08/14/buletin-informativ-14-08-2020" TargetMode="External"/><Relationship Id="rId4141" Type="http://schemas.openxmlformats.org/officeDocument/2006/relationships/hyperlink" Target="https://www.ebihoreanul.ro/stiri/record-de-decese-covid-in-romania-58-intr-o-singura-zi-in-bihor-au-murit-3-oameni-iar-alti-37-au-fost-diagnosticati-aproape-100-de-pacienti-vindecati-158383.html" TargetMode="External"/><Relationship Id="rId1735" Type="http://schemas.openxmlformats.org/officeDocument/2006/relationships/hyperlink" Target="http://www.ms.ro/2020/07/30/buletin-informativ-30-07-2020/" TargetMode="External"/><Relationship Id="rId1942" Type="http://schemas.openxmlformats.org/officeDocument/2006/relationships/hyperlink" Target="https://stirioficiale.ro/informatii/buletin-de-presa-2-august-2020-ora-13-00" TargetMode="External"/><Relationship Id="rId4001" Type="http://schemas.openxmlformats.org/officeDocument/2006/relationships/hyperlink" Target="https://www.ebihoreanul.ro/stiri/a-fost-depasit-pragul-de-2000-de-cazuri-covid-19diagnosticate-in-bihor-158350.html" TargetMode="External"/><Relationship Id="rId27" Type="http://schemas.openxmlformats.org/officeDocument/2006/relationships/hyperlink" Target="https://stirioficiale.ro/informatii/buletin-de-presa-2-aprilie-2020-ora-13-01" TargetMode="External"/><Relationship Id="rId1802" Type="http://schemas.openxmlformats.org/officeDocument/2006/relationships/hyperlink" Target="https://stirioficiale.ro/informatii/buletin-de-presa-31-iulie-2020-ora-13-00" TargetMode="External"/><Relationship Id="rId3767" Type="http://schemas.openxmlformats.org/officeDocument/2006/relationships/hyperlink" Target="https://www.ebihoreanul.ro/stiri/record-alarmant-in-bihor-inca-85-de-cazuri-noi-de-covid-si-inca-doua-decese-158311.html" TargetMode="External"/><Relationship Id="rId3974" Type="http://schemas.openxmlformats.org/officeDocument/2006/relationships/hyperlink" Target="http://www.ms.ro/2020/08/22/buletin-informativ-22-08-2020" TargetMode="External"/><Relationship Id="rId688" Type="http://schemas.openxmlformats.org/officeDocument/2006/relationships/hyperlink" Target="https://stirioficiale.ro/informatii/buletin-de-presa-24-aprilie-2020-ora-13-00" TargetMode="External"/><Relationship Id="rId895" Type="http://schemas.openxmlformats.org/officeDocument/2006/relationships/hyperlink" Target="http://www.ms.ro/2020/05/01/buletin-informativ-01-05-2020/" TargetMode="External"/><Relationship Id="rId2369" Type="http://schemas.openxmlformats.org/officeDocument/2006/relationships/hyperlink" Target="https://www.ebihoreanul.ro/stiri/a-patra-zi-la-rand-cu-decese-covid-in-bihor-si-53-noi-imbolnaviri-in-ultimele-24-de-ore-158087.html" TargetMode="External"/><Relationship Id="rId2576" Type="http://schemas.openxmlformats.org/officeDocument/2006/relationships/hyperlink" Target="http://www.ms.ro/2020/08/09/buletin-informativ-09-08-2020" TargetMode="External"/><Relationship Id="rId2783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2990" Type="http://schemas.openxmlformats.org/officeDocument/2006/relationships/hyperlink" Target="http://www.ms.ro/2020/08/13/buletin-informativ-13-08-2020" TargetMode="External"/><Relationship Id="rId3627" Type="http://schemas.openxmlformats.org/officeDocument/2006/relationships/hyperlink" Target="https://www.ebihoreanul.ro/stiri/record-alarmant-in-bihor-inca-85-de-cazuri-noi-de-covid-si-inca-doua-decese-158311.html" TargetMode="External"/><Relationship Id="rId3834" Type="http://schemas.openxmlformats.org/officeDocument/2006/relationships/hyperlink" Target="http://www.ms.ro/2020/08/21/buletin-informativ-21-08-2020" TargetMode="External"/><Relationship Id="rId548" Type="http://schemas.openxmlformats.org/officeDocument/2006/relationships/hyperlink" Target="http://www.ms.ro/2020/04/21/buletin-informativ-21-04-2020/" TargetMode="External"/><Relationship Id="rId755" Type="http://schemas.openxmlformats.org/officeDocument/2006/relationships/hyperlink" Target="http://www.ms.ro/2020/04/27/buletin-informativ-27-04-2020/" TargetMode="External"/><Relationship Id="rId962" Type="http://schemas.openxmlformats.org/officeDocument/2006/relationships/hyperlink" Target="http://www.ms.ro/2020/05/08/buletin-informativ-08-05-2020/" TargetMode="External"/><Relationship Id="rId1178" Type="http://schemas.openxmlformats.org/officeDocument/2006/relationships/hyperlink" Target="http://www.ms.ro/2020/05/31/buletin-informativ-31-05-2020/" TargetMode="External"/><Relationship Id="rId1385" Type="http://schemas.openxmlformats.org/officeDocument/2006/relationships/hyperlink" Target="http://www.ms.ro/2020/07/06/buletin-informativ-06-07-2020/" TargetMode="External"/><Relationship Id="rId1592" Type="http://schemas.openxmlformats.org/officeDocument/2006/relationships/hyperlink" Target="https://www.ebihoreanul.ro/stiri/inca-26-noi-cazuri-covid-depistate-in-bihor-intre-care-un-brancardier-si-o-asistenta-revenita-dupa-un-concediu-in-grecia-157871.html" TargetMode="External"/><Relationship Id="rId2229" Type="http://schemas.openxmlformats.org/officeDocument/2006/relationships/hyperlink" Target="https://www.ebihoreanul.ro/stiri/a-treia-zi-consecutiva-cu-decese-covid-in-bihor-si-inca-35-noi-imbolnaviri-raportate-oficial-pentru-ultimele-24-de-ore-158069.html" TargetMode="External"/><Relationship Id="rId2436" Type="http://schemas.openxmlformats.org/officeDocument/2006/relationships/hyperlink" Target="http://www.ms.ro/2020/08/08/buletin-informativ-08-08-2020" TargetMode="External"/><Relationship Id="rId2643" Type="http://schemas.openxmlformats.org/officeDocument/2006/relationships/hyperlink" Target="https://www.ebihoreanul.ro/stiri/nc-un-deces-i-37-de-noi-mbolnviri-de-covid-19-n-bihor-o-parte-a-spitalului-din-beiu-va-trata-bolnavi-cu-covid-din-cauza-cazurilor-multe-din-zon-158138.html" TargetMode="External"/><Relationship Id="rId2850" Type="http://schemas.openxmlformats.org/officeDocument/2006/relationships/hyperlink" Target="http://www.ms.ro/2020/08/12/buletin-informativ-12-08-2020" TargetMode="External"/><Relationship Id="rId91" Type="http://schemas.openxmlformats.org/officeDocument/2006/relationships/hyperlink" Target="http://www.ms.ro/2020/04/09/buletin-informativ-09-04-2020/" TargetMode="External"/><Relationship Id="rId408" Type="http://schemas.openxmlformats.org/officeDocument/2006/relationships/hyperlink" Target="http://www.ms.ro/2020/04/17/buletin-informativ-17-04-2020/" TargetMode="External"/><Relationship Id="rId615" Type="http://schemas.openxmlformats.org/officeDocument/2006/relationships/hyperlink" Target="http://www.ms.ro/2020/04/22/buletin-informativ-22-04-2020/" TargetMode="External"/><Relationship Id="rId822" Type="http://schemas.openxmlformats.org/officeDocument/2006/relationships/hyperlink" Target="https://stirioficiale.ro/informatii/buletin-de-presa-28-aprilie-2020-ora-13-00" TargetMode="External"/><Relationship Id="rId1038" Type="http://schemas.openxmlformats.org/officeDocument/2006/relationships/hyperlink" Target="http://www.ms.ro/2020/05/19/buletin-informativ-19-05-2020/" TargetMode="External"/><Relationship Id="rId1245" Type="http://schemas.openxmlformats.org/officeDocument/2006/relationships/hyperlink" Target="https://stirioficiale.ro/informatii/buletin-de-presa-2-iunie-2020-ora-13-00" TargetMode="External"/><Relationship Id="rId1452" Type="http://schemas.openxmlformats.org/officeDocument/2006/relationships/hyperlink" Target="https://stirioficiale.ro/informatii/buletin-de-presa-22-iulie-2020-ora-13-00" TargetMode="External"/><Relationship Id="rId2503" Type="http://schemas.openxmlformats.org/officeDocument/2006/relationships/hyperlink" Target="https://stirioficiale.ro/informatii/buletin-de-presa-9-august-2020-ora-13-00" TargetMode="External"/><Relationship Id="rId3901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1105" Type="http://schemas.openxmlformats.org/officeDocument/2006/relationships/hyperlink" Target="https://stirioficiale.ro/informatii/buletin-de-presa-27-mai-2020-ora-13-00" TargetMode="External"/><Relationship Id="rId1312" Type="http://schemas.openxmlformats.org/officeDocument/2006/relationships/hyperlink" Target="https://stirioficiale.ro/informatii/buletin-de-presa-17-iunie-2020-ora-13-00" TargetMode="External"/><Relationship Id="rId2710" Type="http://schemas.openxmlformats.org/officeDocument/2006/relationships/hyperlink" Target="http://www.ms.ro/2020/08/11/buletin-informativ-11-08-2020" TargetMode="External"/><Relationship Id="rId3277" Type="http://schemas.openxmlformats.org/officeDocument/2006/relationships/hyperlink" Target="https://www.ebihoreanul.ro/stiri/coronavirus-in-bihor-inca-trei-decese-inregistrate-50-de-cazuri-noi-diagnosticate-nicio-persoana-vindecata-158239.html" TargetMode="External"/><Relationship Id="rId198" Type="http://schemas.openxmlformats.org/officeDocument/2006/relationships/hyperlink" Target="https://stirioficiale.ro/informatii/buletin-de-presa-13-aprilie-2020-ora-13-61" TargetMode="External"/><Relationship Id="rId2086" Type="http://schemas.openxmlformats.org/officeDocument/2006/relationships/hyperlink" Target="http://www.ms.ro/2020/08/04/buletin-informativ-04-08-2020/" TargetMode="External"/><Relationship Id="rId3484" Type="http://schemas.openxmlformats.org/officeDocument/2006/relationships/hyperlink" Target="http://www.ms.ro/2020/08/18/buletin-informativ-18-08-2020" TargetMode="External"/><Relationship Id="rId3691" Type="http://schemas.openxmlformats.org/officeDocument/2006/relationships/hyperlink" Target="https://www.ebihoreanul.ro/stiri/record-alarmant-in-bihor-inca-85-de-cazuri-noi-de-covid-si-inca-doua-decese-158311.html" TargetMode="External"/><Relationship Id="rId2293" Type="http://schemas.openxmlformats.org/officeDocument/2006/relationships/hyperlink" Target="https://www.ebihoreanul.ro/stiri/a-patra-zi-la-rand-cu-decese-covid-in-bihor-si-53-noi-imbolnaviri-in-ultimele-24-de-ore-158087.html" TargetMode="External"/><Relationship Id="rId3137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3344" Type="http://schemas.openxmlformats.org/officeDocument/2006/relationships/hyperlink" Target="http://www.ms.ro/2020/08/16/buletin-informativ-16-08-2020" TargetMode="External"/><Relationship Id="rId3551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265" Type="http://schemas.openxmlformats.org/officeDocument/2006/relationships/hyperlink" Target="http://www.ms.ro/2020/04/13/buletin-informativ-13-04-2020/" TargetMode="External"/><Relationship Id="rId472" Type="http://schemas.openxmlformats.org/officeDocument/2006/relationships/hyperlink" Target="http://www.ms.ro/2020/04/20/buletin-informativ-20-04-2020/" TargetMode="External"/><Relationship Id="rId2153" Type="http://schemas.openxmlformats.org/officeDocument/2006/relationships/hyperlink" Target="https://www.ebihoreanul.ro/stiri/record-dupa-record-in-bihor-intr-o-singura-zi-3-morti-si-59-noi-imbolnaviri-cu-covid-158047.html" TargetMode="External"/><Relationship Id="rId2360" Type="http://schemas.openxmlformats.org/officeDocument/2006/relationships/hyperlink" Target="http://www.ms.ro/2020/08/07/buletin-informativ-07-08-2020/" TargetMode="External"/><Relationship Id="rId3204" Type="http://schemas.openxmlformats.org/officeDocument/2006/relationships/hyperlink" Target="http://www.ms.ro/2020/08/15/33355/" TargetMode="External"/><Relationship Id="rId3411" Type="http://schemas.openxmlformats.org/officeDocument/2006/relationships/hyperlink" Target="https://www.ebihoreanul.ro/stiri/coronavirus-in-bihor-inca-doua-decese-si-45-de-cazuri-noi-vezi-din-ce-localitati-158277.html" TargetMode="External"/><Relationship Id="rId125" Type="http://schemas.openxmlformats.org/officeDocument/2006/relationships/hyperlink" Target="http://www.ms.ro/2020/04/11/buletin-informativ-11-04-2020/" TargetMode="External"/><Relationship Id="rId332" Type="http://schemas.openxmlformats.org/officeDocument/2006/relationships/hyperlink" Target="http://www.ms.ro/2020/04/14/buletin-informativ-14-04-2020/" TargetMode="External"/><Relationship Id="rId2013" Type="http://schemas.openxmlformats.org/officeDocument/2006/relationships/hyperlink" Target="https://www.ebihoreanul.ro/stiri/inca-50-de-cazuri-de-covid-19-in-bihor-in-urma-testelor-facute-duminica-157998.html" TargetMode="External"/><Relationship Id="rId2220" Type="http://schemas.openxmlformats.org/officeDocument/2006/relationships/hyperlink" Target="http://www.ms.ro/2020/08/05/buletin-informativ-05-08-2020/" TargetMode="External"/><Relationship Id="rId4185" Type="http://schemas.openxmlformats.org/officeDocument/2006/relationships/hyperlink" Target="https://www.ebihoreanul.ro/stiri/28-de-noi-imbolnaviri-cu-covid-19-in-bihor-inclusiv-in-randul-personalului-upu-smurd-158401.html" TargetMode="External"/><Relationship Id="rId1779" Type="http://schemas.openxmlformats.org/officeDocument/2006/relationships/hyperlink" Target="http://www.ms.ro/2020/07/30/buletin-informativ-30-07-2020/" TargetMode="External"/><Relationship Id="rId1986" Type="http://schemas.openxmlformats.org/officeDocument/2006/relationships/hyperlink" Target="https://www.ebihoreanul.ro/stiri/inca-50-de-cazuri-de-covid-19-in-bihor-in-urma-testelor-facute-duminica-157998.html" TargetMode="External"/><Relationship Id="rId4045" Type="http://schemas.openxmlformats.org/officeDocument/2006/relationships/hyperlink" Target="https://www.ebihoreanul.ro/stiri/a-fost-depasit-pragul-de-2000-de-cazuri-covid-19diagnosticate-in-bihor-158350.html" TargetMode="External"/><Relationship Id="rId1639" Type="http://schemas.openxmlformats.org/officeDocument/2006/relationships/hyperlink" Target="http://www.ms.ro/2020/07/28/buletin-informativ-28-07-2020/" TargetMode="External"/><Relationship Id="rId1846" Type="http://schemas.openxmlformats.org/officeDocument/2006/relationships/hyperlink" Target="https://www.ebihoreanul.ro/stiri/nou-record-covid-in-bihor-52-de-cazuri-noi-157971.html" TargetMode="External"/><Relationship Id="rId3061" Type="http://schemas.openxmlformats.org/officeDocument/2006/relationships/hyperlink" Target="https://www.ebihoreanul.ro/stiri/inca-56-de-cazuri-de-coronavirus-in-bihor-158211.html" TargetMode="External"/><Relationship Id="rId1706" Type="http://schemas.openxmlformats.org/officeDocument/2006/relationships/hyperlink" Target="https://stirioficiale.ro/informatii/buletin-de-presa-30-iulie-2020-ora-13-00" TargetMode="External"/><Relationship Id="rId1913" Type="http://schemas.openxmlformats.org/officeDocument/2006/relationships/hyperlink" Target="http://www.ms.ro/2020/08/02/buletin-informativ-02-08-2020/" TargetMode="External"/><Relationship Id="rId4112" Type="http://schemas.openxmlformats.org/officeDocument/2006/relationships/hyperlink" Target="http://www.ms.ro/2020/08/25/buletin-informativ-25-08-2020" TargetMode="External"/><Relationship Id="rId3878" Type="http://schemas.openxmlformats.org/officeDocument/2006/relationships/hyperlink" Target="http://www.ms.ro/2020/08/21/buletin-informativ-21-08-2020" TargetMode="External"/><Relationship Id="rId799" Type="http://schemas.openxmlformats.org/officeDocument/2006/relationships/hyperlink" Target="http://www.ms.ro/2020/04/27/buletin-informativ-27-04-2020/" TargetMode="External"/><Relationship Id="rId2687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2894" Type="http://schemas.openxmlformats.org/officeDocument/2006/relationships/hyperlink" Target="http://www.ms.ro/2020/08/13/buletin-informativ-13-08-2020" TargetMode="External"/><Relationship Id="rId3738" Type="http://schemas.openxmlformats.org/officeDocument/2006/relationships/hyperlink" Target="http://www.ms.ro/2020/08/20/buletin-informativ-20-08-2020" TargetMode="External"/><Relationship Id="rId659" Type="http://schemas.openxmlformats.org/officeDocument/2006/relationships/hyperlink" Target="http://www.ms.ro/2020/04/23/buletin-informativ-23-04-2020/" TargetMode="External"/><Relationship Id="rId866" Type="http://schemas.openxmlformats.org/officeDocument/2006/relationships/hyperlink" Target="http://www.ms.ro/2020/04/29/buletin-informativ-29-04-2020/" TargetMode="External"/><Relationship Id="rId1289" Type="http://schemas.openxmlformats.org/officeDocument/2006/relationships/hyperlink" Target="http://www.ms.ro/2020/06/11/buletin-informativ-11-06-2020/" TargetMode="External"/><Relationship Id="rId1496" Type="http://schemas.openxmlformats.org/officeDocument/2006/relationships/hyperlink" Target="https://stirioficiale.ro/informatii/buletin-de-presa-23-iulie-2020-ora-13-00" TargetMode="External"/><Relationship Id="rId2547" Type="http://schemas.openxmlformats.org/officeDocument/2006/relationships/hyperlink" Target="https://stirioficiale.ro/informatii/buletin-de-presa-9-august-2020-ora-13-00" TargetMode="External"/><Relationship Id="rId3945" Type="http://schemas.openxmlformats.org/officeDocument/2006/relationships/hyperlink" Target="https://www.ebihoreanul.ro/stiri/niciun-deces-in-bihor-si-zeci-de-pacienti-covid-vindecati-dar-si-40-noi-imbolnaviri-inclusiv-angajati-ai-maternitatii-si-spitalului-militar-158339.html" TargetMode="External"/><Relationship Id="rId519" Type="http://schemas.openxmlformats.org/officeDocument/2006/relationships/hyperlink" Target="https://stirioficiale.ro/informatii/buletin-de-presa-21-aprilie-2020-ora-13-35" TargetMode="External"/><Relationship Id="rId1149" Type="http://schemas.openxmlformats.org/officeDocument/2006/relationships/hyperlink" Target="https://stirioficiale.ro/informatii/buletin-de-presa-29-mai-2020-ora-13-00" TargetMode="External"/><Relationship Id="rId1356" Type="http://schemas.openxmlformats.org/officeDocument/2006/relationships/hyperlink" Target="https://stirioficiale.ro/informatii/buletin-de-presa-5-iulie-2020-ora-13-00" TargetMode="External"/><Relationship Id="rId2754" Type="http://schemas.openxmlformats.org/officeDocument/2006/relationships/hyperlink" Target="http://www.ms.ro/2020/08/11/buletin-informativ-11-08-2020" TargetMode="External"/><Relationship Id="rId2961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3805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726" Type="http://schemas.openxmlformats.org/officeDocument/2006/relationships/hyperlink" Target="https://stirioficiale.ro/informatii/buletin-de-presa-27-aprilie-2020-ora-13-00" TargetMode="External"/><Relationship Id="rId933" Type="http://schemas.openxmlformats.org/officeDocument/2006/relationships/hyperlink" Target="http://www.ms.ro/2020/05/03/buletin-informativ-03-05-2020/" TargetMode="External"/><Relationship Id="rId1009" Type="http://schemas.openxmlformats.org/officeDocument/2006/relationships/hyperlink" Target="http://www.ms.ro/2020/05/18/buletin-informativ-18-05-2020/" TargetMode="External"/><Relationship Id="rId1563" Type="http://schemas.openxmlformats.org/officeDocument/2006/relationships/hyperlink" Target="http://www.ms.ro/2020/07/26/buletin-informativ-26-07-2020/" TargetMode="External"/><Relationship Id="rId1770" Type="http://schemas.openxmlformats.org/officeDocument/2006/relationships/hyperlink" Target="https://stirioficiale.ro/informatii/buletin-de-presa-30-iulie-2020-ora-13-00" TargetMode="External"/><Relationship Id="rId2407" Type="http://schemas.openxmlformats.org/officeDocument/2006/relationships/hyperlink" Target="https://stirioficiale.ro/informatii/buletin-de-presa-8-august-2020-ora-13-00" TargetMode="External"/><Relationship Id="rId2614" Type="http://schemas.openxmlformats.org/officeDocument/2006/relationships/hyperlink" Target="http://www.ms.ro/2020/08/10/buletin-informativ-10-08-2020" TargetMode="External"/><Relationship Id="rId2821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62" Type="http://schemas.openxmlformats.org/officeDocument/2006/relationships/hyperlink" Target="https://stirioficiale.ro/informatii/buletin-de-presa-6-aprilie-2020-ora-13-00" TargetMode="External"/><Relationship Id="rId1216" Type="http://schemas.openxmlformats.org/officeDocument/2006/relationships/hyperlink" Target="http://www.ms.ro/2020/06/01/buletin-informativ-01-06-2020/" TargetMode="External"/><Relationship Id="rId1423" Type="http://schemas.openxmlformats.org/officeDocument/2006/relationships/hyperlink" Target="http://www.ms.ro/2020/07/14/buletin-informativ-14-07-2020/" TargetMode="External"/><Relationship Id="rId1630" Type="http://schemas.openxmlformats.org/officeDocument/2006/relationships/hyperlink" Target="https://stirioficiale.ro/informatii/buletin-de-presa-28-iulie-2020-ora-13-00" TargetMode="External"/><Relationship Id="rId3388" Type="http://schemas.openxmlformats.org/officeDocument/2006/relationships/hyperlink" Target="http://www.ms.ro/2020/08/17/buletin-informativ-17-08-2020" TargetMode="External"/><Relationship Id="rId3595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2197" Type="http://schemas.openxmlformats.org/officeDocument/2006/relationships/hyperlink" Target="https://www.ebihoreanul.ro/stiri/record-dupa-record-in-bihor-intr-o-singura-zi-3-morti-si-59-noi-imbolnaviri-cu-covid-158047.html" TargetMode="External"/><Relationship Id="rId3248" Type="http://schemas.openxmlformats.org/officeDocument/2006/relationships/hyperlink" Target="http://www.ms.ro/2020/08/15/33355/" TargetMode="External"/><Relationship Id="rId3455" Type="http://schemas.openxmlformats.org/officeDocument/2006/relationships/hyperlink" Target="https://www.ebihoreanul.ro/stiri/coronavirus-in-bihor-inca-doua-decese-si-45-de-cazuri-noi-vezi-din-ce-localitati-158277.html" TargetMode="External"/><Relationship Id="rId3662" Type="http://schemas.openxmlformats.org/officeDocument/2006/relationships/hyperlink" Target="http://www.ms.ro/2020/08/20/buletin-informativ-20-08-2020" TargetMode="External"/><Relationship Id="rId169" Type="http://schemas.openxmlformats.org/officeDocument/2006/relationships/hyperlink" Target="http://www.ms.ro/2020/04/13/buletin-informativ-13-04-2020/" TargetMode="External"/><Relationship Id="rId376" Type="http://schemas.openxmlformats.org/officeDocument/2006/relationships/hyperlink" Target="http://www.ms.ro/2020/04/16/buletin-informativ-16-04-2020/" TargetMode="External"/><Relationship Id="rId583" Type="http://schemas.openxmlformats.org/officeDocument/2006/relationships/hyperlink" Target="http://www.ms.ro/2020/04/22/buletin-informativ-22-04-2020/" TargetMode="External"/><Relationship Id="rId790" Type="http://schemas.openxmlformats.org/officeDocument/2006/relationships/hyperlink" Target="https://stirioficiale.ro/informatii/buletin-de-presa-27-aprilie-2020-ora-13-00" TargetMode="External"/><Relationship Id="rId2057" Type="http://schemas.openxmlformats.org/officeDocument/2006/relationships/hyperlink" Target="https://stirioficiale.ro/informatii/buletin-de-presa-3-august-2020-ora-13-00" TargetMode="External"/><Relationship Id="rId2264" Type="http://schemas.openxmlformats.org/officeDocument/2006/relationships/hyperlink" Target="http://www.ms.ro/2020/08/06/buletin-informativ-06-08-2020/" TargetMode="External"/><Relationship Id="rId2471" Type="http://schemas.openxmlformats.org/officeDocument/2006/relationships/hyperlink" Target="https://stirioficiale.ro/informatii/buletin-de-presa-8-august-2020-ora-13-00" TargetMode="External"/><Relationship Id="rId3108" Type="http://schemas.openxmlformats.org/officeDocument/2006/relationships/hyperlink" Target="http://www.ms.ro/2020/08/14/buletin-informativ-14-08-2020" TargetMode="External"/><Relationship Id="rId3315" Type="http://schemas.openxmlformats.org/officeDocument/2006/relationships/hyperlink" Target="https://www.ebihoreanul.ro/stiri/coronavirus-in-bihor-inca-trei-decese-inregistrate-50-de-cazuri-noi-diagnosticate-nicio-persoana-vindecata-158239.html" TargetMode="External"/><Relationship Id="rId3522" Type="http://schemas.openxmlformats.org/officeDocument/2006/relationships/hyperlink" Target="http://www.ms.ro/2020/08/19/buletin-informativ-19-08-2020" TargetMode="External"/><Relationship Id="rId236" Type="http://schemas.openxmlformats.org/officeDocument/2006/relationships/hyperlink" Target="https://stirioficiale.ro/informatii/buletin-de-presa-13-aprilie-2020-ora-13-80" TargetMode="External"/><Relationship Id="rId443" Type="http://schemas.openxmlformats.org/officeDocument/2006/relationships/hyperlink" Target="https://stirioficiale.ro/informatii/buletin-de-presa-20-aprilie-2020-ora-13-00" TargetMode="External"/><Relationship Id="rId650" Type="http://schemas.openxmlformats.org/officeDocument/2006/relationships/hyperlink" Target="https://stirioficiale.ro/informatii/buletin-de-presa-23-aprilie-2020-ora-13-00" TargetMode="External"/><Relationship Id="rId1073" Type="http://schemas.openxmlformats.org/officeDocument/2006/relationships/hyperlink" Target="http://www.ms.ro/2020/05/23/buletin-informativ-23-05-2020/" TargetMode="External"/><Relationship Id="rId1280" Type="http://schemas.openxmlformats.org/officeDocument/2006/relationships/hyperlink" Target="https://stirioficiale.ro/informatii/buletin-de-presa-7-iunie-2020-ora-13-00" TargetMode="External"/><Relationship Id="rId2124" Type="http://schemas.openxmlformats.org/officeDocument/2006/relationships/hyperlink" Target="http://www.ms.ro/2020/08/05/buletin-informativ-05-08-2020/" TargetMode="External"/><Relationship Id="rId2331" Type="http://schemas.openxmlformats.org/officeDocument/2006/relationships/hyperlink" Target="https://www.ebihoreanul.ro/stiri/a-patra-zi-la-rand-cu-decese-covid-in-bihor-si-53-noi-imbolnaviri-in-ultimele-24-de-ore-158087.html" TargetMode="External"/><Relationship Id="rId303" Type="http://schemas.openxmlformats.org/officeDocument/2006/relationships/hyperlink" Target="http://www.ms.ro/2020/04/13/buletin-informativ-13-04-2020/" TargetMode="External"/><Relationship Id="rId1140" Type="http://schemas.openxmlformats.org/officeDocument/2006/relationships/hyperlink" Target="http://www.ms.ro/2020/05/29/buletin-informativ-29-05-2020/" TargetMode="External"/><Relationship Id="rId4089" Type="http://schemas.openxmlformats.org/officeDocument/2006/relationships/hyperlink" Target="https://www.ebihoreanul.ro/stiri/inca-trei-decese-ale-unor-pacienti-infectati-cu-covid-19-in-bihor-cazuri-noi-de-imbolnavire-dar-si-multe-vindecari-158365.html" TargetMode="External"/><Relationship Id="rId510" Type="http://schemas.openxmlformats.org/officeDocument/2006/relationships/hyperlink" Target="http://www.ms.ro/2020/04/21/buletin-informativ-21-04-2020/" TargetMode="External"/><Relationship Id="rId1000" Type="http://schemas.openxmlformats.org/officeDocument/2006/relationships/hyperlink" Target="https://www.bihon.ro/stirile-judetului-bihor/angajati-confirmati-cu-coronavirus-in-parcul-industrial-de-pe-borsului-2284463/" TargetMode="External"/><Relationship Id="rId1957" Type="http://schemas.openxmlformats.org/officeDocument/2006/relationships/hyperlink" Target="http://www.ms.ro/2020/08/02/buletin-informativ-02-08-2020/" TargetMode="External"/><Relationship Id="rId4156" Type="http://schemas.openxmlformats.org/officeDocument/2006/relationships/hyperlink" Target="http://www.ms.ro/2020/08/25/buletin-informativ-25-08-2020" TargetMode="External"/><Relationship Id="rId1817" Type="http://schemas.openxmlformats.org/officeDocument/2006/relationships/hyperlink" Target="http://www.ms.ro/2020/07/31/buletin-informativ-31-07-2020/" TargetMode="External"/><Relationship Id="rId3172" Type="http://schemas.openxmlformats.org/officeDocument/2006/relationships/hyperlink" Target="http://www.ms.ro/2020/08/15/33355/" TargetMode="External"/><Relationship Id="rId4016" Type="http://schemas.openxmlformats.org/officeDocument/2006/relationships/hyperlink" Target="http://www.ms.ro/2020/08/23/buletin-informativ-23-08-2020" TargetMode="External"/><Relationship Id="rId4223" Type="http://schemas.openxmlformats.org/officeDocument/2006/relationships/hyperlink" Target="https://www.ebihoreanul.ro/stiri/28-de-noi-imbolnaviri-cu-covid-19-in-bihor-inclusiv-in-randul-personalului-upu-smurd-158401.html" TargetMode="External"/><Relationship Id="rId3032" Type="http://schemas.openxmlformats.org/officeDocument/2006/relationships/hyperlink" Target="http://www.ms.ro/2020/08/14/buletin-informativ-14-08-2020" TargetMode="External"/><Relationship Id="rId160" Type="http://schemas.openxmlformats.org/officeDocument/2006/relationships/hyperlink" Target="https://stirioficiale.ro/informatii/buletin-de-presa-13-aprilie-2020-ora-13-42" TargetMode="External"/><Relationship Id="rId3989" Type="http://schemas.openxmlformats.org/officeDocument/2006/relationships/hyperlink" Target="https://www.ebihoreanul.ro/stiri/niciun-deces-in-bihor-si-zeci-de-pacienti-covid-vindecati-dar-si-40-noi-imbolnaviri-inclusiv-angajati-ai-maternitatii-si-spitalului-militar-158339.html" TargetMode="External"/><Relationship Id="rId2798" Type="http://schemas.openxmlformats.org/officeDocument/2006/relationships/hyperlink" Target="http://www.ms.ro/2020/08/12/buletin-informativ-12-08-2020" TargetMode="External"/><Relationship Id="rId3849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977" Type="http://schemas.openxmlformats.org/officeDocument/2006/relationships/hyperlink" Target="https://stirioficiale.ro/informatii/buletin-de-presa-13-mai-2020-ora-13-00" TargetMode="External"/><Relationship Id="rId2658" Type="http://schemas.openxmlformats.org/officeDocument/2006/relationships/hyperlink" Target="http://www.ms.ro/2020/08/10/buletin-informativ-10-08-2020" TargetMode="External"/><Relationship Id="rId2865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3709" Type="http://schemas.openxmlformats.org/officeDocument/2006/relationships/hyperlink" Target="https://www.ebihoreanul.ro/stiri/record-alarmant-in-bihor-inca-85-de-cazuri-noi-de-covid-si-inca-doua-decese-158311.html" TargetMode="External"/><Relationship Id="rId3916" Type="http://schemas.openxmlformats.org/officeDocument/2006/relationships/hyperlink" Target="http://www.ms.ro/2020/08/22/buletin-informativ-22-08-2020" TargetMode="External"/><Relationship Id="rId4080" Type="http://schemas.openxmlformats.org/officeDocument/2006/relationships/hyperlink" Target="http://www.ms.ro/2020/08/24/buletin-informativ-24-08-2020" TargetMode="External"/><Relationship Id="rId837" Type="http://schemas.openxmlformats.org/officeDocument/2006/relationships/hyperlink" Target="http://www.ms.ro/2020/04/28/buletin-informativ-28-04-2020/" TargetMode="External"/><Relationship Id="rId1467" Type="http://schemas.openxmlformats.org/officeDocument/2006/relationships/hyperlink" Target="http://www.ms.ro/2020/07/22/buletin-informativ-22-07-2020/" TargetMode="External"/><Relationship Id="rId1674" Type="http://schemas.openxmlformats.org/officeDocument/2006/relationships/hyperlink" Target="https://stirioficiale.ro/informatii/buletin-de-presa-29-iulie-2020-ora-13-00" TargetMode="External"/><Relationship Id="rId1881" Type="http://schemas.openxmlformats.org/officeDocument/2006/relationships/hyperlink" Target="http://www.ms.ro/2020/08/01/buletin-informativ-01-08-2020/" TargetMode="External"/><Relationship Id="rId2518" Type="http://schemas.openxmlformats.org/officeDocument/2006/relationships/hyperlink" Target="http://www.ms.ro/2020/08/09/buletin-informativ-09-08-2020" TargetMode="External"/><Relationship Id="rId2725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2932" Type="http://schemas.openxmlformats.org/officeDocument/2006/relationships/hyperlink" Target="http://www.ms.ro/2020/08/13/buletin-informativ-13-08-2020" TargetMode="External"/><Relationship Id="rId904" Type="http://schemas.openxmlformats.org/officeDocument/2006/relationships/hyperlink" Target="http://www.ms.ro/2020/05/01/buletin-informativ-01-05-2020/" TargetMode="External"/><Relationship Id="rId1327" Type="http://schemas.openxmlformats.org/officeDocument/2006/relationships/hyperlink" Target="http://www.ms.ro/2020/06/24/buletin-informativ-24-06-2020/" TargetMode="External"/><Relationship Id="rId1534" Type="http://schemas.openxmlformats.org/officeDocument/2006/relationships/hyperlink" Target="https://stirioficiale.ro/informatii/buletin-de-presa-25-iulie-2020-ora-13-00" TargetMode="External"/><Relationship Id="rId1741" Type="http://schemas.openxmlformats.org/officeDocument/2006/relationships/hyperlink" Target="http://www.ms.ro/2020/07/30/buletin-informativ-30-07-2020/" TargetMode="External"/><Relationship Id="rId33" Type="http://schemas.openxmlformats.org/officeDocument/2006/relationships/hyperlink" Target="http://www.ms.ro/2020/04/02/buletin-informativ-02-04-2020/" TargetMode="External"/><Relationship Id="rId1601" Type="http://schemas.openxmlformats.org/officeDocument/2006/relationships/hyperlink" Target="http://www.ms.ro/2020/07/27/buletin-informativ-27-07-2020/" TargetMode="External"/><Relationship Id="rId3499" Type="http://schemas.openxmlformats.org/officeDocument/2006/relationships/hyperlink" Target="https://www.ebihoreanul.ro/stiri/coronavirus-in-bihor-inca-doua-decese-si-45-de-cazuri-noi-vezi-din-ce-localitati-158277.html" TargetMode="External"/><Relationship Id="rId3359" Type="http://schemas.openxmlformats.org/officeDocument/2006/relationships/hyperlink" Target="https://www.ebihoreanul.ro/stiri/dupa-doua-saptamani-numarul-imbolnavirilor-covid-scade-in-bihor-31-noi-infectari-dar-si-un-deces-158256.html" TargetMode="External"/><Relationship Id="rId3566" Type="http://schemas.openxmlformats.org/officeDocument/2006/relationships/hyperlink" Target="http://www.ms.ro/2020/08/19/buletin-informativ-19-08-2020" TargetMode="External"/><Relationship Id="rId487" Type="http://schemas.openxmlformats.org/officeDocument/2006/relationships/hyperlink" Target="https://stirioficiale.ro/informatii/buletin-de-presa-21-aprilie-2020-ora-13-19" TargetMode="External"/><Relationship Id="rId694" Type="http://schemas.openxmlformats.org/officeDocument/2006/relationships/hyperlink" Target="https://stirioficiale.ro/informatii/buletin-de-presa-25-aprilie-2020-ora-13-00" TargetMode="External"/><Relationship Id="rId2168" Type="http://schemas.openxmlformats.org/officeDocument/2006/relationships/hyperlink" Target="http://www.ms.ro/2020/08/05/buletin-informativ-05-08-2020/" TargetMode="External"/><Relationship Id="rId2375" Type="http://schemas.openxmlformats.org/officeDocument/2006/relationships/hyperlink" Target="https://www.ebihoreanul.ro/stiri/a-patra-zi-la-rand-cu-decese-covid-in-bihor-si-53-noi-imbolnaviri-in-ultimele-24-de-ore-158087.html" TargetMode="External"/><Relationship Id="rId3219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3773" Type="http://schemas.openxmlformats.org/officeDocument/2006/relationships/hyperlink" Target="https://www.ebihoreanul.ro/stiri/record-alarmant-in-bihor-inca-85-de-cazuri-noi-de-covid-si-inca-doua-decese-158311.html" TargetMode="External"/><Relationship Id="rId3980" Type="http://schemas.openxmlformats.org/officeDocument/2006/relationships/hyperlink" Target="http://www.ms.ro/2020/08/22/buletin-informativ-22-08-2020" TargetMode="External"/><Relationship Id="rId347" Type="http://schemas.openxmlformats.org/officeDocument/2006/relationships/hyperlink" Target="https://stirioficiale.ro/informatii/buletin-de-presa-15-aprilie-2020-ora-13-54" TargetMode="External"/><Relationship Id="rId1184" Type="http://schemas.openxmlformats.org/officeDocument/2006/relationships/hyperlink" Target="http://www.ms.ro/2020/05/31/buletin-informativ-31-05-2020/" TargetMode="External"/><Relationship Id="rId2028" Type="http://schemas.openxmlformats.org/officeDocument/2006/relationships/hyperlink" Target="http://www.ms.ro/2020/08/03/buletin-informativ-03-08-2020/" TargetMode="External"/><Relationship Id="rId2582" Type="http://schemas.openxmlformats.org/officeDocument/2006/relationships/hyperlink" Target="http://www.ms.ro/2020/08/09/buletin-informativ-09-08-2020" TargetMode="External"/><Relationship Id="rId3426" Type="http://schemas.openxmlformats.org/officeDocument/2006/relationships/hyperlink" Target="http://www.ms.ro/2020/08/18/buletin-informativ-18-08-2020" TargetMode="External"/><Relationship Id="rId3633" Type="http://schemas.openxmlformats.org/officeDocument/2006/relationships/hyperlink" Target="https://www.ebihoreanul.ro/stiri/record-alarmant-in-bihor-inca-85-de-cazuri-noi-de-covid-si-inca-doua-decese-158311.html" TargetMode="External"/><Relationship Id="rId3840" Type="http://schemas.openxmlformats.org/officeDocument/2006/relationships/hyperlink" Target="http://www.ms.ro/2020/08/21/buletin-informativ-21-08-2020" TargetMode="External"/><Relationship Id="rId554" Type="http://schemas.openxmlformats.org/officeDocument/2006/relationships/hyperlink" Target="http://www.ms.ro/2020/04/21/buletin-informativ-21-04-2020/" TargetMode="External"/><Relationship Id="rId761" Type="http://schemas.openxmlformats.org/officeDocument/2006/relationships/hyperlink" Target="http://www.ms.ro/2020/04/27/buletin-informativ-27-04-2020/" TargetMode="External"/><Relationship Id="rId1391" Type="http://schemas.openxmlformats.org/officeDocument/2006/relationships/hyperlink" Target="http://www.ms.ro/2020/07/08/buletin-informativ-07-08-2020/" TargetMode="External"/><Relationship Id="rId2235" Type="http://schemas.openxmlformats.org/officeDocument/2006/relationships/hyperlink" Target="https://www.ebihoreanul.ro/stiri/a-treia-zi-consecutiva-cu-decese-covid-in-bihor-si-inca-35-noi-imbolnaviri-raportate-oficial-pentru-ultimele-24-de-ore-158069.html" TargetMode="External"/><Relationship Id="rId2442" Type="http://schemas.openxmlformats.org/officeDocument/2006/relationships/hyperlink" Target="http://www.ms.ro/2020/08/08/buletin-informativ-08-08-2020" TargetMode="External"/><Relationship Id="rId3700" Type="http://schemas.openxmlformats.org/officeDocument/2006/relationships/hyperlink" Target="http://www.ms.ro/2020/08/20/buletin-informativ-20-08-2020" TargetMode="External"/><Relationship Id="rId207" Type="http://schemas.openxmlformats.org/officeDocument/2006/relationships/hyperlink" Target="http://www.ms.ro/2020/04/13/buletin-informativ-13-04-2020/" TargetMode="External"/><Relationship Id="rId414" Type="http://schemas.openxmlformats.org/officeDocument/2006/relationships/hyperlink" Target="http://www.ms.ro/2020/04/18/buletin-informativ-18-04-2020/" TargetMode="External"/><Relationship Id="rId621" Type="http://schemas.openxmlformats.org/officeDocument/2006/relationships/hyperlink" Target="http://www.ms.ro/2020/04/22/buletin-informativ-22-04-2020/" TargetMode="External"/><Relationship Id="rId1044" Type="http://schemas.openxmlformats.org/officeDocument/2006/relationships/hyperlink" Target="https://stirioficiale.ro/informatii/buletin-de-presa-21-mai-2020-ora-13-00" TargetMode="External"/><Relationship Id="rId1251" Type="http://schemas.openxmlformats.org/officeDocument/2006/relationships/hyperlink" Target="https://stirioficiale.ro/informatii/buletin-de-presa-3-iunie-2020-ora-13-00" TargetMode="External"/><Relationship Id="rId2302" Type="http://schemas.openxmlformats.org/officeDocument/2006/relationships/hyperlink" Target="http://www.ms.ro/2020/08/07/buletin-informativ-07-08-2020/" TargetMode="External"/><Relationship Id="rId1111" Type="http://schemas.openxmlformats.org/officeDocument/2006/relationships/hyperlink" Target="https://stirioficiale.ro/informatii/buletin-de-presa-27-mai-2020-ora-13-00" TargetMode="External"/><Relationship Id="rId3076" Type="http://schemas.openxmlformats.org/officeDocument/2006/relationships/hyperlink" Target="http://www.ms.ro/2020/08/14/buletin-informativ-14-08-2020" TargetMode="External"/><Relationship Id="rId3283" Type="http://schemas.openxmlformats.org/officeDocument/2006/relationships/hyperlink" Target="https://www.ebihoreanul.ro/stiri/coronavirus-in-bihor-inca-trei-decese-inregistrate-50-de-cazuri-noi-diagnosticate-nicio-persoana-vindecata-158239.html" TargetMode="External"/><Relationship Id="rId3490" Type="http://schemas.openxmlformats.org/officeDocument/2006/relationships/hyperlink" Target="http://www.ms.ro/2020/08/18/buletin-informativ-18-08-2020" TargetMode="External"/><Relationship Id="rId4127" Type="http://schemas.openxmlformats.org/officeDocument/2006/relationships/hyperlink" Target="https://www.ebihoreanul.ro/stiri/record-de-decese-covid-in-romania-58-intr-o-singura-zi-in-bihor-au-murit-3-oameni-iar-alti-37-au-fost-diagnosticati-aproape-100-de-pacienti-vindecati-158383.html" TargetMode="External"/><Relationship Id="rId1928" Type="http://schemas.openxmlformats.org/officeDocument/2006/relationships/hyperlink" Target="https://stirioficiale.ro/informatii/buletin-de-presa-2-august-2020-ora-13-00" TargetMode="External"/><Relationship Id="rId2092" Type="http://schemas.openxmlformats.org/officeDocument/2006/relationships/hyperlink" Target="http://www.ms.ro/2020/08/04/buletin-informativ-04-08-2020/" TargetMode="External"/><Relationship Id="rId3143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3350" Type="http://schemas.openxmlformats.org/officeDocument/2006/relationships/hyperlink" Target="http://www.ms.ro/2020/08/17/buletin-informativ-17-08-2020" TargetMode="External"/><Relationship Id="rId271" Type="http://schemas.openxmlformats.org/officeDocument/2006/relationships/hyperlink" Target="http://www.ms.ro/2020/04/13/buletin-informativ-13-04-2020/" TargetMode="External"/><Relationship Id="rId3003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131" Type="http://schemas.openxmlformats.org/officeDocument/2006/relationships/hyperlink" Target="http://www.ms.ro/2020/04/11/buletin-informativ-11-04-2020/" TargetMode="External"/><Relationship Id="rId3210" Type="http://schemas.openxmlformats.org/officeDocument/2006/relationships/hyperlink" Target="http://www.ms.ro/2020/08/15/33355/" TargetMode="External"/><Relationship Id="rId2769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2976" Type="http://schemas.openxmlformats.org/officeDocument/2006/relationships/hyperlink" Target="http://www.ms.ro/2020/08/13/buletin-informativ-13-08-2020" TargetMode="External"/><Relationship Id="rId948" Type="http://schemas.openxmlformats.org/officeDocument/2006/relationships/hyperlink" Target="https://stirioficiale.ro/informatii/buletin-de-presa-6-mai-2020-ora-13-00" TargetMode="External"/><Relationship Id="rId1578" Type="http://schemas.openxmlformats.org/officeDocument/2006/relationships/hyperlink" Target="https://www.ebihoreanul.ro/stiri/inca-26-noi-cazuri-covid-depistate-in-bihor-intre-care-un-brancardier-si-o-asistenta-revenita-dupa-un-concediu-in-grecia-157871.html" TargetMode="External"/><Relationship Id="rId1785" Type="http://schemas.openxmlformats.org/officeDocument/2006/relationships/hyperlink" Target="http://www.ms.ro/2020/07/30/buletin-informativ-30-07-2020/" TargetMode="External"/><Relationship Id="rId1992" Type="http://schemas.openxmlformats.org/officeDocument/2006/relationships/hyperlink" Target="https://www.ebihoreanul.ro/stiri/inca-50-de-cazuri-de-covid-19-in-bihor-in-urma-testelor-facute-duminica-157998.html" TargetMode="External"/><Relationship Id="rId2629" Type="http://schemas.openxmlformats.org/officeDocument/2006/relationships/hyperlink" Target="https://www.ebihoreanul.ro/stiri/nc-un-deces-i-37-de-noi-mbolnviri-de-covid-19-n-bihor-o-parte-a-spitalului-din-beiu-va-trata-bolnavi-cu-covid-din-cauza-cazurilor-multe-din-zon-158138.html" TargetMode="External"/><Relationship Id="rId2836" Type="http://schemas.openxmlformats.org/officeDocument/2006/relationships/hyperlink" Target="http://www.ms.ro/2020/08/12/buletin-informativ-12-08-2020" TargetMode="External"/><Relationship Id="rId4191" Type="http://schemas.openxmlformats.org/officeDocument/2006/relationships/hyperlink" Target="https://www.ebihoreanul.ro/stiri/28-de-noi-imbolnaviri-cu-covid-19-in-bihor-inclusiv-in-randul-personalului-upu-smurd-158401.html" TargetMode="External"/><Relationship Id="rId77" Type="http://schemas.openxmlformats.org/officeDocument/2006/relationships/hyperlink" Target="https://stirioficiale.ro/informatii/buletin-de-presa-9-aprilie-2020-ora-13-00" TargetMode="External"/><Relationship Id="rId808" Type="http://schemas.openxmlformats.org/officeDocument/2006/relationships/hyperlink" Target="https://stirioficiale.ro/informatii/buletin-de-presa-28-aprilie-2020-ora-13-00" TargetMode="External"/><Relationship Id="rId1438" Type="http://schemas.openxmlformats.org/officeDocument/2006/relationships/hyperlink" Target="https://www.ebihoreanul.ro/stiri/doua-noi-cazuri-covid-in-bihor-socrii-unui-medic-oradean-care-s-au-testat-la-cerere-si-apoi-au-acceptat-spitalizarea-157723.html" TargetMode="External"/><Relationship Id="rId1645" Type="http://schemas.openxmlformats.org/officeDocument/2006/relationships/hyperlink" Target="http://www.ms.ro/2020/07/28/buletin-informativ-28-07-2020/" TargetMode="External"/><Relationship Id="rId4051" Type="http://schemas.openxmlformats.org/officeDocument/2006/relationships/hyperlink" Target="https://www.ebihoreanul.ro/stiri/a-fost-depasit-pragul-de-2000-de-cazuri-covid-19diagnosticate-in-bihor-158350.html" TargetMode="External"/><Relationship Id="rId1852" Type="http://schemas.openxmlformats.org/officeDocument/2006/relationships/hyperlink" Target="https://www.ebihoreanul.ro/stiri/nou-record-covid-in-bihor-52-de-cazuri-noi-157971.html" TargetMode="External"/><Relationship Id="rId2903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1505" Type="http://schemas.openxmlformats.org/officeDocument/2006/relationships/hyperlink" Target="http://www.ms.ro/2020/07/24/buletin-informativ-24-07-2020/" TargetMode="External"/><Relationship Id="rId1712" Type="http://schemas.openxmlformats.org/officeDocument/2006/relationships/hyperlink" Target="https://stirioficiale.ro/informatii/buletin-de-presa-30-iulie-2020-ora-13-00" TargetMode="External"/><Relationship Id="rId3677" Type="http://schemas.openxmlformats.org/officeDocument/2006/relationships/hyperlink" Target="https://www.ebihoreanul.ro/stiri/record-alarmant-in-bihor-inca-85-de-cazuri-noi-de-covid-si-inca-doua-decese-158311.html" TargetMode="External"/><Relationship Id="rId3884" Type="http://schemas.openxmlformats.org/officeDocument/2006/relationships/hyperlink" Target="http://www.ms.ro/2020/08/21/buletin-informativ-21-08-2020" TargetMode="External"/><Relationship Id="rId598" Type="http://schemas.openxmlformats.org/officeDocument/2006/relationships/hyperlink" Target="https://stirioficiale.ro/informatii/buletin-de-presa-22-aprilie-2020-ora-13-53" TargetMode="External"/><Relationship Id="rId2279" Type="http://schemas.openxmlformats.org/officeDocument/2006/relationships/hyperlink" Target="https://www.ebihoreanul.ro/stiri/a-treia-zi-consecutiva-cu-decese-covid-in-bihor-si-inca-35-noi-imbolnaviri-raportate-oficial-pentru-ultimele-24-de-ore-158069.html" TargetMode="External"/><Relationship Id="rId2486" Type="http://schemas.openxmlformats.org/officeDocument/2006/relationships/hyperlink" Target="http://www.ms.ro/2020/08/08/buletin-informativ-08-08-2020" TargetMode="External"/><Relationship Id="rId2693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3537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3744" Type="http://schemas.openxmlformats.org/officeDocument/2006/relationships/hyperlink" Target="http://www.ms.ro/2020/08/20/buletin-informativ-20-08-2020" TargetMode="External"/><Relationship Id="rId3951" Type="http://schemas.openxmlformats.org/officeDocument/2006/relationships/hyperlink" Target="https://www.ebihoreanul.ro/stiri/niciun-deces-in-bihor-si-zeci-de-pacienti-covid-vindecati-dar-si-40-noi-imbolnaviri-inclusiv-angajati-ai-maternitatii-si-spitalului-militar-158339.html" TargetMode="External"/><Relationship Id="rId458" Type="http://schemas.openxmlformats.org/officeDocument/2006/relationships/hyperlink" Target="http://www.ms.ro/2020/04/20/buletin-informativ-20-04-2020/" TargetMode="External"/><Relationship Id="rId665" Type="http://schemas.openxmlformats.org/officeDocument/2006/relationships/hyperlink" Target="http://www.ms.ro/2020/04/23/buletin-informativ-23-04-2020/" TargetMode="External"/><Relationship Id="rId872" Type="http://schemas.openxmlformats.org/officeDocument/2006/relationships/hyperlink" Target="http://www.ms.ro/2020/04/30/buletin-informativ-30-04-2020/" TargetMode="External"/><Relationship Id="rId1088" Type="http://schemas.openxmlformats.org/officeDocument/2006/relationships/hyperlink" Target="https://stirioficiale.ro/informatii/buletin-de-presa-23-mai-2020-ora-13-00" TargetMode="External"/><Relationship Id="rId1295" Type="http://schemas.openxmlformats.org/officeDocument/2006/relationships/hyperlink" Target="http://www.ms.ro/2020/06/12/buletin-informativ-12-06-2020/" TargetMode="External"/><Relationship Id="rId2139" Type="http://schemas.openxmlformats.org/officeDocument/2006/relationships/hyperlink" Target="https://www.ebihoreanul.ro/stiri/record-dupa-record-in-bihor-intr-o-singura-zi-3-morti-si-59-noi-imbolnaviri-cu-covid-158047.html" TargetMode="External"/><Relationship Id="rId2346" Type="http://schemas.openxmlformats.org/officeDocument/2006/relationships/hyperlink" Target="http://www.ms.ro/2020/08/07/buletin-informativ-07-08-2020/" TargetMode="External"/><Relationship Id="rId2553" Type="http://schemas.openxmlformats.org/officeDocument/2006/relationships/hyperlink" Target="https://stirioficiale.ro/informatii/buletin-de-presa-9-august-2020-ora-13-00" TargetMode="External"/><Relationship Id="rId2760" Type="http://schemas.openxmlformats.org/officeDocument/2006/relationships/hyperlink" Target="http://www.ms.ro/2020/08/11/buletin-informativ-11-08-2020" TargetMode="External"/><Relationship Id="rId3604" Type="http://schemas.openxmlformats.org/officeDocument/2006/relationships/hyperlink" Target="http://www.ms.ro/2020/08/19/buletin-informativ-19-08-2020" TargetMode="External"/><Relationship Id="rId3811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318" Type="http://schemas.openxmlformats.org/officeDocument/2006/relationships/hyperlink" Target="https://stirioficiale.ro/informatii/buletin-de-presa-14-aprilie-2020-ora-13-21" TargetMode="External"/><Relationship Id="rId525" Type="http://schemas.openxmlformats.org/officeDocument/2006/relationships/hyperlink" Target="https://stirioficiale.ro/informatii/buletin-de-presa-21-aprilie-2020-ora-13-38" TargetMode="External"/><Relationship Id="rId732" Type="http://schemas.openxmlformats.org/officeDocument/2006/relationships/hyperlink" Target="https://stirioficiale.ro/informatii/buletin-de-presa-27-aprilie-2020-ora-13-00" TargetMode="External"/><Relationship Id="rId1155" Type="http://schemas.openxmlformats.org/officeDocument/2006/relationships/hyperlink" Target="https://stirioficiale.ro/informatii/buletin-de-presa-29-mai-2020-ora-13-00" TargetMode="External"/><Relationship Id="rId1362" Type="http://schemas.openxmlformats.org/officeDocument/2006/relationships/hyperlink" Target="https://stirioficiale.ro/informatii/buletin-de-presa-5-iulie-2020-ora-13-00" TargetMode="External"/><Relationship Id="rId2206" Type="http://schemas.openxmlformats.org/officeDocument/2006/relationships/hyperlink" Target="http://www.ms.ro/2020/08/05/buletin-informativ-05-08-2020/" TargetMode="External"/><Relationship Id="rId2413" Type="http://schemas.openxmlformats.org/officeDocument/2006/relationships/hyperlink" Target="https://stirioficiale.ro/informatii/buletin-de-presa-8-august-2020-ora-13-00" TargetMode="External"/><Relationship Id="rId2620" Type="http://schemas.openxmlformats.org/officeDocument/2006/relationships/hyperlink" Target="http://www.ms.ro/2020/08/10/buletin-informativ-10-08-2020" TargetMode="External"/><Relationship Id="rId1015" Type="http://schemas.openxmlformats.org/officeDocument/2006/relationships/hyperlink" Target="http://www.ms.ro/2020/05/18/buletin-informativ-18-05-2020/" TargetMode="External"/><Relationship Id="rId1222" Type="http://schemas.openxmlformats.org/officeDocument/2006/relationships/hyperlink" Target="http://www.ms.ro/2020/06/01/buletin-informativ-01-06-2020/" TargetMode="External"/><Relationship Id="rId3187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3394" Type="http://schemas.openxmlformats.org/officeDocument/2006/relationships/hyperlink" Target="http://www.ms.ro/2020/08/17/buletin-informativ-17-08-2020" TargetMode="External"/><Relationship Id="rId4238" Type="http://schemas.openxmlformats.org/officeDocument/2006/relationships/hyperlink" Target="http://www.ms.ro/2020/08/26/buletin-informativ-26-08-2020" TargetMode="External"/><Relationship Id="rId3047" Type="http://schemas.openxmlformats.org/officeDocument/2006/relationships/hyperlink" Target="https://www.ebihoreanul.ro/stiri/inca-56-de-cazuri-de-coronavirus-in-bihor-158211.html" TargetMode="External"/><Relationship Id="rId175" Type="http://schemas.openxmlformats.org/officeDocument/2006/relationships/hyperlink" Target="http://www.ms.ro/2020/04/13/buletin-informativ-13-04-2020/" TargetMode="External"/><Relationship Id="rId3254" Type="http://schemas.openxmlformats.org/officeDocument/2006/relationships/hyperlink" Target="http://www.ms.ro/2020/08/16/buletin-informativ-16-08-2020" TargetMode="External"/><Relationship Id="rId3461" Type="http://schemas.openxmlformats.org/officeDocument/2006/relationships/hyperlink" Target="https://www.ebihoreanul.ro/stiri/coronavirus-in-bihor-inca-doua-decese-si-45-de-cazuri-noi-vezi-din-ce-localitati-158277.html" TargetMode="External"/><Relationship Id="rId382" Type="http://schemas.openxmlformats.org/officeDocument/2006/relationships/hyperlink" Target="http://www.ms.ro/2020/04/16/buletin-informativ-16-04-2020/" TargetMode="External"/><Relationship Id="rId2063" Type="http://schemas.openxmlformats.org/officeDocument/2006/relationships/hyperlink" Target="https://stirioficiale.ro/informatii/buletin-de-presa-3-august-2020-ora-13-00" TargetMode="External"/><Relationship Id="rId2270" Type="http://schemas.openxmlformats.org/officeDocument/2006/relationships/hyperlink" Target="http://www.ms.ro/2020/08/06/buletin-informativ-06-08-2020/" TargetMode="External"/><Relationship Id="rId3114" Type="http://schemas.openxmlformats.org/officeDocument/2006/relationships/hyperlink" Target="http://www.ms.ro/2020/08/14/buletin-informativ-14-08-2020" TargetMode="External"/><Relationship Id="rId3321" Type="http://schemas.openxmlformats.org/officeDocument/2006/relationships/hyperlink" Target="https://www.ebihoreanul.ro/stiri/coronavirus-in-bihor-inca-trei-decese-inregistrate-50-de-cazuri-noi-diagnosticate-nicio-persoana-vindecata-158239.html" TargetMode="External"/><Relationship Id="rId242" Type="http://schemas.openxmlformats.org/officeDocument/2006/relationships/hyperlink" Target="https://stirioficiale.ro/informatii/buletin-de-presa-13-aprilie-2020-ora-13-83" TargetMode="External"/><Relationship Id="rId2130" Type="http://schemas.openxmlformats.org/officeDocument/2006/relationships/hyperlink" Target="http://www.ms.ro/2020/08/05/buletin-informativ-05-08-2020/" TargetMode="External"/><Relationship Id="rId102" Type="http://schemas.openxmlformats.org/officeDocument/2006/relationships/hyperlink" Target="http://www.ms.ro/2020/04/10/buletin-informativ-10-04-2020/" TargetMode="External"/><Relationship Id="rId1689" Type="http://schemas.openxmlformats.org/officeDocument/2006/relationships/hyperlink" Target="http://www.ms.ro/2020/07/29/buletin-informativ-29-07-2020/" TargetMode="External"/><Relationship Id="rId4095" Type="http://schemas.openxmlformats.org/officeDocument/2006/relationships/hyperlink" Target="https://www.ebihoreanul.ro/stiri/inca-trei-decese-ale-unor-pacienti-infectati-cu-covid-19-in-bihor-cazuri-noi-de-imbolnavire-dar-si-multe-vindecari-158365.html" TargetMode="External"/><Relationship Id="rId1896" Type="http://schemas.openxmlformats.org/officeDocument/2006/relationships/hyperlink" Target="https://stirioficiale.ro/informatii/informare-de-presa-01-august-2020" TargetMode="External"/><Relationship Id="rId2947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4162" Type="http://schemas.openxmlformats.org/officeDocument/2006/relationships/hyperlink" Target="http://www.ms.ro/2020/08/25/buletin-informativ-25-08-2020" TargetMode="External"/><Relationship Id="rId919" Type="http://schemas.openxmlformats.org/officeDocument/2006/relationships/hyperlink" Target="http://www.ms.ro/2020/05/01/buletin-informativ-01-05-2020/" TargetMode="External"/><Relationship Id="rId1549" Type="http://schemas.openxmlformats.org/officeDocument/2006/relationships/hyperlink" Target="http://www.ms.ro/2020/07/25/buletin-informativ-25-07-2020/" TargetMode="External"/><Relationship Id="rId1756" Type="http://schemas.openxmlformats.org/officeDocument/2006/relationships/hyperlink" Target="https://stirioficiale.ro/informatii/buletin-de-presa-30-iulie-2020-ora-13-00" TargetMode="External"/><Relationship Id="rId1963" Type="http://schemas.openxmlformats.org/officeDocument/2006/relationships/hyperlink" Target="http://www.ms.ro/2020/08/02/buletin-informativ-02-08-2020/" TargetMode="External"/><Relationship Id="rId2807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4022" Type="http://schemas.openxmlformats.org/officeDocument/2006/relationships/hyperlink" Target="http://www.ms.ro/2020/08/23/buletin-informativ-23-08-2020" TargetMode="External"/><Relationship Id="rId48" Type="http://schemas.openxmlformats.org/officeDocument/2006/relationships/hyperlink" Target="https://stirioficiale.ro/informatii/buletin-de-presa-3-aprilie-2020-ora-13-00" TargetMode="External"/><Relationship Id="rId1409" Type="http://schemas.openxmlformats.org/officeDocument/2006/relationships/hyperlink" Target="http://www.ms.ro/2020/07/12/buletin-informativ-12-07-2020/" TargetMode="External"/><Relationship Id="rId1616" Type="http://schemas.openxmlformats.org/officeDocument/2006/relationships/hyperlink" Target="https://stirioficiale.ro/informatii/buletin-de-presa-28-iulie-2020-ora-13-00" TargetMode="External"/><Relationship Id="rId1823" Type="http://schemas.openxmlformats.org/officeDocument/2006/relationships/hyperlink" Target="http://www.ms.ro/2020/07/31/buletin-informativ-31-07-2020/" TargetMode="External"/><Relationship Id="rId3788" Type="http://schemas.openxmlformats.org/officeDocument/2006/relationships/hyperlink" Target="http://www.ms.ro/2020/08/21/buletin-informativ-21-08-2020" TargetMode="External"/><Relationship Id="rId3995" Type="http://schemas.openxmlformats.org/officeDocument/2006/relationships/hyperlink" Target="https://www.ebihoreanul.ro/stiri/a-fost-depasit-pragul-de-2000-de-cazuri-covid-19diagnosticate-in-bihor-158350.html" TargetMode="External"/><Relationship Id="rId2597" Type="http://schemas.openxmlformats.org/officeDocument/2006/relationships/hyperlink" Target="https://stirioficiale.ro/informatii/buletin-de-presa-9-august-2020-ora-13-00" TargetMode="External"/><Relationship Id="rId3648" Type="http://schemas.openxmlformats.org/officeDocument/2006/relationships/hyperlink" Target="http://www.ms.ro/2020/08/20/buletin-informativ-20-08-2020" TargetMode="External"/><Relationship Id="rId3855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569" Type="http://schemas.openxmlformats.org/officeDocument/2006/relationships/hyperlink" Target="http://www.ms.ro/2020/04/22/buletin-informativ-22-04-2020/" TargetMode="External"/><Relationship Id="rId776" Type="http://schemas.openxmlformats.org/officeDocument/2006/relationships/hyperlink" Target="https://stirioficiale.ro/informatii/buletin-de-presa-27-aprilie-2020-ora-13-00" TargetMode="External"/><Relationship Id="rId983" Type="http://schemas.openxmlformats.org/officeDocument/2006/relationships/hyperlink" Target="http://www.ms.ro/2020/05/14/buletin-informativ-14-05-2020/" TargetMode="External"/><Relationship Id="rId1199" Type="http://schemas.openxmlformats.org/officeDocument/2006/relationships/hyperlink" Target="https://stirioficiale.ro/informatii/buletin-de-presa-31-mai-2020-ora-13-00" TargetMode="External"/><Relationship Id="rId2457" Type="http://schemas.openxmlformats.org/officeDocument/2006/relationships/hyperlink" Target="https://stirioficiale.ro/informatii/buletin-de-presa-8-august-2020-ora-13-00" TargetMode="External"/><Relationship Id="rId2664" Type="http://schemas.openxmlformats.org/officeDocument/2006/relationships/hyperlink" Target="http://www.ms.ro/2020/08/10/buletin-informativ-10-08-2020" TargetMode="External"/><Relationship Id="rId3508" Type="http://schemas.openxmlformats.org/officeDocument/2006/relationships/hyperlink" Target="http://www.ms.ro/2020/08/19/buletin-informativ-19-08-2020" TargetMode="External"/><Relationship Id="rId429" Type="http://schemas.openxmlformats.org/officeDocument/2006/relationships/hyperlink" Target="https://stirioficiale.ro/informatii/buletin-de-presa-18-aprilie-2020-ora-13-52" TargetMode="External"/><Relationship Id="rId636" Type="http://schemas.openxmlformats.org/officeDocument/2006/relationships/hyperlink" Target="https://stirioficiale.ro/informatii/buletin-de-presa-22-aprilie-2020-ora-13-72" TargetMode="External"/><Relationship Id="rId1059" Type="http://schemas.openxmlformats.org/officeDocument/2006/relationships/hyperlink" Target="http://www.ms.ro/2020/05/22/buletin-informativ-22-05-2020/" TargetMode="External"/><Relationship Id="rId1266" Type="http://schemas.openxmlformats.org/officeDocument/2006/relationships/hyperlink" Target="https://stirioficiale.ro/informatii/buletin-de-presa-6-iunie-2020-ora-13-00" TargetMode="External"/><Relationship Id="rId1473" Type="http://schemas.openxmlformats.org/officeDocument/2006/relationships/hyperlink" Target="http://www.ms.ro/2020/07/23/buletin-informativ-23-07-2020/" TargetMode="External"/><Relationship Id="rId2317" Type="http://schemas.openxmlformats.org/officeDocument/2006/relationships/hyperlink" Target="https://www.ebihoreanul.ro/stiri/a-patra-zi-la-rand-cu-decese-covid-in-bihor-si-53-noi-imbolnaviri-in-ultimele-24-de-ore-158087.html" TargetMode="External"/><Relationship Id="rId2871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3715" Type="http://schemas.openxmlformats.org/officeDocument/2006/relationships/hyperlink" Target="https://www.ebihoreanul.ro/stiri/record-alarmant-in-bihor-inca-85-de-cazuri-noi-de-covid-si-inca-doua-decese-158311.html" TargetMode="External"/><Relationship Id="rId3922" Type="http://schemas.openxmlformats.org/officeDocument/2006/relationships/hyperlink" Target="http://www.ms.ro/2020/08/22/buletin-informativ-22-08-2020" TargetMode="External"/><Relationship Id="rId843" Type="http://schemas.openxmlformats.org/officeDocument/2006/relationships/hyperlink" Target="http://www.ms.ro/2020/04/28/buletin-informativ-28-04-2020/" TargetMode="External"/><Relationship Id="rId1126" Type="http://schemas.openxmlformats.org/officeDocument/2006/relationships/hyperlink" Target="http://www.ms.ro/2020/05/28/buletin-informativ-28-05-2020/" TargetMode="External"/><Relationship Id="rId1680" Type="http://schemas.openxmlformats.org/officeDocument/2006/relationships/hyperlink" Target="https://stirioficiale.ro/informatii/buletin-de-presa-29-iulie-2020-ora-13-00" TargetMode="External"/><Relationship Id="rId2524" Type="http://schemas.openxmlformats.org/officeDocument/2006/relationships/hyperlink" Target="http://www.ms.ro/2020/08/09/buletin-informativ-09-08-2020" TargetMode="External"/><Relationship Id="rId2731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703" Type="http://schemas.openxmlformats.org/officeDocument/2006/relationships/hyperlink" Target="http://www.ms.ro/2020/04/26/buletin-informativ-26-04-2020/" TargetMode="External"/><Relationship Id="rId910" Type="http://schemas.openxmlformats.org/officeDocument/2006/relationships/hyperlink" Target="http://www.ms.ro/2020/05/01/buletin-informativ-01-05-2020/" TargetMode="External"/><Relationship Id="rId1333" Type="http://schemas.openxmlformats.org/officeDocument/2006/relationships/hyperlink" Target="http://www.ms.ro/2020/06/27/buletin-informativ-27-06-2020/" TargetMode="External"/><Relationship Id="rId1540" Type="http://schemas.openxmlformats.org/officeDocument/2006/relationships/hyperlink" Target="https://stirioficiale.ro/informatii/buletin-de-presa-25-iulie-2020-ora-13-00" TargetMode="External"/><Relationship Id="rId1400" Type="http://schemas.openxmlformats.org/officeDocument/2006/relationships/hyperlink" Target="https://stirioficiale.ro/informatii/buletin-de-presa-9-iulie-2020-ora-13-00" TargetMode="External"/><Relationship Id="rId3298" Type="http://schemas.openxmlformats.org/officeDocument/2006/relationships/hyperlink" Target="http://www.ms.ro/2020/08/16/buletin-informativ-16-08-2020" TargetMode="External"/><Relationship Id="rId3158" Type="http://schemas.openxmlformats.org/officeDocument/2006/relationships/hyperlink" Target="http://www.ms.ro/2020/08/15/33355/" TargetMode="External"/><Relationship Id="rId3365" Type="http://schemas.openxmlformats.org/officeDocument/2006/relationships/hyperlink" Target="https://www.ebihoreanul.ro/stiri/dupa-doua-saptamani-numarul-imbolnavirilor-covid-scade-in-bihor-31-noi-infectari-dar-si-un-deces-158256.html" TargetMode="External"/><Relationship Id="rId3572" Type="http://schemas.openxmlformats.org/officeDocument/2006/relationships/hyperlink" Target="http://www.ms.ro/2020/08/19/buletin-informativ-19-08-2020" TargetMode="External"/><Relationship Id="rId4209" Type="http://schemas.openxmlformats.org/officeDocument/2006/relationships/hyperlink" Target="https://www.ebihoreanul.ro/stiri/28-de-noi-imbolnaviri-cu-covid-19-in-bihor-inclusiv-in-randul-personalului-upu-smurd-158401.html" TargetMode="External"/><Relationship Id="rId286" Type="http://schemas.openxmlformats.org/officeDocument/2006/relationships/hyperlink" Target="https://stirioficiale.ro/informatii/buletin-de-presa-13-aprilie-2020-ora-13-105" TargetMode="External"/><Relationship Id="rId493" Type="http://schemas.openxmlformats.org/officeDocument/2006/relationships/hyperlink" Target="https://stirioficiale.ro/informatii/buletin-de-presa-21-aprilie-2020-ora-13-22" TargetMode="External"/><Relationship Id="rId2174" Type="http://schemas.openxmlformats.org/officeDocument/2006/relationships/hyperlink" Target="http://www.ms.ro/2020/08/05/buletin-informativ-05-08-2020/" TargetMode="External"/><Relationship Id="rId2381" Type="http://schemas.openxmlformats.org/officeDocument/2006/relationships/hyperlink" Target="https://www.ebihoreanul.ro/stiri/a-patra-zi-la-rand-cu-decese-covid-in-bihor-si-53-noi-imbolnaviri-in-ultimele-24-de-ore-158087.html" TargetMode="External"/><Relationship Id="rId3018" Type="http://schemas.openxmlformats.org/officeDocument/2006/relationships/hyperlink" Target="http://www.ms.ro/2020/08/13/buletin-informativ-13-08-2020" TargetMode="External"/><Relationship Id="rId3225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3432" Type="http://schemas.openxmlformats.org/officeDocument/2006/relationships/hyperlink" Target="http://www.ms.ro/2020/08/18/buletin-informativ-18-08-2020" TargetMode="External"/><Relationship Id="rId146" Type="http://schemas.openxmlformats.org/officeDocument/2006/relationships/hyperlink" Target="https://stirioficiale.ro/informatii/buletin-de-presa-13-aprilie-2020-ora-13-35" TargetMode="External"/><Relationship Id="rId353" Type="http://schemas.openxmlformats.org/officeDocument/2006/relationships/hyperlink" Target="https://stirioficiale.ro/informatii/buletin-de-presa-15-aprilie-2020-ora-13-57" TargetMode="External"/><Relationship Id="rId560" Type="http://schemas.openxmlformats.org/officeDocument/2006/relationships/hyperlink" Target="https://stirioficiale.ro/informatii/buletin-de-presa-22-aprilie-2020-ora-13-34" TargetMode="External"/><Relationship Id="rId1190" Type="http://schemas.openxmlformats.org/officeDocument/2006/relationships/hyperlink" Target="http://www.ms.ro/2020/05/31/buletin-informativ-31-05-2020/" TargetMode="External"/><Relationship Id="rId2034" Type="http://schemas.openxmlformats.org/officeDocument/2006/relationships/hyperlink" Target="http://www.ms.ro/2020/08/03/buletin-informativ-03-08-2020/" TargetMode="External"/><Relationship Id="rId2241" Type="http://schemas.openxmlformats.org/officeDocument/2006/relationships/hyperlink" Target="https://www.ebihoreanul.ro/stiri/a-treia-zi-consecutiva-cu-decese-covid-in-bihor-si-inca-35-noi-imbolnaviri-raportate-oficial-pentru-ultimele-24-de-ore-158069.html" TargetMode="External"/><Relationship Id="rId213" Type="http://schemas.openxmlformats.org/officeDocument/2006/relationships/hyperlink" Target="http://www.ms.ro/2020/04/13/buletin-informativ-13-04-2020/" TargetMode="External"/><Relationship Id="rId420" Type="http://schemas.openxmlformats.org/officeDocument/2006/relationships/hyperlink" Target="http://www.ms.ro/2020/04/18/buletin-informativ-18-04-2020/" TargetMode="External"/><Relationship Id="rId1050" Type="http://schemas.openxmlformats.org/officeDocument/2006/relationships/hyperlink" Target="https://stirioficiale.ro/informatii/buletin-de-presa-21-mai-2020-ora-13-00" TargetMode="External"/><Relationship Id="rId2101" Type="http://schemas.openxmlformats.org/officeDocument/2006/relationships/hyperlink" Target="https://stirioficiale.ro/informatii/buletin-de-presa-4-august-2020-ora-13-00" TargetMode="External"/><Relationship Id="rId4066" Type="http://schemas.openxmlformats.org/officeDocument/2006/relationships/hyperlink" Target="http://www.ms.ro/2020/08/24/buletin-informativ-24-08-2020" TargetMode="External"/><Relationship Id="rId1867" Type="http://schemas.openxmlformats.org/officeDocument/2006/relationships/hyperlink" Target="http://www.ms.ro/2020/08/01/buletin-informativ-01-08-2020/" TargetMode="External"/><Relationship Id="rId2918" Type="http://schemas.openxmlformats.org/officeDocument/2006/relationships/hyperlink" Target="http://www.ms.ro/2020/08/13/buletin-informativ-13-08-2020" TargetMode="External"/><Relationship Id="rId1727" Type="http://schemas.openxmlformats.org/officeDocument/2006/relationships/hyperlink" Target="http://www.ms.ro/2020/07/30/buletin-informativ-30-07-2020/" TargetMode="External"/><Relationship Id="rId1934" Type="http://schemas.openxmlformats.org/officeDocument/2006/relationships/hyperlink" Target="https://stirioficiale.ro/informatii/buletin-de-presa-2-august-2020-ora-13-00" TargetMode="External"/><Relationship Id="rId3082" Type="http://schemas.openxmlformats.org/officeDocument/2006/relationships/hyperlink" Target="http://www.ms.ro/2020/08/14/buletin-informativ-14-08-2020" TargetMode="External"/><Relationship Id="rId4133" Type="http://schemas.openxmlformats.org/officeDocument/2006/relationships/hyperlink" Target="https://www.ebihoreanul.ro/stiri/record-de-decese-covid-in-romania-58-intr-o-singura-zi-in-bihor-au-murit-3-oameni-iar-alti-37-au-fost-diagnosticati-aproape-100-de-pacienti-vindecati-158383.html" TargetMode="External"/><Relationship Id="rId19" Type="http://schemas.openxmlformats.org/officeDocument/2006/relationships/hyperlink" Target="http://www.ms.ro/2020/03/29/buletin-informativ-29-03-2020/" TargetMode="External"/><Relationship Id="rId3899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4200" Type="http://schemas.openxmlformats.org/officeDocument/2006/relationships/hyperlink" Target="http://www.ms.ro/2020/08/26/buletin-informativ-26-08-2020" TargetMode="External"/><Relationship Id="rId3759" Type="http://schemas.openxmlformats.org/officeDocument/2006/relationships/hyperlink" Target="https://www.ebihoreanul.ro/stiri/record-alarmant-in-bihor-inca-85-de-cazuri-noi-de-covid-si-inca-doua-decese-158311.html" TargetMode="External"/><Relationship Id="rId3966" Type="http://schemas.openxmlformats.org/officeDocument/2006/relationships/hyperlink" Target="http://www.ms.ro/2020/08/22/buletin-informativ-22-08-2020" TargetMode="External"/><Relationship Id="rId3" Type="http://schemas.openxmlformats.org/officeDocument/2006/relationships/hyperlink" Target="http://www.ms.ro/2020/03/18/buletin-informativ-18-03-2020-ora-1000/" TargetMode="External"/><Relationship Id="rId887" Type="http://schemas.openxmlformats.org/officeDocument/2006/relationships/hyperlink" Target="http://www.ms.ro/2020/05/01/buletin-informativ-01-05-2020/" TargetMode="External"/><Relationship Id="rId2568" Type="http://schemas.openxmlformats.org/officeDocument/2006/relationships/hyperlink" Target="http://www.ms.ro/2020/08/09/buletin-informativ-09-08-2020" TargetMode="External"/><Relationship Id="rId2775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2982" Type="http://schemas.openxmlformats.org/officeDocument/2006/relationships/hyperlink" Target="http://www.ms.ro/2020/08/13/buletin-informativ-13-08-2020" TargetMode="External"/><Relationship Id="rId3619" Type="http://schemas.openxmlformats.org/officeDocument/2006/relationships/hyperlink" Target="https://www.ebihoreanul.ro/stiri/record-alarmant-in-bihor-inca-85-de-cazuri-noi-de-covid-si-inca-doua-decese-158311.html" TargetMode="External"/><Relationship Id="rId3826" Type="http://schemas.openxmlformats.org/officeDocument/2006/relationships/hyperlink" Target="http://www.ms.ro/2020/08/21/buletin-informativ-21-08-2020" TargetMode="External"/><Relationship Id="rId747" Type="http://schemas.openxmlformats.org/officeDocument/2006/relationships/hyperlink" Target="http://www.ms.ro/2020/04/27/buletin-informativ-27-04-2020/" TargetMode="External"/><Relationship Id="rId954" Type="http://schemas.openxmlformats.org/officeDocument/2006/relationships/hyperlink" Target="https://stirioficiale.ro/informatii/buletin-de-presa-6-mai-2020-ora-13-00" TargetMode="External"/><Relationship Id="rId1377" Type="http://schemas.openxmlformats.org/officeDocument/2006/relationships/hyperlink" Target="http://www.ms.ro/2020/07/05/buletin-informativ-05-07-2020/" TargetMode="External"/><Relationship Id="rId1584" Type="http://schemas.openxmlformats.org/officeDocument/2006/relationships/hyperlink" Target="https://www.ebihoreanul.ro/stiri/inca-26-noi-cazuri-covid-depistate-in-bihor-intre-care-un-brancardier-si-o-asistenta-revenita-dupa-un-concediu-in-grecia-157871.html" TargetMode="External"/><Relationship Id="rId1791" Type="http://schemas.openxmlformats.org/officeDocument/2006/relationships/hyperlink" Target="http://www.ms.ro/2020/07/31/buletin-informativ-31-07-2020/" TargetMode="External"/><Relationship Id="rId2428" Type="http://schemas.openxmlformats.org/officeDocument/2006/relationships/hyperlink" Target="http://www.ms.ro/2020/08/08/buletin-informativ-08-08-2020" TargetMode="External"/><Relationship Id="rId2635" Type="http://schemas.openxmlformats.org/officeDocument/2006/relationships/hyperlink" Target="https://www.ebihoreanul.ro/stiri/nc-un-deces-i-37-de-noi-mbolnviri-de-covid-19-n-bihor-o-parte-a-spitalului-din-beiu-va-trata-bolnavi-cu-covid-din-cauza-cazurilor-multe-din-zon-158138.html" TargetMode="External"/><Relationship Id="rId2842" Type="http://schemas.openxmlformats.org/officeDocument/2006/relationships/hyperlink" Target="http://www.ms.ro/2020/08/12/buletin-informativ-12-08-2020" TargetMode="External"/><Relationship Id="rId83" Type="http://schemas.openxmlformats.org/officeDocument/2006/relationships/hyperlink" Target="http://www.ms.ro/2020/04/09/buletin-informativ-09-04-2020/" TargetMode="External"/><Relationship Id="rId607" Type="http://schemas.openxmlformats.org/officeDocument/2006/relationships/hyperlink" Target="http://www.ms.ro/2020/04/22/buletin-informativ-22-04-2020/" TargetMode="External"/><Relationship Id="rId814" Type="http://schemas.openxmlformats.org/officeDocument/2006/relationships/hyperlink" Target="https://stirioficiale.ro/informatii/buletin-de-presa-28-aprilie-2020-ora-13-00" TargetMode="External"/><Relationship Id="rId1237" Type="http://schemas.openxmlformats.org/officeDocument/2006/relationships/hyperlink" Target="https://stirioficiale.ro/informatii/buletin-de-presa-2-iunie-2020-ora-13-00" TargetMode="External"/><Relationship Id="rId1444" Type="http://schemas.openxmlformats.org/officeDocument/2006/relationships/hyperlink" Target="https://stirioficiale.ro/informatii/buletin-de-presa-21-iulie-2020-ora-13-00" TargetMode="External"/><Relationship Id="rId1651" Type="http://schemas.openxmlformats.org/officeDocument/2006/relationships/hyperlink" Target="http://www.ms.ro/2020/07/28/buletin-informativ-28-07-2020/" TargetMode="External"/><Relationship Id="rId2702" Type="http://schemas.openxmlformats.org/officeDocument/2006/relationships/hyperlink" Target="http://www.ms.ro/2020/08/11/buletin-informativ-11-08-2020" TargetMode="External"/><Relationship Id="rId1304" Type="http://schemas.openxmlformats.org/officeDocument/2006/relationships/hyperlink" Target="https://stirioficiale.ro/informatii/buletin-de-presa-14-iunie-2020-ora-13-00" TargetMode="External"/><Relationship Id="rId1511" Type="http://schemas.openxmlformats.org/officeDocument/2006/relationships/hyperlink" Target="http://www.ms.ro/2020/07/24/buletin-informativ-24-07-2020/" TargetMode="External"/><Relationship Id="rId3269" Type="http://schemas.openxmlformats.org/officeDocument/2006/relationships/hyperlink" Target="https://www.ebihoreanul.ro/stiri/coronavirus-in-bihor-inca-trei-decese-inregistrate-50-de-cazuri-noi-diagnosticate-nicio-persoana-vindecata-158239.html" TargetMode="External"/><Relationship Id="rId3476" Type="http://schemas.openxmlformats.org/officeDocument/2006/relationships/hyperlink" Target="http://www.ms.ro/2020/08/18/buletin-informativ-18-08-2020" TargetMode="External"/><Relationship Id="rId3683" Type="http://schemas.openxmlformats.org/officeDocument/2006/relationships/hyperlink" Target="https://www.ebihoreanul.ro/stiri/record-alarmant-in-bihor-inca-85-de-cazuri-noi-de-covid-si-inca-doua-decese-158311.html" TargetMode="External"/><Relationship Id="rId10" Type="http://schemas.openxmlformats.org/officeDocument/2006/relationships/hyperlink" Target="https://www.ebihoreanul.ro/stiri/ultima-or-31-1/surse-inca-trei-bihoreni-diagnosticati-cu-coronavirus-primele-cazuri-care-provin-din-autoizolare-155513.html" TargetMode="External"/><Relationship Id="rId397" Type="http://schemas.openxmlformats.org/officeDocument/2006/relationships/hyperlink" Target="https://stirioficiale.ro/informatii/buletin-de-presa-16-aprilie-2020-ora-13-70" TargetMode="External"/><Relationship Id="rId2078" Type="http://schemas.openxmlformats.org/officeDocument/2006/relationships/hyperlink" Target="http://www.ms.ro/2020/08/03/buletin-informativ-03-08-2020/" TargetMode="External"/><Relationship Id="rId2285" Type="http://schemas.openxmlformats.org/officeDocument/2006/relationships/hyperlink" Target="https://www.ebihoreanul.ro/stiri/a-treia-zi-consecutiva-cu-decese-covid-in-bihor-si-inca-35-noi-imbolnaviri-raportate-oficial-pentru-ultimele-24-de-ore-158069.html" TargetMode="External"/><Relationship Id="rId2492" Type="http://schemas.openxmlformats.org/officeDocument/2006/relationships/hyperlink" Target="http://www.ms.ro/2020/08/08/buletin-informativ-08-08-2020" TargetMode="External"/><Relationship Id="rId3129" Type="http://schemas.openxmlformats.org/officeDocument/2006/relationships/hyperlink" Target="https://www.ebihoreanul.ro/stiri/inca-56-de-cazuri-de-coronavirus-in-bihor-158211.html" TargetMode="External"/><Relationship Id="rId3336" Type="http://schemas.openxmlformats.org/officeDocument/2006/relationships/hyperlink" Target="http://www.ms.ro/2020/08/16/buletin-informativ-16-08-2020" TargetMode="External"/><Relationship Id="rId3890" Type="http://schemas.openxmlformats.org/officeDocument/2006/relationships/hyperlink" Target="http://www.ms.ro/2020/08/21/buletin-informativ-21-08-2020" TargetMode="External"/><Relationship Id="rId257" Type="http://schemas.openxmlformats.org/officeDocument/2006/relationships/hyperlink" Target="http://www.ms.ro/2020/04/13/buletin-informativ-13-04-2020/" TargetMode="External"/><Relationship Id="rId464" Type="http://schemas.openxmlformats.org/officeDocument/2006/relationships/hyperlink" Target="http://www.ms.ro/2020/04/20/buletin-informativ-20-04-2020/" TargetMode="External"/><Relationship Id="rId1094" Type="http://schemas.openxmlformats.org/officeDocument/2006/relationships/hyperlink" Target="https://stirioficiale.ro/informatii/buletin-de-presa-25-mai-2020-ora-13-00" TargetMode="External"/><Relationship Id="rId2145" Type="http://schemas.openxmlformats.org/officeDocument/2006/relationships/hyperlink" Target="https://www.ebihoreanul.ro/stiri/record-dupa-record-in-bihor-intr-o-singura-zi-3-morti-si-59-noi-imbolnaviri-cu-covid-158047.html" TargetMode="External"/><Relationship Id="rId3543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3750" Type="http://schemas.openxmlformats.org/officeDocument/2006/relationships/hyperlink" Target="http://www.ms.ro/2020/08/20/buletin-informativ-20-08-2020" TargetMode="External"/><Relationship Id="rId117" Type="http://schemas.openxmlformats.org/officeDocument/2006/relationships/hyperlink" Target="http://www.ms.ro/2020/04/11/buletin-informativ-11-04-2020/" TargetMode="External"/><Relationship Id="rId671" Type="http://schemas.openxmlformats.org/officeDocument/2006/relationships/hyperlink" Target="http://www.ms.ro/2020/04/24/buletin-informativ-24-04-2020/" TargetMode="External"/><Relationship Id="rId2352" Type="http://schemas.openxmlformats.org/officeDocument/2006/relationships/hyperlink" Target="http://www.ms.ro/2020/08/07/buletin-informativ-07-08-2020/" TargetMode="External"/><Relationship Id="rId3403" Type="http://schemas.openxmlformats.org/officeDocument/2006/relationships/hyperlink" Target="https://www.ebihoreanul.ro/stiri/dupa-doua-saptamani-numarul-imbolnavirilor-covid-scade-in-bihor-31-noi-infectari-dar-si-un-deces-158256.html" TargetMode="External"/><Relationship Id="rId3610" Type="http://schemas.openxmlformats.org/officeDocument/2006/relationships/hyperlink" Target="http://www.ms.ro/2020/08/20/buletin-informativ-20-08-2020" TargetMode="External"/><Relationship Id="rId324" Type="http://schemas.openxmlformats.org/officeDocument/2006/relationships/hyperlink" Target="http://www.ms.ro/2020/04/14/buletin-informativ-14-04-2020/" TargetMode="External"/><Relationship Id="rId531" Type="http://schemas.openxmlformats.org/officeDocument/2006/relationships/hyperlink" Target="https://stirioficiale.ro/informatii/buletin-de-presa-21-aprilie-2020-ora-13-41" TargetMode="External"/><Relationship Id="rId1161" Type="http://schemas.openxmlformats.org/officeDocument/2006/relationships/hyperlink" Target="https://stirioficiale.ro/informatii/buletin-de-presa-29-mai-2020-ora-13-00" TargetMode="External"/><Relationship Id="rId2005" Type="http://schemas.openxmlformats.org/officeDocument/2006/relationships/hyperlink" Target="https://www.ebihoreanul.ro/stiri/inca-50-de-cazuri-de-covid-19-in-bihor-in-urma-testelor-facute-duminica-157998.html" TargetMode="External"/><Relationship Id="rId2212" Type="http://schemas.openxmlformats.org/officeDocument/2006/relationships/hyperlink" Target="http://www.ms.ro/2020/08/05/buletin-informativ-05-08-2020/" TargetMode="External"/><Relationship Id="rId1021" Type="http://schemas.openxmlformats.org/officeDocument/2006/relationships/hyperlink" Target="http://www.ms.ro/2020/05/18/buletin-informativ-18-05-2020/" TargetMode="External"/><Relationship Id="rId1978" Type="http://schemas.openxmlformats.org/officeDocument/2006/relationships/hyperlink" Target="https://www.ebihoreanul.ro/stiri/inca-50-de-cazuri-de-covid-19-in-bihor-in-urma-testelor-facute-duminica-157998.html" TargetMode="External"/><Relationship Id="rId4177" Type="http://schemas.openxmlformats.org/officeDocument/2006/relationships/hyperlink" Target="https://www.ebihoreanul.ro/stiri/record-de-decese-covid-in-romania-58-intr-o-singura-zi-in-bihor-au-murit-3-oameni-iar-alti-37-au-fost-diagnosticati-aproape-100-de-pacienti-vindecati-158383.html" TargetMode="External"/><Relationship Id="rId3193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4037" Type="http://schemas.openxmlformats.org/officeDocument/2006/relationships/hyperlink" Target="https://www.ebihoreanul.ro/stiri/a-fost-depasit-pragul-de-2000-de-cazuri-covid-19diagnosticate-in-bihor-158350.html" TargetMode="External"/><Relationship Id="rId1838" Type="http://schemas.openxmlformats.org/officeDocument/2006/relationships/hyperlink" Target="https://www.ebihoreanul.ro/stiri/nou-record-covid-in-bihor-52-de-cazuri-noi-157971.html" TargetMode="External"/><Relationship Id="rId3053" Type="http://schemas.openxmlformats.org/officeDocument/2006/relationships/hyperlink" Target="https://www.ebihoreanul.ro/stiri/inca-56-de-cazuri-de-coronavirus-in-bihor-158211.html" TargetMode="External"/><Relationship Id="rId3260" Type="http://schemas.openxmlformats.org/officeDocument/2006/relationships/hyperlink" Target="http://www.ms.ro/2020/08/16/buletin-informativ-16-08-2020" TargetMode="External"/><Relationship Id="rId4104" Type="http://schemas.openxmlformats.org/officeDocument/2006/relationships/hyperlink" Target="http://www.ms.ro/2020/08/24/buletin-informativ-24-08-2020" TargetMode="External"/><Relationship Id="rId181" Type="http://schemas.openxmlformats.org/officeDocument/2006/relationships/hyperlink" Target="http://www.ms.ro/2020/04/13/buletin-informativ-13-04-2020/" TargetMode="External"/><Relationship Id="rId1905" Type="http://schemas.openxmlformats.org/officeDocument/2006/relationships/hyperlink" Target="http://www.ms.ro/2020/08/01/buletin-informativ-01-08-2020/" TargetMode="External"/><Relationship Id="rId3120" Type="http://schemas.openxmlformats.org/officeDocument/2006/relationships/hyperlink" Target="http://www.ms.ro/2020/08/14/buletin-informativ-14-08-2020" TargetMode="External"/><Relationship Id="rId998" Type="http://schemas.openxmlformats.org/officeDocument/2006/relationships/hyperlink" Target="https://www.bihon.ro/stirile-judetului-bihor/angajati-confirmati-cu-coronavirus-in-parcul-industrial-de-pe-borsului-2284463/" TargetMode="External"/><Relationship Id="rId2679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2886" Type="http://schemas.openxmlformats.org/officeDocument/2006/relationships/hyperlink" Target="http://www.ms.ro/2020/08/12/buletin-informativ-12-08-2020" TargetMode="External"/><Relationship Id="rId3937" Type="http://schemas.openxmlformats.org/officeDocument/2006/relationships/hyperlink" Target="https://www.ebihoreanul.ro/stiri/niciun-deces-in-bihor-si-zeci-de-pacienti-covid-vindecati-dar-si-40-noi-imbolnaviri-inclusiv-angajati-ai-maternitatii-si-spitalului-militar-158339.html" TargetMode="External"/><Relationship Id="rId858" Type="http://schemas.openxmlformats.org/officeDocument/2006/relationships/hyperlink" Target="http://www.ms.ro/2020/04/29/buletin-informativ-29-04-2020/" TargetMode="External"/><Relationship Id="rId1488" Type="http://schemas.openxmlformats.org/officeDocument/2006/relationships/hyperlink" Target="https://stirioficiale.ro/informatii/buletin-de-presa-23-iulie-2020-ora-13-00" TargetMode="External"/><Relationship Id="rId1695" Type="http://schemas.openxmlformats.org/officeDocument/2006/relationships/hyperlink" Target="http://www.ms.ro/2020/07/29/buletin-informativ-29-07-2020/" TargetMode="External"/><Relationship Id="rId2539" Type="http://schemas.openxmlformats.org/officeDocument/2006/relationships/hyperlink" Target="https://stirioficiale.ro/informatii/buletin-de-presa-9-august-2020-ora-13-00" TargetMode="External"/><Relationship Id="rId2746" Type="http://schemas.openxmlformats.org/officeDocument/2006/relationships/hyperlink" Target="http://www.ms.ro/2020/08/11/buletin-informativ-11-08-2020" TargetMode="External"/><Relationship Id="rId2953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718" Type="http://schemas.openxmlformats.org/officeDocument/2006/relationships/hyperlink" Target="https://stirioficiale.ro/informatii/buletin-de-presa-26-aprilie-2020-ora-13-00" TargetMode="External"/><Relationship Id="rId925" Type="http://schemas.openxmlformats.org/officeDocument/2006/relationships/hyperlink" Target="http://www.ms.ro/2020/05/01/buletin-informativ-01-05-2020/" TargetMode="External"/><Relationship Id="rId1348" Type="http://schemas.openxmlformats.org/officeDocument/2006/relationships/hyperlink" Target="https://stirioficiale.ro/informatii/buletin-de-presa-4-iulie-2020-ora-13-00" TargetMode="External"/><Relationship Id="rId1555" Type="http://schemas.openxmlformats.org/officeDocument/2006/relationships/hyperlink" Target="http://www.ms.ro/2020/07/26/buletin-informativ-26-07-2020/" TargetMode="External"/><Relationship Id="rId1762" Type="http://schemas.openxmlformats.org/officeDocument/2006/relationships/hyperlink" Target="https://stirioficiale.ro/informatii/buletin-de-presa-30-iulie-2020-ora-13-00" TargetMode="External"/><Relationship Id="rId2606" Type="http://schemas.openxmlformats.org/officeDocument/2006/relationships/hyperlink" Target="http://www.ms.ro/2020/08/10/buletin-informativ-10-08-2020" TargetMode="External"/><Relationship Id="rId1208" Type="http://schemas.openxmlformats.org/officeDocument/2006/relationships/hyperlink" Target="http://www.ms.ro/2020/05/31/buletin-informativ-31-05-2020/" TargetMode="External"/><Relationship Id="rId1415" Type="http://schemas.openxmlformats.org/officeDocument/2006/relationships/hyperlink" Target="http://www.ms.ro/2020/07/13/buletin-informativ-13-07-2020/" TargetMode="External"/><Relationship Id="rId2813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54" Type="http://schemas.openxmlformats.org/officeDocument/2006/relationships/hyperlink" Target="https://stirioficiale.ro/informatii/buletin-de-presa-6-aprilie-2020-ora-13-00" TargetMode="External"/><Relationship Id="rId1622" Type="http://schemas.openxmlformats.org/officeDocument/2006/relationships/hyperlink" Target="https://stirioficiale.ro/informatii/buletin-de-presa-28-iulie-2020-ora-13-00" TargetMode="External"/><Relationship Id="rId2189" Type="http://schemas.openxmlformats.org/officeDocument/2006/relationships/hyperlink" Target="https://www.ebihoreanul.ro/stiri/record-dupa-record-in-bihor-intr-o-singura-zi-3-morti-si-59-noi-imbolnaviri-cu-covid-158047.html" TargetMode="External"/><Relationship Id="rId3587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3794" Type="http://schemas.openxmlformats.org/officeDocument/2006/relationships/hyperlink" Target="http://www.ms.ro/2020/08/21/buletin-informativ-21-08-2020" TargetMode="External"/><Relationship Id="rId2396" Type="http://schemas.openxmlformats.org/officeDocument/2006/relationships/hyperlink" Target="http://www.ms.ro/2020/08/07/buletin-informativ-07-08-2020/" TargetMode="External"/><Relationship Id="rId3447" Type="http://schemas.openxmlformats.org/officeDocument/2006/relationships/hyperlink" Target="https://www.ebihoreanul.ro/stiri/coronavirus-in-bihor-inca-doua-decese-si-45-de-cazuri-noi-vezi-din-ce-localitati-158277.html" TargetMode="External"/><Relationship Id="rId3654" Type="http://schemas.openxmlformats.org/officeDocument/2006/relationships/hyperlink" Target="http://www.ms.ro/2020/08/20/buletin-informativ-20-08-2020" TargetMode="External"/><Relationship Id="rId3861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368" Type="http://schemas.openxmlformats.org/officeDocument/2006/relationships/hyperlink" Target="http://www.ms.ro/2020/04/16/buletin-informativ-16-04-2020/" TargetMode="External"/><Relationship Id="rId575" Type="http://schemas.openxmlformats.org/officeDocument/2006/relationships/hyperlink" Target="http://www.ms.ro/2020/04/22/buletin-informativ-22-04-2020/" TargetMode="External"/><Relationship Id="rId782" Type="http://schemas.openxmlformats.org/officeDocument/2006/relationships/hyperlink" Target="https://stirioficiale.ro/informatii/buletin-de-presa-27-aprilie-2020-ora-13-00" TargetMode="External"/><Relationship Id="rId2049" Type="http://schemas.openxmlformats.org/officeDocument/2006/relationships/hyperlink" Target="https://stirioficiale.ro/informatii/buletin-de-presa-3-august-2020-ora-13-00" TargetMode="External"/><Relationship Id="rId2256" Type="http://schemas.openxmlformats.org/officeDocument/2006/relationships/hyperlink" Target="http://www.ms.ro/2020/08/06/buletin-informativ-06-08-2020/" TargetMode="External"/><Relationship Id="rId2463" Type="http://schemas.openxmlformats.org/officeDocument/2006/relationships/hyperlink" Target="https://stirioficiale.ro/informatii/buletin-de-presa-8-august-2020-ora-13-00" TargetMode="External"/><Relationship Id="rId2670" Type="http://schemas.openxmlformats.org/officeDocument/2006/relationships/hyperlink" Target="http://www.ms.ro/2020/08/10/buletin-informativ-10-08-2020" TargetMode="External"/><Relationship Id="rId3307" Type="http://schemas.openxmlformats.org/officeDocument/2006/relationships/hyperlink" Target="https://www.ebihoreanul.ro/stiri/coronavirus-in-bihor-inca-trei-decese-inregistrate-50-de-cazuri-noi-diagnosticate-nicio-persoana-vindecata-158239.html" TargetMode="External"/><Relationship Id="rId3514" Type="http://schemas.openxmlformats.org/officeDocument/2006/relationships/hyperlink" Target="http://www.ms.ro/2020/08/19/buletin-informativ-19-08-2020" TargetMode="External"/><Relationship Id="rId3721" Type="http://schemas.openxmlformats.org/officeDocument/2006/relationships/hyperlink" Target="https://www.ebihoreanul.ro/stiri/record-alarmant-in-bihor-inca-85-de-cazuri-noi-de-covid-si-inca-doua-decese-158311.html" TargetMode="External"/><Relationship Id="rId228" Type="http://schemas.openxmlformats.org/officeDocument/2006/relationships/hyperlink" Target="https://stirioficiale.ro/informatii/buletin-de-presa-13-aprilie-2020-ora-13-76" TargetMode="External"/><Relationship Id="rId435" Type="http://schemas.openxmlformats.org/officeDocument/2006/relationships/hyperlink" Target="https://stirioficiale.ro/informatii/buletin-de-presa-19-aprilie-2020-ora-13-10" TargetMode="External"/><Relationship Id="rId642" Type="http://schemas.openxmlformats.org/officeDocument/2006/relationships/hyperlink" Target="https://stirioficiale.ro/informatii/buletin-de-presa-23-aprilie-2020-ora-13-00" TargetMode="External"/><Relationship Id="rId1065" Type="http://schemas.openxmlformats.org/officeDocument/2006/relationships/hyperlink" Target="http://www.ms.ro/2020/05/22/buletin-informativ-22-05-2020/" TargetMode="External"/><Relationship Id="rId1272" Type="http://schemas.openxmlformats.org/officeDocument/2006/relationships/hyperlink" Target="https://stirioficiale.ro/informatii/buletin-de-presa-6-iunie-2020-ora-13-00" TargetMode="External"/><Relationship Id="rId2116" Type="http://schemas.openxmlformats.org/officeDocument/2006/relationships/hyperlink" Target="http://www.ms.ro/2020/08/05/buletin-informativ-05-08-2020/" TargetMode="External"/><Relationship Id="rId2323" Type="http://schemas.openxmlformats.org/officeDocument/2006/relationships/hyperlink" Target="https://www.ebihoreanul.ro/stiri/a-patra-zi-la-rand-cu-decese-covid-in-bihor-si-53-noi-imbolnaviri-in-ultimele-24-de-ore-158087.html" TargetMode="External"/><Relationship Id="rId2530" Type="http://schemas.openxmlformats.org/officeDocument/2006/relationships/hyperlink" Target="http://www.ms.ro/2020/08/09/buletin-informativ-09-08-2020" TargetMode="External"/><Relationship Id="rId502" Type="http://schemas.openxmlformats.org/officeDocument/2006/relationships/hyperlink" Target="http://www.ms.ro/2020/04/21/buletin-informativ-21-04-2020/" TargetMode="External"/><Relationship Id="rId1132" Type="http://schemas.openxmlformats.org/officeDocument/2006/relationships/hyperlink" Target="http://www.ms.ro/2020/05/28/buletin-informativ-28-05-2020/" TargetMode="External"/><Relationship Id="rId3097" Type="http://schemas.openxmlformats.org/officeDocument/2006/relationships/hyperlink" Target="https://www.ebihoreanul.ro/stiri/inca-56-de-cazuri-de-coronavirus-in-bihor-158211.html" TargetMode="External"/><Relationship Id="rId4148" Type="http://schemas.openxmlformats.org/officeDocument/2006/relationships/hyperlink" Target="http://www.ms.ro/2020/08/25/buletin-informativ-25-08-2020" TargetMode="External"/><Relationship Id="rId1949" Type="http://schemas.openxmlformats.org/officeDocument/2006/relationships/hyperlink" Target="http://www.ms.ro/2020/08/02/buletin-informativ-02-08-2020/" TargetMode="External"/><Relationship Id="rId3164" Type="http://schemas.openxmlformats.org/officeDocument/2006/relationships/hyperlink" Target="http://www.ms.ro/2020/08/15/33355/" TargetMode="External"/><Relationship Id="rId4008" Type="http://schemas.openxmlformats.org/officeDocument/2006/relationships/hyperlink" Target="http://www.ms.ro/2020/08/23/buletin-informativ-23-08-2020" TargetMode="External"/><Relationship Id="rId292" Type="http://schemas.openxmlformats.org/officeDocument/2006/relationships/hyperlink" Target="https://stirioficiale.ro/informatii/buletin-de-presa-13-aprilie-2020-ora-13-108" TargetMode="External"/><Relationship Id="rId1809" Type="http://schemas.openxmlformats.org/officeDocument/2006/relationships/hyperlink" Target="http://www.ms.ro/2020/07/31/buletin-informativ-31-07-2020/" TargetMode="External"/><Relationship Id="rId3371" Type="http://schemas.openxmlformats.org/officeDocument/2006/relationships/hyperlink" Target="https://www.ebihoreanul.ro/stiri/dupa-doua-saptamani-numarul-imbolnavirilor-covid-scade-in-bihor-31-noi-infectari-dar-si-un-deces-158256.html" TargetMode="External"/><Relationship Id="rId4215" Type="http://schemas.openxmlformats.org/officeDocument/2006/relationships/hyperlink" Target="https://www.ebihoreanul.ro/stiri/28-de-noi-imbolnaviri-cu-covid-19-in-bihor-inclusiv-in-randul-personalului-upu-smurd-158401.html" TargetMode="External"/><Relationship Id="rId2180" Type="http://schemas.openxmlformats.org/officeDocument/2006/relationships/hyperlink" Target="http://www.ms.ro/2020/08/05/buletin-informativ-05-08-2020/" TargetMode="External"/><Relationship Id="rId3024" Type="http://schemas.openxmlformats.org/officeDocument/2006/relationships/hyperlink" Target="http://www.ms.ro/2020/08/14/buletin-informativ-14-08-2020" TargetMode="External"/><Relationship Id="rId3231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152" Type="http://schemas.openxmlformats.org/officeDocument/2006/relationships/hyperlink" Target="https://stirioficiale.ro/informatii/buletin-de-presa-13-aprilie-2020-ora-13-38" TargetMode="External"/><Relationship Id="rId2040" Type="http://schemas.openxmlformats.org/officeDocument/2006/relationships/hyperlink" Target="http://www.ms.ro/2020/08/03/buletin-informativ-03-08-2020/" TargetMode="External"/><Relationship Id="rId2997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969" Type="http://schemas.openxmlformats.org/officeDocument/2006/relationships/hyperlink" Target="https://stirioficiale.ro/informatii/buletin-de-presa-10-mai-2020-ora-13-00" TargetMode="External"/><Relationship Id="rId1599" Type="http://schemas.openxmlformats.org/officeDocument/2006/relationships/hyperlink" Target="http://www.ms.ro/2020/07/27/buletin-informativ-27-07-2020/" TargetMode="External"/><Relationship Id="rId1459" Type="http://schemas.openxmlformats.org/officeDocument/2006/relationships/hyperlink" Target="http://www.ms.ro/2020/07/22/buletin-informativ-22-07-2020/" TargetMode="External"/><Relationship Id="rId2857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3908" Type="http://schemas.openxmlformats.org/officeDocument/2006/relationships/hyperlink" Target="http://www.ms.ro/2020/08/21/buletin-informativ-21-08-2020" TargetMode="External"/><Relationship Id="rId4072" Type="http://schemas.openxmlformats.org/officeDocument/2006/relationships/hyperlink" Target="http://www.ms.ro/2020/08/24/buletin-informativ-24-08-2020" TargetMode="External"/><Relationship Id="rId98" Type="http://schemas.openxmlformats.org/officeDocument/2006/relationships/hyperlink" Target="https://stirioficiale.ro/informatii/informare-de-presa-24-aprilie-2020-ora-11-13am" TargetMode="External"/><Relationship Id="rId829" Type="http://schemas.openxmlformats.org/officeDocument/2006/relationships/hyperlink" Target="http://www.ms.ro/2020/04/28/buletin-informativ-28-04-2020/" TargetMode="External"/><Relationship Id="rId1666" Type="http://schemas.openxmlformats.org/officeDocument/2006/relationships/hyperlink" Target="https://stirioficiale.ro/informatii/buletin-de-presa-29-iulie-2020-ora-13-00" TargetMode="External"/><Relationship Id="rId1873" Type="http://schemas.openxmlformats.org/officeDocument/2006/relationships/hyperlink" Target="http://www.ms.ro/2020/08/01/buletin-informativ-01-08-2020/" TargetMode="External"/><Relationship Id="rId2717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2924" Type="http://schemas.openxmlformats.org/officeDocument/2006/relationships/hyperlink" Target="http://www.ms.ro/2020/08/13/buletin-informativ-13-08-2020" TargetMode="External"/><Relationship Id="rId1319" Type="http://schemas.openxmlformats.org/officeDocument/2006/relationships/hyperlink" Target="http://www.ms.ro/2020/06/19/buletin-informativ-19-06-2020/" TargetMode="External"/><Relationship Id="rId1526" Type="http://schemas.openxmlformats.org/officeDocument/2006/relationships/hyperlink" Target="https://stirioficiale.ro/informatii/buletin-de-presa-25-iulie-2020-ora-13-00" TargetMode="External"/><Relationship Id="rId1733" Type="http://schemas.openxmlformats.org/officeDocument/2006/relationships/hyperlink" Target="http://www.ms.ro/2020/07/30/buletin-informativ-30-07-2020/" TargetMode="External"/><Relationship Id="rId1940" Type="http://schemas.openxmlformats.org/officeDocument/2006/relationships/hyperlink" Target="https://stirioficiale.ro/informatii/buletin-de-presa-2-august-2020-ora-13-00" TargetMode="External"/><Relationship Id="rId25" Type="http://schemas.openxmlformats.org/officeDocument/2006/relationships/hyperlink" Target="http://www.ms.ro/2020/04/16/decese-373-387/" TargetMode="External"/><Relationship Id="rId1800" Type="http://schemas.openxmlformats.org/officeDocument/2006/relationships/hyperlink" Target="https://stirioficiale.ro/informatii/buletin-de-presa-31-iulie-2020-ora-13-00" TargetMode="External"/><Relationship Id="rId3698" Type="http://schemas.openxmlformats.org/officeDocument/2006/relationships/hyperlink" Target="http://www.ms.ro/2020/08/20/buletin-informativ-20-08-2020" TargetMode="External"/><Relationship Id="rId3558" Type="http://schemas.openxmlformats.org/officeDocument/2006/relationships/hyperlink" Target="http://www.ms.ro/2020/08/19/buletin-informativ-19-08-2020" TargetMode="External"/><Relationship Id="rId3765" Type="http://schemas.openxmlformats.org/officeDocument/2006/relationships/hyperlink" Target="https://www.ebihoreanul.ro/stiri/record-alarmant-in-bihor-inca-85-de-cazuri-noi-de-covid-si-inca-doua-decese-158311.html" TargetMode="External"/><Relationship Id="rId3972" Type="http://schemas.openxmlformats.org/officeDocument/2006/relationships/hyperlink" Target="http://www.ms.ro/2020/08/22/buletin-informativ-22-08-2020" TargetMode="External"/><Relationship Id="rId479" Type="http://schemas.openxmlformats.org/officeDocument/2006/relationships/hyperlink" Target="https://stirioficiale.ro/informatii/buletin-de-presa-20-aprilie-2020-ora-13-00" TargetMode="External"/><Relationship Id="rId686" Type="http://schemas.openxmlformats.org/officeDocument/2006/relationships/hyperlink" Target="https://stirioficiale.ro/informatii/buletin-de-presa-24-aprilie-2020-ora-13-00" TargetMode="External"/><Relationship Id="rId893" Type="http://schemas.openxmlformats.org/officeDocument/2006/relationships/hyperlink" Target="http://www.ms.ro/2020/05/01/buletin-informativ-01-05-2020/" TargetMode="External"/><Relationship Id="rId2367" Type="http://schemas.openxmlformats.org/officeDocument/2006/relationships/hyperlink" Target="https://www.ebihoreanul.ro/stiri/a-patra-zi-la-rand-cu-decese-covid-in-bihor-si-53-noi-imbolnaviri-in-ultimele-24-de-ore-158087.html" TargetMode="External"/><Relationship Id="rId2574" Type="http://schemas.openxmlformats.org/officeDocument/2006/relationships/hyperlink" Target="http://www.ms.ro/2020/08/09/buletin-informativ-09-08-2020" TargetMode="External"/><Relationship Id="rId2781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3418" Type="http://schemas.openxmlformats.org/officeDocument/2006/relationships/hyperlink" Target="http://www.ms.ro/2020/08/18/buletin-informativ-18-08-2020" TargetMode="External"/><Relationship Id="rId3625" Type="http://schemas.openxmlformats.org/officeDocument/2006/relationships/hyperlink" Target="https://www.ebihoreanul.ro/stiri/record-alarmant-in-bihor-inca-85-de-cazuri-noi-de-covid-si-inca-doua-decese-158311.html" TargetMode="External"/><Relationship Id="rId339" Type="http://schemas.openxmlformats.org/officeDocument/2006/relationships/hyperlink" Target="https://stirioficiale.ro/informatii/buletin-de-presa-14-aprilie-2020-ora-13-31" TargetMode="External"/><Relationship Id="rId546" Type="http://schemas.openxmlformats.org/officeDocument/2006/relationships/hyperlink" Target="http://www.ms.ro/2020/04/21/buletin-informativ-21-04-2020/" TargetMode="External"/><Relationship Id="rId753" Type="http://schemas.openxmlformats.org/officeDocument/2006/relationships/hyperlink" Target="http://www.ms.ro/2020/04/27/buletin-informativ-27-04-2020/" TargetMode="External"/><Relationship Id="rId1176" Type="http://schemas.openxmlformats.org/officeDocument/2006/relationships/hyperlink" Target="http://www.ms.ro/2020/05/31/buletin-informativ-31-05-2020/" TargetMode="External"/><Relationship Id="rId1383" Type="http://schemas.openxmlformats.org/officeDocument/2006/relationships/hyperlink" Target="http://www.ms.ro/2020/07/06/buletin-informativ-06-07-2020/" TargetMode="External"/><Relationship Id="rId2227" Type="http://schemas.openxmlformats.org/officeDocument/2006/relationships/hyperlink" Target="https://www.ebihoreanul.ro/stiri/a-treia-zi-consecutiva-cu-decese-covid-in-bihor-si-inca-35-noi-imbolnaviri-raportate-oficial-pentru-ultimele-24-de-ore-158069.html" TargetMode="External"/><Relationship Id="rId2434" Type="http://schemas.openxmlformats.org/officeDocument/2006/relationships/hyperlink" Target="http://www.ms.ro/2020/08/08/buletin-informativ-08-08-2020" TargetMode="External"/><Relationship Id="rId3832" Type="http://schemas.openxmlformats.org/officeDocument/2006/relationships/hyperlink" Target="http://www.ms.ro/2020/08/21/buletin-informativ-21-08-2020" TargetMode="External"/><Relationship Id="rId406" Type="http://schemas.openxmlformats.org/officeDocument/2006/relationships/hyperlink" Target="http://www.ms.ro/2020/05/04/decese-791-801/" TargetMode="External"/><Relationship Id="rId960" Type="http://schemas.openxmlformats.org/officeDocument/2006/relationships/hyperlink" Target="http://www.ms.ro/2020/05/08/buletin-informativ-08-05-2020/" TargetMode="External"/><Relationship Id="rId1036" Type="http://schemas.openxmlformats.org/officeDocument/2006/relationships/hyperlink" Target="http://www.ms.ro/2020/05/19/buletin-informativ-19-05-2020/" TargetMode="External"/><Relationship Id="rId1243" Type="http://schemas.openxmlformats.org/officeDocument/2006/relationships/hyperlink" Target="https://stirioficiale.ro/informatii/buletin-de-presa-2-iunie-2020-ora-13-00" TargetMode="External"/><Relationship Id="rId1590" Type="http://schemas.openxmlformats.org/officeDocument/2006/relationships/hyperlink" Target="https://www.ebihoreanul.ro/stiri/inca-26-noi-cazuri-covid-depistate-in-bihor-intre-care-un-brancardier-si-o-asistenta-revenita-dupa-un-concediu-in-grecia-157871.html" TargetMode="External"/><Relationship Id="rId2641" Type="http://schemas.openxmlformats.org/officeDocument/2006/relationships/hyperlink" Target="https://www.ebihoreanul.ro/stiri/nc-un-deces-i-37-de-noi-mbolnviri-de-covid-19-n-bihor-o-parte-a-spitalului-din-beiu-va-trata-bolnavi-cu-covid-din-cauza-cazurilor-multe-din-zon-158138.html" TargetMode="External"/><Relationship Id="rId613" Type="http://schemas.openxmlformats.org/officeDocument/2006/relationships/hyperlink" Target="http://www.ms.ro/2020/04/22/buletin-informativ-22-04-2020/" TargetMode="External"/><Relationship Id="rId820" Type="http://schemas.openxmlformats.org/officeDocument/2006/relationships/hyperlink" Target="https://stirioficiale.ro/informatii/buletin-de-presa-28-aprilie-2020-ora-13-00" TargetMode="External"/><Relationship Id="rId1450" Type="http://schemas.openxmlformats.org/officeDocument/2006/relationships/hyperlink" Target="https://stirioficiale.ro/informatii/buletin-de-presa-21-iulie-2020-ora-13-00" TargetMode="External"/><Relationship Id="rId2501" Type="http://schemas.openxmlformats.org/officeDocument/2006/relationships/hyperlink" Target="https://stirioficiale.ro/informatii/buletin-de-presa-9-august-2020-ora-13-00" TargetMode="External"/><Relationship Id="rId1103" Type="http://schemas.openxmlformats.org/officeDocument/2006/relationships/hyperlink" Target="https://stirioficiale.ro/informatii/buletin-de-presa-26-mai-2020-ora-13-00" TargetMode="External"/><Relationship Id="rId1310" Type="http://schemas.openxmlformats.org/officeDocument/2006/relationships/hyperlink" Target="https://stirioficiale.ro/informatii/buletin-de-presa-15-iunie-2020-ora-13-00" TargetMode="External"/><Relationship Id="rId3068" Type="http://schemas.openxmlformats.org/officeDocument/2006/relationships/hyperlink" Target="http://www.ms.ro/2020/08/14/buletin-informativ-14-08-2020" TargetMode="External"/><Relationship Id="rId3275" Type="http://schemas.openxmlformats.org/officeDocument/2006/relationships/hyperlink" Target="https://www.ebihoreanul.ro/stiri/coronavirus-in-bihor-inca-trei-decese-inregistrate-50-de-cazuri-noi-diagnosticate-nicio-persoana-vindecata-158239.html" TargetMode="External"/><Relationship Id="rId3482" Type="http://schemas.openxmlformats.org/officeDocument/2006/relationships/hyperlink" Target="http://www.ms.ro/2020/08/18/buletin-informativ-18-08-2020" TargetMode="External"/><Relationship Id="rId4119" Type="http://schemas.openxmlformats.org/officeDocument/2006/relationships/hyperlink" Target="https://www.ebihoreanul.ro/stiri/record-de-decese-covid-in-romania-58-intr-o-singura-zi-in-bihor-au-murit-3-oameni-iar-alti-37-au-fost-diagnosticati-aproape-100-de-pacienti-vindecati-158383.html" TargetMode="External"/><Relationship Id="rId196" Type="http://schemas.openxmlformats.org/officeDocument/2006/relationships/hyperlink" Target="https://stirioficiale.ro/informatii/buletin-de-presa-13-aprilie-2020-ora-13-60" TargetMode="External"/><Relationship Id="rId2084" Type="http://schemas.openxmlformats.org/officeDocument/2006/relationships/hyperlink" Target="http://www.ms.ro/2020/08/04/buletin-informativ-04-08-2020/" TargetMode="External"/><Relationship Id="rId2291" Type="http://schemas.openxmlformats.org/officeDocument/2006/relationships/hyperlink" Target="https://www.ebihoreanul.ro/stiri/a-treia-zi-consecutiva-cu-decese-covid-in-bihor-si-inca-35-noi-imbolnaviri-raportate-oficial-pentru-ultimele-24-de-ore-158069.html" TargetMode="External"/><Relationship Id="rId3135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3342" Type="http://schemas.openxmlformats.org/officeDocument/2006/relationships/hyperlink" Target="http://www.ms.ro/2020/08/16/buletin-informativ-16-08-2020" TargetMode="External"/><Relationship Id="rId263" Type="http://schemas.openxmlformats.org/officeDocument/2006/relationships/hyperlink" Target="http://www.ms.ro/2020/04/13/buletin-informativ-13-04-2020/" TargetMode="External"/><Relationship Id="rId470" Type="http://schemas.openxmlformats.org/officeDocument/2006/relationships/hyperlink" Target="http://www.ms.ro/2020/04/20/buletin-informativ-20-04-2020/" TargetMode="External"/><Relationship Id="rId2151" Type="http://schemas.openxmlformats.org/officeDocument/2006/relationships/hyperlink" Target="https://www.ebihoreanul.ro/stiri/record-dupa-record-in-bihor-intr-o-singura-zi-3-morti-si-59-noi-imbolnaviri-cu-covid-158047.html" TargetMode="External"/><Relationship Id="rId3202" Type="http://schemas.openxmlformats.org/officeDocument/2006/relationships/hyperlink" Target="http://www.ms.ro/2020/08/15/33355/" TargetMode="External"/><Relationship Id="rId123" Type="http://schemas.openxmlformats.org/officeDocument/2006/relationships/hyperlink" Target="http://www.ms.ro/2020/04/11/buletin-informativ-11-04-2020/" TargetMode="External"/><Relationship Id="rId330" Type="http://schemas.openxmlformats.org/officeDocument/2006/relationships/hyperlink" Target="http://www.ms.ro/2020/04/14/buletin-informativ-14-04-2020/" TargetMode="External"/><Relationship Id="rId2011" Type="http://schemas.openxmlformats.org/officeDocument/2006/relationships/hyperlink" Target="https://www.ebihoreanul.ro/stiri/inca-50-de-cazuri-de-covid-19-in-bihor-in-urma-testelor-facute-duminica-157998.html" TargetMode="External"/><Relationship Id="rId2968" Type="http://schemas.openxmlformats.org/officeDocument/2006/relationships/hyperlink" Target="http://www.ms.ro/2020/08/13/buletin-informativ-13-08-2020" TargetMode="External"/><Relationship Id="rId4183" Type="http://schemas.openxmlformats.org/officeDocument/2006/relationships/hyperlink" Target="https://www.ebihoreanul.ro/stiri/28-de-noi-imbolnaviri-cu-covid-19-in-bihor-inclusiv-in-randul-personalului-upu-smurd-158401.html" TargetMode="External"/><Relationship Id="rId1777" Type="http://schemas.openxmlformats.org/officeDocument/2006/relationships/hyperlink" Target="http://www.ms.ro/2020/07/30/buletin-informativ-30-07-2020/" TargetMode="External"/><Relationship Id="rId1984" Type="http://schemas.openxmlformats.org/officeDocument/2006/relationships/hyperlink" Target="https://www.ebihoreanul.ro/stiri/inca-50-de-cazuri-de-covid-19-in-bihor-in-urma-testelor-facute-duminica-157998.html" TargetMode="External"/><Relationship Id="rId2828" Type="http://schemas.openxmlformats.org/officeDocument/2006/relationships/hyperlink" Target="http://www.ms.ro/2020/08/12/buletin-informativ-12-08-2020" TargetMode="External"/><Relationship Id="rId69" Type="http://schemas.openxmlformats.org/officeDocument/2006/relationships/hyperlink" Target="https://stirioficiale.ro/informatii/buletin-de-presa-7-aprilie-2020-ora-13-33" TargetMode="External"/><Relationship Id="rId1637" Type="http://schemas.openxmlformats.org/officeDocument/2006/relationships/hyperlink" Target="http://www.ms.ro/2020/07/28/buletin-informativ-28-07-2020/" TargetMode="External"/><Relationship Id="rId1844" Type="http://schemas.openxmlformats.org/officeDocument/2006/relationships/hyperlink" Target="https://www.ebihoreanul.ro/stiri/nou-record-covid-in-bihor-52-de-cazuri-noi-157971.html" TargetMode="External"/><Relationship Id="rId4043" Type="http://schemas.openxmlformats.org/officeDocument/2006/relationships/hyperlink" Target="https://www.ebihoreanul.ro/stiri/a-fost-depasit-pragul-de-2000-de-cazuri-covid-19diagnosticate-in-bihor-158350.html" TargetMode="External"/><Relationship Id="rId1704" Type="http://schemas.openxmlformats.org/officeDocument/2006/relationships/hyperlink" Target="https://stirioficiale.ro/informatii/buletin-de-presa-30-iulie-2020-ora-13-00" TargetMode="External"/><Relationship Id="rId4110" Type="http://schemas.openxmlformats.org/officeDocument/2006/relationships/hyperlink" Target="http://www.ms.ro/2020/08/25/buletin-informativ-25-08-2020" TargetMode="External"/><Relationship Id="rId1911" Type="http://schemas.openxmlformats.org/officeDocument/2006/relationships/hyperlink" Target="http://www.ms.ro/2020/08/02/buletin-informativ-02-08-2020/" TargetMode="External"/><Relationship Id="rId3669" Type="http://schemas.openxmlformats.org/officeDocument/2006/relationships/hyperlink" Target="https://www.ebihoreanul.ro/stiri/record-alarmant-in-bihor-inca-85-de-cazuri-noi-de-covid-si-inca-doua-decese-158311.html" TargetMode="External"/><Relationship Id="rId797" Type="http://schemas.openxmlformats.org/officeDocument/2006/relationships/hyperlink" Target="http://www.ms.ro/2020/04/27/buletin-informativ-27-04-2020/" TargetMode="External"/><Relationship Id="rId2478" Type="http://schemas.openxmlformats.org/officeDocument/2006/relationships/hyperlink" Target="http://www.ms.ro/2020/08/08/buletin-informativ-08-08-2020" TargetMode="External"/><Relationship Id="rId3876" Type="http://schemas.openxmlformats.org/officeDocument/2006/relationships/hyperlink" Target="http://www.ms.ro/2020/08/21/buletin-informativ-21-08-2020" TargetMode="External"/><Relationship Id="rId1287" Type="http://schemas.openxmlformats.org/officeDocument/2006/relationships/hyperlink" Target="http://www.ms.ro/2020/06/10/buletin-informativ-10-06-2020/" TargetMode="External"/><Relationship Id="rId2685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2892" Type="http://schemas.openxmlformats.org/officeDocument/2006/relationships/hyperlink" Target="http://www.ms.ro/2020/08/13/buletin-informativ-13-08-2020" TargetMode="External"/><Relationship Id="rId3529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3736" Type="http://schemas.openxmlformats.org/officeDocument/2006/relationships/hyperlink" Target="http://www.ms.ro/2020/08/20/buletin-informativ-20-08-2020" TargetMode="External"/><Relationship Id="rId3943" Type="http://schemas.openxmlformats.org/officeDocument/2006/relationships/hyperlink" Target="https://www.ebihoreanul.ro/stiri/niciun-deces-in-bihor-si-zeci-de-pacienti-covid-vindecati-dar-si-40-noi-imbolnaviri-inclusiv-angajati-ai-maternitatii-si-spitalului-militar-158339.html" TargetMode="External"/><Relationship Id="rId657" Type="http://schemas.openxmlformats.org/officeDocument/2006/relationships/hyperlink" Target="http://www.ms.ro/2020/04/23/buletin-informativ-23-04-2020/" TargetMode="External"/><Relationship Id="rId864" Type="http://schemas.openxmlformats.org/officeDocument/2006/relationships/hyperlink" Target="http://www.ms.ro/2020/04/29/buletin-informativ-29-04-2020/" TargetMode="External"/><Relationship Id="rId1494" Type="http://schemas.openxmlformats.org/officeDocument/2006/relationships/hyperlink" Target="https://stirioficiale.ro/informatii/buletin-de-presa-23-iulie-2020-ora-13-00" TargetMode="External"/><Relationship Id="rId2338" Type="http://schemas.openxmlformats.org/officeDocument/2006/relationships/hyperlink" Target="http://www.ms.ro/2020/08/07/buletin-informativ-07-08-2020/" TargetMode="External"/><Relationship Id="rId2545" Type="http://schemas.openxmlformats.org/officeDocument/2006/relationships/hyperlink" Target="https://stirioficiale.ro/informatii/buletin-de-presa-9-august-2020-ora-13-00" TargetMode="External"/><Relationship Id="rId2752" Type="http://schemas.openxmlformats.org/officeDocument/2006/relationships/hyperlink" Target="http://www.ms.ro/2020/08/11/buletin-informativ-11-08-2020" TargetMode="External"/><Relationship Id="rId3803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517" Type="http://schemas.openxmlformats.org/officeDocument/2006/relationships/hyperlink" Target="https://stirioficiale.ro/informatii/buletin-de-presa-21-aprilie-2020-ora-13-34" TargetMode="External"/><Relationship Id="rId724" Type="http://schemas.openxmlformats.org/officeDocument/2006/relationships/hyperlink" Target="https://stirioficiale.ro/informatii/buletin-de-presa-27-aprilie-2020-ora-13-00" TargetMode="External"/><Relationship Id="rId931" Type="http://schemas.openxmlformats.org/officeDocument/2006/relationships/hyperlink" Target="http://www.ms.ro/2020/05/03/buletin-informativ-03-05-2020/" TargetMode="External"/><Relationship Id="rId1147" Type="http://schemas.openxmlformats.org/officeDocument/2006/relationships/hyperlink" Target="https://stirioficiale.ro/informatii/buletin-de-presa-29-mai-2020-ora-13-00" TargetMode="External"/><Relationship Id="rId1354" Type="http://schemas.openxmlformats.org/officeDocument/2006/relationships/hyperlink" Target="https://stirioficiale.ro/informatii/buletin-de-presa-5-iulie-2020-ora-13-00" TargetMode="External"/><Relationship Id="rId1561" Type="http://schemas.openxmlformats.org/officeDocument/2006/relationships/hyperlink" Target="http://www.ms.ro/2020/07/26/buletin-informativ-26-07-2020/" TargetMode="External"/><Relationship Id="rId2405" Type="http://schemas.openxmlformats.org/officeDocument/2006/relationships/hyperlink" Target="https://stirioficiale.ro/informatii/buletin-de-presa-8-august-2020-ora-13-00" TargetMode="External"/><Relationship Id="rId2612" Type="http://schemas.openxmlformats.org/officeDocument/2006/relationships/hyperlink" Target="http://www.ms.ro/2020/08/10/buletin-informativ-10-08-2020" TargetMode="External"/><Relationship Id="rId60" Type="http://schemas.openxmlformats.org/officeDocument/2006/relationships/hyperlink" Target="https://stirioficiale.ro/informatii/buletin-de-presa-6-aprilie-2020-ora-13-00" TargetMode="External"/><Relationship Id="rId1007" Type="http://schemas.openxmlformats.org/officeDocument/2006/relationships/hyperlink" Target="http://www.ms.ro/2020/05/16/buletin-informativ-16-05-2020/" TargetMode="External"/><Relationship Id="rId1214" Type="http://schemas.openxmlformats.org/officeDocument/2006/relationships/hyperlink" Target="http://www.ms.ro/2020/05/31/buletin-informativ-31-05-2020/" TargetMode="External"/><Relationship Id="rId1421" Type="http://schemas.openxmlformats.org/officeDocument/2006/relationships/hyperlink" Target="http://www.ms.ro/2020/07/14/buletin-informativ-14-07-2020/" TargetMode="External"/><Relationship Id="rId3179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3386" Type="http://schemas.openxmlformats.org/officeDocument/2006/relationships/hyperlink" Target="http://www.ms.ro/2020/08/17/buletin-informativ-17-08-2020" TargetMode="External"/><Relationship Id="rId3593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2195" Type="http://schemas.openxmlformats.org/officeDocument/2006/relationships/hyperlink" Target="https://www.ebihoreanul.ro/stiri/record-dupa-record-in-bihor-intr-o-singura-zi-3-morti-si-59-noi-imbolnaviri-cu-covid-158047.html" TargetMode="External"/><Relationship Id="rId3039" Type="http://schemas.openxmlformats.org/officeDocument/2006/relationships/hyperlink" Target="https://www.ebihoreanul.ro/stiri/inca-56-de-cazuri-de-coronavirus-in-bihor-158211.html" TargetMode="External"/><Relationship Id="rId3246" Type="http://schemas.openxmlformats.org/officeDocument/2006/relationships/hyperlink" Target="http://www.ms.ro/2020/08/15/33355/" TargetMode="External"/><Relationship Id="rId3453" Type="http://schemas.openxmlformats.org/officeDocument/2006/relationships/hyperlink" Target="https://www.ebihoreanul.ro/stiri/coronavirus-in-bihor-inca-doua-decese-si-45-de-cazuri-noi-vezi-din-ce-localitati-158277.html" TargetMode="External"/><Relationship Id="rId167" Type="http://schemas.openxmlformats.org/officeDocument/2006/relationships/hyperlink" Target="http://www.ms.ro/2020/04/13/buletin-informativ-13-04-2020/" TargetMode="External"/><Relationship Id="rId374" Type="http://schemas.openxmlformats.org/officeDocument/2006/relationships/hyperlink" Target="http://www.ms.ro/2020/04/16/buletin-informativ-16-04-2020/" TargetMode="External"/><Relationship Id="rId581" Type="http://schemas.openxmlformats.org/officeDocument/2006/relationships/hyperlink" Target="http://www.ms.ro/2020/04/22/buletin-informativ-22-04-2020/" TargetMode="External"/><Relationship Id="rId2055" Type="http://schemas.openxmlformats.org/officeDocument/2006/relationships/hyperlink" Target="https://stirioficiale.ro/informatii/buletin-de-presa-3-august-2020-ora-13-00" TargetMode="External"/><Relationship Id="rId2262" Type="http://schemas.openxmlformats.org/officeDocument/2006/relationships/hyperlink" Target="http://www.ms.ro/2020/08/06/buletin-informativ-06-08-2020/" TargetMode="External"/><Relationship Id="rId3106" Type="http://schemas.openxmlformats.org/officeDocument/2006/relationships/hyperlink" Target="http://www.ms.ro/2020/08/14/buletin-informativ-14-08-2020" TargetMode="External"/><Relationship Id="rId3660" Type="http://schemas.openxmlformats.org/officeDocument/2006/relationships/hyperlink" Target="http://www.ms.ro/2020/08/20/buletin-informativ-20-08-2020" TargetMode="External"/><Relationship Id="rId234" Type="http://schemas.openxmlformats.org/officeDocument/2006/relationships/hyperlink" Target="https://stirioficiale.ro/informatii/buletin-de-presa-13-aprilie-2020-ora-13-79" TargetMode="External"/><Relationship Id="rId3313" Type="http://schemas.openxmlformats.org/officeDocument/2006/relationships/hyperlink" Target="https://www.ebihoreanul.ro/stiri/coronavirus-in-bihor-inca-trei-decese-inregistrate-50-de-cazuri-noi-diagnosticate-nicio-persoana-vindecata-158239.html" TargetMode="External"/><Relationship Id="rId3520" Type="http://schemas.openxmlformats.org/officeDocument/2006/relationships/hyperlink" Target="http://www.ms.ro/2020/08/19/buletin-informativ-19-08-2020" TargetMode="External"/><Relationship Id="rId441" Type="http://schemas.openxmlformats.org/officeDocument/2006/relationships/hyperlink" Target="https://stirioficiale.ro/informatii/buletin-de-presa-19-aprilie-2020-ora-13-10" TargetMode="External"/><Relationship Id="rId1071" Type="http://schemas.openxmlformats.org/officeDocument/2006/relationships/hyperlink" Target="http://www.ms.ro/2020/05/22/buletin-informativ-22-05-2020/" TargetMode="External"/><Relationship Id="rId2122" Type="http://schemas.openxmlformats.org/officeDocument/2006/relationships/hyperlink" Target="http://www.ms.ro/2020/08/05/buletin-informativ-05-08-2020/" TargetMode="External"/><Relationship Id="rId301" Type="http://schemas.openxmlformats.org/officeDocument/2006/relationships/hyperlink" Target="http://www.ms.ro/2020/04/13/buletin-informativ-13-04-2020/" TargetMode="External"/><Relationship Id="rId1888" Type="http://schemas.openxmlformats.org/officeDocument/2006/relationships/hyperlink" Target="https://stirioficiale.ro/informatii/informare-de-presa-01-august-2020" TargetMode="External"/><Relationship Id="rId2939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4087" Type="http://schemas.openxmlformats.org/officeDocument/2006/relationships/hyperlink" Target="https://www.ebihoreanul.ro/stiri/inca-trei-decese-ale-unor-pacienti-infectati-cu-covid-19-in-bihor-cazuri-noi-de-imbolnavire-dar-si-multe-vindecari-158365.html" TargetMode="External"/><Relationship Id="rId1748" Type="http://schemas.openxmlformats.org/officeDocument/2006/relationships/hyperlink" Target="https://stirioficiale.ro/informatii/buletin-de-presa-30-iulie-2020-ora-13-00" TargetMode="External"/><Relationship Id="rId4154" Type="http://schemas.openxmlformats.org/officeDocument/2006/relationships/hyperlink" Target="http://www.ms.ro/2020/08/25/buletin-informativ-25-08-2020" TargetMode="External"/><Relationship Id="rId1955" Type="http://schemas.openxmlformats.org/officeDocument/2006/relationships/hyperlink" Target="http://www.ms.ro/2020/08/02/buletin-informativ-02-08-2020/" TargetMode="External"/><Relationship Id="rId3170" Type="http://schemas.openxmlformats.org/officeDocument/2006/relationships/hyperlink" Target="http://www.ms.ro/2020/08/15/33355/" TargetMode="External"/><Relationship Id="rId4014" Type="http://schemas.openxmlformats.org/officeDocument/2006/relationships/hyperlink" Target="http://www.ms.ro/2020/08/23/buletin-informativ-23-08-2020" TargetMode="External"/><Relationship Id="rId4221" Type="http://schemas.openxmlformats.org/officeDocument/2006/relationships/hyperlink" Target="https://www.ebihoreanul.ro/stiri/28-de-noi-imbolnaviri-cu-covid-19-in-bihor-inclusiv-in-randul-personalului-upu-smurd-158401.html" TargetMode="External"/><Relationship Id="rId1608" Type="http://schemas.openxmlformats.org/officeDocument/2006/relationships/hyperlink" Target="https://www.ebihoreanul.ro/stiri/inca-26-noi-cazuri-covid-depistate-in-bihor-intre-care-un-brancardier-si-o-asistenta-revenita-dupa-un-concediu-in-grecia-157871.html" TargetMode="External"/><Relationship Id="rId1815" Type="http://schemas.openxmlformats.org/officeDocument/2006/relationships/hyperlink" Target="http://www.ms.ro/2020/07/31/buletin-informativ-31-07-2020/" TargetMode="External"/><Relationship Id="rId3030" Type="http://schemas.openxmlformats.org/officeDocument/2006/relationships/hyperlink" Target="http://www.ms.ro/2020/08/14/buletin-informativ-14-08-2020" TargetMode="External"/><Relationship Id="rId3987" Type="http://schemas.openxmlformats.org/officeDocument/2006/relationships/hyperlink" Target="https://www.ebihoreanul.ro/stiri/niciun-deces-in-bihor-si-zeci-de-pacienti-covid-vindecati-dar-si-40-noi-imbolnaviri-inclusiv-angajati-ai-maternitatii-si-spitalului-militar-158339.html" TargetMode="External"/><Relationship Id="rId2589" Type="http://schemas.openxmlformats.org/officeDocument/2006/relationships/hyperlink" Target="https://stirioficiale.ro/informatii/buletin-de-presa-9-august-2020-ora-13-00" TargetMode="External"/><Relationship Id="rId2796" Type="http://schemas.openxmlformats.org/officeDocument/2006/relationships/hyperlink" Target="http://www.ms.ro/2020/08/12/buletin-informativ-12-08-2020" TargetMode="External"/><Relationship Id="rId3847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768" Type="http://schemas.openxmlformats.org/officeDocument/2006/relationships/hyperlink" Target="https://stirioficiale.ro/informatii/buletin-de-presa-27-aprilie-2020-ora-13-00" TargetMode="External"/><Relationship Id="rId975" Type="http://schemas.openxmlformats.org/officeDocument/2006/relationships/hyperlink" Target="https://www.bihon.ro/stirile-judetului-bihor/angajati-confirmati-cu-coronavirus-in-parcul-industrial-de-pe-borsului-2284463/" TargetMode="External"/><Relationship Id="rId1398" Type="http://schemas.openxmlformats.org/officeDocument/2006/relationships/hyperlink" Target="https://stirioficiale.ro/informatii/buletin-de-presa-9-iulie-2020-ora-13-00" TargetMode="External"/><Relationship Id="rId2449" Type="http://schemas.openxmlformats.org/officeDocument/2006/relationships/hyperlink" Target="https://stirioficiale.ro/informatii/buletin-de-presa-8-august-2020-ora-13-00" TargetMode="External"/><Relationship Id="rId2656" Type="http://schemas.openxmlformats.org/officeDocument/2006/relationships/hyperlink" Target="http://www.ms.ro/2020/08/10/buletin-informativ-10-08-2020" TargetMode="External"/><Relationship Id="rId2863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3707" Type="http://schemas.openxmlformats.org/officeDocument/2006/relationships/hyperlink" Target="https://www.ebihoreanul.ro/stiri/record-alarmant-in-bihor-inca-85-de-cazuri-noi-de-covid-si-inca-doua-decese-158311.html" TargetMode="External"/><Relationship Id="rId3914" Type="http://schemas.openxmlformats.org/officeDocument/2006/relationships/hyperlink" Target="http://www.ms.ro/2020/08/22/buletin-informativ-22-08-2020" TargetMode="External"/><Relationship Id="rId628" Type="http://schemas.openxmlformats.org/officeDocument/2006/relationships/hyperlink" Target="https://stirioficiale.ro/informatii/buletin-de-presa-22-aprilie-2020-ora-13-68" TargetMode="External"/><Relationship Id="rId835" Type="http://schemas.openxmlformats.org/officeDocument/2006/relationships/hyperlink" Target="http://www.ms.ro/2020/04/28/buletin-informativ-28-04-2020/" TargetMode="External"/><Relationship Id="rId1258" Type="http://schemas.openxmlformats.org/officeDocument/2006/relationships/hyperlink" Target="https://stirioficiale.ro/informatii/buletin-de-presa-5-iunie-2020-ora-13-00" TargetMode="External"/><Relationship Id="rId1465" Type="http://schemas.openxmlformats.org/officeDocument/2006/relationships/hyperlink" Target="http://www.ms.ro/2020/07/22/buletin-informativ-22-07-2020/" TargetMode="External"/><Relationship Id="rId1672" Type="http://schemas.openxmlformats.org/officeDocument/2006/relationships/hyperlink" Target="https://stirioficiale.ro/informatii/buletin-de-presa-29-iulie-2020-ora-13-00" TargetMode="External"/><Relationship Id="rId2309" Type="http://schemas.openxmlformats.org/officeDocument/2006/relationships/hyperlink" Target="https://www.ebihoreanul.ro/stiri/a-patra-zi-la-rand-cu-decese-covid-in-bihor-si-53-noi-imbolnaviri-in-ultimele-24-de-ore-158087.html" TargetMode="External"/><Relationship Id="rId2516" Type="http://schemas.openxmlformats.org/officeDocument/2006/relationships/hyperlink" Target="http://www.ms.ro/2020/08/09/buletin-informativ-09-08-2020" TargetMode="External"/><Relationship Id="rId2723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1118" Type="http://schemas.openxmlformats.org/officeDocument/2006/relationships/hyperlink" Target="http://www.ms.ro/2020/05/27/buletin-informativ-26-05-2020-2/" TargetMode="External"/><Relationship Id="rId1325" Type="http://schemas.openxmlformats.org/officeDocument/2006/relationships/hyperlink" Target="http://www.ms.ro/2020/06/24/buletin-informativ-24-06-2020/" TargetMode="External"/><Relationship Id="rId1532" Type="http://schemas.openxmlformats.org/officeDocument/2006/relationships/hyperlink" Target="https://stirioficiale.ro/informatii/buletin-de-presa-25-iulie-2020-ora-13-00" TargetMode="External"/><Relationship Id="rId2930" Type="http://schemas.openxmlformats.org/officeDocument/2006/relationships/hyperlink" Target="http://www.ms.ro/2020/08/13/buletin-informativ-13-08-2020" TargetMode="External"/><Relationship Id="rId902" Type="http://schemas.openxmlformats.org/officeDocument/2006/relationships/hyperlink" Target="http://www.ms.ro/2020/05/01/buletin-informativ-01-05-2020/" TargetMode="External"/><Relationship Id="rId3497" Type="http://schemas.openxmlformats.org/officeDocument/2006/relationships/hyperlink" Target="https://www.ebihoreanul.ro/stiri/coronavirus-in-bihor-inca-doua-decese-si-45-de-cazuri-noi-vezi-din-ce-localitati-158277.html" TargetMode="External"/><Relationship Id="rId31" Type="http://schemas.openxmlformats.org/officeDocument/2006/relationships/hyperlink" Target="http://www.ms.ro/2020/04/02/buletin-informativ-02-04-2020/" TargetMode="External"/><Relationship Id="rId2099" Type="http://schemas.openxmlformats.org/officeDocument/2006/relationships/hyperlink" Target="https://stirioficiale.ro/informatii/buletin-de-presa-4-august-2020-ora-13-00" TargetMode="External"/><Relationship Id="rId278" Type="http://schemas.openxmlformats.org/officeDocument/2006/relationships/hyperlink" Target="https://stirioficiale.ro/informatii/buletin-de-presa-13-aprilie-2020-ora-13-101" TargetMode="External"/><Relationship Id="rId3357" Type="http://schemas.openxmlformats.org/officeDocument/2006/relationships/hyperlink" Target="https://www.ebihoreanul.ro/stiri/dupa-doua-saptamani-numarul-imbolnavirilor-covid-scade-in-bihor-31-noi-infectari-dar-si-un-deces-158256.html" TargetMode="External"/><Relationship Id="rId3564" Type="http://schemas.openxmlformats.org/officeDocument/2006/relationships/hyperlink" Target="http://www.ms.ro/2020/08/19/buletin-informativ-19-08-2020" TargetMode="External"/><Relationship Id="rId3771" Type="http://schemas.openxmlformats.org/officeDocument/2006/relationships/hyperlink" Target="https://www.ebihoreanul.ro/stiri/record-alarmant-in-bihor-inca-85-de-cazuri-noi-de-covid-si-inca-doua-decese-158311.html" TargetMode="External"/><Relationship Id="rId485" Type="http://schemas.openxmlformats.org/officeDocument/2006/relationships/hyperlink" Target="https://stirioficiale.ro/informatii/buletin-de-presa-20-aprilie-2020-ora-13-00" TargetMode="External"/><Relationship Id="rId692" Type="http://schemas.openxmlformats.org/officeDocument/2006/relationships/hyperlink" Target="https://stirioficiale.ro/informatii/buletin-de-presa-25-aprilie-2020-ora-13-00" TargetMode="External"/><Relationship Id="rId2166" Type="http://schemas.openxmlformats.org/officeDocument/2006/relationships/hyperlink" Target="http://www.ms.ro/2020/08/05/buletin-informativ-05-08-2020/" TargetMode="External"/><Relationship Id="rId2373" Type="http://schemas.openxmlformats.org/officeDocument/2006/relationships/hyperlink" Target="https://www.ebihoreanul.ro/stiri/a-patra-zi-la-rand-cu-decese-covid-in-bihor-si-53-noi-imbolnaviri-in-ultimele-24-de-ore-158087.html" TargetMode="External"/><Relationship Id="rId2580" Type="http://schemas.openxmlformats.org/officeDocument/2006/relationships/hyperlink" Target="http://www.ms.ro/2020/08/09/buletin-informativ-09-08-2020" TargetMode="External"/><Relationship Id="rId3217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3424" Type="http://schemas.openxmlformats.org/officeDocument/2006/relationships/hyperlink" Target="http://www.ms.ro/2020/08/18/buletin-informativ-18-08-2020" TargetMode="External"/><Relationship Id="rId3631" Type="http://schemas.openxmlformats.org/officeDocument/2006/relationships/hyperlink" Target="https://www.ebihoreanul.ro/stiri/record-alarmant-in-bihor-inca-85-de-cazuri-noi-de-covid-si-inca-doua-decese-158311.html" TargetMode="External"/><Relationship Id="rId138" Type="http://schemas.openxmlformats.org/officeDocument/2006/relationships/hyperlink" Target="https://stirioficiale.ro/informatii/buletin-de-presa-13-aprilie-2020-ora-13-31" TargetMode="External"/><Relationship Id="rId345" Type="http://schemas.openxmlformats.org/officeDocument/2006/relationships/hyperlink" Target="https://stirioficiale.ro/informatii/buletin-de-presa-14-aprilie-2020-ora-13-34" TargetMode="External"/><Relationship Id="rId552" Type="http://schemas.openxmlformats.org/officeDocument/2006/relationships/hyperlink" Target="http://www.ms.ro/2020/04/21/buletin-informativ-21-04-2020/" TargetMode="External"/><Relationship Id="rId1182" Type="http://schemas.openxmlformats.org/officeDocument/2006/relationships/hyperlink" Target="http://www.ms.ro/2020/05/31/buletin-informativ-31-05-2020/" TargetMode="External"/><Relationship Id="rId2026" Type="http://schemas.openxmlformats.org/officeDocument/2006/relationships/hyperlink" Target="http://www.ms.ro/2020/08/03/buletin-informativ-03-08-2020/" TargetMode="External"/><Relationship Id="rId2233" Type="http://schemas.openxmlformats.org/officeDocument/2006/relationships/hyperlink" Target="https://www.ebihoreanul.ro/stiri/a-treia-zi-consecutiva-cu-decese-covid-in-bihor-si-inca-35-noi-imbolnaviri-raportate-oficial-pentru-ultimele-24-de-ore-158069.html" TargetMode="External"/><Relationship Id="rId2440" Type="http://schemas.openxmlformats.org/officeDocument/2006/relationships/hyperlink" Target="http://www.ms.ro/2020/08/08/buletin-informativ-08-08-2020" TargetMode="External"/><Relationship Id="rId205" Type="http://schemas.openxmlformats.org/officeDocument/2006/relationships/hyperlink" Target="http://www.ms.ro/2020/04/13/buletin-informativ-13-04-2020/" TargetMode="External"/><Relationship Id="rId412" Type="http://schemas.openxmlformats.org/officeDocument/2006/relationships/hyperlink" Target="https://stirioficiale.ro/informatii/buletin-de-presa-18-aprilie-2020-ora-13-44" TargetMode="External"/><Relationship Id="rId1042" Type="http://schemas.openxmlformats.org/officeDocument/2006/relationships/hyperlink" Target="http://www.ms.ro/2020/05/20/buletin-informativ-20-05-2020/" TargetMode="External"/><Relationship Id="rId2300" Type="http://schemas.openxmlformats.org/officeDocument/2006/relationships/hyperlink" Target="http://www.ms.ro/2020/08/07/buletin-informativ-07-08-2020/" TargetMode="External"/><Relationship Id="rId4198" Type="http://schemas.openxmlformats.org/officeDocument/2006/relationships/hyperlink" Target="http://www.ms.ro/2020/08/26/buletin-informativ-26-08-2020" TargetMode="External"/><Relationship Id="rId1999" Type="http://schemas.openxmlformats.org/officeDocument/2006/relationships/hyperlink" Target="https://www.ebihoreanul.ro/stiri/inca-50-de-cazuri-de-covid-19-in-bihor-in-urma-testelor-facute-duminica-157998.html" TargetMode="External"/><Relationship Id="rId4058" Type="http://schemas.openxmlformats.org/officeDocument/2006/relationships/hyperlink" Target="http://www.ms.ro/2020/08/24/buletin-informativ-24-08-2020" TargetMode="External"/><Relationship Id="rId1859" Type="http://schemas.openxmlformats.org/officeDocument/2006/relationships/hyperlink" Target="http://www.ms.ro/2020/08/01/buletin-informativ-01-08-2020/" TargetMode="External"/><Relationship Id="rId3074" Type="http://schemas.openxmlformats.org/officeDocument/2006/relationships/hyperlink" Target="http://www.ms.ro/2020/08/14/buletin-informativ-14-08-2020" TargetMode="External"/><Relationship Id="rId4125" Type="http://schemas.openxmlformats.org/officeDocument/2006/relationships/hyperlink" Target="https://www.ebihoreanul.ro/stiri/record-de-decese-covid-in-romania-58-intr-o-singura-zi-in-bihor-au-murit-3-oameni-iar-alti-37-au-fost-diagnosticati-aproape-100-de-pacienti-vindecati-158383.html" TargetMode="External"/><Relationship Id="rId1719" Type="http://schemas.openxmlformats.org/officeDocument/2006/relationships/hyperlink" Target="http://www.ms.ro/2020/07/30/buletin-informativ-30-07-2020/" TargetMode="External"/><Relationship Id="rId1926" Type="http://schemas.openxmlformats.org/officeDocument/2006/relationships/hyperlink" Target="https://stirioficiale.ro/informatii/buletin-de-presa-2-august-2020-ora-13-00" TargetMode="External"/><Relationship Id="rId3281" Type="http://schemas.openxmlformats.org/officeDocument/2006/relationships/hyperlink" Target="https://www.ebihoreanul.ro/stiri/coronavirus-in-bihor-inca-trei-decese-inregistrate-50-de-cazuri-noi-diagnosticate-nicio-persoana-vindecata-158239.html" TargetMode="External"/><Relationship Id="rId2090" Type="http://schemas.openxmlformats.org/officeDocument/2006/relationships/hyperlink" Target="http://www.ms.ro/2020/08/04/buletin-informativ-04-08-2020/" TargetMode="External"/><Relationship Id="rId3141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3001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3958" Type="http://schemas.openxmlformats.org/officeDocument/2006/relationships/hyperlink" Target="http://www.ms.ro/2020/08/22/buletin-informativ-22-08-2020" TargetMode="External"/><Relationship Id="rId879" Type="http://schemas.openxmlformats.org/officeDocument/2006/relationships/hyperlink" Target="http://www.ms.ro/2020/04/30/buletin-informativ-30-04-2020/" TargetMode="External"/><Relationship Id="rId2767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739" Type="http://schemas.openxmlformats.org/officeDocument/2006/relationships/hyperlink" Target="http://www.ms.ro/2020/04/27/buletin-informativ-27-04-2020/" TargetMode="External"/><Relationship Id="rId1369" Type="http://schemas.openxmlformats.org/officeDocument/2006/relationships/hyperlink" Target="http://www.ms.ro/2020/07/05/buletin-informativ-05-07-2020/" TargetMode="External"/><Relationship Id="rId1576" Type="http://schemas.openxmlformats.org/officeDocument/2006/relationships/hyperlink" Target="https://www.ebihoreanul.ro/stiri/inca-26-noi-cazuri-covid-depistate-in-bihor-intre-care-un-brancardier-si-o-asistenta-revenita-dupa-un-concediu-in-grecia-157871.html" TargetMode="External"/><Relationship Id="rId2974" Type="http://schemas.openxmlformats.org/officeDocument/2006/relationships/hyperlink" Target="http://www.ms.ro/2020/08/13/buletin-informativ-13-08-2020" TargetMode="External"/><Relationship Id="rId3818" Type="http://schemas.openxmlformats.org/officeDocument/2006/relationships/hyperlink" Target="http://www.ms.ro/2020/08/21/buletin-informativ-21-08-2020" TargetMode="External"/><Relationship Id="rId946" Type="http://schemas.openxmlformats.org/officeDocument/2006/relationships/hyperlink" Target="https://stirioficiale.ro/informatii/buletin-de-presa-6-mai-2020-ora-13-00" TargetMode="External"/><Relationship Id="rId1229" Type="http://schemas.openxmlformats.org/officeDocument/2006/relationships/hyperlink" Target="https://stirioficiale.ro/informatii/buletin-de-presa-2-iunie-2020-ora-13-00" TargetMode="External"/><Relationship Id="rId1783" Type="http://schemas.openxmlformats.org/officeDocument/2006/relationships/hyperlink" Target="http://www.ms.ro/2020/07/30/buletin-informativ-30-07-2020/" TargetMode="External"/><Relationship Id="rId1990" Type="http://schemas.openxmlformats.org/officeDocument/2006/relationships/hyperlink" Target="https://www.ebihoreanul.ro/stiri/inca-50-de-cazuri-de-covid-19-in-bihor-in-urma-testelor-facute-duminica-157998.html" TargetMode="External"/><Relationship Id="rId2627" Type="http://schemas.openxmlformats.org/officeDocument/2006/relationships/hyperlink" Target="https://www.ebihoreanul.ro/stiri/nc-un-deces-i-37-de-noi-mbolnviri-de-covid-19-n-bihor-o-parte-a-spitalului-din-beiu-va-trata-bolnavi-cu-covid-din-cauza-cazurilor-multe-din-zon-158138.html" TargetMode="External"/><Relationship Id="rId2834" Type="http://schemas.openxmlformats.org/officeDocument/2006/relationships/hyperlink" Target="http://www.ms.ro/2020/08/12/buletin-informativ-12-08-2020" TargetMode="External"/><Relationship Id="rId75" Type="http://schemas.openxmlformats.org/officeDocument/2006/relationships/hyperlink" Target="https://stirioficiale.ro/informatii/buletin-de-presa-8-aprilie-2020-ora-13-40" TargetMode="External"/><Relationship Id="rId806" Type="http://schemas.openxmlformats.org/officeDocument/2006/relationships/hyperlink" Target="https://stirioficiale.ro/informatii/buletin-de-presa-28-aprilie-2020-ora-13-00" TargetMode="External"/><Relationship Id="rId1436" Type="http://schemas.openxmlformats.org/officeDocument/2006/relationships/hyperlink" Target="https://www.ebihoreanul.ro/stiri/doua-noi-cazuri-covid-in-bihor-socrii-unui-medic-oradean-care-s-au-testat-la-cerere-si-apoi-au-acceptat-spitalizarea-157723.html" TargetMode="External"/><Relationship Id="rId1643" Type="http://schemas.openxmlformats.org/officeDocument/2006/relationships/hyperlink" Target="http://www.ms.ro/2020/07/28/buletin-informativ-28-07-2020/" TargetMode="External"/><Relationship Id="rId1850" Type="http://schemas.openxmlformats.org/officeDocument/2006/relationships/hyperlink" Target="https://www.ebihoreanul.ro/stiri/nou-record-covid-in-bihor-52-de-cazuri-noi-157971.html" TargetMode="External"/><Relationship Id="rId2901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1503" Type="http://schemas.openxmlformats.org/officeDocument/2006/relationships/hyperlink" Target="http://www.ms.ro/2020/07/24/buletin-informativ-24-07-2020/" TargetMode="External"/><Relationship Id="rId1710" Type="http://schemas.openxmlformats.org/officeDocument/2006/relationships/hyperlink" Target="https://stirioficiale.ro/informatii/buletin-de-presa-30-iulie-2020-ora-13-00" TargetMode="External"/><Relationship Id="rId3468" Type="http://schemas.openxmlformats.org/officeDocument/2006/relationships/hyperlink" Target="http://www.ms.ro/2020/08/18/buletin-informativ-18-08-2020" TargetMode="External"/><Relationship Id="rId3675" Type="http://schemas.openxmlformats.org/officeDocument/2006/relationships/hyperlink" Target="https://www.ebihoreanul.ro/stiri/record-alarmant-in-bihor-inca-85-de-cazuri-noi-de-covid-si-inca-doua-decese-158311.html" TargetMode="External"/><Relationship Id="rId3882" Type="http://schemas.openxmlformats.org/officeDocument/2006/relationships/hyperlink" Target="http://www.ms.ro/2020/08/21/buletin-informativ-21-08-2020" TargetMode="External"/><Relationship Id="rId389" Type="http://schemas.openxmlformats.org/officeDocument/2006/relationships/hyperlink" Target="https://stirioficiale.ro/informatii/buletin-de-presa-16-aprilie-2020-ora-13-66" TargetMode="External"/><Relationship Id="rId596" Type="http://schemas.openxmlformats.org/officeDocument/2006/relationships/hyperlink" Target="https://stirioficiale.ro/informatii/buletin-de-presa-22-aprilie-2020-ora-13-52" TargetMode="External"/><Relationship Id="rId2277" Type="http://schemas.openxmlformats.org/officeDocument/2006/relationships/hyperlink" Target="https://www.ebihoreanul.ro/stiri/a-treia-zi-consecutiva-cu-decese-covid-in-bihor-si-inca-35-noi-imbolnaviri-raportate-oficial-pentru-ultimele-24-de-ore-158069.html" TargetMode="External"/><Relationship Id="rId2484" Type="http://schemas.openxmlformats.org/officeDocument/2006/relationships/hyperlink" Target="http://www.ms.ro/2020/08/08/buletin-informativ-08-08-2020" TargetMode="External"/><Relationship Id="rId2691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3328" Type="http://schemas.openxmlformats.org/officeDocument/2006/relationships/hyperlink" Target="http://www.ms.ro/2020/08/16/buletin-informativ-16-08-2020" TargetMode="External"/><Relationship Id="rId3535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3742" Type="http://schemas.openxmlformats.org/officeDocument/2006/relationships/hyperlink" Target="http://www.ms.ro/2020/08/20/buletin-informativ-20-08-2020" TargetMode="External"/><Relationship Id="rId249" Type="http://schemas.openxmlformats.org/officeDocument/2006/relationships/hyperlink" Target="http://www.ms.ro/2020/04/13/buletin-informativ-13-04-2020/" TargetMode="External"/><Relationship Id="rId456" Type="http://schemas.openxmlformats.org/officeDocument/2006/relationships/hyperlink" Target="http://www.ms.ro/2020/04/20/buletin-informativ-20-04-2020/" TargetMode="External"/><Relationship Id="rId663" Type="http://schemas.openxmlformats.org/officeDocument/2006/relationships/hyperlink" Target="http://www.ms.ro/2020/04/23/buletin-informativ-23-04-2020/" TargetMode="External"/><Relationship Id="rId870" Type="http://schemas.openxmlformats.org/officeDocument/2006/relationships/hyperlink" Target="http://www.ms.ro/2020/04/30/buletin-informativ-30-04-2020/" TargetMode="External"/><Relationship Id="rId1086" Type="http://schemas.openxmlformats.org/officeDocument/2006/relationships/hyperlink" Target="https://stirioficiale.ro/informatii/buletin-de-presa-23-mai-2020-ora-13-00" TargetMode="External"/><Relationship Id="rId1293" Type="http://schemas.openxmlformats.org/officeDocument/2006/relationships/hyperlink" Target="http://www.ms.ro/2020/06/12/buletin-informativ-12-06-2020/" TargetMode="External"/><Relationship Id="rId2137" Type="http://schemas.openxmlformats.org/officeDocument/2006/relationships/hyperlink" Target="https://www.ebihoreanul.ro/stiri/record-dupa-record-in-bihor-intr-o-singura-zi-3-morti-si-59-noi-imbolnaviri-cu-covid-158047.html" TargetMode="External"/><Relationship Id="rId2344" Type="http://schemas.openxmlformats.org/officeDocument/2006/relationships/hyperlink" Target="http://www.ms.ro/2020/08/07/buletin-informativ-07-08-2020/" TargetMode="External"/><Relationship Id="rId2551" Type="http://schemas.openxmlformats.org/officeDocument/2006/relationships/hyperlink" Target="https://stirioficiale.ro/informatii/buletin-de-presa-9-august-2020-ora-13-00" TargetMode="External"/><Relationship Id="rId109" Type="http://schemas.openxmlformats.org/officeDocument/2006/relationships/hyperlink" Target="http://www.ms.ro/2020/04/11/buletin-informativ-11-04-2020/" TargetMode="External"/><Relationship Id="rId316" Type="http://schemas.openxmlformats.org/officeDocument/2006/relationships/hyperlink" Target="https://stirioficiale.ro/informatii/buletin-de-presa-13-aprilie-2020-ora-13-120" TargetMode="External"/><Relationship Id="rId523" Type="http://schemas.openxmlformats.org/officeDocument/2006/relationships/hyperlink" Target="https://stirioficiale.ro/informatii/buletin-de-presa-21-aprilie-2020-ora-13-37" TargetMode="External"/><Relationship Id="rId1153" Type="http://schemas.openxmlformats.org/officeDocument/2006/relationships/hyperlink" Target="https://stirioficiale.ro/informatii/buletin-de-presa-29-mai-2020-ora-13-00" TargetMode="External"/><Relationship Id="rId2204" Type="http://schemas.openxmlformats.org/officeDocument/2006/relationships/hyperlink" Target="http://www.ms.ro/2020/08/05/buletin-informativ-05-08-2020/" TargetMode="External"/><Relationship Id="rId3602" Type="http://schemas.openxmlformats.org/officeDocument/2006/relationships/hyperlink" Target="http://www.ms.ro/2020/08/19/buletin-informativ-19-08-2020" TargetMode="External"/><Relationship Id="rId730" Type="http://schemas.openxmlformats.org/officeDocument/2006/relationships/hyperlink" Target="https://stirioficiale.ro/informatii/buletin-de-presa-27-aprilie-2020-ora-13-00" TargetMode="External"/><Relationship Id="rId1013" Type="http://schemas.openxmlformats.org/officeDocument/2006/relationships/hyperlink" Target="http://www.ms.ro/2020/05/18/buletin-informativ-18-05-2020/" TargetMode="External"/><Relationship Id="rId1360" Type="http://schemas.openxmlformats.org/officeDocument/2006/relationships/hyperlink" Target="https://stirioficiale.ro/informatii/buletin-de-presa-5-iulie-2020-ora-13-00" TargetMode="External"/><Relationship Id="rId2411" Type="http://schemas.openxmlformats.org/officeDocument/2006/relationships/hyperlink" Target="https://stirioficiale.ro/informatii/buletin-de-presa-8-august-2020-ora-13-00" TargetMode="External"/><Relationship Id="rId4169" Type="http://schemas.openxmlformats.org/officeDocument/2006/relationships/hyperlink" Target="https://www.ebihoreanul.ro/stiri/record-de-decese-covid-in-romania-58-intr-o-singura-zi-in-bihor-au-murit-3-oameni-iar-alti-37-au-fost-diagnosticati-aproape-100-de-pacienti-vindecati-158383.html" TargetMode="External"/><Relationship Id="rId1220" Type="http://schemas.openxmlformats.org/officeDocument/2006/relationships/hyperlink" Target="http://www.ms.ro/2020/06/01/buletin-informativ-01-06-2020/" TargetMode="External"/><Relationship Id="rId3185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3392" Type="http://schemas.openxmlformats.org/officeDocument/2006/relationships/hyperlink" Target="http://www.ms.ro/2020/08/17/buletin-informativ-17-08-2020" TargetMode="External"/><Relationship Id="rId4029" Type="http://schemas.openxmlformats.org/officeDocument/2006/relationships/hyperlink" Target="https://www.ebihoreanul.ro/stiri/a-fost-depasit-pragul-de-2000-de-cazuri-covid-19diagnosticate-in-bihor-158350.html" TargetMode="External"/><Relationship Id="rId4236" Type="http://schemas.openxmlformats.org/officeDocument/2006/relationships/hyperlink" Target="http://www.ms.ro/2020/08/26/buletin-informativ-26-08-2020" TargetMode="External"/><Relationship Id="rId3045" Type="http://schemas.openxmlformats.org/officeDocument/2006/relationships/hyperlink" Target="https://www.ebihoreanul.ro/stiri/inca-56-de-cazuri-de-coronavirus-in-bihor-158211.html" TargetMode="External"/><Relationship Id="rId3252" Type="http://schemas.openxmlformats.org/officeDocument/2006/relationships/hyperlink" Target="http://www.ms.ro/2020/08/16/buletin-informativ-16-08-2020" TargetMode="External"/><Relationship Id="rId173" Type="http://schemas.openxmlformats.org/officeDocument/2006/relationships/hyperlink" Target="http://www.ms.ro/2020/04/13/buletin-informativ-13-04-2020/" TargetMode="External"/><Relationship Id="rId380" Type="http://schemas.openxmlformats.org/officeDocument/2006/relationships/hyperlink" Target="http://www.ms.ro/2020/04/16/buletin-informativ-16-04-2020/" TargetMode="External"/><Relationship Id="rId2061" Type="http://schemas.openxmlformats.org/officeDocument/2006/relationships/hyperlink" Target="https://stirioficiale.ro/informatii/buletin-de-presa-3-august-2020-ora-13-00" TargetMode="External"/><Relationship Id="rId3112" Type="http://schemas.openxmlformats.org/officeDocument/2006/relationships/hyperlink" Target="http://www.ms.ro/2020/08/14/buletin-informativ-14-08-2020" TargetMode="External"/><Relationship Id="rId240" Type="http://schemas.openxmlformats.org/officeDocument/2006/relationships/hyperlink" Target="https://stirioficiale.ro/informatii/buletin-de-presa-13-aprilie-2020-ora-13-82" TargetMode="External"/><Relationship Id="rId100" Type="http://schemas.openxmlformats.org/officeDocument/2006/relationships/hyperlink" Target="https://stirioficiale.ro/informatii/buletin-de-presa-10-aprilie-2020-ora-13-51" TargetMode="External"/><Relationship Id="rId2878" Type="http://schemas.openxmlformats.org/officeDocument/2006/relationships/hyperlink" Target="http://www.ms.ro/2020/08/12/buletin-informativ-12-08-2020" TargetMode="External"/><Relationship Id="rId3929" Type="http://schemas.openxmlformats.org/officeDocument/2006/relationships/hyperlink" Target="https://www.ebihoreanul.ro/stiri/niciun-deces-in-bihor-si-zeci-de-pacienti-covid-vindecati-dar-si-40-noi-imbolnaviri-inclusiv-angajati-ai-maternitatii-si-spitalului-militar-158339.html" TargetMode="External"/><Relationship Id="rId4093" Type="http://schemas.openxmlformats.org/officeDocument/2006/relationships/hyperlink" Target="https://www.ebihoreanul.ro/stiri/inca-trei-decese-ale-unor-pacienti-infectati-cu-covid-19-in-bihor-cazuri-noi-de-imbolnavire-dar-si-multe-vindecari-158365.html" TargetMode="External"/><Relationship Id="rId1687" Type="http://schemas.openxmlformats.org/officeDocument/2006/relationships/hyperlink" Target="http://www.ms.ro/2020/07/29/buletin-informativ-29-07-2020/" TargetMode="External"/><Relationship Id="rId1894" Type="http://schemas.openxmlformats.org/officeDocument/2006/relationships/hyperlink" Target="https://stirioficiale.ro/informatii/informare-de-presa-01-august-2020" TargetMode="External"/><Relationship Id="rId2738" Type="http://schemas.openxmlformats.org/officeDocument/2006/relationships/hyperlink" Target="http://www.ms.ro/2020/08/11/buletin-informativ-11-08-2020" TargetMode="External"/><Relationship Id="rId2945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917" Type="http://schemas.openxmlformats.org/officeDocument/2006/relationships/hyperlink" Target="http://www.ms.ro/2020/05/01/buletin-informativ-01-05-2020/" TargetMode="External"/><Relationship Id="rId1547" Type="http://schemas.openxmlformats.org/officeDocument/2006/relationships/hyperlink" Target="http://www.ms.ro/2020/07/25/buletin-informativ-25-07-2020/" TargetMode="External"/><Relationship Id="rId1754" Type="http://schemas.openxmlformats.org/officeDocument/2006/relationships/hyperlink" Target="https://stirioficiale.ro/informatii/buletin-de-presa-30-iulie-2020-ora-13-00" TargetMode="External"/><Relationship Id="rId1961" Type="http://schemas.openxmlformats.org/officeDocument/2006/relationships/hyperlink" Target="http://www.ms.ro/2020/08/02/buletin-informativ-02-08-2020/" TargetMode="External"/><Relationship Id="rId2805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4160" Type="http://schemas.openxmlformats.org/officeDocument/2006/relationships/hyperlink" Target="http://www.ms.ro/2020/08/25/buletin-informativ-25-08-2020" TargetMode="External"/><Relationship Id="rId46" Type="http://schemas.openxmlformats.org/officeDocument/2006/relationships/hyperlink" Target="https://stirioficiale.ro/informatii/buletin-de-presa-3-aprilie-2020-ora-13-00" TargetMode="External"/><Relationship Id="rId1407" Type="http://schemas.openxmlformats.org/officeDocument/2006/relationships/hyperlink" Target="http://www.ms.ro/2020/07/11/buletin-informativ-11-07-2020/" TargetMode="External"/><Relationship Id="rId1614" Type="http://schemas.openxmlformats.org/officeDocument/2006/relationships/hyperlink" Target="https://www.ebihoreanul.ro/stiri/inca-26-noi-cazuri-covid-depistate-in-bihor-intre-care-un-brancardier-si-o-asistenta-revenita-dupa-un-concediu-in-grecia-157871.html" TargetMode="External"/><Relationship Id="rId1821" Type="http://schemas.openxmlformats.org/officeDocument/2006/relationships/hyperlink" Target="http://www.ms.ro/2020/07/31/buletin-informativ-31-07-2020/" TargetMode="External"/><Relationship Id="rId4020" Type="http://schemas.openxmlformats.org/officeDocument/2006/relationships/hyperlink" Target="http://www.ms.ro/2020/08/23/buletin-informativ-23-08-2020" TargetMode="External"/><Relationship Id="rId3579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3786" Type="http://schemas.openxmlformats.org/officeDocument/2006/relationships/hyperlink" Target="http://www.ms.ro/2020/08/21/buletin-informativ-21-08-2020" TargetMode="External"/><Relationship Id="rId2388" Type="http://schemas.openxmlformats.org/officeDocument/2006/relationships/hyperlink" Target="http://www.ms.ro/2020/08/07/buletin-informativ-07-08-2020/" TargetMode="External"/><Relationship Id="rId2595" Type="http://schemas.openxmlformats.org/officeDocument/2006/relationships/hyperlink" Target="https://stirioficiale.ro/informatii/buletin-de-presa-9-august-2020-ora-13-00" TargetMode="External"/><Relationship Id="rId3439" Type="http://schemas.openxmlformats.org/officeDocument/2006/relationships/hyperlink" Target="https://www.ebihoreanul.ro/stiri/coronavirus-in-bihor-inca-doua-decese-si-45-de-cazuri-noi-vezi-din-ce-localitati-158277.html" TargetMode="External"/><Relationship Id="rId3993" Type="http://schemas.openxmlformats.org/officeDocument/2006/relationships/hyperlink" Target="https://www.ebihoreanul.ro/stiri/a-fost-depasit-pragul-de-2000-de-cazuri-covid-19diagnosticate-in-bihor-158350.html" TargetMode="External"/><Relationship Id="rId567" Type="http://schemas.openxmlformats.org/officeDocument/2006/relationships/hyperlink" Target="http://www.ms.ro/2020/04/22/buletin-informativ-22-04-2020/" TargetMode="External"/><Relationship Id="rId1197" Type="http://schemas.openxmlformats.org/officeDocument/2006/relationships/hyperlink" Target="https://stirioficiale.ro/informatii/buletin-de-presa-31-mai-2020-ora-13-00" TargetMode="External"/><Relationship Id="rId2248" Type="http://schemas.openxmlformats.org/officeDocument/2006/relationships/hyperlink" Target="http://www.ms.ro/2020/08/06/buletin-informativ-06-08-2020/" TargetMode="External"/><Relationship Id="rId3646" Type="http://schemas.openxmlformats.org/officeDocument/2006/relationships/hyperlink" Target="http://www.ms.ro/2020/08/20/buletin-informativ-20-08-2020" TargetMode="External"/><Relationship Id="rId3853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774" Type="http://schemas.openxmlformats.org/officeDocument/2006/relationships/hyperlink" Target="https://stirioficiale.ro/informatii/buletin-de-presa-27-aprilie-2020-ora-13-00" TargetMode="External"/><Relationship Id="rId981" Type="http://schemas.openxmlformats.org/officeDocument/2006/relationships/hyperlink" Target="http://www.ms.ro/2020/05/14/buletin-informativ-14-05-2020/" TargetMode="External"/><Relationship Id="rId1057" Type="http://schemas.openxmlformats.org/officeDocument/2006/relationships/hyperlink" Target="http://www.ms.ro/2020/05/22/buletin-informativ-22-05-2020/" TargetMode="External"/><Relationship Id="rId2455" Type="http://schemas.openxmlformats.org/officeDocument/2006/relationships/hyperlink" Target="https://stirioficiale.ro/informatii/buletin-de-presa-8-august-2020-ora-13-00" TargetMode="External"/><Relationship Id="rId2662" Type="http://schemas.openxmlformats.org/officeDocument/2006/relationships/hyperlink" Target="http://www.ms.ro/2020/08/10/buletin-informativ-10-08-2020" TargetMode="External"/><Relationship Id="rId3506" Type="http://schemas.openxmlformats.org/officeDocument/2006/relationships/hyperlink" Target="http://www.ms.ro/2020/08/19/buletin-informativ-19-08-2020" TargetMode="External"/><Relationship Id="rId3713" Type="http://schemas.openxmlformats.org/officeDocument/2006/relationships/hyperlink" Target="https://www.ebihoreanul.ro/stiri/record-alarmant-in-bihor-inca-85-de-cazuri-noi-de-covid-si-inca-doua-decese-158311.html" TargetMode="External"/><Relationship Id="rId3920" Type="http://schemas.openxmlformats.org/officeDocument/2006/relationships/hyperlink" Target="http://www.ms.ro/2020/08/22/buletin-informativ-22-08-2020" TargetMode="External"/><Relationship Id="rId427" Type="http://schemas.openxmlformats.org/officeDocument/2006/relationships/hyperlink" Target="https://stirioficiale.ro/informatii/buletin-de-presa-18-aprilie-2020-ora-13-51" TargetMode="External"/><Relationship Id="rId634" Type="http://schemas.openxmlformats.org/officeDocument/2006/relationships/hyperlink" Target="https://stirioficiale.ro/informatii/buletin-de-presa-22-aprilie-2020-ora-13-71" TargetMode="External"/><Relationship Id="rId841" Type="http://schemas.openxmlformats.org/officeDocument/2006/relationships/hyperlink" Target="http://www.ms.ro/2020/04/28/buletin-informativ-28-04-2020/" TargetMode="External"/><Relationship Id="rId1264" Type="http://schemas.openxmlformats.org/officeDocument/2006/relationships/hyperlink" Target="https://stirioficiale.ro/informatii/buletin-de-presa-6-iunie-2020-ora-13-00" TargetMode="External"/><Relationship Id="rId1471" Type="http://schemas.openxmlformats.org/officeDocument/2006/relationships/hyperlink" Target="http://www.ms.ro/2020/07/23/buletin-informativ-23-07-2020/" TargetMode="External"/><Relationship Id="rId2108" Type="http://schemas.openxmlformats.org/officeDocument/2006/relationships/hyperlink" Target="http://www.ms.ro/2020/08/05/buletin-informativ-05-08-2020/" TargetMode="External"/><Relationship Id="rId2315" Type="http://schemas.openxmlformats.org/officeDocument/2006/relationships/hyperlink" Target="https://www.ebihoreanul.ro/stiri/a-patra-zi-la-rand-cu-decese-covid-in-bihor-si-53-noi-imbolnaviri-in-ultimele-24-de-ore-158087.html" TargetMode="External"/><Relationship Id="rId2522" Type="http://schemas.openxmlformats.org/officeDocument/2006/relationships/hyperlink" Target="http://www.ms.ro/2020/08/09/buletin-informativ-09-08-2020" TargetMode="External"/><Relationship Id="rId701" Type="http://schemas.openxmlformats.org/officeDocument/2006/relationships/hyperlink" Target="http://www.ms.ro/2020/04/26/buletin-informativ-26-04-2020/" TargetMode="External"/><Relationship Id="rId1124" Type="http://schemas.openxmlformats.org/officeDocument/2006/relationships/hyperlink" Target="http://www.ms.ro/2020/05/28/buletin-informativ-28-05-2020/" TargetMode="External"/><Relationship Id="rId1331" Type="http://schemas.openxmlformats.org/officeDocument/2006/relationships/hyperlink" Target="http://www.ms.ro/2020/06/27/buletin-informativ-27-06-2020/" TargetMode="External"/><Relationship Id="rId3089" Type="http://schemas.openxmlformats.org/officeDocument/2006/relationships/hyperlink" Target="https://www.ebihoreanul.ro/stiri/inca-56-de-cazuri-de-coronavirus-in-bihor-158211.html" TargetMode="External"/><Relationship Id="rId3296" Type="http://schemas.openxmlformats.org/officeDocument/2006/relationships/hyperlink" Target="http://www.ms.ro/2020/08/16/buletin-informativ-16-08-2020" TargetMode="External"/><Relationship Id="rId3156" Type="http://schemas.openxmlformats.org/officeDocument/2006/relationships/hyperlink" Target="http://www.ms.ro/2020/08/15/33355/" TargetMode="External"/><Relationship Id="rId3363" Type="http://schemas.openxmlformats.org/officeDocument/2006/relationships/hyperlink" Target="https://www.ebihoreanul.ro/stiri/dupa-doua-saptamani-numarul-imbolnavirilor-covid-scade-in-bihor-31-noi-infectari-dar-si-un-deces-158256.html" TargetMode="External"/><Relationship Id="rId4207" Type="http://schemas.openxmlformats.org/officeDocument/2006/relationships/hyperlink" Target="https://www.ebihoreanul.ro/stiri/28-de-noi-imbolnaviri-cu-covid-19-in-bihor-inclusiv-in-randul-personalului-upu-smurd-158401.html" TargetMode="External"/><Relationship Id="rId284" Type="http://schemas.openxmlformats.org/officeDocument/2006/relationships/hyperlink" Target="https://stirioficiale.ro/informatii/buletin-de-presa-13-aprilie-2020-ora-13-104" TargetMode="External"/><Relationship Id="rId491" Type="http://schemas.openxmlformats.org/officeDocument/2006/relationships/hyperlink" Target="https://stirioficiale.ro/informatii/buletin-de-presa-21-aprilie-2020-ora-13-21" TargetMode="External"/><Relationship Id="rId2172" Type="http://schemas.openxmlformats.org/officeDocument/2006/relationships/hyperlink" Target="http://www.ms.ro/2020/08/05/buletin-informativ-05-08-2020/" TargetMode="External"/><Relationship Id="rId3016" Type="http://schemas.openxmlformats.org/officeDocument/2006/relationships/hyperlink" Target="http://www.ms.ro/2020/08/13/buletin-informativ-13-08-2020" TargetMode="External"/><Relationship Id="rId3223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3570" Type="http://schemas.openxmlformats.org/officeDocument/2006/relationships/hyperlink" Target="http://www.ms.ro/2020/08/19/buletin-informativ-19-08-2020" TargetMode="External"/><Relationship Id="rId144" Type="http://schemas.openxmlformats.org/officeDocument/2006/relationships/hyperlink" Target="https://stirioficiale.ro/informatii/buletin-de-presa-13-aprilie-2020-ora-13-34" TargetMode="External"/><Relationship Id="rId3430" Type="http://schemas.openxmlformats.org/officeDocument/2006/relationships/hyperlink" Target="http://www.ms.ro/2020/08/18/buletin-informativ-18-08-2020" TargetMode="External"/><Relationship Id="rId351" Type="http://schemas.openxmlformats.org/officeDocument/2006/relationships/hyperlink" Target="https://stirioficiale.ro/informatii/buletin-de-presa-15-aprilie-2020-ora-13-56" TargetMode="External"/><Relationship Id="rId2032" Type="http://schemas.openxmlformats.org/officeDocument/2006/relationships/hyperlink" Target="http://www.ms.ro/2020/08/03/buletin-informativ-03-08-2020/" TargetMode="External"/><Relationship Id="rId2989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211" Type="http://schemas.openxmlformats.org/officeDocument/2006/relationships/hyperlink" Target="http://www.ms.ro/2020/04/13/buletin-informativ-13-04-2020/" TargetMode="External"/><Relationship Id="rId1798" Type="http://schemas.openxmlformats.org/officeDocument/2006/relationships/hyperlink" Target="https://stirioficiale.ro/informatii/buletin-de-presa-31-iulie-2020-ora-13-00" TargetMode="External"/><Relationship Id="rId2849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1658" Type="http://schemas.openxmlformats.org/officeDocument/2006/relationships/hyperlink" Target="https://stirioficiale.ro/informatii/buletin-de-presa-29-iulie-2020-ora-13-00" TargetMode="External"/><Relationship Id="rId1865" Type="http://schemas.openxmlformats.org/officeDocument/2006/relationships/hyperlink" Target="http://www.ms.ro/2020/08/01/buletin-informativ-01-08-2020/" TargetMode="External"/><Relationship Id="rId2709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4064" Type="http://schemas.openxmlformats.org/officeDocument/2006/relationships/hyperlink" Target="http://www.ms.ro/2020/08/24/buletin-informativ-24-08-2020" TargetMode="External"/><Relationship Id="rId1518" Type="http://schemas.openxmlformats.org/officeDocument/2006/relationships/hyperlink" Target="https://stirioficiale.ro/informatii/buletin-de-presa-24-iulie-2020-ora-13-00" TargetMode="External"/><Relationship Id="rId2916" Type="http://schemas.openxmlformats.org/officeDocument/2006/relationships/hyperlink" Target="http://www.ms.ro/2020/08/13/buletin-informativ-13-08-2020" TargetMode="External"/><Relationship Id="rId3080" Type="http://schemas.openxmlformats.org/officeDocument/2006/relationships/hyperlink" Target="http://www.ms.ro/2020/08/14/buletin-informativ-14-08-2020" TargetMode="External"/><Relationship Id="rId4131" Type="http://schemas.openxmlformats.org/officeDocument/2006/relationships/hyperlink" Target="https://www.ebihoreanul.ro/stiri/record-de-decese-covid-in-romania-58-intr-o-singura-zi-in-bihor-au-murit-3-oameni-iar-alti-37-au-fost-diagnosticati-aproape-100-de-pacienti-vindecati-158383.html" TargetMode="External"/><Relationship Id="rId1725" Type="http://schemas.openxmlformats.org/officeDocument/2006/relationships/hyperlink" Target="http://www.ms.ro/2020/07/30/buletin-informativ-30-07-2020/" TargetMode="External"/><Relationship Id="rId1932" Type="http://schemas.openxmlformats.org/officeDocument/2006/relationships/hyperlink" Target="https://stirioficiale.ro/informatii/buletin-de-presa-2-august-2020-ora-13-00" TargetMode="External"/><Relationship Id="rId17" Type="http://schemas.openxmlformats.org/officeDocument/2006/relationships/hyperlink" Target="http://www.ms.ro/2020/04/06/deces-152-156/" TargetMode="External"/><Relationship Id="rId3897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2499" Type="http://schemas.openxmlformats.org/officeDocument/2006/relationships/hyperlink" Target="https://stirioficiale.ro/informatii/buletin-de-presa-9-august-2020-ora-13-00" TargetMode="External"/><Relationship Id="rId3757" Type="http://schemas.openxmlformats.org/officeDocument/2006/relationships/hyperlink" Target="https://www.ebihoreanul.ro/stiri/record-alarmant-in-bihor-inca-85-de-cazuri-noi-de-covid-si-inca-doua-decese-158311.html" TargetMode="External"/><Relationship Id="rId3964" Type="http://schemas.openxmlformats.org/officeDocument/2006/relationships/hyperlink" Target="http://www.ms.ro/2020/08/22/buletin-informativ-22-08-2020" TargetMode="External"/><Relationship Id="rId1" Type="http://schemas.openxmlformats.org/officeDocument/2006/relationships/hyperlink" Target="https://www.biziday.ro/situatia-infectiilor-cu-coronavirus-din-romania/" TargetMode="External"/><Relationship Id="rId678" Type="http://schemas.openxmlformats.org/officeDocument/2006/relationships/hyperlink" Target="https://stirioficiale.ro/informatii/buletin-de-presa-24-aprilie-2020-ora-13-00" TargetMode="External"/><Relationship Id="rId885" Type="http://schemas.openxmlformats.org/officeDocument/2006/relationships/hyperlink" Target="http://www.ms.ro/2020/05/01/buletin-informativ-01-05-2020/" TargetMode="External"/><Relationship Id="rId2359" Type="http://schemas.openxmlformats.org/officeDocument/2006/relationships/hyperlink" Target="https://www.ebihoreanul.ro/stiri/a-patra-zi-la-rand-cu-decese-covid-in-bihor-si-53-noi-imbolnaviri-in-ultimele-24-de-ore-158087.html" TargetMode="External"/><Relationship Id="rId2566" Type="http://schemas.openxmlformats.org/officeDocument/2006/relationships/hyperlink" Target="http://www.ms.ro/2020/08/09/buletin-informativ-09-08-2020" TargetMode="External"/><Relationship Id="rId2773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2980" Type="http://schemas.openxmlformats.org/officeDocument/2006/relationships/hyperlink" Target="http://www.ms.ro/2020/08/13/buletin-informativ-13-08-2020" TargetMode="External"/><Relationship Id="rId3617" Type="http://schemas.openxmlformats.org/officeDocument/2006/relationships/hyperlink" Target="https://www.ebihoreanul.ro/stiri/record-alarmant-in-bihor-inca-85-de-cazuri-noi-de-covid-si-inca-doua-decese-158311.html" TargetMode="External"/><Relationship Id="rId3824" Type="http://schemas.openxmlformats.org/officeDocument/2006/relationships/hyperlink" Target="http://www.ms.ro/2020/08/21/buletin-informativ-21-08-2020" TargetMode="External"/><Relationship Id="rId538" Type="http://schemas.openxmlformats.org/officeDocument/2006/relationships/hyperlink" Target="http://www.ms.ro/2020/04/21/buletin-informativ-21-04-2020/" TargetMode="External"/><Relationship Id="rId745" Type="http://schemas.openxmlformats.org/officeDocument/2006/relationships/hyperlink" Target="http://www.ms.ro/2020/04/27/buletin-informativ-27-04-2020/" TargetMode="External"/><Relationship Id="rId952" Type="http://schemas.openxmlformats.org/officeDocument/2006/relationships/hyperlink" Target="https://stirioficiale.ro/informatii/buletin-de-presa-6-mai-2020-ora-13-00" TargetMode="External"/><Relationship Id="rId1168" Type="http://schemas.openxmlformats.org/officeDocument/2006/relationships/hyperlink" Target="http://www.ms.ro/2020/05/30/buletin-informativ-30-05-2020/" TargetMode="External"/><Relationship Id="rId1375" Type="http://schemas.openxmlformats.org/officeDocument/2006/relationships/hyperlink" Target="http://www.ms.ro/2020/07/05/buletin-informativ-05-07-2020/" TargetMode="External"/><Relationship Id="rId1582" Type="http://schemas.openxmlformats.org/officeDocument/2006/relationships/hyperlink" Target="https://www.ebihoreanul.ro/stiri/inca-26-noi-cazuri-covid-depistate-in-bihor-intre-care-un-brancardier-si-o-asistenta-revenita-dupa-un-concediu-in-grecia-157871.html" TargetMode="External"/><Relationship Id="rId2219" Type="http://schemas.openxmlformats.org/officeDocument/2006/relationships/hyperlink" Target="https://www.ebihoreanul.ro/stiri/record-dupa-record-in-bihor-intr-o-singura-zi-3-morti-si-59-noi-imbolnaviri-cu-covid-158047.html" TargetMode="External"/><Relationship Id="rId2426" Type="http://schemas.openxmlformats.org/officeDocument/2006/relationships/hyperlink" Target="http://www.ms.ro/2020/08/08/buletin-informativ-08-08-2020" TargetMode="External"/><Relationship Id="rId2633" Type="http://schemas.openxmlformats.org/officeDocument/2006/relationships/hyperlink" Target="https://www.ebihoreanul.ro/stiri/nc-un-deces-i-37-de-noi-mbolnviri-de-covid-19-n-bihor-o-parte-a-spitalului-din-beiu-va-trata-bolnavi-cu-covid-din-cauza-cazurilor-multe-din-zon-158138.html" TargetMode="External"/><Relationship Id="rId81" Type="http://schemas.openxmlformats.org/officeDocument/2006/relationships/hyperlink" Target="http://www.ms.ro/2020/04/09/buletin-informativ-09-04-2020/" TargetMode="External"/><Relationship Id="rId605" Type="http://schemas.openxmlformats.org/officeDocument/2006/relationships/hyperlink" Target="http://www.ms.ro/2020/04/22/buletin-informativ-22-04-2020/" TargetMode="External"/><Relationship Id="rId812" Type="http://schemas.openxmlformats.org/officeDocument/2006/relationships/hyperlink" Target="https://stirioficiale.ro/informatii/buletin-de-presa-28-aprilie-2020-ora-13-00" TargetMode="External"/><Relationship Id="rId1028" Type="http://schemas.openxmlformats.org/officeDocument/2006/relationships/hyperlink" Target="http://www.ms.ro/2020/05/19/buletin-informativ-19-05-2020/" TargetMode="External"/><Relationship Id="rId1235" Type="http://schemas.openxmlformats.org/officeDocument/2006/relationships/hyperlink" Target="https://stirioficiale.ro/informatii/buletin-de-presa-2-iunie-2020-ora-13-00" TargetMode="External"/><Relationship Id="rId1442" Type="http://schemas.openxmlformats.org/officeDocument/2006/relationships/hyperlink" Target="https://www.ebihoreanul.ro/stiri/inca-5-persoane-din-bihor-diagnosticate-cu-coronavirus-dintre-care-trei-au-fost-testate-la-cerere-157757.html" TargetMode="External"/><Relationship Id="rId2840" Type="http://schemas.openxmlformats.org/officeDocument/2006/relationships/hyperlink" Target="http://www.ms.ro/2020/08/12/buletin-informativ-12-08-2020" TargetMode="External"/><Relationship Id="rId1302" Type="http://schemas.openxmlformats.org/officeDocument/2006/relationships/hyperlink" Target="https://stirioficiale.ro/informatii/buletin-de-presa-14-iunie-2020-ora-13-00" TargetMode="External"/><Relationship Id="rId2700" Type="http://schemas.openxmlformats.org/officeDocument/2006/relationships/hyperlink" Target="http://www.ms.ro/2020/08/11/buletin-informativ-11-08-2020" TargetMode="External"/><Relationship Id="rId3267" Type="http://schemas.openxmlformats.org/officeDocument/2006/relationships/hyperlink" Target="https://www.ebihoreanul.ro/stiri/coronavirus-in-bihor-inca-trei-decese-inregistrate-50-de-cazuri-noi-diagnosticate-nicio-persoana-vindecata-158239.html" TargetMode="External"/><Relationship Id="rId188" Type="http://schemas.openxmlformats.org/officeDocument/2006/relationships/hyperlink" Target="https://stirioficiale.ro/informatii/buletin-de-presa-13-aprilie-2020-ora-13-56" TargetMode="External"/><Relationship Id="rId395" Type="http://schemas.openxmlformats.org/officeDocument/2006/relationships/hyperlink" Target="https://stirioficiale.ro/informatii/buletin-de-presa-16-aprilie-2020-ora-13-69" TargetMode="External"/><Relationship Id="rId2076" Type="http://schemas.openxmlformats.org/officeDocument/2006/relationships/hyperlink" Target="http://www.ms.ro/2020/08/03/buletin-informativ-03-08-2020/" TargetMode="External"/><Relationship Id="rId3474" Type="http://schemas.openxmlformats.org/officeDocument/2006/relationships/hyperlink" Target="http://www.ms.ro/2020/08/18/buletin-informativ-18-08-2020" TargetMode="External"/><Relationship Id="rId3681" Type="http://schemas.openxmlformats.org/officeDocument/2006/relationships/hyperlink" Target="https://www.ebihoreanul.ro/stiri/record-alarmant-in-bihor-inca-85-de-cazuri-noi-de-covid-si-inca-doua-decese-158311.html" TargetMode="External"/><Relationship Id="rId2283" Type="http://schemas.openxmlformats.org/officeDocument/2006/relationships/hyperlink" Target="https://www.ebihoreanul.ro/stiri/a-treia-zi-consecutiva-cu-decese-covid-in-bihor-si-inca-35-noi-imbolnaviri-raportate-oficial-pentru-ultimele-24-de-ore-158069.html" TargetMode="External"/><Relationship Id="rId2490" Type="http://schemas.openxmlformats.org/officeDocument/2006/relationships/hyperlink" Target="http://www.ms.ro/2020/08/08/buletin-informativ-08-08-2020" TargetMode="External"/><Relationship Id="rId3127" Type="http://schemas.openxmlformats.org/officeDocument/2006/relationships/hyperlink" Target="https://www.ebihoreanul.ro/stiri/inca-56-de-cazuri-de-coronavirus-in-bihor-158211.html" TargetMode="External"/><Relationship Id="rId3334" Type="http://schemas.openxmlformats.org/officeDocument/2006/relationships/hyperlink" Target="http://www.ms.ro/2020/08/16/buletin-informativ-16-08-2020" TargetMode="External"/><Relationship Id="rId3541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255" Type="http://schemas.openxmlformats.org/officeDocument/2006/relationships/hyperlink" Target="http://www.ms.ro/2020/04/13/buletin-informativ-13-04-2020/" TargetMode="External"/><Relationship Id="rId462" Type="http://schemas.openxmlformats.org/officeDocument/2006/relationships/hyperlink" Target="http://www.ms.ro/2020/04/20/buletin-informativ-20-04-2020/" TargetMode="External"/><Relationship Id="rId1092" Type="http://schemas.openxmlformats.org/officeDocument/2006/relationships/hyperlink" Target="https://stirioficiale.ro/informatii/buletin-de-presa-25-mai-2020-ora-13-00" TargetMode="External"/><Relationship Id="rId2143" Type="http://schemas.openxmlformats.org/officeDocument/2006/relationships/hyperlink" Target="https://www.ebihoreanul.ro/stiri/record-dupa-record-in-bihor-intr-o-singura-zi-3-morti-si-59-noi-imbolnaviri-cu-covid-158047.html" TargetMode="External"/><Relationship Id="rId2350" Type="http://schemas.openxmlformats.org/officeDocument/2006/relationships/hyperlink" Target="http://www.ms.ro/2020/08/07/buletin-informativ-07-08-2020/" TargetMode="External"/><Relationship Id="rId3401" Type="http://schemas.openxmlformats.org/officeDocument/2006/relationships/hyperlink" Target="https://www.ebihoreanul.ro/stiri/dupa-doua-saptamani-numarul-imbolnavirilor-covid-scade-in-bihor-31-noi-infectari-dar-si-un-deces-158256.html" TargetMode="External"/><Relationship Id="rId115" Type="http://schemas.openxmlformats.org/officeDocument/2006/relationships/hyperlink" Target="http://www.ms.ro/2020/04/11/buletin-informativ-11-04-2020/" TargetMode="External"/><Relationship Id="rId322" Type="http://schemas.openxmlformats.org/officeDocument/2006/relationships/hyperlink" Target="http://www.ms.ro/2020/04/14/buletin-informativ-14-04-2020/" TargetMode="External"/><Relationship Id="rId2003" Type="http://schemas.openxmlformats.org/officeDocument/2006/relationships/hyperlink" Target="http://www.ms.ro/2020/08/03/buletin-informativ-03-08-2020/" TargetMode="External"/><Relationship Id="rId2210" Type="http://schemas.openxmlformats.org/officeDocument/2006/relationships/hyperlink" Target="http://www.ms.ro/2020/08/05/buletin-informativ-05-08-2020/" TargetMode="External"/><Relationship Id="rId4175" Type="http://schemas.openxmlformats.org/officeDocument/2006/relationships/hyperlink" Target="https://www.ebihoreanul.ro/stiri/record-de-decese-covid-in-romania-58-intr-o-singura-zi-in-bihor-au-murit-3-oameni-iar-alti-37-au-fost-diagnosticati-aproape-100-de-pacienti-vindecati-158383.html" TargetMode="External"/><Relationship Id="rId1769" Type="http://schemas.openxmlformats.org/officeDocument/2006/relationships/hyperlink" Target="http://www.ms.ro/2020/07/30/buletin-informativ-30-07-2020/" TargetMode="External"/><Relationship Id="rId1976" Type="http://schemas.openxmlformats.org/officeDocument/2006/relationships/hyperlink" Target="http://www.ms.ro/2020/08/03/buletin-informativ-03-08-2020/" TargetMode="External"/><Relationship Id="rId3191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4035" Type="http://schemas.openxmlformats.org/officeDocument/2006/relationships/hyperlink" Target="https://www.ebihoreanul.ro/stiri/a-fost-depasit-pragul-de-2000-de-cazuri-covid-19diagnosticate-in-bihor-158350.html" TargetMode="External"/><Relationship Id="rId1629" Type="http://schemas.openxmlformats.org/officeDocument/2006/relationships/hyperlink" Target="http://www.ms.ro/2020/07/28/buletin-informativ-28-07-2020/" TargetMode="External"/><Relationship Id="rId1836" Type="http://schemas.openxmlformats.org/officeDocument/2006/relationships/hyperlink" Target="https://www.ebihoreanul.ro/stiri/nou-record-covid-in-bihor-52-de-cazuri-noi-157971.html" TargetMode="External"/><Relationship Id="rId1903" Type="http://schemas.openxmlformats.org/officeDocument/2006/relationships/hyperlink" Target="http://www.ms.ro/2020/08/01/buletin-informativ-01-08-2020/" TargetMode="External"/><Relationship Id="rId3051" Type="http://schemas.openxmlformats.org/officeDocument/2006/relationships/hyperlink" Target="https://www.ebihoreanul.ro/stiri/inca-56-de-cazuri-de-coronavirus-in-bihor-158211.html" TargetMode="External"/><Relationship Id="rId4102" Type="http://schemas.openxmlformats.org/officeDocument/2006/relationships/hyperlink" Target="http://www.ms.ro/2020/08/24/buletin-informativ-24-08-2020" TargetMode="External"/><Relationship Id="rId3868" Type="http://schemas.openxmlformats.org/officeDocument/2006/relationships/hyperlink" Target="http://www.ms.ro/2020/08/21/buletin-informativ-21-08-2020" TargetMode="External"/><Relationship Id="rId789" Type="http://schemas.openxmlformats.org/officeDocument/2006/relationships/hyperlink" Target="http://www.ms.ro/2020/04/27/buletin-informativ-27-04-2020/" TargetMode="External"/><Relationship Id="rId996" Type="http://schemas.openxmlformats.org/officeDocument/2006/relationships/hyperlink" Target="https://www.bihon.ro/stirile-judetului-bihor/angajati-confirmati-cu-coronavirus-in-parcul-industrial-de-pe-borsului-2284463/" TargetMode="External"/><Relationship Id="rId2677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2884" Type="http://schemas.openxmlformats.org/officeDocument/2006/relationships/hyperlink" Target="http://www.ms.ro/2020/08/12/buletin-informativ-12-08-2020" TargetMode="External"/><Relationship Id="rId3728" Type="http://schemas.openxmlformats.org/officeDocument/2006/relationships/hyperlink" Target="http://www.ms.ro/2020/08/20/buletin-informativ-20-08-2020" TargetMode="External"/><Relationship Id="rId649" Type="http://schemas.openxmlformats.org/officeDocument/2006/relationships/hyperlink" Target="http://www.ms.ro/2020/04/23/buletin-informativ-23-04-2020/" TargetMode="External"/><Relationship Id="rId856" Type="http://schemas.openxmlformats.org/officeDocument/2006/relationships/hyperlink" Target="http://www.ms.ro/2020/04/29/buletin-informativ-29-04-2020/" TargetMode="External"/><Relationship Id="rId1279" Type="http://schemas.openxmlformats.org/officeDocument/2006/relationships/hyperlink" Target="http://www.ms.ro/2020/06/06/buletin-informativ-06-06-2020/" TargetMode="External"/><Relationship Id="rId1486" Type="http://schemas.openxmlformats.org/officeDocument/2006/relationships/hyperlink" Target="https://stirioficiale.ro/informatii/buletin-de-presa-23-iulie-2020-ora-13-00" TargetMode="External"/><Relationship Id="rId2537" Type="http://schemas.openxmlformats.org/officeDocument/2006/relationships/hyperlink" Target="https://stirioficiale.ro/informatii/buletin-de-presa-9-august-2020-ora-13-00" TargetMode="External"/><Relationship Id="rId3935" Type="http://schemas.openxmlformats.org/officeDocument/2006/relationships/hyperlink" Target="https://www.ebihoreanul.ro/stiri/niciun-deces-in-bihor-si-zeci-de-pacienti-covid-vindecati-dar-si-40-noi-imbolnaviri-inclusiv-angajati-ai-maternitatii-si-spitalului-militar-158339.html" TargetMode="External"/><Relationship Id="rId509" Type="http://schemas.openxmlformats.org/officeDocument/2006/relationships/hyperlink" Target="https://stirioficiale.ro/informatii/buletin-de-presa-21-aprilie-2020-ora-13-30" TargetMode="External"/><Relationship Id="rId1139" Type="http://schemas.openxmlformats.org/officeDocument/2006/relationships/hyperlink" Target="https://www.bihon.ro/stirile-judetului-bihor/plexus-confirma-4-angajati-pozitivi-covid-19-inchid-fabrica-temporar-2293555/" TargetMode="External"/><Relationship Id="rId1346" Type="http://schemas.openxmlformats.org/officeDocument/2006/relationships/hyperlink" Target="https://stirioficiale.ro/informatii/buletin-de-presa-4-iulie-2020-ora-13-00" TargetMode="External"/><Relationship Id="rId1693" Type="http://schemas.openxmlformats.org/officeDocument/2006/relationships/hyperlink" Target="http://www.ms.ro/2020/07/29/buletin-informativ-29-07-2020/" TargetMode="External"/><Relationship Id="rId2744" Type="http://schemas.openxmlformats.org/officeDocument/2006/relationships/hyperlink" Target="http://www.ms.ro/2020/08/11/buletin-informativ-11-08-2020" TargetMode="External"/><Relationship Id="rId2951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716" Type="http://schemas.openxmlformats.org/officeDocument/2006/relationships/hyperlink" Target="https://stirioficiale.ro/informatii/buletin-de-presa-26-aprilie-2020-ora-13-00" TargetMode="External"/><Relationship Id="rId923" Type="http://schemas.openxmlformats.org/officeDocument/2006/relationships/hyperlink" Target="http://www.ms.ro/2020/05/01/buletin-informativ-01-05-2020/" TargetMode="External"/><Relationship Id="rId1553" Type="http://schemas.openxmlformats.org/officeDocument/2006/relationships/hyperlink" Target="http://www.ms.ro/2020/07/26/buletin-informativ-26-07-2020/" TargetMode="External"/><Relationship Id="rId1760" Type="http://schemas.openxmlformats.org/officeDocument/2006/relationships/hyperlink" Target="https://stirioficiale.ro/informatii/buletin-de-presa-30-iulie-2020-ora-13-00" TargetMode="External"/><Relationship Id="rId2604" Type="http://schemas.openxmlformats.org/officeDocument/2006/relationships/hyperlink" Target="http://www.ms.ro/2020/08/10/buletin-informativ-10-08-2020" TargetMode="External"/><Relationship Id="rId2811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52" Type="http://schemas.openxmlformats.org/officeDocument/2006/relationships/hyperlink" Target="https://stirioficiale.ro/informatii/buletin-de-presa-4-aprilie-2020-ora-13-25" TargetMode="External"/><Relationship Id="rId1206" Type="http://schemas.openxmlformats.org/officeDocument/2006/relationships/hyperlink" Target="http://www.ms.ro/2020/05/31/buletin-informativ-31-05-2020/" TargetMode="External"/><Relationship Id="rId1413" Type="http://schemas.openxmlformats.org/officeDocument/2006/relationships/hyperlink" Target="http://www.ms.ro/2020/07/13/buletin-informativ-13-07-2020/" TargetMode="External"/><Relationship Id="rId1620" Type="http://schemas.openxmlformats.org/officeDocument/2006/relationships/hyperlink" Target="https://stirioficiale.ro/informatii/buletin-de-presa-28-iulie-2020-ora-13-00" TargetMode="External"/><Relationship Id="rId3378" Type="http://schemas.openxmlformats.org/officeDocument/2006/relationships/hyperlink" Target="http://www.ms.ro/2020/08/17/buletin-informativ-17-08-2020" TargetMode="External"/><Relationship Id="rId3585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3792" Type="http://schemas.openxmlformats.org/officeDocument/2006/relationships/hyperlink" Target="http://www.ms.ro/2020/08/21/buletin-informativ-21-08-2020" TargetMode="External"/><Relationship Id="rId299" Type="http://schemas.openxmlformats.org/officeDocument/2006/relationships/hyperlink" Target="http://www.ms.ro/2020/04/13/buletin-informativ-13-04-2020/" TargetMode="External"/><Relationship Id="rId2187" Type="http://schemas.openxmlformats.org/officeDocument/2006/relationships/hyperlink" Target="https://www.ebihoreanul.ro/stiri/record-dupa-record-in-bihor-intr-o-singura-zi-3-morti-si-59-noi-imbolnaviri-cu-covid-158047.html" TargetMode="External"/><Relationship Id="rId2394" Type="http://schemas.openxmlformats.org/officeDocument/2006/relationships/hyperlink" Target="http://www.ms.ro/2020/08/07/buletin-informativ-07-08-2020/" TargetMode="External"/><Relationship Id="rId3238" Type="http://schemas.openxmlformats.org/officeDocument/2006/relationships/hyperlink" Target="http://www.ms.ro/2020/08/15/33355/" TargetMode="External"/><Relationship Id="rId3445" Type="http://schemas.openxmlformats.org/officeDocument/2006/relationships/hyperlink" Target="https://www.ebihoreanul.ro/stiri/coronavirus-in-bihor-inca-doua-decese-si-45-de-cazuri-noi-vezi-din-ce-localitati-158277.html" TargetMode="External"/><Relationship Id="rId3652" Type="http://schemas.openxmlformats.org/officeDocument/2006/relationships/hyperlink" Target="http://www.ms.ro/2020/08/20/buletin-informativ-20-08-2020" TargetMode="External"/><Relationship Id="rId159" Type="http://schemas.openxmlformats.org/officeDocument/2006/relationships/hyperlink" Target="http://www.ms.ro/2020/04/13/buletin-informativ-13-04-2020/" TargetMode="External"/><Relationship Id="rId366" Type="http://schemas.openxmlformats.org/officeDocument/2006/relationships/hyperlink" Target="http://www.ms.ro/2020/04/16/buletin-informativ-16-04-2020/" TargetMode="External"/><Relationship Id="rId573" Type="http://schemas.openxmlformats.org/officeDocument/2006/relationships/hyperlink" Target="http://www.ms.ro/2020/04/22/buletin-informativ-22-04-2020/" TargetMode="External"/><Relationship Id="rId780" Type="http://schemas.openxmlformats.org/officeDocument/2006/relationships/hyperlink" Target="https://stirioficiale.ro/informatii/buletin-de-presa-27-aprilie-2020-ora-13-00" TargetMode="External"/><Relationship Id="rId2047" Type="http://schemas.openxmlformats.org/officeDocument/2006/relationships/hyperlink" Target="https://stirioficiale.ro/informatii/buletin-de-presa-3-august-2020-ora-13-00" TargetMode="External"/><Relationship Id="rId2254" Type="http://schemas.openxmlformats.org/officeDocument/2006/relationships/hyperlink" Target="http://www.ms.ro/2020/08/06/buletin-informativ-06-08-2020/" TargetMode="External"/><Relationship Id="rId2461" Type="http://schemas.openxmlformats.org/officeDocument/2006/relationships/hyperlink" Target="https://stirioficiale.ro/informatii/buletin-de-presa-8-august-2020-ora-13-00" TargetMode="External"/><Relationship Id="rId3305" Type="http://schemas.openxmlformats.org/officeDocument/2006/relationships/hyperlink" Target="https://www.ebihoreanul.ro/stiri/coronavirus-in-bihor-inca-trei-decese-inregistrate-50-de-cazuri-noi-diagnosticate-nicio-persoana-vindecata-158239.html" TargetMode="External"/><Relationship Id="rId3512" Type="http://schemas.openxmlformats.org/officeDocument/2006/relationships/hyperlink" Target="http://www.ms.ro/2020/08/19/buletin-informativ-19-08-2020" TargetMode="External"/><Relationship Id="rId226" Type="http://schemas.openxmlformats.org/officeDocument/2006/relationships/hyperlink" Target="https://stirioficiale.ro/informatii/buletin-de-presa-13-aprilie-2020-ora-13-75" TargetMode="External"/><Relationship Id="rId433" Type="http://schemas.openxmlformats.org/officeDocument/2006/relationships/hyperlink" Target="https://stirioficiale.ro/informatii/buletin-de-presa-18-aprilie-2020-ora-13-54" TargetMode="External"/><Relationship Id="rId1063" Type="http://schemas.openxmlformats.org/officeDocument/2006/relationships/hyperlink" Target="http://www.ms.ro/2020/05/22/buletin-informativ-22-05-2020/" TargetMode="External"/><Relationship Id="rId1270" Type="http://schemas.openxmlformats.org/officeDocument/2006/relationships/hyperlink" Target="https://stirioficiale.ro/informatii/buletin-de-presa-6-iunie-2020-ora-13-00" TargetMode="External"/><Relationship Id="rId2114" Type="http://schemas.openxmlformats.org/officeDocument/2006/relationships/hyperlink" Target="http://www.ms.ro/2020/08/05/buletin-informativ-05-08-2020/" TargetMode="External"/><Relationship Id="rId640" Type="http://schemas.openxmlformats.org/officeDocument/2006/relationships/hyperlink" Target="https://stirioficiale.ro/informatii/buletin-de-presa-22-aprilie-2020-ora-13-74" TargetMode="External"/><Relationship Id="rId2321" Type="http://schemas.openxmlformats.org/officeDocument/2006/relationships/hyperlink" Target="https://www.ebihoreanul.ro/stiri/a-patra-zi-la-rand-cu-decese-covid-in-bihor-si-53-noi-imbolnaviri-in-ultimele-24-de-ore-158087.html" TargetMode="External"/><Relationship Id="rId4079" Type="http://schemas.openxmlformats.org/officeDocument/2006/relationships/hyperlink" Target="https://www.ebihoreanul.ro/stiri/inca-trei-decese-ale-unor-pacienti-infectati-cu-covid-19-in-bihor-cazuri-noi-de-imbolnavire-dar-si-multe-vindecari-158365.html" TargetMode="External"/><Relationship Id="rId500" Type="http://schemas.openxmlformats.org/officeDocument/2006/relationships/hyperlink" Target="http://www.ms.ro/2020/04/21/buletin-informativ-21-04-2020/" TargetMode="External"/><Relationship Id="rId1130" Type="http://schemas.openxmlformats.org/officeDocument/2006/relationships/hyperlink" Target="http://www.ms.ro/2020/05/28/buletin-informativ-28-05-2020/" TargetMode="External"/><Relationship Id="rId1947" Type="http://schemas.openxmlformats.org/officeDocument/2006/relationships/hyperlink" Target="http://www.ms.ro/2020/08/02/buletin-informativ-02-08-2020/" TargetMode="External"/><Relationship Id="rId3095" Type="http://schemas.openxmlformats.org/officeDocument/2006/relationships/hyperlink" Target="https://www.ebihoreanul.ro/stiri/inca-56-de-cazuri-de-coronavirus-in-bihor-158211.html" TargetMode="External"/><Relationship Id="rId4146" Type="http://schemas.openxmlformats.org/officeDocument/2006/relationships/hyperlink" Target="http://www.ms.ro/2020/08/25/buletin-informativ-25-08-2020" TargetMode="External"/><Relationship Id="rId1807" Type="http://schemas.openxmlformats.org/officeDocument/2006/relationships/hyperlink" Target="http://www.ms.ro/2020/07/31/buletin-informativ-31-07-2020/" TargetMode="External"/><Relationship Id="rId3162" Type="http://schemas.openxmlformats.org/officeDocument/2006/relationships/hyperlink" Target="http://www.ms.ro/2020/08/15/33355/" TargetMode="External"/><Relationship Id="rId4006" Type="http://schemas.openxmlformats.org/officeDocument/2006/relationships/hyperlink" Target="http://www.ms.ro/2020/08/23/buletin-informativ-23-08-2020" TargetMode="External"/><Relationship Id="rId4213" Type="http://schemas.openxmlformats.org/officeDocument/2006/relationships/hyperlink" Target="https://www.ebihoreanul.ro/stiri/28-de-noi-imbolnaviri-cu-covid-19-in-bihor-inclusiv-in-randul-personalului-upu-smurd-158401.html" TargetMode="External"/><Relationship Id="rId290" Type="http://schemas.openxmlformats.org/officeDocument/2006/relationships/hyperlink" Target="https://stirioficiale.ro/informatii/buletin-de-presa-13-aprilie-2020-ora-13-107" TargetMode="External"/><Relationship Id="rId3022" Type="http://schemas.openxmlformats.org/officeDocument/2006/relationships/hyperlink" Target="http://www.ms.ro/2020/08/14/buletin-informativ-14-08-2020" TargetMode="External"/><Relationship Id="rId150" Type="http://schemas.openxmlformats.org/officeDocument/2006/relationships/hyperlink" Target="https://stirioficiale.ro/informatii/buletin-de-presa-13-aprilie-2020-ora-13-37" TargetMode="External"/><Relationship Id="rId3979" Type="http://schemas.openxmlformats.org/officeDocument/2006/relationships/hyperlink" Target="https://www.ebihoreanul.ro/stiri/niciun-deces-in-bihor-si-zeci-de-pacienti-covid-vindecati-dar-si-40-noi-imbolnaviri-inclusiv-angajati-ai-maternitatii-si-spitalului-militar-158339.html" TargetMode="External"/><Relationship Id="rId2788" Type="http://schemas.openxmlformats.org/officeDocument/2006/relationships/hyperlink" Target="http://www.ms.ro/2020/08/12/buletin-informativ-12-08-2020" TargetMode="External"/><Relationship Id="rId2995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3839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967" Type="http://schemas.openxmlformats.org/officeDocument/2006/relationships/hyperlink" Target="http://www.ms.ro/2020/05/09/buletin-informativ-09-05-2020/" TargetMode="External"/><Relationship Id="rId1597" Type="http://schemas.openxmlformats.org/officeDocument/2006/relationships/hyperlink" Target="http://www.ms.ro/2020/07/27/buletin-informativ-27-07-2020/" TargetMode="External"/><Relationship Id="rId2648" Type="http://schemas.openxmlformats.org/officeDocument/2006/relationships/hyperlink" Target="http://www.ms.ro/2020/08/10/buletin-informativ-10-08-2020" TargetMode="External"/><Relationship Id="rId2855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3906" Type="http://schemas.openxmlformats.org/officeDocument/2006/relationships/hyperlink" Target="http://www.ms.ro/2020/08/21/buletin-informativ-21-08-2020" TargetMode="External"/><Relationship Id="rId96" Type="http://schemas.openxmlformats.org/officeDocument/2006/relationships/hyperlink" Target="http://www.ms.ro/2020/04/10/buletin-informativ-10-04-2020/" TargetMode="External"/><Relationship Id="rId827" Type="http://schemas.openxmlformats.org/officeDocument/2006/relationships/hyperlink" Target="http://www.ms.ro/2020/04/28/buletin-informativ-28-04-2020/" TargetMode="External"/><Relationship Id="rId1457" Type="http://schemas.openxmlformats.org/officeDocument/2006/relationships/hyperlink" Target="http://www.ms.ro/2020/07/22/buletin-informativ-22-07-2020/" TargetMode="External"/><Relationship Id="rId1664" Type="http://schemas.openxmlformats.org/officeDocument/2006/relationships/hyperlink" Target="https://stirioficiale.ro/informatii/buletin-de-presa-29-iulie-2020-ora-13-00" TargetMode="External"/><Relationship Id="rId1871" Type="http://schemas.openxmlformats.org/officeDocument/2006/relationships/hyperlink" Target="http://www.ms.ro/2020/08/01/buletin-informativ-01-08-2020/" TargetMode="External"/><Relationship Id="rId2508" Type="http://schemas.openxmlformats.org/officeDocument/2006/relationships/hyperlink" Target="http://www.ms.ro/2020/08/09/buletin-informativ-09-08-2020" TargetMode="External"/><Relationship Id="rId2715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2922" Type="http://schemas.openxmlformats.org/officeDocument/2006/relationships/hyperlink" Target="http://www.ms.ro/2020/08/13/buletin-informativ-13-08-2020" TargetMode="External"/><Relationship Id="rId4070" Type="http://schemas.openxmlformats.org/officeDocument/2006/relationships/hyperlink" Target="http://www.ms.ro/2020/08/24/buletin-informativ-24-08-2020" TargetMode="External"/><Relationship Id="rId1317" Type="http://schemas.openxmlformats.org/officeDocument/2006/relationships/hyperlink" Target="http://www.ms.ro/2020/06/19/buletin-informativ-19-06-2020/" TargetMode="External"/><Relationship Id="rId1524" Type="http://schemas.openxmlformats.org/officeDocument/2006/relationships/hyperlink" Target="https://stirioficiale.ro/informatii/buletin-de-presa-25-iulie-2020-ora-13-00" TargetMode="External"/><Relationship Id="rId1731" Type="http://schemas.openxmlformats.org/officeDocument/2006/relationships/hyperlink" Target="http://www.ms.ro/2020/07/30/buletin-informativ-30-07-2020/" TargetMode="External"/><Relationship Id="rId23" Type="http://schemas.openxmlformats.org/officeDocument/2006/relationships/hyperlink" Target="https://stirioficiale.ro/informatii/informare-de-presa-6-aprilie-2020-ora-3-24pm" TargetMode="External"/><Relationship Id="rId3489" Type="http://schemas.openxmlformats.org/officeDocument/2006/relationships/hyperlink" Target="https://www.ebihoreanul.ro/stiri/coronavirus-in-bihor-inca-doua-decese-si-45-de-cazuri-noi-vezi-din-ce-localitati-158277.html" TargetMode="External"/><Relationship Id="rId3696" Type="http://schemas.openxmlformats.org/officeDocument/2006/relationships/hyperlink" Target="http://www.ms.ro/2020/08/20/buletin-informativ-20-08-2020" TargetMode="External"/><Relationship Id="rId2298" Type="http://schemas.openxmlformats.org/officeDocument/2006/relationships/hyperlink" Target="http://www.ms.ro/2020/08/07/buletin-informativ-07-08-2020/" TargetMode="External"/><Relationship Id="rId3349" Type="http://schemas.openxmlformats.org/officeDocument/2006/relationships/hyperlink" Target="https://www.ebihoreanul.ro/stiri/dupa-doua-saptamani-numarul-imbolnavirilor-covid-scade-in-bihor-31-noi-infectari-dar-si-un-deces-158256.html" TargetMode="External"/><Relationship Id="rId3556" Type="http://schemas.openxmlformats.org/officeDocument/2006/relationships/hyperlink" Target="http://www.ms.ro/2020/08/19/buletin-informativ-19-08-2020" TargetMode="External"/><Relationship Id="rId477" Type="http://schemas.openxmlformats.org/officeDocument/2006/relationships/hyperlink" Target="https://stirioficiale.ro/informatii/buletin-de-presa-20-aprilie-2020-ora-13-00" TargetMode="External"/><Relationship Id="rId684" Type="http://schemas.openxmlformats.org/officeDocument/2006/relationships/hyperlink" Target="https://stirioficiale.ro/informatii/buletin-de-presa-24-aprilie-2020-ora-13-00" TargetMode="External"/><Relationship Id="rId2158" Type="http://schemas.openxmlformats.org/officeDocument/2006/relationships/hyperlink" Target="http://www.ms.ro/2020/08/05/buletin-informativ-05-08-2020/" TargetMode="External"/><Relationship Id="rId2365" Type="http://schemas.openxmlformats.org/officeDocument/2006/relationships/hyperlink" Target="https://www.ebihoreanul.ro/stiri/a-patra-zi-la-rand-cu-decese-covid-in-bihor-si-53-noi-imbolnaviri-in-ultimele-24-de-ore-158087.html" TargetMode="External"/><Relationship Id="rId3209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3763" Type="http://schemas.openxmlformats.org/officeDocument/2006/relationships/hyperlink" Target="https://www.ebihoreanul.ro/stiri/record-alarmant-in-bihor-inca-85-de-cazuri-noi-de-covid-si-inca-doua-decese-158311.html" TargetMode="External"/><Relationship Id="rId3970" Type="http://schemas.openxmlformats.org/officeDocument/2006/relationships/hyperlink" Target="http://www.ms.ro/2020/08/22/buletin-informativ-22-08-2020" TargetMode="External"/><Relationship Id="rId337" Type="http://schemas.openxmlformats.org/officeDocument/2006/relationships/hyperlink" Target="https://stirioficiale.ro/informatii/buletin-de-presa-14-aprilie-2020-ora-13-30" TargetMode="External"/><Relationship Id="rId891" Type="http://schemas.openxmlformats.org/officeDocument/2006/relationships/hyperlink" Target="http://www.ms.ro/2020/05/01/buletin-informativ-01-05-2020/" TargetMode="External"/><Relationship Id="rId2018" Type="http://schemas.openxmlformats.org/officeDocument/2006/relationships/hyperlink" Target="http://www.ms.ro/2020/08/03/buletin-informativ-03-08-2020/" TargetMode="External"/><Relationship Id="rId2572" Type="http://schemas.openxmlformats.org/officeDocument/2006/relationships/hyperlink" Target="http://www.ms.ro/2020/08/09/buletin-informativ-09-08-2020" TargetMode="External"/><Relationship Id="rId3416" Type="http://schemas.openxmlformats.org/officeDocument/2006/relationships/hyperlink" Target="http://www.ms.ro/2020/08/18/buletin-informativ-18-08-2020" TargetMode="External"/><Relationship Id="rId3623" Type="http://schemas.openxmlformats.org/officeDocument/2006/relationships/hyperlink" Target="https://www.ebihoreanul.ro/stiri/record-alarmant-in-bihor-inca-85-de-cazuri-noi-de-covid-si-inca-doua-decese-158311.html" TargetMode="External"/><Relationship Id="rId3830" Type="http://schemas.openxmlformats.org/officeDocument/2006/relationships/hyperlink" Target="http://www.ms.ro/2020/08/21/buletin-informativ-21-08-2020" TargetMode="External"/><Relationship Id="rId544" Type="http://schemas.openxmlformats.org/officeDocument/2006/relationships/hyperlink" Target="http://www.ms.ro/2020/04/21/buletin-informativ-21-04-2020/" TargetMode="External"/><Relationship Id="rId751" Type="http://schemas.openxmlformats.org/officeDocument/2006/relationships/hyperlink" Target="http://www.ms.ro/2020/04/27/buletin-informativ-27-04-2020/" TargetMode="External"/><Relationship Id="rId1174" Type="http://schemas.openxmlformats.org/officeDocument/2006/relationships/hyperlink" Target="http://www.ms.ro/2020/05/31/buletin-informativ-31-05-2020/" TargetMode="External"/><Relationship Id="rId1381" Type="http://schemas.openxmlformats.org/officeDocument/2006/relationships/hyperlink" Target="http://www.ms.ro/2020/07/05/buletin-informativ-05-07-2020/" TargetMode="External"/><Relationship Id="rId2225" Type="http://schemas.openxmlformats.org/officeDocument/2006/relationships/hyperlink" Target="https://www.ebihoreanul.ro/stiri/a-treia-zi-consecutiva-cu-decese-covid-in-bihor-si-inca-35-noi-imbolnaviri-raportate-oficial-pentru-ultimele-24-de-ore-158069.html" TargetMode="External"/><Relationship Id="rId2432" Type="http://schemas.openxmlformats.org/officeDocument/2006/relationships/hyperlink" Target="http://www.ms.ro/2020/08/08/buletin-informativ-08-08-2020" TargetMode="External"/><Relationship Id="rId404" Type="http://schemas.openxmlformats.org/officeDocument/2006/relationships/hyperlink" Target="http://www.ms.ro/2020/04/16/buletin-informativ-16-04-2020/" TargetMode="External"/><Relationship Id="rId611" Type="http://schemas.openxmlformats.org/officeDocument/2006/relationships/hyperlink" Target="http://www.ms.ro/2020/04/22/buletin-informativ-22-04-2020/" TargetMode="External"/><Relationship Id="rId1034" Type="http://schemas.openxmlformats.org/officeDocument/2006/relationships/hyperlink" Target="http://www.ms.ro/2020/05/19/buletin-informativ-19-05-2020/" TargetMode="External"/><Relationship Id="rId1241" Type="http://schemas.openxmlformats.org/officeDocument/2006/relationships/hyperlink" Target="https://stirioficiale.ro/informatii/buletin-de-presa-2-iunie-2020-ora-13-00" TargetMode="External"/><Relationship Id="rId1101" Type="http://schemas.openxmlformats.org/officeDocument/2006/relationships/hyperlink" Target="https://stirioficiale.ro/informatii/buletin-de-presa-26-mai-2020-ora-13-00" TargetMode="External"/><Relationship Id="rId3066" Type="http://schemas.openxmlformats.org/officeDocument/2006/relationships/hyperlink" Target="http://www.ms.ro/2020/08/14/buletin-informativ-14-08-2020" TargetMode="External"/><Relationship Id="rId3273" Type="http://schemas.openxmlformats.org/officeDocument/2006/relationships/hyperlink" Target="https://www.ebihoreanul.ro/stiri/coronavirus-in-bihor-inca-trei-decese-inregistrate-50-de-cazuri-noi-diagnosticate-nicio-persoana-vindecata-158239.html" TargetMode="External"/><Relationship Id="rId3480" Type="http://schemas.openxmlformats.org/officeDocument/2006/relationships/hyperlink" Target="http://www.ms.ro/2020/08/18/buletin-informativ-18-08-2020" TargetMode="External"/><Relationship Id="rId4117" Type="http://schemas.openxmlformats.org/officeDocument/2006/relationships/hyperlink" Target="https://www.ebihoreanul.ro/stiri/record-de-decese-covid-in-romania-58-intr-o-singura-zi-in-bihor-au-murit-3-oameni-iar-alti-37-au-fost-diagnosticati-aproape-100-de-pacienti-vindecati-158383.html" TargetMode="External"/><Relationship Id="rId194" Type="http://schemas.openxmlformats.org/officeDocument/2006/relationships/hyperlink" Target="https://stirioficiale.ro/informatii/buletin-de-presa-13-aprilie-2020-ora-13-59" TargetMode="External"/><Relationship Id="rId1918" Type="http://schemas.openxmlformats.org/officeDocument/2006/relationships/hyperlink" Target="https://stirioficiale.ro/informatii/buletin-de-presa-2-august-2020-ora-13-00" TargetMode="External"/><Relationship Id="rId2082" Type="http://schemas.openxmlformats.org/officeDocument/2006/relationships/hyperlink" Target="http://www.ms.ro/2020/08/03/buletin-informativ-03-08-2020/" TargetMode="External"/><Relationship Id="rId3133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261" Type="http://schemas.openxmlformats.org/officeDocument/2006/relationships/hyperlink" Target="http://www.ms.ro/2020/04/13/buletin-informativ-13-04-2020/" TargetMode="External"/><Relationship Id="rId3340" Type="http://schemas.openxmlformats.org/officeDocument/2006/relationships/hyperlink" Target="http://www.ms.ro/2020/08/16/buletin-informativ-16-08-2020" TargetMode="External"/><Relationship Id="rId2899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3200" Type="http://schemas.openxmlformats.org/officeDocument/2006/relationships/hyperlink" Target="http://www.ms.ro/2020/08/15/33355/" TargetMode="External"/><Relationship Id="rId121" Type="http://schemas.openxmlformats.org/officeDocument/2006/relationships/hyperlink" Target="http://www.ms.ro/2020/04/11/buletin-informativ-11-04-2020/" TargetMode="External"/><Relationship Id="rId2759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2966" Type="http://schemas.openxmlformats.org/officeDocument/2006/relationships/hyperlink" Target="http://www.ms.ro/2020/08/13/buletin-informativ-13-08-2020" TargetMode="External"/><Relationship Id="rId938" Type="http://schemas.openxmlformats.org/officeDocument/2006/relationships/hyperlink" Target="https://stirioficiale.ro/informatii/buletin-de-presa-3-mai-2020-ora-13-00" TargetMode="External"/><Relationship Id="rId1568" Type="http://schemas.openxmlformats.org/officeDocument/2006/relationships/hyperlink" Target="https://www.ebihoreanul.ro/stiri/inca-26-noi-cazuri-covid-depistate-in-bihor-intre-care-un-brancardier-si-o-asistenta-revenita-dupa-un-concediu-in-grecia-157871.html" TargetMode="External"/><Relationship Id="rId1775" Type="http://schemas.openxmlformats.org/officeDocument/2006/relationships/hyperlink" Target="http://www.ms.ro/2020/07/30/buletin-informativ-30-07-2020/" TargetMode="External"/><Relationship Id="rId2619" Type="http://schemas.openxmlformats.org/officeDocument/2006/relationships/hyperlink" Target="https://www.ebihoreanul.ro/stiri/nc-un-deces-i-37-de-noi-mbolnviri-de-covid-19-n-bihor-o-parte-a-spitalului-din-beiu-va-trata-bolnavi-cu-covid-din-cauza-cazurilor-multe-din-zon-158138.html" TargetMode="External"/><Relationship Id="rId2826" Type="http://schemas.openxmlformats.org/officeDocument/2006/relationships/hyperlink" Target="http://www.ms.ro/2020/08/12/buletin-informativ-12-08-2020" TargetMode="External"/><Relationship Id="rId4181" Type="http://schemas.openxmlformats.org/officeDocument/2006/relationships/hyperlink" Target="https://www.ebihoreanul.ro/stiri/record-de-decese-covid-in-romania-58-intr-o-singura-zi-in-bihor-au-murit-3-oameni-iar-alti-37-au-fost-diagnosticati-aproape-100-de-pacienti-vindecati-158383.html" TargetMode="External"/><Relationship Id="rId67" Type="http://schemas.openxmlformats.org/officeDocument/2006/relationships/hyperlink" Target="https://stirioficiale.ro/informatii/buletin-de-presa-7-aprilie-2020-ora-13-32" TargetMode="External"/><Relationship Id="rId1428" Type="http://schemas.openxmlformats.org/officeDocument/2006/relationships/hyperlink" Target="https://stirioficiale.ro/informatii/buletin-de-presa-16-iulie-2020-ora-13-00" TargetMode="External"/><Relationship Id="rId1635" Type="http://schemas.openxmlformats.org/officeDocument/2006/relationships/hyperlink" Target="http://www.ms.ro/2020/07/28/buletin-informativ-28-07-2020/" TargetMode="External"/><Relationship Id="rId1982" Type="http://schemas.openxmlformats.org/officeDocument/2006/relationships/hyperlink" Target="http://www.ms.ro/2020/08/03/buletin-informativ-03-08-2020/" TargetMode="External"/><Relationship Id="rId4041" Type="http://schemas.openxmlformats.org/officeDocument/2006/relationships/hyperlink" Target="https://www.ebihoreanul.ro/stiri/a-fost-depasit-pragul-de-2000-de-cazuri-covid-19diagnosticate-in-bihor-158350.html" TargetMode="External"/><Relationship Id="rId1842" Type="http://schemas.openxmlformats.org/officeDocument/2006/relationships/hyperlink" Target="https://www.ebihoreanul.ro/stiri/nou-record-covid-in-bihor-52-de-cazuri-noi-157971.html" TargetMode="External"/><Relationship Id="rId1702" Type="http://schemas.openxmlformats.org/officeDocument/2006/relationships/hyperlink" Target="https://stirioficiale.ro/informatii/buletin-de-presa-30-iulie-2020-ora-13-00" TargetMode="External"/><Relationship Id="rId3667" Type="http://schemas.openxmlformats.org/officeDocument/2006/relationships/hyperlink" Target="https://www.ebihoreanul.ro/stiri/record-alarmant-in-bihor-inca-85-de-cazuri-noi-de-covid-si-inca-doua-decese-158311.html" TargetMode="External"/><Relationship Id="rId3874" Type="http://schemas.openxmlformats.org/officeDocument/2006/relationships/hyperlink" Target="http://www.ms.ro/2020/08/21/buletin-informativ-21-08-2020" TargetMode="External"/><Relationship Id="rId588" Type="http://schemas.openxmlformats.org/officeDocument/2006/relationships/hyperlink" Target="https://stirioficiale.ro/informatii/buletin-de-presa-22-aprilie-2020-ora-13-48" TargetMode="External"/><Relationship Id="rId795" Type="http://schemas.openxmlformats.org/officeDocument/2006/relationships/hyperlink" Target="http://www.ms.ro/2020/04/27/buletin-informativ-27-04-2020/" TargetMode="External"/><Relationship Id="rId2269" Type="http://schemas.openxmlformats.org/officeDocument/2006/relationships/hyperlink" Target="https://www.ebihoreanul.ro/stiri/a-treia-zi-consecutiva-cu-decese-covid-in-bihor-si-inca-35-noi-imbolnaviri-raportate-oficial-pentru-ultimele-24-de-ore-158069.html" TargetMode="External"/><Relationship Id="rId2476" Type="http://schemas.openxmlformats.org/officeDocument/2006/relationships/hyperlink" Target="http://www.ms.ro/2020/08/08/buletin-informativ-08-08-2020" TargetMode="External"/><Relationship Id="rId2683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2890" Type="http://schemas.openxmlformats.org/officeDocument/2006/relationships/hyperlink" Target="http://www.ms.ro/2020/08/13/buletin-informativ-13-08-2020" TargetMode="External"/><Relationship Id="rId3527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3734" Type="http://schemas.openxmlformats.org/officeDocument/2006/relationships/hyperlink" Target="http://www.ms.ro/2020/08/20/buletin-informativ-20-08-2020" TargetMode="External"/><Relationship Id="rId3941" Type="http://schemas.openxmlformats.org/officeDocument/2006/relationships/hyperlink" Target="https://www.ebihoreanul.ro/stiri/niciun-deces-in-bihor-si-zeci-de-pacienti-covid-vindecati-dar-si-40-noi-imbolnaviri-inclusiv-angajati-ai-maternitatii-si-spitalului-militar-158339.html" TargetMode="External"/><Relationship Id="rId448" Type="http://schemas.openxmlformats.org/officeDocument/2006/relationships/hyperlink" Target="http://www.ms.ro/2020/04/20/buletin-informativ-20-04-2020/" TargetMode="External"/><Relationship Id="rId655" Type="http://schemas.openxmlformats.org/officeDocument/2006/relationships/hyperlink" Target="http://www.ms.ro/2020/04/23/buletin-informativ-23-04-2020/" TargetMode="External"/><Relationship Id="rId862" Type="http://schemas.openxmlformats.org/officeDocument/2006/relationships/hyperlink" Target="http://www.ms.ro/2020/04/29/buletin-informativ-29-04-2020/" TargetMode="External"/><Relationship Id="rId1078" Type="http://schemas.openxmlformats.org/officeDocument/2006/relationships/hyperlink" Target="https://stirioficiale.ro/informatii/buletin-de-presa-23-mai-2020-ora-13-00" TargetMode="External"/><Relationship Id="rId1285" Type="http://schemas.openxmlformats.org/officeDocument/2006/relationships/hyperlink" Target="http://www.ms.ro/2020/06/07/buletin-informativ-07-06-2020/" TargetMode="External"/><Relationship Id="rId1492" Type="http://schemas.openxmlformats.org/officeDocument/2006/relationships/hyperlink" Target="https://stirioficiale.ro/informatii/buletin-de-presa-23-iulie-2020-ora-13-00" TargetMode="External"/><Relationship Id="rId2129" Type="http://schemas.openxmlformats.org/officeDocument/2006/relationships/hyperlink" Target="https://www.ebihoreanul.ro/stiri/record-dupa-record-in-bihor-intr-o-singura-zi-3-morti-si-59-noi-imbolnaviri-cu-covid-158047.html" TargetMode="External"/><Relationship Id="rId2336" Type="http://schemas.openxmlformats.org/officeDocument/2006/relationships/hyperlink" Target="http://www.ms.ro/2020/08/07/buletin-informativ-07-08-2020/" TargetMode="External"/><Relationship Id="rId2543" Type="http://schemas.openxmlformats.org/officeDocument/2006/relationships/hyperlink" Target="https://stirioficiale.ro/informatii/buletin-de-presa-9-august-2020-ora-13-00" TargetMode="External"/><Relationship Id="rId2750" Type="http://schemas.openxmlformats.org/officeDocument/2006/relationships/hyperlink" Target="http://www.ms.ro/2020/08/11/buletin-informativ-11-08-2020" TargetMode="External"/><Relationship Id="rId3801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308" Type="http://schemas.openxmlformats.org/officeDocument/2006/relationships/hyperlink" Target="https://stirioficiale.ro/informatii/buletin-de-presa-13-aprilie-2020-ora-13-116" TargetMode="External"/><Relationship Id="rId515" Type="http://schemas.openxmlformats.org/officeDocument/2006/relationships/hyperlink" Target="https://stirioficiale.ro/informatii/buletin-de-presa-21-aprilie-2020-ora-13-33" TargetMode="External"/><Relationship Id="rId722" Type="http://schemas.openxmlformats.org/officeDocument/2006/relationships/hyperlink" Target="https://stirioficiale.ro/informatii/buletin-de-presa-27-aprilie-2020-ora-13-00" TargetMode="External"/><Relationship Id="rId1145" Type="http://schemas.openxmlformats.org/officeDocument/2006/relationships/hyperlink" Target="https://stirioficiale.ro/informatii/buletin-de-presa-29-mai-2020-ora-13-00" TargetMode="External"/><Relationship Id="rId1352" Type="http://schemas.openxmlformats.org/officeDocument/2006/relationships/hyperlink" Target="https://stirioficiale.ro/informatii/buletin-de-presa-5-iulie-2020-ora-13-00" TargetMode="External"/><Relationship Id="rId2403" Type="http://schemas.openxmlformats.org/officeDocument/2006/relationships/hyperlink" Target="https://stirioficiale.ro/informatii/buletin-de-presa-8-august-2020-ora-13-00" TargetMode="External"/><Relationship Id="rId1005" Type="http://schemas.openxmlformats.org/officeDocument/2006/relationships/hyperlink" Target="http://www.ms.ro/2020/05/16/buletin-informativ-16-05-2020/" TargetMode="External"/><Relationship Id="rId1212" Type="http://schemas.openxmlformats.org/officeDocument/2006/relationships/hyperlink" Target="http://www.ms.ro/2020/05/31/buletin-informativ-31-05-2020/" TargetMode="External"/><Relationship Id="rId2610" Type="http://schemas.openxmlformats.org/officeDocument/2006/relationships/hyperlink" Target="http://www.ms.ro/2020/08/10/buletin-informativ-10-08-2020" TargetMode="External"/><Relationship Id="rId3177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4228" Type="http://schemas.openxmlformats.org/officeDocument/2006/relationships/hyperlink" Target="http://www.ms.ro/2020/08/26/buletin-informativ-26-08-2020" TargetMode="External"/><Relationship Id="rId3037" Type="http://schemas.openxmlformats.org/officeDocument/2006/relationships/hyperlink" Target="https://www.ebihoreanul.ro/stiri/inca-56-de-cazuri-de-coronavirus-in-bihor-158211.html" TargetMode="External"/><Relationship Id="rId3384" Type="http://schemas.openxmlformats.org/officeDocument/2006/relationships/hyperlink" Target="http://www.ms.ro/2020/08/17/buletin-informativ-17-08-2020" TargetMode="External"/><Relationship Id="rId3591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2193" Type="http://schemas.openxmlformats.org/officeDocument/2006/relationships/hyperlink" Target="https://www.ebihoreanul.ro/stiri/record-dupa-record-in-bihor-intr-o-singura-zi-3-morti-si-59-noi-imbolnaviri-cu-covid-158047.html" TargetMode="External"/><Relationship Id="rId3244" Type="http://schemas.openxmlformats.org/officeDocument/2006/relationships/hyperlink" Target="http://www.ms.ro/2020/08/15/33355/" TargetMode="External"/><Relationship Id="rId3451" Type="http://schemas.openxmlformats.org/officeDocument/2006/relationships/hyperlink" Target="https://www.ebihoreanul.ro/stiri/coronavirus-in-bihor-inca-doua-decese-si-45-de-cazuri-noi-vezi-din-ce-localitati-158277.html" TargetMode="External"/><Relationship Id="rId165" Type="http://schemas.openxmlformats.org/officeDocument/2006/relationships/hyperlink" Target="http://www.ms.ro/2020/04/13/buletin-informativ-13-04-2020/" TargetMode="External"/><Relationship Id="rId372" Type="http://schemas.openxmlformats.org/officeDocument/2006/relationships/hyperlink" Target="http://www.ms.ro/2020/04/16/buletin-informativ-16-04-2020/" TargetMode="External"/><Relationship Id="rId2053" Type="http://schemas.openxmlformats.org/officeDocument/2006/relationships/hyperlink" Target="https://stirioficiale.ro/informatii/buletin-de-presa-3-august-2020-ora-13-00" TargetMode="External"/><Relationship Id="rId2260" Type="http://schemas.openxmlformats.org/officeDocument/2006/relationships/hyperlink" Target="http://www.ms.ro/2020/08/06/buletin-informativ-06-08-2020/" TargetMode="External"/><Relationship Id="rId3104" Type="http://schemas.openxmlformats.org/officeDocument/2006/relationships/hyperlink" Target="http://www.ms.ro/2020/08/14/buletin-informativ-14-08-2020" TargetMode="External"/><Relationship Id="rId3311" Type="http://schemas.openxmlformats.org/officeDocument/2006/relationships/hyperlink" Target="https://www.ebihoreanul.ro/stiri/coronavirus-in-bihor-inca-trei-decese-inregistrate-50-de-cazuri-noi-diagnosticate-nicio-persoana-vindecata-158239.html" TargetMode="External"/><Relationship Id="rId232" Type="http://schemas.openxmlformats.org/officeDocument/2006/relationships/hyperlink" Target="https://stirioficiale.ro/informatii/buletin-de-presa-13-aprilie-2020-ora-13-78" TargetMode="External"/><Relationship Id="rId2120" Type="http://schemas.openxmlformats.org/officeDocument/2006/relationships/hyperlink" Target="http://www.ms.ro/2020/08/05/buletin-informativ-05-08-2020/" TargetMode="External"/><Relationship Id="rId1679" Type="http://schemas.openxmlformats.org/officeDocument/2006/relationships/hyperlink" Target="http://www.ms.ro/2020/07/29/buletin-informativ-29-07-2020/" TargetMode="External"/><Relationship Id="rId4085" Type="http://schemas.openxmlformats.org/officeDocument/2006/relationships/hyperlink" Target="https://www.ebihoreanul.ro/stiri/inca-trei-decese-ale-unor-pacienti-infectati-cu-covid-19-in-bihor-cazuri-noi-de-imbolnavire-dar-si-multe-vindecari-158365.html" TargetMode="External"/><Relationship Id="rId1886" Type="http://schemas.openxmlformats.org/officeDocument/2006/relationships/hyperlink" Target="https://stirioficiale.ro/informatii/informare-de-presa-01-august-2020" TargetMode="External"/><Relationship Id="rId2937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4152" Type="http://schemas.openxmlformats.org/officeDocument/2006/relationships/hyperlink" Target="http://www.ms.ro/2020/08/25/buletin-informativ-25-08-2020" TargetMode="External"/><Relationship Id="rId909" Type="http://schemas.openxmlformats.org/officeDocument/2006/relationships/hyperlink" Target="http://www.ms.ro/2020/05/01/buletin-informativ-01-05-2020/" TargetMode="External"/><Relationship Id="rId1539" Type="http://schemas.openxmlformats.org/officeDocument/2006/relationships/hyperlink" Target="http://www.ms.ro/2020/07/25/buletin-informativ-25-07-2020/" TargetMode="External"/><Relationship Id="rId1746" Type="http://schemas.openxmlformats.org/officeDocument/2006/relationships/hyperlink" Target="https://stirioficiale.ro/informatii/buletin-de-presa-30-iulie-2020-ora-13-00" TargetMode="External"/><Relationship Id="rId1953" Type="http://schemas.openxmlformats.org/officeDocument/2006/relationships/hyperlink" Target="http://www.ms.ro/2020/08/02/buletin-informativ-02-08-2020/" TargetMode="External"/><Relationship Id="rId38" Type="http://schemas.openxmlformats.org/officeDocument/2006/relationships/hyperlink" Target="https://stirioficiale.ro/informatii/buletin-de-presa-2-aprilie-2020-ora-13-01" TargetMode="External"/><Relationship Id="rId1606" Type="http://schemas.openxmlformats.org/officeDocument/2006/relationships/hyperlink" Target="https://www.ebihoreanul.ro/stiri/inca-26-noi-cazuri-covid-depistate-in-bihor-intre-care-un-brancardier-si-o-asistenta-revenita-dupa-un-concediu-in-grecia-157871.html" TargetMode="External"/><Relationship Id="rId1813" Type="http://schemas.openxmlformats.org/officeDocument/2006/relationships/hyperlink" Target="http://www.ms.ro/2020/07/31/buletin-informativ-31-07-2020/" TargetMode="External"/><Relationship Id="rId4012" Type="http://schemas.openxmlformats.org/officeDocument/2006/relationships/hyperlink" Target="http://www.ms.ro/2020/08/23/buletin-informativ-23-08-2020" TargetMode="External"/><Relationship Id="rId3778" Type="http://schemas.openxmlformats.org/officeDocument/2006/relationships/hyperlink" Target="http://www.ms.ro/2020/08/20/buletin-informativ-20-08-2020" TargetMode="External"/><Relationship Id="rId3985" Type="http://schemas.openxmlformats.org/officeDocument/2006/relationships/hyperlink" Target="https://www.ebihoreanul.ro/stiri/niciun-deces-in-bihor-si-zeci-de-pacienti-covid-vindecati-dar-si-40-noi-imbolnaviri-inclusiv-angajati-ai-maternitatii-si-spitalului-militar-158339.html" TargetMode="External"/><Relationship Id="rId699" Type="http://schemas.openxmlformats.org/officeDocument/2006/relationships/hyperlink" Target="http://www.ms.ro/2020/04/26/buletin-informativ-26-04-2020/" TargetMode="External"/><Relationship Id="rId2587" Type="http://schemas.openxmlformats.org/officeDocument/2006/relationships/hyperlink" Target="https://stirioficiale.ro/informatii/buletin-de-presa-9-august-2020-ora-13-00" TargetMode="External"/><Relationship Id="rId2794" Type="http://schemas.openxmlformats.org/officeDocument/2006/relationships/hyperlink" Target="http://www.ms.ro/2020/08/12/buletin-informativ-12-08-2020" TargetMode="External"/><Relationship Id="rId3638" Type="http://schemas.openxmlformats.org/officeDocument/2006/relationships/hyperlink" Target="http://www.ms.ro/2020/08/20/buletin-informativ-20-08-2020" TargetMode="External"/><Relationship Id="rId3845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559" Type="http://schemas.openxmlformats.org/officeDocument/2006/relationships/hyperlink" Target="http://www.ms.ro/2020/04/22/buletin-informativ-22-04-2020/" TargetMode="External"/><Relationship Id="rId766" Type="http://schemas.openxmlformats.org/officeDocument/2006/relationships/hyperlink" Target="https://stirioficiale.ro/informatii/buletin-de-presa-27-aprilie-2020-ora-13-00" TargetMode="External"/><Relationship Id="rId1189" Type="http://schemas.openxmlformats.org/officeDocument/2006/relationships/hyperlink" Target="https://www.bihon.ro/stirile-judetului-bihor/rezultatul-testarii-la-plexus-21-de-angajati-pozitivi-covid-19-iata-ce-masuri-ia-compania-americana-2295625/" TargetMode="External"/><Relationship Id="rId1396" Type="http://schemas.openxmlformats.org/officeDocument/2006/relationships/hyperlink" Target="https://stirioficiale.ro/informatii/buletin-de-presa-9-iulie-2020-ora-13-00" TargetMode="External"/><Relationship Id="rId2447" Type="http://schemas.openxmlformats.org/officeDocument/2006/relationships/hyperlink" Target="https://stirioficiale.ro/informatii/buletin-de-presa-8-august-2020-ora-13-00" TargetMode="External"/><Relationship Id="rId419" Type="http://schemas.openxmlformats.org/officeDocument/2006/relationships/hyperlink" Target="https://stirioficiale.ro/informatii/buletin-de-presa-18-aprilie-2020-ora-13-47" TargetMode="External"/><Relationship Id="rId626" Type="http://schemas.openxmlformats.org/officeDocument/2006/relationships/hyperlink" Target="https://stirioficiale.ro/informatii/buletin-de-presa-22-aprilie-2020-ora-13-67" TargetMode="External"/><Relationship Id="rId973" Type="http://schemas.openxmlformats.org/officeDocument/2006/relationships/hyperlink" Target="https://www.bihon.ro/stirile-judetului-bihor/angajati-confirmati-cu-coronavirus-in-parcul-industrial-de-pe-borsului-2284463/" TargetMode="External"/><Relationship Id="rId1049" Type="http://schemas.openxmlformats.org/officeDocument/2006/relationships/hyperlink" Target="https://stirioficiale.ro/informatii/buletin-de-presa-21-mai-2020-ora-13-00" TargetMode="External"/><Relationship Id="rId1256" Type="http://schemas.openxmlformats.org/officeDocument/2006/relationships/hyperlink" Target="https://stirioficiale.ro/informatii/buletin-de-presa-4-iunie-2020-ora-13-00" TargetMode="External"/><Relationship Id="rId2307" Type="http://schemas.openxmlformats.org/officeDocument/2006/relationships/hyperlink" Target="https://www.ebihoreanul.ro/stiri/a-patra-zi-la-rand-cu-decese-covid-in-bihor-si-53-noi-imbolnaviri-in-ultimele-24-de-ore-158087.html" TargetMode="External"/><Relationship Id="rId2654" Type="http://schemas.openxmlformats.org/officeDocument/2006/relationships/hyperlink" Target="http://www.ms.ro/2020/08/10/buletin-informativ-10-08-2020" TargetMode="External"/><Relationship Id="rId2861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3705" Type="http://schemas.openxmlformats.org/officeDocument/2006/relationships/hyperlink" Target="https://www.ebihoreanul.ro/stiri/record-alarmant-in-bihor-inca-85-de-cazuri-noi-de-covid-si-inca-doua-decese-158311.html" TargetMode="External"/><Relationship Id="rId3912" Type="http://schemas.openxmlformats.org/officeDocument/2006/relationships/hyperlink" Target="http://www.ms.ro/2020/08/21/buletin-informativ-21-08-2020" TargetMode="External"/><Relationship Id="rId833" Type="http://schemas.openxmlformats.org/officeDocument/2006/relationships/hyperlink" Target="http://www.ms.ro/2020/04/28/buletin-informativ-28-04-2020/" TargetMode="External"/><Relationship Id="rId1116" Type="http://schemas.openxmlformats.org/officeDocument/2006/relationships/hyperlink" Target="http://www.ms.ro/2020/05/27/buletin-informativ-26-05-2020-2/" TargetMode="External"/><Relationship Id="rId1463" Type="http://schemas.openxmlformats.org/officeDocument/2006/relationships/hyperlink" Target="http://www.ms.ro/2020/07/22/buletin-informativ-22-07-2020/" TargetMode="External"/><Relationship Id="rId1670" Type="http://schemas.openxmlformats.org/officeDocument/2006/relationships/hyperlink" Target="https://stirioficiale.ro/informatii/buletin-de-presa-29-iulie-2020-ora-13-00" TargetMode="External"/><Relationship Id="rId2514" Type="http://schemas.openxmlformats.org/officeDocument/2006/relationships/hyperlink" Target="http://www.ms.ro/2020/08/09/buletin-informativ-09-08-2020" TargetMode="External"/><Relationship Id="rId2721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900" Type="http://schemas.openxmlformats.org/officeDocument/2006/relationships/hyperlink" Target="http://www.ms.ro/2020/05/01/buletin-informativ-01-05-2020/" TargetMode="External"/><Relationship Id="rId1323" Type="http://schemas.openxmlformats.org/officeDocument/2006/relationships/hyperlink" Target="http://www.ms.ro/2020/06/23/buletin-informativ-23-06-2020/" TargetMode="External"/><Relationship Id="rId1530" Type="http://schemas.openxmlformats.org/officeDocument/2006/relationships/hyperlink" Target="https://stirioficiale.ro/informatii/buletin-de-presa-25-iulie-2020-ora-13-00" TargetMode="External"/><Relationship Id="rId3288" Type="http://schemas.openxmlformats.org/officeDocument/2006/relationships/hyperlink" Target="http://www.ms.ro/2020/08/16/buletin-informativ-16-08-2020" TargetMode="External"/><Relationship Id="rId3495" Type="http://schemas.openxmlformats.org/officeDocument/2006/relationships/hyperlink" Target="https://www.ebihoreanul.ro/stiri/coronavirus-in-bihor-inca-doua-decese-si-45-de-cazuri-noi-vezi-din-ce-localitati-158277.html" TargetMode="External"/><Relationship Id="rId2097" Type="http://schemas.openxmlformats.org/officeDocument/2006/relationships/hyperlink" Target="https://stirioficiale.ro/informatii/buletin-de-presa-4-august-2020-ora-13-00" TargetMode="External"/><Relationship Id="rId3148" Type="http://schemas.openxmlformats.org/officeDocument/2006/relationships/hyperlink" Target="http://www.ms.ro/2020/08/15/33355/" TargetMode="External"/><Relationship Id="rId3355" Type="http://schemas.openxmlformats.org/officeDocument/2006/relationships/hyperlink" Target="https://www.ebihoreanul.ro/stiri/dupa-doua-saptamani-numarul-imbolnavirilor-covid-scade-in-bihor-31-noi-infectari-dar-si-un-deces-158256.html" TargetMode="External"/><Relationship Id="rId3562" Type="http://schemas.openxmlformats.org/officeDocument/2006/relationships/hyperlink" Target="http://www.ms.ro/2020/08/19/buletin-informativ-19-08-2020" TargetMode="External"/><Relationship Id="rId276" Type="http://schemas.openxmlformats.org/officeDocument/2006/relationships/hyperlink" Target="https://stirioficiale.ro/informatii/buletin-de-presa-13-aprilie-2020-ora-13-100" TargetMode="External"/><Relationship Id="rId483" Type="http://schemas.openxmlformats.org/officeDocument/2006/relationships/hyperlink" Target="https://stirioficiale.ro/informatii/buletin-de-presa-20-aprilie-2020-ora-13-00" TargetMode="External"/><Relationship Id="rId690" Type="http://schemas.openxmlformats.org/officeDocument/2006/relationships/hyperlink" Target="https://stirioficiale.ro/informatii/buletin-de-presa-25-aprilie-2020-ora-13-00" TargetMode="External"/><Relationship Id="rId2164" Type="http://schemas.openxmlformats.org/officeDocument/2006/relationships/hyperlink" Target="http://www.ms.ro/2020/08/05/buletin-informativ-05-08-2020/" TargetMode="External"/><Relationship Id="rId2371" Type="http://schemas.openxmlformats.org/officeDocument/2006/relationships/hyperlink" Target="https://www.ebihoreanul.ro/stiri/a-patra-zi-la-rand-cu-decese-covid-in-bihor-si-53-noi-imbolnaviri-in-ultimele-24-de-ore-158087.html" TargetMode="External"/><Relationship Id="rId3008" Type="http://schemas.openxmlformats.org/officeDocument/2006/relationships/hyperlink" Target="http://www.ms.ro/2020/08/13/buletin-informativ-13-08-2020" TargetMode="External"/><Relationship Id="rId3215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3422" Type="http://schemas.openxmlformats.org/officeDocument/2006/relationships/hyperlink" Target="http://www.ms.ro/2020/08/18/buletin-informativ-18-08-2020" TargetMode="External"/><Relationship Id="rId136" Type="http://schemas.openxmlformats.org/officeDocument/2006/relationships/hyperlink" Target="https://stirioficiale.ro/informatii/buletin-de-presa-13-aprilie-2020-ora-13-30" TargetMode="External"/><Relationship Id="rId343" Type="http://schemas.openxmlformats.org/officeDocument/2006/relationships/hyperlink" Target="https://stirioficiale.ro/informatii/buletin-de-presa-14-aprilie-2020-ora-13-33" TargetMode="External"/><Relationship Id="rId550" Type="http://schemas.openxmlformats.org/officeDocument/2006/relationships/hyperlink" Target="http://www.ms.ro/2020/04/21/buletin-informativ-21-04-2020/" TargetMode="External"/><Relationship Id="rId1180" Type="http://schemas.openxmlformats.org/officeDocument/2006/relationships/hyperlink" Target="http://www.ms.ro/2020/05/31/buletin-informativ-31-05-2020/" TargetMode="External"/><Relationship Id="rId2024" Type="http://schemas.openxmlformats.org/officeDocument/2006/relationships/hyperlink" Target="http://www.ms.ro/2020/08/03/buletin-informativ-03-08-2020/" TargetMode="External"/><Relationship Id="rId2231" Type="http://schemas.openxmlformats.org/officeDocument/2006/relationships/hyperlink" Target="https://www.ebihoreanul.ro/stiri/a-treia-zi-consecutiva-cu-decese-covid-in-bihor-si-inca-35-noi-imbolnaviri-raportate-oficial-pentru-ultimele-24-de-ore-158069.html" TargetMode="External"/><Relationship Id="rId203" Type="http://schemas.openxmlformats.org/officeDocument/2006/relationships/hyperlink" Target="http://www.ms.ro/2020/04/13/buletin-informativ-13-04-2020/" TargetMode="External"/><Relationship Id="rId1040" Type="http://schemas.openxmlformats.org/officeDocument/2006/relationships/hyperlink" Target="http://www.ms.ro/2020/05/19/buletin-informativ-19-05-2020/" TargetMode="External"/><Relationship Id="rId4196" Type="http://schemas.openxmlformats.org/officeDocument/2006/relationships/hyperlink" Target="http://www.ms.ro/2020/08/26/buletin-informativ-26-08-2020" TargetMode="External"/><Relationship Id="rId410" Type="http://schemas.openxmlformats.org/officeDocument/2006/relationships/hyperlink" Target="http://www.ms.ro/2020/04/17/buletin-informativ-17-04-2020/" TargetMode="External"/><Relationship Id="rId1997" Type="http://schemas.openxmlformats.org/officeDocument/2006/relationships/hyperlink" Target="http://www.ms.ro/2020/08/03/buletin-informativ-03-08-2020/" TargetMode="External"/><Relationship Id="rId4056" Type="http://schemas.openxmlformats.org/officeDocument/2006/relationships/hyperlink" Target="http://www.ms.ro/2020/08/24/buletin-informativ-24-08-2020" TargetMode="External"/><Relationship Id="rId1857" Type="http://schemas.openxmlformats.org/officeDocument/2006/relationships/hyperlink" Target="http://www.ms.ro/2020/08/01/buletin-informativ-01-08-2020/" TargetMode="External"/><Relationship Id="rId2908" Type="http://schemas.openxmlformats.org/officeDocument/2006/relationships/hyperlink" Target="http://www.ms.ro/2020/08/13/buletin-informativ-13-08-2020" TargetMode="External"/><Relationship Id="rId1717" Type="http://schemas.openxmlformats.org/officeDocument/2006/relationships/hyperlink" Target="http://www.ms.ro/2020/07/30/buletin-informativ-30-07-2020/" TargetMode="External"/><Relationship Id="rId1924" Type="http://schemas.openxmlformats.org/officeDocument/2006/relationships/hyperlink" Target="https://stirioficiale.ro/informatii/buletin-de-presa-2-august-2020-ora-13-00" TargetMode="External"/><Relationship Id="rId3072" Type="http://schemas.openxmlformats.org/officeDocument/2006/relationships/hyperlink" Target="http://www.ms.ro/2020/08/14/buletin-informativ-14-08-2020" TargetMode="External"/><Relationship Id="rId4123" Type="http://schemas.openxmlformats.org/officeDocument/2006/relationships/hyperlink" Target="https://www.ebihoreanul.ro/stiri/record-de-decese-covid-in-romania-58-intr-o-singura-zi-in-bihor-au-murit-3-oameni-iar-alti-37-au-fost-diagnosticati-aproape-100-de-pacienti-vindecati-158383.html" TargetMode="External"/><Relationship Id="rId3889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2698" Type="http://schemas.openxmlformats.org/officeDocument/2006/relationships/hyperlink" Target="http://www.ms.ro/2020/08/11/buletin-informativ-11-08-2020" TargetMode="External"/><Relationship Id="rId3749" Type="http://schemas.openxmlformats.org/officeDocument/2006/relationships/hyperlink" Target="https://www.ebihoreanul.ro/stiri/record-alarmant-in-bihor-inca-85-de-cazuri-noi-de-covid-si-inca-doua-decese-158311.html" TargetMode="External"/><Relationship Id="rId3956" Type="http://schemas.openxmlformats.org/officeDocument/2006/relationships/hyperlink" Target="http://www.ms.ro/2020/08/22/buletin-informativ-22-08-2020" TargetMode="External"/><Relationship Id="rId877" Type="http://schemas.openxmlformats.org/officeDocument/2006/relationships/hyperlink" Target="http://www.ms.ro/2020/04/30/buletin-informativ-30-04-2020/" TargetMode="External"/><Relationship Id="rId2558" Type="http://schemas.openxmlformats.org/officeDocument/2006/relationships/hyperlink" Target="http://www.ms.ro/2020/08/09/buletin-informativ-09-08-2020" TargetMode="External"/><Relationship Id="rId2765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2972" Type="http://schemas.openxmlformats.org/officeDocument/2006/relationships/hyperlink" Target="http://www.ms.ro/2020/08/13/buletin-informativ-13-08-2020" TargetMode="External"/><Relationship Id="rId3609" Type="http://schemas.openxmlformats.org/officeDocument/2006/relationships/hyperlink" Target="https://www.ebihoreanul.ro/stiri/record-alarmant-in-bihor-inca-85-de-cazuri-noi-de-covid-si-inca-doua-decese-158311.html" TargetMode="External"/><Relationship Id="rId3816" Type="http://schemas.openxmlformats.org/officeDocument/2006/relationships/hyperlink" Target="http://www.ms.ro/2020/08/21/buletin-informativ-21-08-2020" TargetMode="External"/><Relationship Id="rId737" Type="http://schemas.openxmlformats.org/officeDocument/2006/relationships/hyperlink" Target="http://www.ms.ro/2020/04/27/buletin-informativ-27-04-2020/" TargetMode="External"/><Relationship Id="rId944" Type="http://schemas.openxmlformats.org/officeDocument/2006/relationships/hyperlink" Target="https://stirioficiale.ro/informatii/buletin-de-presa-5-mai-2020-ora-13-00" TargetMode="External"/><Relationship Id="rId1367" Type="http://schemas.openxmlformats.org/officeDocument/2006/relationships/hyperlink" Target="http://www.ms.ro/2020/07/05/buletin-informativ-05-07-2020/" TargetMode="External"/><Relationship Id="rId1574" Type="http://schemas.openxmlformats.org/officeDocument/2006/relationships/hyperlink" Target="https://www.ebihoreanul.ro/stiri/inca-26-noi-cazuri-covid-depistate-in-bihor-intre-care-un-brancardier-si-o-asistenta-revenita-dupa-un-concediu-in-grecia-157871.html" TargetMode="External"/><Relationship Id="rId1781" Type="http://schemas.openxmlformats.org/officeDocument/2006/relationships/hyperlink" Target="http://www.ms.ro/2020/07/30/buletin-informativ-30-07-2020/" TargetMode="External"/><Relationship Id="rId2418" Type="http://schemas.openxmlformats.org/officeDocument/2006/relationships/hyperlink" Target="http://www.ms.ro/2020/08/08/buletin-informativ-08-08-2020" TargetMode="External"/><Relationship Id="rId2625" Type="http://schemas.openxmlformats.org/officeDocument/2006/relationships/hyperlink" Target="https://www.ebihoreanul.ro/stiri/nc-un-deces-i-37-de-noi-mbolnviri-de-covid-19-n-bihor-o-parte-a-spitalului-din-beiu-va-trata-bolnavi-cu-covid-din-cauza-cazurilor-multe-din-zon-158138.html" TargetMode="External"/><Relationship Id="rId2832" Type="http://schemas.openxmlformats.org/officeDocument/2006/relationships/hyperlink" Target="http://www.ms.ro/2020/08/12/buletin-informativ-12-08-2020" TargetMode="External"/><Relationship Id="rId73" Type="http://schemas.openxmlformats.org/officeDocument/2006/relationships/hyperlink" Target="https://stirioficiale.ro/informatii/buletin-de-presa-8-aprilie-2020-ora-13-39" TargetMode="External"/><Relationship Id="rId804" Type="http://schemas.openxmlformats.org/officeDocument/2006/relationships/hyperlink" Target="https://stirioficiale.ro/informatii/buletin-de-presa-28-aprilie-2020-ora-13-00" TargetMode="External"/><Relationship Id="rId1227" Type="http://schemas.openxmlformats.org/officeDocument/2006/relationships/hyperlink" Target="https://stirioficiale.ro/informatii/buletin-de-presa-2-iunie-2020-ora-13-00" TargetMode="External"/><Relationship Id="rId1434" Type="http://schemas.openxmlformats.org/officeDocument/2006/relationships/hyperlink" Target="https://www.ebihoreanul.ro/stiri/un-nou-caz-covid-in-bihor-o-asistenta-la-sectia-ati-a-spitalului-judetean-revenita-din-concediu-157712.html" TargetMode="External"/><Relationship Id="rId1641" Type="http://schemas.openxmlformats.org/officeDocument/2006/relationships/hyperlink" Target="http://www.ms.ro/2020/07/28/buletin-informativ-28-07-2020/" TargetMode="External"/><Relationship Id="rId1501" Type="http://schemas.openxmlformats.org/officeDocument/2006/relationships/hyperlink" Target="http://www.ms.ro/2020/07/23/buletin-informativ-23-07-2020/" TargetMode="External"/><Relationship Id="rId3399" Type="http://schemas.openxmlformats.org/officeDocument/2006/relationships/hyperlink" Target="https://www.ebihoreanul.ro/stiri/dupa-doua-saptamani-numarul-imbolnavirilor-covid-scade-in-bihor-31-noi-infectari-dar-si-un-deces-158256.html" TargetMode="External"/><Relationship Id="rId3259" Type="http://schemas.openxmlformats.org/officeDocument/2006/relationships/hyperlink" Target="https://www.ebihoreanul.ro/stiri/coronavirus-in-bihor-inca-trei-decese-inregistrate-50-de-cazuri-noi-diagnosticate-nicio-persoana-vindecata-158239.html" TargetMode="External"/><Relationship Id="rId3466" Type="http://schemas.openxmlformats.org/officeDocument/2006/relationships/hyperlink" Target="http://www.ms.ro/2020/08/18/buletin-informativ-18-08-2020" TargetMode="External"/><Relationship Id="rId387" Type="http://schemas.openxmlformats.org/officeDocument/2006/relationships/hyperlink" Target="https://stirioficiale.ro/informatii/buletin-de-presa-16-aprilie-2020-ora-13-65" TargetMode="External"/><Relationship Id="rId594" Type="http://schemas.openxmlformats.org/officeDocument/2006/relationships/hyperlink" Target="https://stirioficiale.ro/informatii/buletin-de-presa-22-aprilie-2020-ora-13-51" TargetMode="External"/><Relationship Id="rId2068" Type="http://schemas.openxmlformats.org/officeDocument/2006/relationships/hyperlink" Target="http://www.ms.ro/2020/08/03/buletin-informativ-03-08-2020/" TargetMode="External"/><Relationship Id="rId2275" Type="http://schemas.openxmlformats.org/officeDocument/2006/relationships/hyperlink" Target="https://www.ebihoreanul.ro/stiri/a-treia-zi-consecutiva-cu-decese-covid-in-bihor-si-inca-35-noi-imbolnaviri-raportate-oficial-pentru-ultimele-24-de-ore-158069.html" TargetMode="External"/><Relationship Id="rId3119" Type="http://schemas.openxmlformats.org/officeDocument/2006/relationships/hyperlink" Target="https://www.ebihoreanul.ro/stiri/inca-56-de-cazuri-de-coronavirus-in-bihor-158211.html" TargetMode="External"/><Relationship Id="rId3326" Type="http://schemas.openxmlformats.org/officeDocument/2006/relationships/hyperlink" Target="http://www.ms.ro/2020/08/16/buletin-informativ-16-08-2020" TargetMode="External"/><Relationship Id="rId3673" Type="http://schemas.openxmlformats.org/officeDocument/2006/relationships/hyperlink" Target="https://www.ebihoreanul.ro/stiri/record-alarmant-in-bihor-inca-85-de-cazuri-noi-de-covid-si-inca-doua-decese-158311.html" TargetMode="External"/><Relationship Id="rId3880" Type="http://schemas.openxmlformats.org/officeDocument/2006/relationships/hyperlink" Target="http://www.ms.ro/2020/08/21/buletin-informativ-21-08-2020" TargetMode="External"/><Relationship Id="rId247" Type="http://schemas.openxmlformats.org/officeDocument/2006/relationships/hyperlink" Target="http://www.ms.ro/2020/04/13/buletin-informativ-13-04-2020/" TargetMode="External"/><Relationship Id="rId1084" Type="http://schemas.openxmlformats.org/officeDocument/2006/relationships/hyperlink" Target="https://stirioficiale.ro/informatii/buletin-de-presa-23-mai-2020-ora-13-00" TargetMode="External"/><Relationship Id="rId2482" Type="http://schemas.openxmlformats.org/officeDocument/2006/relationships/hyperlink" Target="http://www.ms.ro/2020/08/08/buletin-informativ-08-08-2020" TargetMode="External"/><Relationship Id="rId3533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3740" Type="http://schemas.openxmlformats.org/officeDocument/2006/relationships/hyperlink" Target="http://www.ms.ro/2020/08/20/buletin-informativ-20-08-2020" TargetMode="External"/><Relationship Id="rId107" Type="http://schemas.openxmlformats.org/officeDocument/2006/relationships/hyperlink" Target="http://www.ms.ro/2020/04/11/buletin-informativ-11-04-2020/" TargetMode="External"/><Relationship Id="rId454" Type="http://schemas.openxmlformats.org/officeDocument/2006/relationships/hyperlink" Target="http://www.ms.ro/2020/04/20/buletin-informativ-20-04-2020/" TargetMode="External"/><Relationship Id="rId661" Type="http://schemas.openxmlformats.org/officeDocument/2006/relationships/hyperlink" Target="http://www.ms.ro/2020/04/23/buletin-informativ-23-04-2020/" TargetMode="External"/><Relationship Id="rId1291" Type="http://schemas.openxmlformats.org/officeDocument/2006/relationships/hyperlink" Target="http://www.ms.ro/2020/06/11/buletin-informativ-11-06-2020/" TargetMode="External"/><Relationship Id="rId2135" Type="http://schemas.openxmlformats.org/officeDocument/2006/relationships/hyperlink" Target="https://www.ebihoreanul.ro/stiri/record-dupa-record-in-bihor-intr-o-singura-zi-3-morti-si-59-noi-imbolnaviri-cu-covid-158047.html" TargetMode="External"/><Relationship Id="rId2342" Type="http://schemas.openxmlformats.org/officeDocument/2006/relationships/hyperlink" Target="http://www.ms.ro/2020/08/07/buletin-informativ-07-08-2020/" TargetMode="External"/><Relationship Id="rId3600" Type="http://schemas.openxmlformats.org/officeDocument/2006/relationships/hyperlink" Target="http://www.ms.ro/2020/08/19/buletin-informativ-19-08-2020" TargetMode="External"/><Relationship Id="rId314" Type="http://schemas.openxmlformats.org/officeDocument/2006/relationships/hyperlink" Target="https://stirioficiale.ro/informatii/buletin-de-presa-13-aprilie-2020-ora-13-119" TargetMode="External"/><Relationship Id="rId521" Type="http://schemas.openxmlformats.org/officeDocument/2006/relationships/hyperlink" Target="https://stirioficiale.ro/informatii/buletin-de-presa-21-aprilie-2020-ora-13-36" TargetMode="External"/><Relationship Id="rId1151" Type="http://schemas.openxmlformats.org/officeDocument/2006/relationships/hyperlink" Target="https://stirioficiale.ro/informatii/buletin-de-presa-29-mai-2020-ora-13-00" TargetMode="External"/><Relationship Id="rId2202" Type="http://schemas.openxmlformats.org/officeDocument/2006/relationships/hyperlink" Target="http://www.ms.ro/2020/08/05/buletin-informativ-05-08-2020/" TargetMode="External"/><Relationship Id="rId1011" Type="http://schemas.openxmlformats.org/officeDocument/2006/relationships/hyperlink" Target="http://www.ms.ro/2020/05/18/buletin-informativ-18-05-2020/" TargetMode="External"/><Relationship Id="rId1968" Type="http://schemas.openxmlformats.org/officeDocument/2006/relationships/hyperlink" Target="https://www.ebihoreanul.ro/stiri/inca-50-de-cazuri-de-covid-19-in-bihor-in-urma-testelor-facute-duminica-157998.html" TargetMode="External"/><Relationship Id="rId4167" Type="http://schemas.openxmlformats.org/officeDocument/2006/relationships/hyperlink" Target="https://www.ebihoreanul.ro/stiri/record-de-decese-covid-in-romania-58-intr-o-singura-zi-in-bihor-au-murit-3-oameni-iar-alti-37-au-fost-diagnosticati-aproape-100-de-pacienti-vindecati-158383.html" TargetMode="External"/><Relationship Id="rId3183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3390" Type="http://schemas.openxmlformats.org/officeDocument/2006/relationships/hyperlink" Target="http://www.ms.ro/2020/08/17/buletin-informativ-17-08-2020" TargetMode="External"/><Relationship Id="rId4027" Type="http://schemas.openxmlformats.org/officeDocument/2006/relationships/hyperlink" Target="https://www.ebihoreanul.ro/stiri/a-fost-depasit-pragul-de-2000-de-cazuri-covid-19diagnosticate-in-bihor-158350.html" TargetMode="External"/><Relationship Id="rId4234" Type="http://schemas.openxmlformats.org/officeDocument/2006/relationships/hyperlink" Target="http://www.ms.ro/2020/08/26/buletin-informativ-26-08-2020" TargetMode="External"/><Relationship Id="rId1828" Type="http://schemas.openxmlformats.org/officeDocument/2006/relationships/hyperlink" Target="https://stirioficiale.ro/informatii/buletin-de-presa-31-iulie-2020-ora-13-00" TargetMode="External"/><Relationship Id="rId3043" Type="http://schemas.openxmlformats.org/officeDocument/2006/relationships/hyperlink" Target="https://www.ebihoreanul.ro/stiri/inca-56-de-cazuri-de-coronavirus-in-bihor-158211.html" TargetMode="External"/><Relationship Id="rId3250" Type="http://schemas.openxmlformats.org/officeDocument/2006/relationships/hyperlink" Target="http://www.ms.ro/2020/08/16/buletin-informativ-16-08-2020" TargetMode="External"/><Relationship Id="rId171" Type="http://schemas.openxmlformats.org/officeDocument/2006/relationships/hyperlink" Target="http://www.ms.ro/2020/04/13/buletin-informativ-13-04-2020/" TargetMode="External"/><Relationship Id="rId3110" Type="http://schemas.openxmlformats.org/officeDocument/2006/relationships/hyperlink" Target="http://www.ms.ro/2020/08/14/buletin-informativ-14-08-2020" TargetMode="External"/><Relationship Id="rId988" Type="http://schemas.openxmlformats.org/officeDocument/2006/relationships/hyperlink" Target="http://www.ms.ro/2020/05/16/decese-1075-1081/" TargetMode="External"/><Relationship Id="rId2669" Type="http://schemas.openxmlformats.org/officeDocument/2006/relationships/hyperlink" Target="https://www.ebihoreanul.ro/stiri/nc-un-deces-i-37-de-noi-mbolnviri-de-covid-19-n-bihor-o-parte-a-spitalului-din-beiu-va-trata-bolnavi-cu-covid-din-cauza-cazurilor-multe-din-zon-158138.html" TargetMode="External"/><Relationship Id="rId2876" Type="http://schemas.openxmlformats.org/officeDocument/2006/relationships/hyperlink" Target="http://www.ms.ro/2020/08/12/buletin-informativ-12-08-2020" TargetMode="External"/><Relationship Id="rId3927" Type="http://schemas.openxmlformats.org/officeDocument/2006/relationships/hyperlink" Target="https://www.ebihoreanul.ro/stiri/niciun-deces-in-bihor-si-zeci-de-pacienti-covid-vindecati-dar-si-40-noi-imbolnaviri-inclusiv-angajati-ai-maternitatii-si-spitalului-militar-158339.html" TargetMode="External"/><Relationship Id="rId848" Type="http://schemas.openxmlformats.org/officeDocument/2006/relationships/hyperlink" Target="http://www.ms.ro/2020/04/29/buletin-informativ-29-04-2020/" TargetMode="External"/><Relationship Id="rId1478" Type="http://schemas.openxmlformats.org/officeDocument/2006/relationships/hyperlink" Target="https://stirioficiale.ro/informatii/buletin-de-presa-23-iulie-2020-ora-13-00" TargetMode="External"/><Relationship Id="rId1685" Type="http://schemas.openxmlformats.org/officeDocument/2006/relationships/hyperlink" Target="http://www.ms.ro/2020/07/29/buletin-informativ-29-07-2020/" TargetMode="External"/><Relationship Id="rId1892" Type="http://schemas.openxmlformats.org/officeDocument/2006/relationships/hyperlink" Target="https://stirioficiale.ro/informatii/informare-de-presa-01-august-2020" TargetMode="External"/><Relationship Id="rId2529" Type="http://schemas.openxmlformats.org/officeDocument/2006/relationships/hyperlink" Target="https://stirioficiale.ro/informatii/buletin-de-presa-9-august-2020-ora-13-00" TargetMode="External"/><Relationship Id="rId2736" Type="http://schemas.openxmlformats.org/officeDocument/2006/relationships/hyperlink" Target="http://www.ms.ro/2020/08/11/buletin-informativ-11-08-2020" TargetMode="External"/><Relationship Id="rId4091" Type="http://schemas.openxmlformats.org/officeDocument/2006/relationships/hyperlink" Target="https://www.ebihoreanul.ro/stiri/inca-trei-decese-ale-unor-pacienti-infectati-cu-covid-19-in-bihor-cazuri-noi-de-imbolnavire-dar-si-multe-vindecari-158365.html" TargetMode="External"/><Relationship Id="rId708" Type="http://schemas.openxmlformats.org/officeDocument/2006/relationships/hyperlink" Target="https://stirioficiale.ro/informatii/buletin-de-presa-26-aprilie-2020-ora-13-00" TargetMode="External"/><Relationship Id="rId915" Type="http://schemas.openxmlformats.org/officeDocument/2006/relationships/hyperlink" Target="http://www.ms.ro/2020/05/01/buletin-informativ-01-05-2020/" TargetMode="External"/><Relationship Id="rId1338" Type="http://schemas.openxmlformats.org/officeDocument/2006/relationships/hyperlink" Target="https://www.ebihoreanul.ro/stiri/inca-doi-bihoreni-confirmati-cu-coronavirus-intre-care-un-pacient-oncologic-si-altul-cu-afectiuni-pulmonare-157379.html" TargetMode="External"/><Relationship Id="rId1545" Type="http://schemas.openxmlformats.org/officeDocument/2006/relationships/hyperlink" Target="http://www.ms.ro/2020/07/25/buletin-informativ-25-07-2020/" TargetMode="External"/><Relationship Id="rId2943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1405" Type="http://schemas.openxmlformats.org/officeDocument/2006/relationships/hyperlink" Target="http://www.ms.ro/2020/07/11/buletin-informativ-11-07-2020/" TargetMode="External"/><Relationship Id="rId1752" Type="http://schemas.openxmlformats.org/officeDocument/2006/relationships/hyperlink" Target="https://stirioficiale.ro/informatii/buletin-de-presa-30-iulie-2020-ora-13-00" TargetMode="External"/><Relationship Id="rId2803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44" Type="http://schemas.openxmlformats.org/officeDocument/2006/relationships/hyperlink" Target="https://stirioficiale.ro/informatii/buletin-de-presa-3-aprilie-2020-ora-13-00" TargetMode="External"/><Relationship Id="rId1612" Type="http://schemas.openxmlformats.org/officeDocument/2006/relationships/hyperlink" Target="https://www.ebihoreanul.ro/stiri/inca-26-noi-cazuri-covid-depistate-in-bihor-intre-care-un-brancardier-si-o-asistenta-revenita-dupa-un-concediu-in-grecia-157871.html" TargetMode="External"/><Relationship Id="rId498" Type="http://schemas.openxmlformats.org/officeDocument/2006/relationships/hyperlink" Target="http://www.ms.ro/2020/04/21/buletin-informativ-21-04-2020/" TargetMode="External"/><Relationship Id="rId2179" Type="http://schemas.openxmlformats.org/officeDocument/2006/relationships/hyperlink" Target="https://www.ebihoreanul.ro/stiri/record-dupa-record-in-bihor-intr-o-singura-zi-3-morti-si-59-noi-imbolnaviri-cu-covid-158047.html" TargetMode="External"/><Relationship Id="rId3577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3784" Type="http://schemas.openxmlformats.org/officeDocument/2006/relationships/hyperlink" Target="http://www.ms.ro/2020/08/21/buletin-informativ-21-08-2020" TargetMode="External"/><Relationship Id="rId3991" Type="http://schemas.openxmlformats.org/officeDocument/2006/relationships/hyperlink" Target="https://www.ebihoreanul.ro/stiri/niciun-deces-in-bihor-si-zeci-de-pacienti-covid-vindecati-dar-si-40-noi-imbolnaviri-inclusiv-angajati-ai-maternitatii-si-spitalului-militar-158339.html" TargetMode="External"/><Relationship Id="rId2386" Type="http://schemas.openxmlformats.org/officeDocument/2006/relationships/hyperlink" Target="http://www.ms.ro/2020/08/07/buletin-informativ-07-08-2020/" TargetMode="External"/><Relationship Id="rId2593" Type="http://schemas.openxmlformats.org/officeDocument/2006/relationships/hyperlink" Target="https://stirioficiale.ro/informatii/buletin-de-presa-9-august-2020-ora-13-00" TargetMode="External"/><Relationship Id="rId3437" Type="http://schemas.openxmlformats.org/officeDocument/2006/relationships/hyperlink" Target="https://www.ebihoreanul.ro/stiri/coronavirus-in-bihor-inca-doua-decese-si-45-de-cazuri-noi-vezi-din-ce-localitati-158277.html" TargetMode="External"/><Relationship Id="rId3644" Type="http://schemas.openxmlformats.org/officeDocument/2006/relationships/hyperlink" Target="http://www.ms.ro/2020/08/20/buletin-informativ-20-08-2020" TargetMode="External"/><Relationship Id="rId3851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358" Type="http://schemas.openxmlformats.org/officeDocument/2006/relationships/hyperlink" Target="http://www.ms.ro/2020/04/15/buletin-informativ-15-04-2020/" TargetMode="External"/><Relationship Id="rId565" Type="http://schemas.openxmlformats.org/officeDocument/2006/relationships/hyperlink" Target="http://www.ms.ro/2020/04/22/buletin-informativ-22-04-2020/" TargetMode="External"/><Relationship Id="rId772" Type="http://schemas.openxmlformats.org/officeDocument/2006/relationships/hyperlink" Target="https://stirioficiale.ro/informatii/buletin-de-presa-27-aprilie-2020-ora-13-00" TargetMode="External"/><Relationship Id="rId1195" Type="http://schemas.openxmlformats.org/officeDocument/2006/relationships/hyperlink" Target="https://stirioficiale.ro/informatii/buletin-de-presa-31-mai-2020-ora-13-00" TargetMode="External"/><Relationship Id="rId2039" Type="http://schemas.openxmlformats.org/officeDocument/2006/relationships/hyperlink" Target="https://www.ebihoreanul.ro/stiri/inca-50-de-cazuri-de-covid-19-in-bihor-in-urma-testelor-facute-duminica-157998.html" TargetMode="External"/><Relationship Id="rId2246" Type="http://schemas.openxmlformats.org/officeDocument/2006/relationships/hyperlink" Target="http://www.ms.ro/2020/08/06/buletin-informativ-06-08-2020/" TargetMode="External"/><Relationship Id="rId2453" Type="http://schemas.openxmlformats.org/officeDocument/2006/relationships/hyperlink" Target="https://stirioficiale.ro/informatii/buletin-de-presa-8-august-2020-ora-13-00" TargetMode="External"/><Relationship Id="rId2660" Type="http://schemas.openxmlformats.org/officeDocument/2006/relationships/hyperlink" Target="http://www.ms.ro/2020/08/10/buletin-informativ-10-08-2020" TargetMode="External"/><Relationship Id="rId3504" Type="http://schemas.openxmlformats.org/officeDocument/2006/relationships/hyperlink" Target="http://www.ms.ro/2020/08/19/buletin-informativ-19-08-2020" TargetMode="External"/><Relationship Id="rId3711" Type="http://schemas.openxmlformats.org/officeDocument/2006/relationships/hyperlink" Target="https://www.ebihoreanul.ro/stiri/record-alarmant-in-bihor-inca-85-de-cazuri-noi-de-covid-si-inca-doua-decese-158311.html" TargetMode="External"/><Relationship Id="rId218" Type="http://schemas.openxmlformats.org/officeDocument/2006/relationships/hyperlink" Target="https://stirioficiale.ro/informatii/buletin-de-presa-13-aprilie-2020-ora-13-71" TargetMode="External"/><Relationship Id="rId425" Type="http://schemas.openxmlformats.org/officeDocument/2006/relationships/hyperlink" Target="https://stirioficiale.ro/informatii/buletin-de-presa-18-aprilie-2020-ora-13-50" TargetMode="External"/><Relationship Id="rId632" Type="http://schemas.openxmlformats.org/officeDocument/2006/relationships/hyperlink" Target="https://stirioficiale.ro/informatii/buletin-de-presa-22-aprilie-2020-ora-13-70" TargetMode="External"/><Relationship Id="rId1055" Type="http://schemas.openxmlformats.org/officeDocument/2006/relationships/hyperlink" Target="http://www.ms.ro/2020/05/22/buletin-informativ-22-05-2020/" TargetMode="External"/><Relationship Id="rId1262" Type="http://schemas.openxmlformats.org/officeDocument/2006/relationships/hyperlink" Target="https://stirioficiale.ro/informatii/buletin-de-presa-5-iunie-2020-ora-13-00" TargetMode="External"/><Relationship Id="rId2106" Type="http://schemas.openxmlformats.org/officeDocument/2006/relationships/hyperlink" Target="http://www.ms.ro/2020/08/05/buletin-informativ-05-08-2020/" TargetMode="External"/><Relationship Id="rId2313" Type="http://schemas.openxmlformats.org/officeDocument/2006/relationships/hyperlink" Target="https://www.ebihoreanul.ro/stiri/a-patra-zi-la-rand-cu-decese-covid-in-bihor-si-53-noi-imbolnaviri-in-ultimele-24-de-ore-158087.html" TargetMode="External"/><Relationship Id="rId2520" Type="http://schemas.openxmlformats.org/officeDocument/2006/relationships/hyperlink" Target="http://www.ms.ro/2020/08/09/buletin-informativ-09-08-2020" TargetMode="External"/><Relationship Id="rId1122" Type="http://schemas.openxmlformats.org/officeDocument/2006/relationships/hyperlink" Target="http://www.ms.ro/2020/05/28/buletin-informativ-28-05-2020/" TargetMode="External"/><Relationship Id="rId3087" Type="http://schemas.openxmlformats.org/officeDocument/2006/relationships/hyperlink" Target="https://www.ebihoreanul.ro/stiri/inca-56-de-cazuri-de-coronavirus-in-bihor-158211.html" TargetMode="External"/><Relationship Id="rId3294" Type="http://schemas.openxmlformats.org/officeDocument/2006/relationships/hyperlink" Target="http://www.ms.ro/2020/08/16/buletin-informativ-16-08-2020" TargetMode="External"/><Relationship Id="rId4138" Type="http://schemas.openxmlformats.org/officeDocument/2006/relationships/hyperlink" Target="http://www.ms.ro/2020/08/25/buletin-informativ-25-08-2020" TargetMode="External"/><Relationship Id="rId1939" Type="http://schemas.openxmlformats.org/officeDocument/2006/relationships/hyperlink" Target="http://www.ms.ro/2020/08/02/buletin-informativ-02-08-2020/" TargetMode="External"/><Relationship Id="rId3154" Type="http://schemas.openxmlformats.org/officeDocument/2006/relationships/hyperlink" Target="http://www.ms.ro/2020/08/15/33355/" TargetMode="External"/><Relationship Id="rId3361" Type="http://schemas.openxmlformats.org/officeDocument/2006/relationships/hyperlink" Target="https://www.ebihoreanul.ro/stiri/dupa-doua-saptamani-numarul-imbolnavirilor-covid-scade-in-bihor-31-noi-infectari-dar-si-un-deces-158256.html" TargetMode="External"/><Relationship Id="rId4205" Type="http://schemas.openxmlformats.org/officeDocument/2006/relationships/hyperlink" Target="https://www.ebihoreanul.ro/stiri/28-de-noi-imbolnaviri-cu-covid-19-in-bihor-inclusiv-in-randul-personalului-upu-smurd-158401.html" TargetMode="External"/><Relationship Id="rId282" Type="http://schemas.openxmlformats.org/officeDocument/2006/relationships/hyperlink" Target="https://stirioficiale.ro/informatii/buletin-de-presa-13-aprilie-2020-ora-13-103" TargetMode="External"/><Relationship Id="rId2170" Type="http://schemas.openxmlformats.org/officeDocument/2006/relationships/hyperlink" Target="http://www.ms.ro/2020/08/05/buletin-informativ-05-08-2020/" TargetMode="External"/><Relationship Id="rId3014" Type="http://schemas.openxmlformats.org/officeDocument/2006/relationships/hyperlink" Target="http://www.ms.ro/2020/08/13/buletin-informativ-13-08-2020" TargetMode="External"/><Relationship Id="rId3221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8" Type="http://schemas.openxmlformats.org/officeDocument/2006/relationships/hyperlink" Target="https://www.ebihoreanul.ro/stiri/ultima-or-31-1/inca-trei-diagnosticati-cu-coronavirus-in-bihor-familia-primei-oradence-infectate-este-sanatoasa-155330.html" TargetMode="External"/><Relationship Id="rId142" Type="http://schemas.openxmlformats.org/officeDocument/2006/relationships/hyperlink" Target="https://stirioficiale.ro/informatii/buletin-de-presa-13-aprilie-2020-ora-13-33" TargetMode="External"/><Relationship Id="rId2030" Type="http://schemas.openxmlformats.org/officeDocument/2006/relationships/hyperlink" Target="http://www.ms.ro/2020/08/03/buletin-informativ-03-08-2020/" TargetMode="External"/><Relationship Id="rId2987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959" Type="http://schemas.openxmlformats.org/officeDocument/2006/relationships/hyperlink" Target="https://stirioficiale.ro/informatii/informare-de-presa-11-mai-2020-ora-11-56am" TargetMode="External"/><Relationship Id="rId1589" Type="http://schemas.openxmlformats.org/officeDocument/2006/relationships/hyperlink" Target="http://www.ms.ro/2020/07/27/buletin-informativ-27-07-2020/" TargetMode="External"/><Relationship Id="rId1449" Type="http://schemas.openxmlformats.org/officeDocument/2006/relationships/hyperlink" Target="http://www.ms.ro/2020/07/21/buletin-informativ-21-07-2020/" TargetMode="External"/><Relationship Id="rId1796" Type="http://schemas.openxmlformats.org/officeDocument/2006/relationships/hyperlink" Target="https://stirioficiale.ro/informatii/buletin-de-presa-31-iulie-2020-ora-13-00" TargetMode="External"/><Relationship Id="rId2847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4062" Type="http://schemas.openxmlformats.org/officeDocument/2006/relationships/hyperlink" Target="http://www.ms.ro/2020/08/24/buletin-informativ-24-08-2020" TargetMode="External"/><Relationship Id="rId88" Type="http://schemas.openxmlformats.org/officeDocument/2006/relationships/hyperlink" Target="https://stirioficiale.ro/informatii/buletin-de-presa-9-aprilie-2020-ora-13-00" TargetMode="External"/><Relationship Id="rId819" Type="http://schemas.openxmlformats.org/officeDocument/2006/relationships/hyperlink" Target="http://www.ms.ro/2020/04/28/buletin-informativ-28-04-2020/" TargetMode="External"/><Relationship Id="rId1656" Type="http://schemas.openxmlformats.org/officeDocument/2006/relationships/hyperlink" Target="https://stirioficiale.ro/informatii/buletin-de-presa-29-iulie-2020-ora-13-00" TargetMode="External"/><Relationship Id="rId1863" Type="http://schemas.openxmlformats.org/officeDocument/2006/relationships/hyperlink" Target="http://www.ms.ro/2020/08/01/buletin-informativ-01-08-2020/" TargetMode="External"/><Relationship Id="rId2707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2914" Type="http://schemas.openxmlformats.org/officeDocument/2006/relationships/hyperlink" Target="http://www.ms.ro/2020/08/13/buletin-informativ-13-08-2020" TargetMode="External"/><Relationship Id="rId1309" Type="http://schemas.openxmlformats.org/officeDocument/2006/relationships/hyperlink" Target="http://www.ms.ro/2020/06/14/buletin-informativ-14-06-2020/" TargetMode="External"/><Relationship Id="rId1516" Type="http://schemas.openxmlformats.org/officeDocument/2006/relationships/hyperlink" Target="https://stirioficiale.ro/informatii/buletin-de-presa-24-iulie-2020-ora-13-00" TargetMode="External"/><Relationship Id="rId1723" Type="http://schemas.openxmlformats.org/officeDocument/2006/relationships/hyperlink" Target="http://www.ms.ro/2020/07/30/buletin-informativ-30-07-2020/" TargetMode="External"/><Relationship Id="rId1930" Type="http://schemas.openxmlformats.org/officeDocument/2006/relationships/hyperlink" Target="https://stirioficiale.ro/informatii/buletin-de-presa-2-august-2020-ora-13-00" TargetMode="External"/><Relationship Id="rId15" Type="http://schemas.openxmlformats.org/officeDocument/2006/relationships/hyperlink" Target="http://www.ms.ro/2020/03/28/buletin-informativ-28-03-2020/" TargetMode="External"/><Relationship Id="rId3688" Type="http://schemas.openxmlformats.org/officeDocument/2006/relationships/hyperlink" Target="http://www.ms.ro/2020/08/20/buletin-informativ-20-08-2020" TargetMode="External"/><Relationship Id="rId3895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2497" Type="http://schemas.openxmlformats.org/officeDocument/2006/relationships/hyperlink" Target="https://stirioficiale.ro/informatii/buletin-de-presa-9-august-2020-ora-13-00" TargetMode="External"/><Relationship Id="rId3548" Type="http://schemas.openxmlformats.org/officeDocument/2006/relationships/hyperlink" Target="http://www.ms.ro/2020/08/19/buletin-informativ-19-08-2020" TargetMode="External"/><Relationship Id="rId3755" Type="http://schemas.openxmlformats.org/officeDocument/2006/relationships/hyperlink" Target="https://www.ebihoreanul.ro/stiri/record-alarmant-in-bihor-inca-85-de-cazuri-noi-de-covid-si-inca-doua-decese-158311.html" TargetMode="External"/><Relationship Id="rId469" Type="http://schemas.openxmlformats.org/officeDocument/2006/relationships/hyperlink" Target="https://stirioficiale.ro/informatii/buletin-de-presa-20-aprilie-2020-ora-13-00" TargetMode="External"/><Relationship Id="rId676" Type="http://schemas.openxmlformats.org/officeDocument/2006/relationships/hyperlink" Target="https://stirioficiale.ro/informatii/buletin-de-presa-24-aprilie-2020-ora-13-00" TargetMode="External"/><Relationship Id="rId883" Type="http://schemas.openxmlformats.org/officeDocument/2006/relationships/hyperlink" Target="http://www.ms.ro/2020/05/01/buletin-informativ-01-05-2020/" TargetMode="External"/><Relationship Id="rId1099" Type="http://schemas.openxmlformats.org/officeDocument/2006/relationships/hyperlink" Target="https://stirioficiale.ro/informatii/buletin-de-presa-26-mai-2020-ora-13-00" TargetMode="External"/><Relationship Id="rId2357" Type="http://schemas.openxmlformats.org/officeDocument/2006/relationships/hyperlink" Target="https://www.ebihoreanul.ro/stiri/a-patra-zi-la-rand-cu-decese-covid-in-bihor-si-53-noi-imbolnaviri-in-ultimele-24-de-ore-158087.html" TargetMode="External"/><Relationship Id="rId2564" Type="http://schemas.openxmlformats.org/officeDocument/2006/relationships/hyperlink" Target="http://www.ms.ro/2020/08/09/buletin-informativ-09-08-2020" TargetMode="External"/><Relationship Id="rId3408" Type="http://schemas.openxmlformats.org/officeDocument/2006/relationships/hyperlink" Target="http://www.ms.ro/2020/08/17/buletin-informativ-17-08-2020" TargetMode="External"/><Relationship Id="rId3615" Type="http://schemas.openxmlformats.org/officeDocument/2006/relationships/hyperlink" Target="https://www.ebihoreanul.ro/stiri/record-alarmant-in-bihor-inca-85-de-cazuri-noi-de-covid-si-inca-doua-decese-158311.html" TargetMode="External"/><Relationship Id="rId3962" Type="http://schemas.openxmlformats.org/officeDocument/2006/relationships/hyperlink" Target="http://www.ms.ro/2020/08/22/buletin-informativ-22-08-2020" TargetMode="External"/><Relationship Id="rId329" Type="http://schemas.openxmlformats.org/officeDocument/2006/relationships/hyperlink" Target="https://stirioficiale.ro/informatii/buletin-de-presa-14-aprilie-2020-ora-13-26" TargetMode="External"/><Relationship Id="rId536" Type="http://schemas.openxmlformats.org/officeDocument/2006/relationships/hyperlink" Target="http://www.ms.ro/2020/04/21/buletin-informativ-21-04-2020/" TargetMode="External"/><Relationship Id="rId1166" Type="http://schemas.openxmlformats.org/officeDocument/2006/relationships/hyperlink" Target="http://www.ms.ro/2020/05/30/buletin-informativ-30-05-2020/" TargetMode="External"/><Relationship Id="rId1373" Type="http://schemas.openxmlformats.org/officeDocument/2006/relationships/hyperlink" Target="http://www.ms.ro/2020/07/05/buletin-informativ-05-07-2020/" TargetMode="External"/><Relationship Id="rId2217" Type="http://schemas.openxmlformats.org/officeDocument/2006/relationships/hyperlink" Target="https://www.ebihoreanul.ro/stiri/record-dupa-record-in-bihor-intr-o-singura-zi-3-morti-si-59-noi-imbolnaviri-cu-covid-158047.html" TargetMode="External"/><Relationship Id="rId2771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3822" Type="http://schemas.openxmlformats.org/officeDocument/2006/relationships/hyperlink" Target="http://www.ms.ro/2020/08/21/buletin-informativ-21-08-2020" TargetMode="External"/><Relationship Id="rId743" Type="http://schemas.openxmlformats.org/officeDocument/2006/relationships/hyperlink" Target="http://www.ms.ro/2020/04/27/buletin-informativ-27-04-2020/" TargetMode="External"/><Relationship Id="rId950" Type="http://schemas.openxmlformats.org/officeDocument/2006/relationships/hyperlink" Target="https://stirioficiale.ro/informatii/buletin-de-presa-6-mai-2020-ora-13-00" TargetMode="External"/><Relationship Id="rId1026" Type="http://schemas.openxmlformats.org/officeDocument/2006/relationships/hyperlink" Target="http://www.ms.ro/2020/05/19/buletin-informativ-19-05-2020/" TargetMode="External"/><Relationship Id="rId1580" Type="http://schemas.openxmlformats.org/officeDocument/2006/relationships/hyperlink" Target="https://www.ebihoreanul.ro/stiri/inca-26-noi-cazuri-covid-depistate-in-bihor-intre-care-un-brancardier-si-o-asistenta-revenita-dupa-un-concediu-in-grecia-157871.html" TargetMode="External"/><Relationship Id="rId2424" Type="http://schemas.openxmlformats.org/officeDocument/2006/relationships/hyperlink" Target="http://www.ms.ro/2020/08/08/buletin-informativ-08-08-2020" TargetMode="External"/><Relationship Id="rId2631" Type="http://schemas.openxmlformats.org/officeDocument/2006/relationships/hyperlink" Target="https://www.ebihoreanul.ro/stiri/nc-un-deces-i-37-de-noi-mbolnviri-de-covid-19-n-bihor-o-parte-a-spitalului-din-beiu-va-trata-bolnavi-cu-covid-din-cauza-cazurilor-multe-din-zon-158138.html" TargetMode="External"/><Relationship Id="rId603" Type="http://schemas.openxmlformats.org/officeDocument/2006/relationships/hyperlink" Target="http://www.ms.ro/2020/04/22/buletin-informativ-22-04-2020/" TargetMode="External"/><Relationship Id="rId810" Type="http://schemas.openxmlformats.org/officeDocument/2006/relationships/hyperlink" Target="https://stirioficiale.ro/informatii/buletin-de-presa-28-aprilie-2020-ora-13-00" TargetMode="External"/><Relationship Id="rId1233" Type="http://schemas.openxmlformats.org/officeDocument/2006/relationships/hyperlink" Target="https://stirioficiale.ro/informatii/buletin-de-presa-2-iunie-2020-ora-13-00" TargetMode="External"/><Relationship Id="rId1440" Type="http://schemas.openxmlformats.org/officeDocument/2006/relationships/hyperlink" Target="https://www.ebihoreanul.ro/stiri/inca-5-persoane-din-bihor-diagnosticate-cu-coronavirus-dintre-care-trei-au-fost-testate-la-cerere-157757.html" TargetMode="External"/><Relationship Id="rId1300" Type="http://schemas.openxmlformats.org/officeDocument/2006/relationships/hyperlink" Target="https://stirioficiale.ro/informatii/buletin-de-presa-14-iunie-2020-ora-13-00" TargetMode="External"/><Relationship Id="rId3198" Type="http://schemas.openxmlformats.org/officeDocument/2006/relationships/hyperlink" Target="http://www.ms.ro/2020/08/15/33355/" TargetMode="External"/><Relationship Id="rId3058" Type="http://schemas.openxmlformats.org/officeDocument/2006/relationships/hyperlink" Target="http://www.ms.ro/2020/08/14/buletin-informativ-14-08-2020" TargetMode="External"/><Relationship Id="rId3265" Type="http://schemas.openxmlformats.org/officeDocument/2006/relationships/hyperlink" Target="https://www.ebihoreanul.ro/stiri/coronavirus-in-bihor-inca-trei-decese-inregistrate-50-de-cazuri-noi-diagnosticate-nicio-persoana-vindecata-158239.html" TargetMode="External"/><Relationship Id="rId3472" Type="http://schemas.openxmlformats.org/officeDocument/2006/relationships/hyperlink" Target="http://www.ms.ro/2020/08/18/buletin-informativ-18-08-2020" TargetMode="External"/><Relationship Id="rId4109" Type="http://schemas.openxmlformats.org/officeDocument/2006/relationships/hyperlink" Target="https://www.ebihoreanul.ro/stiri/record-de-decese-covid-in-romania-58-intr-o-singura-zi-in-bihor-au-murit-3-oameni-iar-alti-37-au-fost-diagnosticati-aproape-100-de-pacienti-vindecati-158383.html" TargetMode="External"/><Relationship Id="rId186" Type="http://schemas.openxmlformats.org/officeDocument/2006/relationships/hyperlink" Target="https://stirioficiale.ro/informatii/buletin-de-presa-13-aprilie-2020-ora-13-55" TargetMode="External"/><Relationship Id="rId393" Type="http://schemas.openxmlformats.org/officeDocument/2006/relationships/hyperlink" Target="https://stirioficiale.ro/informatii/buletin-de-presa-16-aprilie-2020-ora-13-68" TargetMode="External"/><Relationship Id="rId2074" Type="http://schemas.openxmlformats.org/officeDocument/2006/relationships/hyperlink" Target="http://www.ms.ro/2020/08/03/buletin-informativ-03-08-2020/" TargetMode="External"/><Relationship Id="rId2281" Type="http://schemas.openxmlformats.org/officeDocument/2006/relationships/hyperlink" Target="https://www.ebihoreanul.ro/stiri/a-treia-zi-consecutiva-cu-decese-covid-in-bihor-si-inca-35-noi-imbolnaviri-raportate-oficial-pentru-ultimele-24-de-ore-158069.html" TargetMode="External"/><Relationship Id="rId3125" Type="http://schemas.openxmlformats.org/officeDocument/2006/relationships/hyperlink" Target="https://www.ebihoreanul.ro/stiri/inca-56-de-cazuri-de-coronavirus-in-bihor-158211.html" TargetMode="External"/><Relationship Id="rId3332" Type="http://schemas.openxmlformats.org/officeDocument/2006/relationships/hyperlink" Target="http://www.ms.ro/2020/08/16/buletin-informativ-16-08-2020" TargetMode="External"/><Relationship Id="rId253" Type="http://schemas.openxmlformats.org/officeDocument/2006/relationships/hyperlink" Target="http://www.ms.ro/2020/04/13/buletin-informativ-13-04-2020/" TargetMode="External"/><Relationship Id="rId460" Type="http://schemas.openxmlformats.org/officeDocument/2006/relationships/hyperlink" Target="http://www.ms.ro/2020/04/20/buletin-informativ-20-04-2020/" TargetMode="External"/><Relationship Id="rId1090" Type="http://schemas.openxmlformats.org/officeDocument/2006/relationships/hyperlink" Target="https://stirioficiale.ro/informatii/buletin-de-presa-25-mai-2020-ora-13-00" TargetMode="External"/><Relationship Id="rId2141" Type="http://schemas.openxmlformats.org/officeDocument/2006/relationships/hyperlink" Target="https://www.ebihoreanul.ro/stiri/record-dupa-record-in-bihor-intr-o-singura-zi-3-morti-si-59-noi-imbolnaviri-cu-covid-158047.html" TargetMode="External"/><Relationship Id="rId113" Type="http://schemas.openxmlformats.org/officeDocument/2006/relationships/hyperlink" Target="http://www.ms.ro/2020/04/11/buletin-informativ-11-04-2020/" TargetMode="External"/><Relationship Id="rId320" Type="http://schemas.openxmlformats.org/officeDocument/2006/relationships/hyperlink" Target="http://www.ms.ro/2020/04/14/buletin-informativ-14-04-2020/" TargetMode="External"/><Relationship Id="rId2001" Type="http://schemas.openxmlformats.org/officeDocument/2006/relationships/hyperlink" Target="https://www.ebihoreanul.ro/stiri/inca-50-de-cazuri-de-covid-19-in-bihor-in-urma-testelor-facute-duminica-157998.html" TargetMode="External"/><Relationship Id="rId2958" Type="http://schemas.openxmlformats.org/officeDocument/2006/relationships/hyperlink" Target="http://www.ms.ro/2020/08/13/buletin-informativ-13-08-2020" TargetMode="External"/><Relationship Id="rId1767" Type="http://schemas.openxmlformats.org/officeDocument/2006/relationships/hyperlink" Target="http://www.ms.ro/2020/07/30/buletin-informativ-30-07-2020/" TargetMode="External"/><Relationship Id="rId1974" Type="http://schemas.openxmlformats.org/officeDocument/2006/relationships/hyperlink" Target="https://www.ebihoreanul.ro/stiri/inca-50-de-cazuri-de-covid-19-in-bihor-in-urma-testelor-facute-duminica-157998.html" TargetMode="External"/><Relationship Id="rId2818" Type="http://schemas.openxmlformats.org/officeDocument/2006/relationships/hyperlink" Target="http://www.ms.ro/2020/08/12/buletin-informativ-12-08-2020" TargetMode="External"/><Relationship Id="rId4173" Type="http://schemas.openxmlformats.org/officeDocument/2006/relationships/hyperlink" Target="https://www.ebihoreanul.ro/stiri/record-de-decese-covid-in-romania-58-intr-o-singura-zi-in-bihor-au-murit-3-oameni-iar-alti-37-au-fost-diagnosticati-aproape-100-de-pacienti-vindecati-158383.html" TargetMode="External"/><Relationship Id="rId59" Type="http://schemas.openxmlformats.org/officeDocument/2006/relationships/hyperlink" Target="https://stirioficiale.ro/informatii/buletin-de-presa-6-aprilie-2020-ora-13-00" TargetMode="External"/><Relationship Id="rId1627" Type="http://schemas.openxmlformats.org/officeDocument/2006/relationships/hyperlink" Target="http://www.ms.ro/2020/07/28/buletin-informativ-28-07-2020/" TargetMode="External"/><Relationship Id="rId1834" Type="http://schemas.openxmlformats.org/officeDocument/2006/relationships/hyperlink" Target="https://www.ebihoreanul.ro/stiri/nou-record-covid-in-bihor-52-de-cazuri-noi-157971.html" TargetMode="External"/><Relationship Id="rId4033" Type="http://schemas.openxmlformats.org/officeDocument/2006/relationships/hyperlink" Target="https://www.ebihoreanul.ro/stiri/a-fost-depasit-pragul-de-2000-de-cazuri-covid-19diagnosticate-in-bihor-158350.html" TargetMode="External"/><Relationship Id="rId3799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4100" Type="http://schemas.openxmlformats.org/officeDocument/2006/relationships/hyperlink" Target="http://www.ms.ro/2020/08/24/buletin-informativ-24-08-2020" TargetMode="External"/><Relationship Id="rId1901" Type="http://schemas.openxmlformats.org/officeDocument/2006/relationships/hyperlink" Target="http://www.ms.ro/2020/08/01/buletin-informativ-01-08-2020/" TargetMode="External"/><Relationship Id="rId3659" Type="http://schemas.openxmlformats.org/officeDocument/2006/relationships/hyperlink" Target="https://www.ebihoreanul.ro/stiri/record-alarmant-in-bihor-inca-85-de-cazuri-noi-de-covid-si-inca-doua-decese-158311.html" TargetMode="External"/><Relationship Id="rId3866" Type="http://schemas.openxmlformats.org/officeDocument/2006/relationships/hyperlink" Target="http://www.ms.ro/2020/08/21/buletin-informativ-21-08-2020" TargetMode="External"/><Relationship Id="rId787" Type="http://schemas.openxmlformats.org/officeDocument/2006/relationships/hyperlink" Target="http://www.ms.ro/2020/04/27/buletin-informativ-27-04-2020/" TargetMode="External"/><Relationship Id="rId994" Type="http://schemas.openxmlformats.org/officeDocument/2006/relationships/hyperlink" Target="https://www.bihon.ro/stirile-judetului-bihor/angajati-confirmati-cu-coronavirus-in-parcul-industrial-de-pe-borsului-2284463/" TargetMode="External"/><Relationship Id="rId2468" Type="http://schemas.openxmlformats.org/officeDocument/2006/relationships/hyperlink" Target="http://www.ms.ro/2020/08/08/buletin-informativ-08-08-2020" TargetMode="External"/><Relationship Id="rId2675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2882" Type="http://schemas.openxmlformats.org/officeDocument/2006/relationships/hyperlink" Target="http://www.ms.ro/2020/08/12/buletin-informativ-12-08-2020" TargetMode="External"/><Relationship Id="rId3519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3726" Type="http://schemas.openxmlformats.org/officeDocument/2006/relationships/hyperlink" Target="http://www.ms.ro/2020/08/20/buletin-informativ-20-08-2020" TargetMode="External"/><Relationship Id="rId3933" Type="http://schemas.openxmlformats.org/officeDocument/2006/relationships/hyperlink" Target="https://www.ebihoreanul.ro/stiri/niciun-deces-in-bihor-si-zeci-de-pacienti-covid-vindecati-dar-si-40-noi-imbolnaviri-inclusiv-angajati-ai-maternitatii-si-spitalului-militar-158339.html" TargetMode="External"/><Relationship Id="rId647" Type="http://schemas.openxmlformats.org/officeDocument/2006/relationships/hyperlink" Target="http://www.ms.ro/2020/04/23/buletin-informativ-23-04-2020/" TargetMode="External"/><Relationship Id="rId854" Type="http://schemas.openxmlformats.org/officeDocument/2006/relationships/hyperlink" Target="http://www.ms.ro/2020/04/29/buletin-informativ-29-04-2020/" TargetMode="External"/><Relationship Id="rId1277" Type="http://schemas.openxmlformats.org/officeDocument/2006/relationships/hyperlink" Target="http://www.ms.ro/2020/06/06/buletin-informativ-06-06-2020/" TargetMode="External"/><Relationship Id="rId1484" Type="http://schemas.openxmlformats.org/officeDocument/2006/relationships/hyperlink" Target="https://stirioficiale.ro/informatii/buletin-de-presa-23-iulie-2020-ora-13-00" TargetMode="External"/><Relationship Id="rId1691" Type="http://schemas.openxmlformats.org/officeDocument/2006/relationships/hyperlink" Target="http://www.ms.ro/2020/07/29/buletin-informativ-29-07-2020/" TargetMode="External"/><Relationship Id="rId2328" Type="http://schemas.openxmlformats.org/officeDocument/2006/relationships/hyperlink" Target="http://www.ms.ro/2020/08/07/buletin-informativ-07-08-2020/" TargetMode="External"/><Relationship Id="rId2535" Type="http://schemas.openxmlformats.org/officeDocument/2006/relationships/hyperlink" Target="https://stirioficiale.ro/informatii/buletin-de-presa-9-august-2020-ora-13-00" TargetMode="External"/><Relationship Id="rId2742" Type="http://schemas.openxmlformats.org/officeDocument/2006/relationships/hyperlink" Target="http://www.ms.ro/2020/08/11/buletin-informativ-11-08-2020" TargetMode="External"/><Relationship Id="rId507" Type="http://schemas.openxmlformats.org/officeDocument/2006/relationships/hyperlink" Target="https://stirioficiale.ro/informatii/buletin-de-presa-21-aprilie-2020-ora-13-29" TargetMode="External"/><Relationship Id="rId714" Type="http://schemas.openxmlformats.org/officeDocument/2006/relationships/hyperlink" Target="https://stirioficiale.ro/informatii/buletin-de-presa-26-aprilie-2020-ora-13-00" TargetMode="External"/><Relationship Id="rId921" Type="http://schemas.openxmlformats.org/officeDocument/2006/relationships/hyperlink" Target="http://www.ms.ro/2020/05/01/buletin-informativ-01-05-2020/" TargetMode="External"/><Relationship Id="rId1137" Type="http://schemas.openxmlformats.org/officeDocument/2006/relationships/hyperlink" Target="https://stirioficiale.ro/informatii/buletin-de-presa-28-mai-2020-ora-13-00" TargetMode="External"/><Relationship Id="rId1344" Type="http://schemas.openxmlformats.org/officeDocument/2006/relationships/hyperlink" Target="https://stirioficiale.ro/informatii/buletin-de-presa-4-iulie-2020-ora-13-00" TargetMode="External"/><Relationship Id="rId1551" Type="http://schemas.openxmlformats.org/officeDocument/2006/relationships/hyperlink" Target="http://www.ms.ro/2020/07/25/buletin-informativ-25-07-2020/" TargetMode="External"/><Relationship Id="rId2602" Type="http://schemas.openxmlformats.org/officeDocument/2006/relationships/hyperlink" Target="http://www.ms.ro/2020/08/10/buletin-informativ-10-08-2020" TargetMode="External"/><Relationship Id="rId50" Type="http://schemas.openxmlformats.org/officeDocument/2006/relationships/hyperlink" Target="https://stirioficiale.ro/informatii/buletin-de-presa-4-aprilie-2020-ora-13-24" TargetMode="External"/><Relationship Id="rId1204" Type="http://schemas.openxmlformats.org/officeDocument/2006/relationships/hyperlink" Target="http://www.ms.ro/2020/05/31/buletin-informativ-31-05-2020/" TargetMode="External"/><Relationship Id="rId1411" Type="http://schemas.openxmlformats.org/officeDocument/2006/relationships/hyperlink" Target="http://www.ms.ro/2020/07/13/buletin-informativ-13-07-2020/" TargetMode="External"/><Relationship Id="rId3169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3376" Type="http://schemas.openxmlformats.org/officeDocument/2006/relationships/hyperlink" Target="http://www.ms.ro/2020/08/17/buletin-informativ-17-08-2020" TargetMode="External"/><Relationship Id="rId3583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297" Type="http://schemas.openxmlformats.org/officeDocument/2006/relationships/hyperlink" Target="http://www.ms.ro/2020/04/13/buletin-informativ-13-04-2020/" TargetMode="External"/><Relationship Id="rId2185" Type="http://schemas.openxmlformats.org/officeDocument/2006/relationships/hyperlink" Target="https://www.ebihoreanul.ro/stiri/record-dupa-record-in-bihor-intr-o-singura-zi-3-morti-si-59-noi-imbolnaviri-cu-covid-158047.html" TargetMode="External"/><Relationship Id="rId2392" Type="http://schemas.openxmlformats.org/officeDocument/2006/relationships/hyperlink" Target="http://www.ms.ro/2020/08/07/buletin-informativ-07-08-2020/" TargetMode="External"/><Relationship Id="rId3029" Type="http://schemas.openxmlformats.org/officeDocument/2006/relationships/hyperlink" Target="https://www.ebihoreanul.ro/stiri/inca-56-de-cazuri-de-coronavirus-in-bihor-158211.html" TargetMode="External"/><Relationship Id="rId3236" Type="http://schemas.openxmlformats.org/officeDocument/2006/relationships/hyperlink" Target="http://www.ms.ro/2020/08/15/33355/" TargetMode="External"/><Relationship Id="rId3790" Type="http://schemas.openxmlformats.org/officeDocument/2006/relationships/hyperlink" Target="http://www.ms.ro/2020/08/21/buletin-informativ-21-08-2020" TargetMode="External"/><Relationship Id="rId157" Type="http://schemas.openxmlformats.org/officeDocument/2006/relationships/hyperlink" Target="http://www.ms.ro/2020/04/13/buletin-informativ-13-04-2020/" TargetMode="External"/><Relationship Id="rId364" Type="http://schemas.openxmlformats.org/officeDocument/2006/relationships/hyperlink" Target="http://www.ms.ro/2020/04/16/buletin-informativ-16-04-2020/" TargetMode="External"/><Relationship Id="rId2045" Type="http://schemas.openxmlformats.org/officeDocument/2006/relationships/hyperlink" Target="https://stirioficiale.ro/informatii/buletin-de-presa-3-august-2020-ora-13-00" TargetMode="External"/><Relationship Id="rId3443" Type="http://schemas.openxmlformats.org/officeDocument/2006/relationships/hyperlink" Target="https://www.ebihoreanul.ro/stiri/coronavirus-in-bihor-inca-doua-decese-si-45-de-cazuri-noi-vezi-din-ce-localitati-158277.html" TargetMode="External"/><Relationship Id="rId3650" Type="http://schemas.openxmlformats.org/officeDocument/2006/relationships/hyperlink" Target="http://www.ms.ro/2020/08/20/buletin-informativ-20-08-2020" TargetMode="External"/><Relationship Id="rId571" Type="http://schemas.openxmlformats.org/officeDocument/2006/relationships/hyperlink" Target="http://www.ms.ro/2020/04/22/buletin-informativ-22-04-2020/" TargetMode="External"/><Relationship Id="rId2252" Type="http://schemas.openxmlformats.org/officeDocument/2006/relationships/hyperlink" Target="http://www.ms.ro/2020/08/06/buletin-informativ-06-08-2020/" TargetMode="External"/><Relationship Id="rId3303" Type="http://schemas.openxmlformats.org/officeDocument/2006/relationships/hyperlink" Target="https://www.ebihoreanul.ro/stiri/coronavirus-in-bihor-inca-trei-decese-inregistrate-50-de-cazuri-noi-diagnosticate-nicio-persoana-vindecata-158239.html" TargetMode="External"/><Relationship Id="rId3510" Type="http://schemas.openxmlformats.org/officeDocument/2006/relationships/hyperlink" Target="http://www.ms.ro/2020/08/19/buletin-informativ-19-08-2020" TargetMode="External"/><Relationship Id="rId224" Type="http://schemas.openxmlformats.org/officeDocument/2006/relationships/hyperlink" Target="https://stirioficiale.ro/informatii/buletin-de-presa-13-aprilie-2020-ora-13-74" TargetMode="External"/><Relationship Id="rId431" Type="http://schemas.openxmlformats.org/officeDocument/2006/relationships/hyperlink" Target="https://stirioficiale.ro/informatii/buletin-de-presa-18-aprilie-2020-ora-13-53" TargetMode="External"/><Relationship Id="rId1061" Type="http://schemas.openxmlformats.org/officeDocument/2006/relationships/hyperlink" Target="http://www.ms.ro/2020/05/22/buletin-informativ-22-05-2020/" TargetMode="External"/><Relationship Id="rId2112" Type="http://schemas.openxmlformats.org/officeDocument/2006/relationships/hyperlink" Target="http://www.ms.ro/2020/08/05/buletin-informativ-05-08-2020/" TargetMode="External"/><Relationship Id="rId1878" Type="http://schemas.openxmlformats.org/officeDocument/2006/relationships/hyperlink" Target="https://stirioficiale.ro/informatii/informare-de-presa-01-august-2020" TargetMode="External"/><Relationship Id="rId2929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4077" Type="http://schemas.openxmlformats.org/officeDocument/2006/relationships/hyperlink" Target="https://www.ebihoreanul.ro/stiri/inca-trei-decese-ale-unor-pacienti-infectati-cu-covid-19-in-bihor-cazuri-noi-de-imbolnavire-dar-si-multe-vindecari-158365.html" TargetMode="External"/><Relationship Id="rId1738" Type="http://schemas.openxmlformats.org/officeDocument/2006/relationships/hyperlink" Target="https://stirioficiale.ro/informatii/buletin-de-presa-30-iulie-2020-ora-13-00" TargetMode="External"/><Relationship Id="rId3093" Type="http://schemas.openxmlformats.org/officeDocument/2006/relationships/hyperlink" Target="https://www.ebihoreanul.ro/stiri/inca-56-de-cazuri-de-coronavirus-in-bihor-158211.html" TargetMode="External"/><Relationship Id="rId4144" Type="http://schemas.openxmlformats.org/officeDocument/2006/relationships/hyperlink" Target="http://www.ms.ro/2020/08/25/buletin-informativ-25-08-2020" TargetMode="External"/><Relationship Id="rId1945" Type="http://schemas.openxmlformats.org/officeDocument/2006/relationships/hyperlink" Target="http://www.ms.ro/2020/08/02/buletin-informativ-02-08-2020/" TargetMode="External"/><Relationship Id="rId3160" Type="http://schemas.openxmlformats.org/officeDocument/2006/relationships/hyperlink" Target="http://www.ms.ro/2020/08/15/33355/" TargetMode="External"/><Relationship Id="rId4004" Type="http://schemas.openxmlformats.org/officeDocument/2006/relationships/hyperlink" Target="http://www.ms.ro/2020/08/23/buletin-informativ-23-08-2020" TargetMode="External"/><Relationship Id="rId4211" Type="http://schemas.openxmlformats.org/officeDocument/2006/relationships/hyperlink" Target="https://www.ebihoreanul.ro/stiri/28-de-noi-imbolnaviri-cu-covid-19-in-bihor-inclusiv-in-randul-personalului-upu-smurd-158401.html" TargetMode="External"/><Relationship Id="rId1805" Type="http://schemas.openxmlformats.org/officeDocument/2006/relationships/hyperlink" Target="http://www.ms.ro/2020/07/31/buletin-informativ-31-07-2020/" TargetMode="External"/><Relationship Id="rId3020" Type="http://schemas.openxmlformats.org/officeDocument/2006/relationships/hyperlink" Target="http://www.ms.ro/2020/08/13/buletin-informativ-13-08-2020" TargetMode="External"/><Relationship Id="rId3977" Type="http://schemas.openxmlformats.org/officeDocument/2006/relationships/hyperlink" Target="https://www.ebihoreanul.ro/stiri/niciun-deces-in-bihor-si-zeci-de-pacienti-covid-vindecati-dar-si-40-noi-imbolnaviri-inclusiv-angajati-ai-maternitatii-si-spitalului-militar-158339.html" TargetMode="External"/><Relationship Id="rId898" Type="http://schemas.openxmlformats.org/officeDocument/2006/relationships/hyperlink" Target="http://www.ms.ro/2020/05/01/buletin-informativ-01-05-2020/" TargetMode="External"/><Relationship Id="rId2579" Type="http://schemas.openxmlformats.org/officeDocument/2006/relationships/hyperlink" Target="https://stirioficiale.ro/informatii/buletin-de-presa-9-august-2020-ora-13-00" TargetMode="External"/><Relationship Id="rId2786" Type="http://schemas.openxmlformats.org/officeDocument/2006/relationships/hyperlink" Target="http://www.ms.ro/2020/08/12/buletin-informativ-12-08-2020" TargetMode="External"/><Relationship Id="rId2993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3837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758" Type="http://schemas.openxmlformats.org/officeDocument/2006/relationships/hyperlink" Target="https://stirioficiale.ro/informatii/buletin-de-presa-27-aprilie-2020-ora-13-00" TargetMode="External"/><Relationship Id="rId965" Type="http://schemas.openxmlformats.org/officeDocument/2006/relationships/hyperlink" Target="http://www.ms.ro/2020/05/09/buletin-informativ-09-05-2020/" TargetMode="External"/><Relationship Id="rId1388" Type="http://schemas.openxmlformats.org/officeDocument/2006/relationships/hyperlink" Target="https://stirioficiale.ro/informatii/buletin-de-presa-8-iulie-2020-ora-13-00" TargetMode="External"/><Relationship Id="rId1595" Type="http://schemas.openxmlformats.org/officeDocument/2006/relationships/hyperlink" Target="http://www.ms.ro/2020/07/27/buletin-informativ-27-07-2020/" TargetMode="External"/><Relationship Id="rId2439" Type="http://schemas.openxmlformats.org/officeDocument/2006/relationships/hyperlink" Target="https://stirioficiale.ro/informatii/buletin-de-presa-8-august-2020-ora-13-00" TargetMode="External"/><Relationship Id="rId2646" Type="http://schemas.openxmlformats.org/officeDocument/2006/relationships/hyperlink" Target="http://www.ms.ro/2020/08/10/buletin-informativ-10-08-2020" TargetMode="External"/><Relationship Id="rId2853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3904" Type="http://schemas.openxmlformats.org/officeDocument/2006/relationships/hyperlink" Target="http://www.ms.ro/2020/08/21/buletin-informativ-21-08-2020" TargetMode="External"/><Relationship Id="rId94" Type="http://schemas.openxmlformats.org/officeDocument/2006/relationships/hyperlink" Target="https://stirioficiale.ro/informatii/buletin-de-presa-10-aprilie-2020-ora-13-49" TargetMode="External"/><Relationship Id="rId618" Type="http://schemas.openxmlformats.org/officeDocument/2006/relationships/hyperlink" Target="https://stirioficiale.ro/informatii/buletin-de-presa-22-aprilie-2020-ora-13-63" TargetMode="External"/><Relationship Id="rId825" Type="http://schemas.openxmlformats.org/officeDocument/2006/relationships/hyperlink" Target="http://www.ms.ro/2020/04/28/buletin-informativ-28-04-2020/" TargetMode="External"/><Relationship Id="rId1248" Type="http://schemas.openxmlformats.org/officeDocument/2006/relationships/hyperlink" Target="http://www.ms.ro/2020/06/03/buletin-informativ-03-06-2020/" TargetMode="External"/><Relationship Id="rId1455" Type="http://schemas.openxmlformats.org/officeDocument/2006/relationships/hyperlink" Target="http://www.ms.ro/2020/07/22/buletin-informativ-22-07-2020/" TargetMode="External"/><Relationship Id="rId1662" Type="http://schemas.openxmlformats.org/officeDocument/2006/relationships/hyperlink" Target="https://stirioficiale.ro/informatii/buletin-de-presa-29-iulie-2020-ora-13-00" TargetMode="External"/><Relationship Id="rId2506" Type="http://schemas.openxmlformats.org/officeDocument/2006/relationships/hyperlink" Target="http://www.ms.ro/2020/08/09/buletin-informativ-09-08-2020" TargetMode="External"/><Relationship Id="rId1108" Type="http://schemas.openxmlformats.org/officeDocument/2006/relationships/hyperlink" Target="http://www.ms.ro/2020/05/27/buletin-informativ-26-05-2020-2/" TargetMode="External"/><Relationship Id="rId1315" Type="http://schemas.openxmlformats.org/officeDocument/2006/relationships/hyperlink" Target="http://www.ms.ro/2020/06/19/buletin-informativ-19-06-2020/" TargetMode="External"/><Relationship Id="rId2713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2920" Type="http://schemas.openxmlformats.org/officeDocument/2006/relationships/hyperlink" Target="http://www.ms.ro/2020/08/13/buletin-informativ-13-08-2020" TargetMode="External"/><Relationship Id="rId1522" Type="http://schemas.openxmlformats.org/officeDocument/2006/relationships/hyperlink" Target="https://stirioficiale.ro/informatii/buletin-de-presa-24-iulie-2020-ora-13-00" TargetMode="External"/><Relationship Id="rId21" Type="http://schemas.openxmlformats.org/officeDocument/2006/relationships/hyperlink" Target="http://www.ms.ro/2020/04/16/decese-373-387/" TargetMode="External"/><Relationship Id="rId2089" Type="http://schemas.openxmlformats.org/officeDocument/2006/relationships/hyperlink" Target="https://stirioficiale.ro/informatii/buletin-de-presa-4-august-2020-ora-13-00" TargetMode="External"/><Relationship Id="rId3487" Type="http://schemas.openxmlformats.org/officeDocument/2006/relationships/hyperlink" Target="https://www.ebihoreanul.ro/stiri/coronavirus-in-bihor-inca-doua-decese-si-45-de-cazuri-noi-vezi-din-ce-localitati-158277.html" TargetMode="External"/><Relationship Id="rId3694" Type="http://schemas.openxmlformats.org/officeDocument/2006/relationships/hyperlink" Target="http://www.ms.ro/2020/08/20/buletin-informativ-20-08-2020" TargetMode="External"/><Relationship Id="rId2296" Type="http://schemas.openxmlformats.org/officeDocument/2006/relationships/hyperlink" Target="http://www.ms.ro/2020/08/07/buletin-informativ-07-08-2020/" TargetMode="External"/><Relationship Id="rId3347" Type="http://schemas.openxmlformats.org/officeDocument/2006/relationships/hyperlink" Target="https://www.ebihoreanul.ro/stiri/coronavirus-in-bihor-inca-trei-decese-inregistrate-50-de-cazuri-noi-diagnosticate-nicio-persoana-vindecata-158239.html" TargetMode="External"/><Relationship Id="rId3554" Type="http://schemas.openxmlformats.org/officeDocument/2006/relationships/hyperlink" Target="http://www.ms.ro/2020/08/19/buletin-informativ-19-08-2020" TargetMode="External"/><Relationship Id="rId3761" Type="http://schemas.openxmlformats.org/officeDocument/2006/relationships/hyperlink" Target="https://www.ebihoreanul.ro/stiri/record-alarmant-in-bihor-inca-85-de-cazuri-noi-de-covid-si-inca-doua-decese-158311.html" TargetMode="External"/><Relationship Id="rId268" Type="http://schemas.openxmlformats.org/officeDocument/2006/relationships/hyperlink" Target="https://stirioficiale.ro/informatii/buletin-de-presa-13-aprilie-2020-ora-13-96" TargetMode="External"/><Relationship Id="rId475" Type="http://schemas.openxmlformats.org/officeDocument/2006/relationships/hyperlink" Target="https://stirioficiale.ro/informatii/buletin-de-presa-20-aprilie-2020-ora-13-00" TargetMode="External"/><Relationship Id="rId682" Type="http://schemas.openxmlformats.org/officeDocument/2006/relationships/hyperlink" Target="https://stirioficiale.ro/informatii/buletin-de-presa-24-aprilie-2020-ora-13-00" TargetMode="External"/><Relationship Id="rId2156" Type="http://schemas.openxmlformats.org/officeDocument/2006/relationships/hyperlink" Target="http://www.ms.ro/2020/08/05/buletin-informativ-05-08-2020/" TargetMode="External"/><Relationship Id="rId2363" Type="http://schemas.openxmlformats.org/officeDocument/2006/relationships/hyperlink" Target="https://www.ebihoreanul.ro/stiri/a-patra-zi-la-rand-cu-decese-covid-in-bihor-si-53-noi-imbolnaviri-in-ultimele-24-de-ore-158087.html" TargetMode="External"/><Relationship Id="rId2570" Type="http://schemas.openxmlformats.org/officeDocument/2006/relationships/hyperlink" Target="http://www.ms.ro/2020/08/09/buletin-informativ-09-08-2020" TargetMode="External"/><Relationship Id="rId3207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3414" Type="http://schemas.openxmlformats.org/officeDocument/2006/relationships/hyperlink" Target="http://www.ms.ro/2020/08/18/buletin-informativ-18-08-2020" TargetMode="External"/><Relationship Id="rId3621" Type="http://schemas.openxmlformats.org/officeDocument/2006/relationships/hyperlink" Target="https://www.ebihoreanul.ro/stiri/record-alarmant-in-bihor-inca-85-de-cazuri-noi-de-covid-si-inca-doua-decese-158311.html" TargetMode="External"/><Relationship Id="rId128" Type="http://schemas.openxmlformats.org/officeDocument/2006/relationships/hyperlink" Target="https://stirioficiale.ro/informatii/buletin-de-presa-11-aprilie-2020-ora-13-71" TargetMode="External"/><Relationship Id="rId335" Type="http://schemas.openxmlformats.org/officeDocument/2006/relationships/hyperlink" Target="https://stirioficiale.ro/informatii/buletin-de-presa-14-aprilie-2020-ora-13-29" TargetMode="External"/><Relationship Id="rId542" Type="http://schemas.openxmlformats.org/officeDocument/2006/relationships/hyperlink" Target="http://www.ms.ro/2020/04/21/buletin-informativ-21-04-2020/" TargetMode="External"/><Relationship Id="rId1172" Type="http://schemas.openxmlformats.org/officeDocument/2006/relationships/hyperlink" Target="http://www.ms.ro/2020/05/31/buletin-informativ-31-05-2020/" TargetMode="External"/><Relationship Id="rId2016" Type="http://schemas.openxmlformats.org/officeDocument/2006/relationships/hyperlink" Target="https://www.ebihoreanul.ro/stiri/inca-50-de-cazuri-de-covid-19-in-bihor-in-urma-testelor-facute-duminica-157998.html" TargetMode="External"/><Relationship Id="rId2223" Type="http://schemas.openxmlformats.org/officeDocument/2006/relationships/hyperlink" Target="https://www.ebihoreanul.ro/stiri/institutii-si-firme-din-bihor-inchise-dupa-depistarea-unor-angajati-cu-covid-la-electrica-oradea-toata-conducerea-este-in-izolare-158052.html" TargetMode="External"/><Relationship Id="rId2430" Type="http://schemas.openxmlformats.org/officeDocument/2006/relationships/hyperlink" Target="http://www.ms.ro/2020/08/08/buletin-informativ-08-08-2020" TargetMode="External"/><Relationship Id="rId402" Type="http://schemas.openxmlformats.org/officeDocument/2006/relationships/hyperlink" Target="http://www.ms.ro/2020/04/16/buletin-informativ-16-04-2020/" TargetMode="External"/><Relationship Id="rId1032" Type="http://schemas.openxmlformats.org/officeDocument/2006/relationships/hyperlink" Target="http://www.ms.ro/2020/05/19/buletin-informativ-19-05-2020/" TargetMode="External"/><Relationship Id="rId4188" Type="http://schemas.openxmlformats.org/officeDocument/2006/relationships/hyperlink" Target="http://www.ms.ro/2020/08/26/buletin-informativ-26-08-2020" TargetMode="External"/><Relationship Id="rId1989" Type="http://schemas.openxmlformats.org/officeDocument/2006/relationships/hyperlink" Target="https://www.ebihoreanul.ro/stiri/inca-50-de-cazuri-de-covid-19-in-bihor-in-urma-testelor-facute-duminica-157998.html" TargetMode="External"/><Relationship Id="rId4048" Type="http://schemas.openxmlformats.org/officeDocument/2006/relationships/hyperlink" Target="http://www.ms.ro/2020/08/23/buletin-informativ-23-08-2020" TargetMode="External"/><Relationship Id="rId1849" Type="http://schemas.openxmlformats.org/officeDocument/2006/relationships/hyperlink" Target="http://www.ms.ro/2020/08/01/buletin-informativ-01-08-2020/" TargetMode="External"/><Relationship Id="rId3064" Type="http://schemas.openxmlformats.org/officeDocument/2006/relationships/hyperlink" Target="http://www.ms.ro/2020/08/14/buletin-informativ-14-08-2020" TargetMode="External"/><Relationship Id="rId192" Type="http://schemas.openxmlformats.org/officeDocument/2006/relationships/hyperlink" Target="https://stirioficiale.ro/informatii/buletin-de-presa-13-aprilie-2020-ora-13-58" TargetMode="External"/><Relationship Id="rId1709" Type="http://schemas.openxmlformats.org/officeDocument/2006/relationships/hyperlink" Target="http://www.ms.ro/2020/07/30/buletin-informativ-30-07-2020/" TargetMode="External"/><Relationship Id="rId1916" Type="http://schemas.openxmlformats.org/officeDocument/2006/relationships/hyperlink" Target="https://stirioficiale.ro/informatii/buletin-de-presa-2-august-2020-ora-13-00" TargetMode="External"/><Relationship Id="rId3271" Type="http://schemas.openxmlformats.org/officeDocument/2006/relationships/hyperlink" Target="https://www.ebihoreanul.ro/stiri/coronavirus-in-bihor-inca-trei-decese-inregistrate-50-de-cazuri-noi-diagnosticate-nicio-persoana-vindecata-158239.html" TargetMode="External"/><Relationship Id="rId4115" Type="http://schemas.openxmlformats.org/officeDocument/2006/relationships/hyperlink" Target="https://www.ebihoreanul.ro/stiri/record-de-decese-covid-in-romania-58-intr-o-singura-zi-in-bihor-au-murit-3-oameni-iar-alti-37-au-fost-diagnosticati-aproape-100-de-pacienti-vindecati-158383.html" TargetMode="External"/><Relationship Id="rId2080" Type="http://schemas.openxmlformats.org/officeDocument/2006/relationships/hyperlink" Target="http://www.ms.ro/2020/08/03/buletin-informativ-03-08-2020/" TargetMode="External"/><Relationship Id="rId3131" Type="http://schemas.openxmlformats.org/officeDocument/2006/relationships/hyperlink" Target="https://www.ebihoreanul.ro/stiri/inca-56-de-cazuri-de-coronavirus-in-bihor-158211.html" TargetMode="External"/><Relationship Id="rId2897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3948" Type="http://schemas.openxmlformats.org/officeDocument/2006/relationships/hyperlink" Target="http://www.ms.ro/2020/08/22/buletin-informativ-22-08-2020" TargetMode="External"/><Relationship Id="rId869" Type="http://schemas.openxmlformats.org/officeDocument/2006/relationships/hyperlink" Target="http://www.ms.ro/2020/04/30/buletin-informativ-30-04-2020/" TargetMode="External"/><Relationship Id="rId1499" Type="http://schemas.openxmlformats.org/officeDocument/2006/relationships/hyperlink" Target="http://www.ms.ro/2020/07/23/buletin-informativ-23-07-2020/" TargetMode="External"/><Relationship Id="rId729" Type="http://schemas.openxmlformats.org/officeDocument/2006/relationships/hyperlink" Target="http://www.ms.ro/2020/04/27/buletin-informativ-27-04-2020/" TargetMode="External"/><Relationship Id="rId1359" Type="http://schemas.openxmlformats.org/officeDocument/2006/relationships/hyperlink" Target="http://www.ms.ro/2020/07/05/buletin-informativ-05-07-2020/" TargetMode="External"/><Relationship Id="rId2757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2964" Type="http://schemas.openxmlformats.org/officeDocument/2006/relationships/hyperlink" Target="http://www.ms.ro/2020/08/13/buletin-informativ-13-08-2020" TargetMode="External"/><Relationship Id="rId3808" Type="http://schemas.openxmlformats.org/officeDocument/2006/relationships/hyperlink" Target="http://www.ms.ro/2020/08/21/buletin-informativ-21-08-2020" TargetMode="External"/><Relationship Id="rId936" Type="http://schemas.openxmlformats.org/officeDocument/2006/relationships/hyperlink" Target="https://stirioficiale.ro/informatii/buletin-de-presa-3-mai-2020-ora-13-00" TargetMode="External"/><Relationship Id="rId1219" Type="http://schemas.openxmlformats.org/officeDocument/2006/relationships/hyperlink" Target="https://stirioficiale.ro/informatii/buletin-de-presa-1-iunie-2020-ora-13-00" TargetMode="External"/><Relationship Id="rId1566" Type="http://schemas.openxmlformats.org/officeDocument/2006/relationships/hyperlink" Target="https://www.ebihoreanul.ro/stiri/inca-26-noi-cazuri-covid-depistate-in-bihor-intre-care-un-brancardier-si-o-asistenta-revenita-dupa-un-concediu-in-grecia-157871.html" TargetMode="External"/><Relationship Id="rId1773" Type="http://schemas.openxmlformats.org/officeDocument/2006/relationships/hyperlink" Target="http://www.ms.ro/2020/07/30/buletin-informativ-30-07-2020/" TargetMode="External"/><Relationship Id="rId1980" Type="http://schemas.openxmlformats.org/officeDocument/2006/relationships/hyperlink" Target="https://www.ebihoreanul.ro/stiri/inca-50-de-cazuri-de-covid-19-in-bihor-in-urma-testelor-facute-duminica-157998.html" TargetMode="External"/><Relationship Id="rId2617" Type="http://schemas.openxmlformats.org/officeDocument/2006/relationships/hyperlink" Target="https://www.ebihoreanul.ro/stiri/nc-un-deces-i-37-de-noi-mbolnviri-de-covid-19-n-bihor-o-parte-a-spitalului-din-beiu-va-trata-bolnavi-cu-covid-din-cauza-cazurilor-multe-din-zon-158138.html" TargetMode="External"/><Relationship Id="rId2824" Type="http://schemas.openxmlformats.org/officeDocument/2006/relationships/hyperlink" Target="http://www.ms.ro/2020/08/12/buletin-informativ-12-08-2020" TargetMode="External"/><Relationship Id="rId65" Type="http://schemas.openxmlformats.org/officeDocument/2006/relationships/hyperlink" Target="https://stirioficiale.ro/informatii/informare-de-presa-30-aprilie-2020-ora-18-08" TargetMode="External"/><Relationship Id="rId1426" Type="http://schemas.openxmlformats.org/officeDocument/2006/relationships/hyperlink" Target="https://stirioficiale.ro/informatii/buletin-de-presa-16-iulie-2020-ora-13-00" TargetMode="External"/><Relationship Id="rId1633" Type="http://schemas.openxmlformats.org/officeDocument/2006/relationships/hyperlink" Target="http://www.ms.ro/2020/07/28/buletin-informativ-28-07-2020/" TargetMode="External"/><Relationship Id="rId1840" Type="http://schemas.openxmlformats.org/officeDocument/2006/relationships/hyperlink" Target="https://www.ebihoreanul.ro/stiri/nou-record-covid-in-bihor-52-de-cazuri-noi-157971.html" TargetMode="External"/><Relationship Id="rId1700" Type="http://schemas.openxmlformats.org/officeDocument/2006/relationships/hyperlink" Target="https://stirioficiale.ro/informatii/buletin-de-presa-30-iulie-2020-ora-13-00" TargetMode="External"/><Relationship Id="rId3598" Type="http://schemas.openxmlformats.org/officeDocument/2006/relationships/hyperlink" Target="http://www.ms.ro/2020/08/19/buletin-informativ-19-08-2020" TargetMode="External"/><Relationship Id="rId3458" Type="http://schemas.openxmlformats.org/officeDocument/2006/relationships/hyperlink" Target="http://www.ms.ro/2020/08/18/buletin-informativ-18-08-2020" TargetMode="External"/><Relationship Id="rId3665" Type="http://schemas.openxmlformats.org/officeDocument/2006/relationships/hyperlink" Target="https://www.ebihoreanul.ro/stiri/record-alarmant-in-bihor-inca-85-de-cazuri-noi-de-covid-si-inca-doua-decese-158311.html" TargetMode="External"/><Relationship Id="rId3872" Type="http://schemas.openxmlformats.org/officeDocument/2006/relationships/hyperlink" Target="http://www.ms.ro/2020/08/21/buletin-informativ-21-08-2020" TargetMode="External"/><Relationship Id="rId379" Type="http://schemas.openxmlformats.org/officeDocument/2006/relationships/hyperlink" Target="https://stirioficiale.ro/informatii/buletin-de-presa-16-aprilie-2020-ora-13-61" TargetMode="External"/><Relationship Id="rId586" Type="http://schemas.openxmlformats.org/officeDocument/2006/relationships/hyperlink" Target="https://stirioficiale.ro/informatii/buletin-de-presa-22-aprilie-2020-ora-13-47" TargetMode="External"/><Relationship Id="rId793" Type="http://schemas.openxmlformats.org/officeDocument/2006/relationships/hyperlink" Target="http://www.ms.ro/2020/04/27/buletin-informativ-27-04-2020/" TargetMode="External"/><Relationship Id="rId2267" Type="http://schemas.openxmlformats.org/officeDocument/2006/relationships/hyperlink" Target="https://www.ebihoreanul.ro/stiri/a-treia-zi-consecutiva-cu-decese-covid-in-bihor-si-inca-35-noi-imbolnaviri-raportate-oficial-pentru-ultimele-24-de-ore-158069.html" TargetMode="External"/><Relationship Id="rId2474" Type="http://schemas.openxmlformats.org/officeDocument/2006/relationships/hyperlink" Target="http://www.ms.ro/2020/08/08/buletin-informativ-08-08-2020" TargetMode="External"/><Relationship Id="rId2681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3318" Type="http://schemas.openxmlformats.org/officeDocument/2006/relationships/hyperlink" Target="http://www.ms.ro/2020/08/16/buletin-informativ-16-08-2020" TargetMode="External"/><Relationship Id="rId3525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239" Type="http://schemas.openxmlformats.org/officeDocument/2006/relationships/hyperlink" Target="http://www.ms.ro/2020/04/13/buletin-informativ-13-04-2020/" TargetMode="External"/><Relationship Id="rId446" Type="http://schemas.openxmlformats.org/officeDocument/2006/relationships/hyperlink" Target="http://www.ms.ro/2020/04/20/buletin-informativ-20-04-2020/" TargetMode="External"/><Relationship Id="rId653" Type="http://schemas.openxmlformats.org/officeDocument/2006/relationships/hyperlink" Target="http://www.ms.ro/2020/04/23/buletin-informativ-23-04-2020/" TargetMode="External"/><Relationship Id="rId1076" Type="http://schemas.openxmlformats.org/officeDocument/2006/relationships/hyperlink" Target="https://stirioficiale.ro/informatii/buletin-de-presa-23-mai-2020-ora-13-00" TargetMode="External"/><Relationship Id="rId1283" Type="http://schemas.openxmlformats.org/officeDocument/2006/relationships/hyperlink" Target="http://www.ms.ro/2020/06/07/buletin-informativ-07-06-2020/" TargetMode="External"/><Relationship Id="rId1490" Type="http://schemas.openxmlformats.org/officeDocument/2006/relationships/hyperlink" Target="https://stirioficiale.ro/informatii/buletin-de-presa-23-iulie-2020-ora-13-00" TargetMode="External"/><Relationship Id="rId2127" Type="http://schemas.openxmlformats.org/officeDocument/2006/relationships/hyperlink" Target="https://www.ebihoreanul.ro/stiri/record-dupa-record-in-bihor-intr-o-singura-zi-3-morti-si-59-noi-imbolnaviri-cu-covid-158047.html" TargetMode="External"/><Relationship Id="rId2334" Type="http://schemas.openxmlformats.org/officeDocument/2006/relationships/hyperlink" Target="http://www.ms.ro/2020/08/07/buletin-informativ-07-08-2020/" TargetMode="External"/><Relationship Id="rId3732" Type="http://schemas.openxmlformats.org/officeDocument/2006/relationships/hyperlink" Target="http://www.ms.ro/2020/08/20/buletin-informativ-20-08-2020" TargetMode="External"/><Relationship Id="rId306" Type="http://schemas.openxmlformats.org/officeDocument/2006/relationships/hyperlink" Target="https://stirioficiale.ro/informatii/buletin-de-presa-13-aprilie-2020-ora-13-115" TargetMode="External"/><Relationship Id="rId860" Type="http://schemas.openxmlformats.org/officeDocument/2006/relationships/hyperlink" Target="http://www.ms.ro/2020/04/29/buletin-informativ-29-04-2020/" TargetMode="External"/><Relationship Id="rId1143" Type="http://schemas.openxmlformats.org/officeDocument/2006/relationships/hyperlink" Target="https://www.bihon.ro/stirile-judetului-bihor/plexus-confirma-4-angajati-pozitivi-covid-19-inchid-fabrica-temporar-2293555/" TargetMode="External"/><Relationship Id="rId2541" Type="http://schemas.openxmlformats.org/officeDocument/2006/relationships/hyperlink" Target="https://stirioficiale.ro/informatii/buletin-de-presa-9-august-2020-ora-13-00" TargetMode="External"/><Relationship Id="rId513" Type="http://schemas.openxmlformats.org/officeDocument/2006/relationships/hyperlink" Target="https://stirioficiale.ro/informatii/buletin-de-presa-21-aprilie-2020-ora-13-32" TargetMode="External"/><Relationship Id="rId720" Type="http://schemas.openxmlformats.org/officeDocument/2006/relationships/hyperlink" Target="https://stirioficiale.ro/informatii/buletin-de-presa-26-aprilie-2020-ora-13-00" TargetMode="External"/><Relationship Id="rId1350" Type="http://schemas.openxmlformats.org/officeDocument/2006/relationships/hyperlink" Target="https://stirioficiale.ro/informatii/buletin-de-presa-4-iulie-2020-ora-13-00" TargetMode="External"/><Relationship Id="rId2401" Type="http://schemas.openxmlformats.org/officeDocument/2006/relationships/hyperlink" Target="https://stirioficiale.ro/informatii/buletin-de-presa-8-august-2020-ora-13-00" TargetMode="External"/><Relationship Id="rId4159" Type="http://schemas.openxmlformats.org/officeDocument/2006/relationships/hyperlink" Target="https://www.ebihoreanul.ro/stiri/record-de-decese-covid-in-romania-58-intr-o-singura-zi-in-bihor-au-murit-3-oameni-iar-alti-37-au-fost-diagnosticati-aproape-100-de-pacienti-vindecati-158383.html" TargetMode="External"/><Relationship Id="rId1003" Type="http://schemas.openxmlformats.org/officeDocument/2006/relationships/hyperlink" Target="http://www.ms.ro/2020/05/16/buletin-informativ-16-05-2020/" TargetMode="External"/><Relationship Id="rId1210" Type="http://schemas.openxmlformats.org/officeDocument/2006/relationships/hyperlink" Target="http://www.ms.ro/2020/05/31/buletin-informativ-31-05-2020/" TargetMode="External"/><Relationship Id="rId3175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3382" Type="http://schemas.openxmlformats.org/officeDocument/2006/relationships/hyperlink" Target="http://www.ms.ro/2020/08/17/buletin-informativ-17-08-2020" TargetMode="External"/><Relationship Id="rId4019" Type="http://schemas.openxmlformats.org/officeDocument/2006/relationships/hyperlink" Target="https://www.ebihoreanul.ro/stiri/a-fost-depasit-pragul-de-2000-de-cazuri-covid-19diagnosticate-in-bihor-158350.html" TargetMode="External"/><Relationship Id="rId4226" Type="http://schemas.openxmlformats.org/officeDocument/2006/relationships/hyperlink" Target="http://www.ms.ro/2020/08/26/buletin-informativ-26-08-2020" TargetMode="External"/><Relationship Id="rId2191" Type="http://schemas.openxmlformats.org/officeDocument/2006/relationships/hyperlink" Target="https://www.ebihoreanul.ro/stiri/record-dupa-record-in-bihor-intr-o-singura-zi-3-morti-si-59-noi-imbolnaviri-cu-covid-158047.html" TargetMode="External"/><Relationship Id="rId3035" Type="http://schemas.openxmlformats.org/officeDocument/2006/relationships/hyperlink" Target="https://www.ebihoreanul.ro/stiri/inca-56-de-cazuri-de-coronavirus-in-bihor-158211.html" TargetMode="External"/><Relationship Id="rId3242" Type="http://schemas.openxmlformats.org/officeDocument/2006/relationships/hyperlink" Target="http://www.ms.ro/2020/08/15/33355/" TargetMode="External"/><Relationship Id="rId163" Type="http://schemas.openxmlformats.org/officeDocument/2006/relationships/hyperlink" Target="http://www.ms.ro/2020/04/13/buletin-informativ-13-04-2020/" TargetMode="External"/><Relationship Id="rId370" Type="http://schemas.openxmlformats.org/officeDocument/2006/relationships/hyperlink" Target="http://www.ms.ro/2020/04/16/buletin-informativ-16-04-2020/" TargetMode="External"/><Relationship Id="rId2051" Type="http://schemas.openxmlformats.org/officeDocument/2006/relationships/hyperlink" Target="https://stirioficiale.ro/informatii/buletin-de-presa-3-august-2020-ora-13-00" TargetMode="External"/><Relationship Id="rId3102" Type="http://schemas.openxmlformats.org/officeDocument/2006/relationships/hyperlink" Target="http://www.ms.ro/2020/08/14/buletin-informativ-14-08-2020" TargetMode="External"/><Relationship Id="rId230" Type="http://schemas.openxmlformats.org/officeDocument/2006/relationships/hyperlink" Target="https://stirioficiale.ro/informatii/buletin-de-presa-13-aprilie-2020-ora-13-77" TargetMode="External"/><Relationship Id="rId2868" Type="http://schemas.openxmlformats.org/officeDocument/2006/relationships/hyperlink" Target="http://www.ms.ro/2020/08/12/buletin-informativ-12-08-2020" TargetMode="External"/><Relationship Id="rId3919" Type="http://schemas.openxmlformats.org/officeDocument/2006/relationships/hyperlink" Target="https://www.ebihoreanul.ro/stiri/niciun-deces-in-bihor-si-zeci-de-pacienti-covid-vindecati-dar-si-40-noi-imbolnaviri-inclusiv-angajati-ai-maternitatii-si-spitalului-militar-158339.html" TargetMode="External"/><Relationship Id="rId4083" Type="http://schemas.openxmlformats.org/officeDocument/2006/relationships/hyperlink" Target="https://www.ebihoreanul.ro/stiri/inca-trei-decese-ale-unor-pacienti-infectati-cu-covid-19-in-bihor-cazuri-noi-de-imbolnavire-dar-si-multe-vindecari-158365.html" TargetMode="External"/><Relationship Id="rId1677" Type="http://schemas.openxmlformats.org/officeDocument/2006/relationships/hyperlink" Target="http://www.ms.ro/2020/07/29/buletin-informativ-29-07-2020/" TargetMode="External"/><Relationship Id="rId1884" Type="http://schemas.openxmlformats.org/officeDocument/2006/relationships/hyperlink" Target="https://stirioficiale.ro/informatii/informare-de-presa-01-august-2020" TargetMode="External"/><Relationship Id="rId2728" Type="http://schemas.openxmlformats.org/officeDocument/2006/relationships/hyperlink" Target="http://www.ms.ro/2020/08/11/buletin-informativ-11-08-2020" TargetMode="External"/><Relationship Id="rId2935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907" Type="http://schemas.openxmlformats.org/officeDocument/2006/relationships/hyperlink" Target="http://www.ms.ro/2020/05/01/buletin-informativ-01-05-2020/" TargetMode="External"/><Relationship Id="rId1537" Type="http://schemas.openxmlformats.org/officeDocument/2006/relationships/hyperlink" Target="http://www.ms.ro/2020/07/25/buletin-informativ-25-07-2020/" TargetMode="External"/><Relationship Id="rId1744" Type="http://schemas.openxmlformats.org/officeDocument/2006/relationships/hyperlink" Target="https://stirioficiale.ro/informatii/buletin-de-presa-30-iulie-2020-ora-13-00" TargetMode="External"/><Relationship Id="rId1951" Type="http://schemas.openxmlformats.org/officeDocument/2006/relationships/hyperlink" Target="http://www.ms.ro/2020/08/02/buletin-informativ-02-08-2020/" TargetMode="External"/><Relationship Id="rId4150" Type="http://schemas.openxmlformats.org/officeDocument/2006/relationships/hyperlink" Target="http://www.ms.ro/2020/08/25/buletin-informativ-25-08-2020" TargetMode="External"/><Relationship Id="rId36" Type="http://schemas.openxmlformats.org/officeDocument/2006/relationships/hyperlink" Target="https://stirioficiale.ro/informatii/buletin-de-presa-2-aprilie-2020-ora-13-01" TargetMode="External"/><Relationship Id="rId1604" Type="http://schemas.openxmlformats.org/officeDocument/2006/relationships/hyperlink" Target="https://www.ebihoreanul.ro/stiri/inca-26-noi-cazuri-covid-depistate-in-bihor-intre-care-un-brancardier-si-o-asistenta-revenita-dupa-un-concediu-in-grecia-157871.html" TargetMode="External"/><Relationship Id="rId4010" Type="http://schemas.openxmlformats.org/officeDocument/2006/relationships/hyperlink" Target="http://www.ms.ro/2020/08/23/buletin-informativ-23-08-2020" TargetMode="External"/><Relationship Id="rId1811" Type="http://schemas.openxmlformats.org/officeDocument/2006/relationships/hyperlink" Target="http://www.ms.ro/2020/07/31/buletin-informativ-31-07-2020/" TargetMode="External"/><Relationship Id="rId3569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697" Type="http://schemas.openxmlformats.org/officeDocument/2006/relationships/hyperlink" Target="http://www.ms.ro/2020/04/25/buletin-informativ-25-04-2020/" TargetMode="External"/><Relationship Id="rId2378" Type="http://schemas.openxmlformats.org/officeDocument/2006/relationships/hyperlink" Target="http://www.ms.ro/2020/08/07/buletin-informativ-07-08-2020/" TargetMode="External"/><Relationship Id="rId3429" Type="http://schemas.openxmlformats.org/officeDocument/2006/relationships/hyperlink" Target="https://www.ebihoreanul.ro/stiri/coronavirus-in-bihor-inca-doua-decese-si-45-de-cazuri-noi-vezi-din-ce-localitati-158277.html" TargetMode="External"/><Relationship Id="rId3776" Type="http://schemas.openxmlformats.org/officeDocument/2006/relationships/hyperlink" Target="http://www.ms.ro/2020/08/20/buletin-informativ-20-08-2020" TargetMode="External"/><Relationship Id="rId3983" Type="http://schemas.openxmlformats.org/officeDocument/2006/relationships/hyperlink" Target="https://www.ebihoreanul.ro/stiri/niciun-deces-in-bihor-si-zeci-de-pacienti-covid-vindecati-dar-si-40-noi-imbolnaviri-inclusiv-angajati-ai-maternitatii-si-spitalului-militar-158339.html" TargetMode="External"/><Relationship Id="rId1187" Type="http://schemas.openxmlformats.org/officeDocument/2006/relationships/hyperlink" Target="https://www.bihon.ro/stirile-judetului-bihor/rezultatul-testarii-la-plexus-21-de-angajati-pozitivi-covid-19-iata-ce-masuri-ia-compania-americana-2295625/" TargetMode="External"/><Relationship Id="rId2585" Type="http://schemas.openxmlformats.org/officeDocument/2006/relationships/hyperlink" Target="https://stirioficiale.ro/informatii/buletin-de-presa-9-august-2020-ora-13-00" TargetMode="External"/><Relationship Id="rId2792" Type="http://schemas.openxmlformats.org/officeDocument/2006/relationships/hyperlink" Target="http://www.ms.ro/2020/08/12/buletin-informativ-12-08-2020" TargetMode="External"/><Relationship Id="rId3636" Type="http://schemas.openxmlformats.org/officeDocument/2006/relationships/hyperlink" Target="http://www.ms.ro/2020/08/20/buletin-informativ-20-08-2020" TargetMode="External"/><Relationship Id="rId3843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557" Type="http://schemas.openxmlformats.org/officeDocument/2006/relationships/hyperlink" Target="https://stirioficiale.ro/informatii/buletin-de-presa-22-aprilie-2020-ora-13-33" TargetMode="External"/><Relationship Id="rId764" Type="http://schemas.openxmlformats.org/officeDocument/2006/relationships/hyperlink" Target="https://stirioficiale.ro/informatii/buletin-de-presa-27-aprilie-2020-ora-13-00" TargetMode="External"/><Relationship Id="rId971" Type="http://schemas.openxmlformats.org/officeDocument/2006/relationships/hyperlink" Target="https://www.bihon.ro/stirile-judetului-bihor/angajati-confirmati-cu-coronavirus-in-parcul-industrial-de-pe-borsului-2284463/" TargetMode="External"/><Relationship Id="rId1394" Type="http://schemas.openxmlformats.org/officeDocument/2006/relationships/hyperlink" Target="https://stirioficiale.ro/informatii/buletin-de-presa-8-iulie-2020-ora-13-00" TargetMode="External"/><Relationship Id="rId2238" Type="http://schemas.openxmlformats.org/officeDocument/2006/relationships/hyperlink" Target="http://www.ms.ro/2020/08/06/buletin-informativ-06-08-2020/" TargetMode="External"/><Relationship Id="rId2445" Type="http://schemas.openxmlformats.org/officeDocument/2006/relationships/hyperlink" Target="https://stirioficiale.ro/informatii/buletin-de-presa-8-august-2020-ora-13-00" TargetMode="External"/><Relationship Id="rId2652" Type="http://schemas.openxmlformats.org/officeDocument/2006/relationships/hyperlink" Target="http://www.ms.ro/2020/08/10/buletin-informativ-10-08-2020" TargetMode="External"/><Relationship Id="rId3703" Type="http://schemas.openxmlformats.org/officeDocument/2006/relationships/hyperlink" Target="https://www.ebihoreanul.ro/stiri/record-alarmant-in-bihor-inca-85-de-cazuri-noi-de-covid-si-inca-doua-decese-158311.html" TargetMode="External"/><Relationship Id="rId3910" Type="http://schemas.openxmlformats.org/officeDocument/2006/relationships/hyperlink" Target="http://www.ms.ro/2020/08/21/buletin-informativ-21-08-2020" TargetMode="External"/><Relationship Id="rId417" Type="http://schemas.openxmlformats.org/officeDocument/2006/relationships/hyperlink" Target="https://stirioficiale.ro/informatii/buletin-de-presa-18-aprilie-2020-ora-13-46" TargetMode="External"/><Relationship Id="rId624" Type="http://schemas.openxmlformats.org/officeDocument/2006/relationships/hyperlink" Target="https://stirioficiale.ro/informatii/buletin-de-presa-22-aprilie-2020-ora-13-66" TargetMode="External"/><Relationship Id="rId831" Type="http://schemas.openxmlformats.org/officeDocument/2006/relationships/hyperlink" Target="http://www.ms.ro/2020/04/28/buletin-informativ-28-04-2020/" TargetMode="External"/><Relationship Id="rId1047" Type="http://schemas.openxmlformats.org/officeDocument/2006/relationships/hyperlink" Target="https://stirioficiale.ro/informatii/buletin-de-presa-21-mai-2020-ora-13-00" TargetMode="External"/><Relationship Id="rId1254" Type="http://schemas.openxmlformats.org/officeDocument/2006/relationships/hyperlink" Target="https://stirioficiale.ro/informatii/buletin-de-presa-4-iunie-2020-ora-13-00" TargetMode="External"/><Relationship Id="rId1461" Type="http://schemas.openxmlformats.org/officeDocument/2006/relationships/hyperlink" Target="http://www.ms.ro/2020/07/22/buletin-informativ-22-07-2020/" TargetMode="External"/><Relationship Id="rId2305" Type="http://schemas.openxmlformats.org/officeDocument/2006/relationships/hyperlink" Target="https://www.ebihoreanul.ro/stiri/a-patra-zi-la-rand-cu-decese-covid-in-bihor-si-53-noi-imbolnaviri-in-ultimele-24-de-ore-158087.html" TargetMode="External"/><Relationship Id="rId2512" Type="http://schemas.openxmlformats.org/officeDocument/2006/relationships/hyperlink" Target="http://www.ms.ro/2020/08/09/buletin-informativ-09-08-2020" TargetMode="External"/><Relationship Id="rId1114" Type="http://schemas.openxmlformats.org/officeDocument/2006/relationships/hyperlink" Target="http://www.ms.ro/2020/05/27/buletin-informativ-26-05-2020-2/" TargetMode="External"/><Relationship Id="rId1321" Type="http://schemas.openxmlformats.org/officeDocument/2006/relationships/hyperlink" Target="http://www.ms.ro/2020/06/19/buletin-informativ-19-06-2020/" TargetMode="External"/><Relationship Id="rId3079" Type="http://schemas.openxmlformats.org/officeDocument/2006/relationships/hyperlink" Target="https://www.ebihoreanul.ro/stiri/inca-56-de-cazuri-de-coronavirus-in-bihor-158211.html" TargetMode="External"/><Relationship Id="rId3286" Type="http://schemas.openxmlformats.org/officeDocument/2006/relationships/hyperlink" Target="http://www.ms.ro/2020/08/16/buletin-informativ-16-08-2020" TargetMode="External"/><Relationship Id="rId3493" Type="http://schemas.openxmlformats.org/officeDocument/2006/relationships/hyperlink" Target="https://www.ebihoreanul.ro/stiri/coronavirus-in-bihor-inca-doua-decese-si-45-de-cazuri-noi-vezi-din-ce-localitati-158277.html" TargetMode="External"/><Relationship Id="rId2095" Type="http://schemas.openxmlformats.org/officeDocument/2006/relationships/hyperlink" Target="https://stirioficiale.ro/informatii/buletin-de-presa-4-august-2020-ora-13-00" TargetMode="External"/><Relationship Id="rId3146" Type="http://schemas.openxmlformats.org/officeDocument/2006/relationships/hyperlink" Target="http://www.ms.ro/2020/08/15/33355/" TargetMode="External"/><Relationship Id="rId3353" Type="http://schemas.openxmlformats.org/officeDocument/2006/relationships/hyperlink" Target="https://www.ebihoreanul.ro/stiri/dupa-doua-saptamani-numarul-imbolnavirilor-covid-scade-in-bihor-31-noi-infectari-dar-si-un-deces-158256.html" TargetMode="External"/><Relationship Id="rId274" Type="http://schemas.openxmlformats.org/officeDocument/2006/relationships/hyperlink" Target="https://stirioficiale.ro/informatii/buletin-de-presa-13-aprilie-2020-ora-13-99" TargetMode="External"/><Relationship Id="rId481" Type="http://schemas.openxmlformats.org/officeDocument/2006/relationships/hyperlink" Target="https://stirioficiale.ro/informatii/buletin-de-presa-20-aprilie-2020-ora-13-00" TargetMode="External"/><Relationship Id="rId2162" Type="http://schemas.openxmlformats.org/officeDocument/2006/relationships/hyperlink" Target="http://www.ms.ro/2020/08/05/buletin-informativ-05-08-2020/" TargetMode="External"/><Relationship Id="rId3006" Type="http://schemas.openxmlformats.org/officeDocument/2006/relationships/hyperlink" Target="http://www.ms.ro/2020/08/13/buletin-informativ-13-08-2020" TargetMode="External"/><Relationship Id="rId3560" Type="http://schemas.openxmlformats.org/officeDocument/2006/relationships/hyperlink" Target="http://www.ms.ro/2020/08/19/buletin-informativ-19-08-2020" TargetMode="External"/><Relationship Id="rId134" Type="http://schemas.openxmlformats.org/officeDocument/2006/relationships/hyperlink" Target="https://stirioficiale.ro/informatii/buletin-de-presa-13-aprilie-2020-ora-13-29" TargetMode="External"/><Relationship Id="rId3213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3420" Type="http://schemas.openxmlformats.org/officeDocument/2006/relationships/hyperlink" Target="http://www.ms.ro/2020/08/18/buletin-informativ-18-08-2020" TargetMode="External"/><Relationship Id="rId341" Type="http://schemas.openxmlformats.org/officeDocument/2006/relationships/hyperlink" Target="https://stirioficiale.ro/informatii/buletin-de-presa-14-aprilie-2020-ora-13-32" TargetMode="External"/><Relationship Id="rId2022" Type="http://schemas.openxmlformats.org/officeDocument/2006/relationships/hyperlink" Target="http://www.ms.ro/2020/08/03/buletin-informativ-03-08-2020/" TargetMode="External"/><Relationship Id="rId2979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201" Type="http://schemas.openxmlformats.org/officeDocument/2006/relationships/hyperlink" Target="http://www.ms.ro/2020/04/13/buletin-informativ-13-04-2020/" TargetMode="External"/><Relationship Id="rId1788" Type="http://schemas.openxmlformats.org/officeDocument/2006/relationships/hyperlink" Target="https://stirioficiale.ro/informatii/buletin-de-presa-31-iulie-2020-ora-13-00" TargetMode="External"/><Relationship Id="rId1995" Type="http://schemas.openxmlformats.org/officeDocument/2006/relationships/hyperlink" Target="https://www.ebihoreanul.ro/stiri/inca-50-de-cazuri-de-covid-19-in-bihor-in-urma-testelor-facute-duminica-157998.html" TargetMode="External"/><Relationship Id="rId2839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4194" Type="http://schemas.openxmlformats.org/officeDocument/2006/relationships/hyperlink" Target="http://www.ms.ro/2020/08/26/buletin-informativ-26-08-2020" TargetMode="External"/><Relationship Id="rId1648" Type="http://schemas.openxmlformats.org/officeDocument/2006/relationships/hyperlink" Target="https://stirioficiale.ro/informatii/buletin-de-presa-28-iulie-2020-ora-13-00" TargetMode="External"/><Relationship Id="rId4054" Type="http://schemas.openxmlformats.org/officeDocument/2006/relationships/hyperlink" Target="http://www.ms.ro/2020/08/23/buletin-informativ-23-08-2020" TargetMode="External"/><Relationship Id="rId1508" Type="http://schemas.openxmlformats.org/officeDocument/2006/relationships/hyperlink" Target="https://stirioficiale.ro/informatii/buletin-de-presa-24-iulie-2020-ora-13-00" TargetMode="External"/><Relationship Id="rId1855" Type="http://schemas.openxmlformats.org/officeDocument/2006/relationships/hyperlink" Target="http://www.ms.ro/2020/08/01/buletin-informativ-01-08-2020/" TargetMode="External"/><Relationship Id="rId2906" Type="http://schemas.openxmlformats.org/officeDocument/2006/relationships/hyperlink" Target="http://www.ms.ro/2020/08/13/buletin-informativ-13-08-2020" TargetMode="External"/><Relationship Id="rId3070" Type="http://schemas.openxmlformats.org/officeDocument/2006/relationships/hyperlink" Target="http://www.ms.ro/2020/08/14/buletin-informativ-14-08-2020" TargetMode="External"/><Relationship Id="rId4121" Type="http://schemas.openxmlformats.org/officeDocument/2006/relationships/hyperlink" Target="https://www.ebihoreanul.ro/stiri/record-de-decese-covid-in-romania-58-intr-o-singura-zi-in-bihor-au-murit-3-oameni-iar-alti-37-au-fost-diagnosticati-aproape-100-de-pacienti-vindecati-158383.html" TargetMode="External"/><Relationship Id="rId1715" Type="http://schemas.openxmlformats.org/officeDocument/2006/relationships/hyperlink" Target="http://www.ms.ro/2020/07/30/buletin-informativ-30-07-2020/" TargetMode="External"/><Relationship Id="rId1922" Type="http://schemas.openxmlformats.org/officeDocument/2006/relationships/hyperlink" Target="https://stirioficiale.ro/informatii/buletin-de-presa-2-august-2020-ora-13-00" TargetMode="External"/><Relationship Id="rId3887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2489" Type="http://schemas.openxmlformats.org/officeDocument/2006/relationships/hyperlink" Target="https://stirioficiale.ro/informatii/buletin-de-presa-8-august-2020-ora-13-00" TargetMode="External"/><Relationship Id="rId2696" Type="http://schemas.openxmlformats.org/officeDocument/2006/relationships/hyperlink" Target="http://www.ms.ro/2020/08/11/buletin-informativ-11-08-2020" TargetMode="External"/><Relationship Id="rId3747" Type="http://schemas.openxmlformats.org/officeDocument/2006/relationships/hyperlink" Target="https://www.ebihoreanul.ro/stiri/record-alarmant-in-bihor-inca-85-de-cazuri-noi-de-covid-si-inca-doua-decese-158311.html" TargetMode="External"/><Relationship Id="rId3954" Type="http://schemas.openxmlformats.org/officeDocument/2006/relationships/hyperlink" Target="http://www.ms.ro/2020/08/22/buletin-informativ-22-08-2020" TargetMode="External"/><Relationship Id="rId668" Type="http://schemas.openxmlformats.org/officeDocument/2006/relationships/hyperlink" Target="https://stirioficiale.ro/informatii/buletin-de-presa-24-aprilie-2020-ora-13-00" TargetMode="External"/><Relationship Id="rId875" Type="http://schemas.openxmlformats.org/officeDocument/2006/relationships/hyperlink" Target="http://www.ms.ro/2020/04/30/buletin-informativ-30-04-2020/" TargetMode="External"/><Relationship Id="rId1298" Type="http://schemas.openxmlformats.org/officeDocument/2006/relationships/hyperlink" Target="https://stirioficiale.ro/informatii/buletin-de-presa-13-iunie-2020-ora-13-00" TargetMode="External"/><Relationship Id="rId2349" Type="http://schemas.openxmlformats.org/officeDocument/2006/relationships/hyperlink" Target="https://www.ebihoreanul.ro/stiri/a-patra-zi-la-rand-cu-decese-covid-in-bihor-si-53-noi-imbolnaviri-in-ultimele-24-de-ore-158087.html" TargetMode="External"/><Relationship Id="rId2556" Type="http://schemas.openxmlformats.org/officeDocument/2006/relationships/hyperlink" Target="http://www.ms.ro/2020/08/09/buletin-informativ-09-08-2020" TargetMode="External"/><Relationship Id="rId2763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2970" Type="http://schemas.openxmlformats.org/officeDocument/2006/relationships/hyperlink" Target="http://www.ms.ro/2020/08/13/buletin-informativ-13-08-2020" TargetMode="External"/><Relationship Id="rId3607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3814" Type="http://schemas.openxmlformats.org/officeDocument/2006/relationships/hyperlink" Target="http://www.ms.ro/2020/08/21/buletin-informativ-21-08-2020" TargetMode="External"/><Relationship Id="rId528" Type="http://schemas.openxmlformats.org/officeDocument/2006/relationships/hyperlink" Target="http://www.ms.ro/2020/04/21/buletin-informativ-21-04-2020/" TargetMode="External"/><Relationship Id="rId735" Type="http://schemas.openxmlformats.org/officeDocument/2006/relationships/hyperlink" Target="http://www.ms.ro/2020/04/27/buletin-informativ-27-04-2020/" TargetMode="External"/><Relationship Id="rId942" Type="http://schemas.openxmlformats.org/officeDocument/2006/relationships/hyperlink" Target="https://stirioficiale.ro/informatii/buletin-de-presa-3-mai-2020-ora-13-00" TargetMode="External"/><Relationship Id="rId1158" Type="http://schemas.openxmlformats.org/officeDocument/2006/relationships/hyperlink" Target="http://www.ms.ro/2020/05/29/buletin-informativ-29-05-2020/" TargetMode="External"/><Relationship Id="rId1365" Type="http://schemas.openxmlformats.org/officeDocument/2006/relationships/hyperlink" Target="http://www.ms.ro/2020/07/05/buletin-informativ-05-07-2020/" TargetMode="External"/><Relationship Id="rId1572" Type="http://schemas.openxmlformats.org/officeDocument/2006/relationships/hyperlink" Target="https://www.ebihoreanul.ro/stiri/inca-26-noi-cazuri-covid-depistate-in-bihor-intre-care-un-brancardier-si-o-asistenta-revenita-dupa-un-concediu-in-grecia-157871.html" TargetMode="External"/><Relationship Id="rId2209" Type="http://schemas.openxmlformats.org/officeDocument/2006/relationships/hyperlink" Target="https://www.ebihoreanul.ro/stiri/record-dupa-record-in-bihor-intr-o-singura-zi-3-morti-si-59-noi-imbolnaviri-cu-covid-158047.html" TargetMode="External"/><Relationship Id="rId2416" Type="http://schemas.openxmlformats.org/officeDocument/2006/relationships/hyperlink" Target="http://www.ms.ro/2020/08/08/buletin-informativ-08-08-2020" TargetMode="External"/><Relationship Id="rId2623" Type="http://schemas.openxmlformats.org/officeDocument/2006/relationships/hyperlink" Target="https://www.ebihoreanul.ro/stiri/nc-un-deces-i-37-de-noi-mbolnviri-de-covid-19-n-bihor-o-parte-a-spitalului-din-beiu-va-trata-bolnavi-cu-covid-din-cauza-cazurilor-multe-din-zon-158138.html" TargetMode="External"/><Relationship Id="rId1018" Type="http://schemas.openxmlformats.org/officeDocument/2006/relationships/hyperlink" Target="https://stirioficiale.ro/informatii/buletin-de-presa-18-mai-2020-ora-13-00" TargetMode="External"/><Relationship Id="rId1225" Type="http://schemas.openxmlformats.org/officeDocument/2006/relationships/hyperlink" Target="https://stirioficiale.ro/informatii/buletin-de-presa-2-iunie-2020-ora-13-00" TargetMode="External"/><Relationship Id="rId1432" Type="http://schemas.openxmlformats.org/officeDocument/2006/relationships/hyperlink" Target="https://www.ebihoreanul.ro/stiri/doua-noi-cazuri-de-coronavirus-in-bihor-o-fetita-de-12-ani-si-o-femeie-internata-direct-la-terapie-intensiva-157694.html" TargetMode="External"/><Relationship Id="rId2830" Type="http://schemas.openxmlformats.org/officeDocument/2006/relationships/hyperlink" Target="http://www.ms.ro/2020/08/12/buletin-informativ-12-08-2020" TargetMode="External"/><Relationship Id="rId71" Type="http://schemas.openxmlformats.org/officeDocument/2006/relationships/hyperlink" Target="https://stirioficiale.ro/informatii/buletin-de-presa-7-aprilie-2020-ora-13-34" TargetMode="External"/><Relationship Id="rId802" Type="http://schemas.openxmlformats.org/officeDocument/2006/relationships/hyperlink" Target="https://stirioficiale.ro/informatii/buletin-de-presa-28-aprilie-2020-ora-13-00" TargetMode="External"/><Relationship Id="rId3397" Type="http://schemas.openxmlformats.org/officeDocument/2006/relationships/hyperlink" Target="https://www.ebihoreanul.ro/stiri/dupa-doua-saptamani-numarul-imbolnavirilor-covid-scade-in-bihor-31-noi-infectari-dar-si-un-deces-158256.html" TargetMode="External"/><Relationship Id="rId178" Type="http://schemas.openxmlformats.org/officeDocument/2006/relationships/hyperlink" Target="https://stirioficiale.ro/informatii/buletin-de-presa-13-aprilie-2020-ora-13-51" TargetMode="External"/><Relationship Id="rId3257" Type="http://schemas.openxmlformats.org/officeDocument/2006/relationships/hyperlink" Target="https://www.ebihoreanul.ro/stiri/coronavirus-in-bihor-inca-trei-decese-inregistrate-50-de-cazuri-noi-diagnosticate-nicio-persoana-vindecata-158239.html" TargetMode="External"/><Relationship Id="rId3464" Type="http://schemas.openxmlformats.org/officeDocument/2006/relationships/hyperlink" Target="http://www.ms.ro/2020/08/18/buletin-informativ-18-08-2020" TargetMode="External"/><Relationship Id="rId3671" Type="http://schemas.openxmlformats.org/officeDocument/2006/relationships/hyperlink" Target="https://www.ebihoreanul.ro/stiri/record-alarmant-in-bihor-inca-85-de-cazuri-noi-de-covid-si-inca-doua-decese-158311.html" TargetMode="External"/><Relationship Id="rId385" Type="http://schemas.openxmlformats.org/officeDocument/2006/relationships/hyperlink" Target="https://stirioficiale.ro/informatii/buletin-de-presa-16-aprilie-2020-ora-13-64" TargetMode="External"/><Relationship Id="rId592" Type="http://schemas.openxmlformats.org/officeDocument/2006/relationships/hyperlink" Target="https://stirioficiale.ro/informatii/buletin-de-presa-22-aprilie-2020-ora-13-50" TargetMode="External"/><Relationship Id="rId2066" Type="http://schemas.openxmlformats.org/officeDocument/2006/relationships/hyperlink" Target="http://www.ms.ro/2020/08/03/buletin-informativ-03-08-2020/" TargetMode="External"/><Relationship Id="rId2273" Type="http://schemas.openxmlformats.org/officeDocument/2006/relationships/hyperlink" Target="https://www.ebihoreanul.ro/stiri/a-treia-zi-consecutiva-cu-decese-covid-in-bihor-si-inca-35-noi-imbolnaviri-raportate-oficial-pentru-ultimele-24-de-ore-158069.html" TargetMode="External"/><Relationship Id="rId2480" Type="http://schemas.openxmlformats.org/officeDocument/2006/relationships/hyperlink" Target="http://www.ms.ro/2020/08/08/buletin-informativ-08-08-2020" TargetMode="External"/><Relationship Id="rId3117" Type="http://schemas.openxmlformats.org/officeDocument/2006/relationships/hyperlink" Target="https://www.ebihoreanul.ro/stiri/inca-56-de-cazuri-de-coronavirus-in-bihor-158211.html" TargetMode="External"/><Relationship Id="rId3324" Type="http://schemas.openxmlformats.org/officeDocument/2006/relationships/hyperlink" Target="http://www.ms.ro/2020/08/16/buletin-informativ-16-08-2020" TargetMode="External"/><Relationship Id="rId3531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245" Type="http://schemas.openxmlformats.org/officeDocument/2006/relationships/hyperlink" Target="http://www.ms.ro/2020/04/13/buletin-informativ-13-04-2020/" TargetMode="External"/><Relationship Id="rId452" Type="http://schemas.openxmlformats.org/officeDocument/2006/relationships/hyperlink" Target="http://www.ms.ro/2020/04/20/buletin-informativ-20-04-2020/" TargetMode="External"/><Relationship Id="rId1082" Type="http://schemas.openxmlformats.org/officeDocument/2006/relationships/hyperlink" Target="https://stirioficiale.ro/informatii/buletin-de-presa-23-mai-2020-ora-13-00" TargetMode="External"/><Relationship Id="rId2133" Type="http://schemas.openxmlformats.org/officeDocument/2006/relationships/hyperlink" Target="https://www.ebihoreanul.ro/stiri/record-dupa-record-in-bihor-intr-o-singura-zi-3-morti-si-59-noi-imbolnaviri-cu-covid-158047.html" TargetMode="External"/><Relationship Id="rId2340" Type="http://schemas.openxmlformats.org/officeDocument/2006/relationships/hyperlink" Target="http://www.ms.ro/2020/08/07/buletin-informativ-07-08-2020/" TargetMode="External"/><Relationship Id="rId105" Type="http://schemas.openxmlformats.org/officeDocument/2006/relationships/hyperlink" Target="https://stirioficiale.ro/informatii/buletin-de-presa-11-aprilie-2020-ora-13-60" TargetMode="External"/><Relationship Id="rId312" Type="http://schemas.openxmlformats.org/officeDocument/2006/relationships/hyperlink" Target="https://stirioficiale.ro/informatii/buletin-de-presa-13-aprilie-2020-ora-13-118" TargetMode="External"/><Relationship Id="rId2200" Type="http://schemas.openxmlformats.org/officeDocument/2006/relationships/hyperlink" Target="http://www.ms.ro/2020/08/05/buletin-informativ-05-08-2020/" TargetMode="External"/><Relationship Id="rId4098" Type="http://schemas.openxmlformats.org/officeDocument/2006/relationships/hyperlink" Target="http://www.ms.ro/2020/08/24/buletin-informativ-24-08-2020" TargetMode="External"/><Relationship Id="rId1899" Type="http://schemas.openxmlformats.org/officeDocument/2006/relationships/hyperlink" Target="http://www.ms.ro/2020/08/01/buletin-informativ-01-08-2020/" TargetMode="External"/><Relationship Id="rId4165" Type="http://schemas.openxmlformats.org/officeDocument/2006/relationships/hyperlink" Target="https://www.ebihoreanul.ro/stiri/record-de-decese-covid-in-romania-58-intr-o-singura-zi-in-bihor-au-murit-3-oameni-iar-alti-37-au-fost-diagnosticati-aproape-100-de-pacienti-vindecati-158383.html" TargetMode="External"/><Relationship Id="rId1759" Type="http://schemas.openxmlformats.org/officeDocument/2006/relationships/hyperlink" Target="http://www.ms.ro/2020/07/30/buletin-informativ-30-07-2020/" TargetMode="External"/><Relationship Id="rId1966" Type="http://schemas.openxmlformats.org/officeDocument/2006/relationships/hyperlink" Target="https://www.ebihoreanul.ro/stiri/inca-50-de-cazuri-de-covid-19-in-bihor-in-urma-testelor-facute-duminica-157998.html" TargetMode="External"/><Relationship Id="rId3181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4025" Type="http://schemas.openxmlformats.org/officeDocument/2006/relationships/hyperlink" Target="https://www.ebihoreanul.ro/stiri/a-fost-depasit-pragul-de-2000-de-cazuri-covid-19diagnosticate-in-bihor-158350.html" TargetMode="External"/><Relationship Id="rId1619" Type="http://schemas.openxmlformats.org/officeDocument/2006/relationships/hyperlink" Target="http://www.ms.ro/2020/07/28/buletin-informativ-28-07-2020/" TargetMode="External"/><Relationship Id="rId1826" Type="http://schemas.openxmlformats.org/officeDocument/2006/relationships/hyperlink" Target="https://stirioficiale.ro/informatii/buletin-de-presa-31-iulie-2020-ora-13-00" TargetMode="External"/><Relationship Id="rId4232" Type="http://schemas.openxmlformats.org/officeDocument/2006/relationships/hyperlink" Target="http://www.ms.ro/2020/08/26/buletin-informativ-26-08-2020" TargetMode="External"/><Relationship Id="rId3041" Type="http://schemas.openxmlformats.org/officeDocument/2006/relationships/hyperlink" Target="https://www.ebihoreanul.ro/stiri/inca-56-de-cazuri-de-coronavirus-in-bihor-158211.html" TargetMode="External"/><Relationship Id="rId3998" Type="http://schemas.openxmlformats.org/officeDocument/2006/relationships/hyperlink" Target="http://www.ms.ro/2020/08/23/buletin-informativ-23-08-2020" TargetMode="External"/><Relationship Id="rId3858" Type="http://schemas.openxmlformats.org/officeDocument/2006/relationships/hyperlink" Target="http://www.ms.ro/2020/08/21/buletin-informativ-21-08-2020" TargetMode="External"/><Relationship Id="rId779" Type="http://schemas.openxmlformats.org/officeDocument/2006/relationships/hyperlink" Target="http://www.ms.ro/2020/04/27/buletin-informativ-27-04-2020/" TargetMode="External"/><Relationship Id="rId986" Type="http://schemas.openxmlformats.org/officeDocument/2006/relationships/hyperlink" Target="http://www.ms.ro/2020/05/14/buletin-informativ-14-05-2020/" TargetMode="External"/><Relationship Id="rId2667" Type="http://schemas.openxmlformats.org/officeDocument/2006/relationships/hyperlink" Target="https://www.ebihoreanul.ro/stiri/nc-un-deces-i-37-de-noi-mbolnviri-de-covid-19-n-bihor-o-parte-a-spitalului-din-beiu-va-trata-bolnavi-cu-covid-din-cauza-cazurilor-multe-din-zon-158138.html" TargetMode="External"/><Relationship Id="rId3718" Type="http://schemas.openxmlformats.org/officeDocument/2006/relationships/hyperlink" Target="http://www.ms.ro/2020/08/20/buletin-informativ-20-08-2020" TargetMode="External"/><Relationship Id="rId639" Type="http://schemas.openxmlformats.org/officeDocument/2006/relationships/hyperlink" Target="http://www.ms.ro/2020/04/22/buletin-informativ-22-04-2020/" TargetMode="External"/><Relationship Id="rId1269" Type="http://schemas.openxmlformats.org/officeDocument/2006/relationships/hyperlink" Target="http://www.ms.ro/2020/06/06/buletin-informativ-06-06-2020/" TargetMode="External"/><Relationship Id="rId1476" Type="http://schemas.openxmlformats.org/officeDocument/2006/relationships/hyperlink" Target="https://stirioficiale.ro/informatii/buletin-de-presa-23-iulie-2020-ora-13-00" TargetMode="External"/><Relationship Id="rId2874" Type="http://schemas.openxmlformats.org/officeDocument/2006/relationships/hyperlink" Target="http://www.ms.ro/2020/08/12/buletin-informativ-12-08-2020" TargetMode="External"/><Relationship Id="rId3925" Type="http://schemas.openxmlformats.org/officeDocument/2006/relationships/hyperlink" Target="https://www.ebihoreanul.ro/stiri/niciun-deces-in-bihor-si-zeci-de-pacienti-covid-vindecati-dar-si-40-noi-imbolnaviri-inclusiv-angajati-ai-maternitatii-si-spitalului-militar-158339.html" TargetMode="External"/><Relationship Id="rId846" Type="http://schemas.openxmlformats.org/officeDocument/2006/relationships/hyperlink" Target="http://www.ms.ro/2020/04/29/buletin-informativ-29-04-2020/" TargetMode="External"/><Relationship Id="rId1129" Type="http://schemas.openxmlformats.org/officeDocument/2006/relationships/hyperlink" Target="https://stirioficiale.ro/informatii/buletin-de-presa-28-mai-2020-ora-13-00" TargetMode="External"/><Relationship Id="rId1683" Type="http://schemas.openxmlformats.org/officeDocument/2006/relationships/hyperlink" Target="http://www.ms.ro/2020/07/29/buletin-informativ-29-07-2020/" TargetMode="External"/><Relationship Id="rId1890" Type="http://schemas.openxmlformats.org/officeDocument/2006/relationships/hyperlink" Target="https://stirioficiale.ro/informatii/informare-de-presa-01-august-2020" TargetMode="External"/><Relationship Id="rId2527" Type="http://schemas.openxmlformats.org/officeDocument/2006/relationships/hyperlink" Target="https://stirioficiale.ro/informatii/buletin-de-presa-9-august-2020-ora-13-00" TargetMode="External"/><Relationship Id="rId2734" Type="http://schemas.openxmlformats.org/officeDocument/2006/relationships/hyperlink" Target="http://www.ms.ro/2020/08/11/buletin-informativ-11-08-2020" TargetMode="External"/><Relationship Id="rId2941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706" Type="http://schemas.openxmlformats.org/officeDocument/2006/relationships/hyperlink" Target="https://stirioficiale.ro/informatii/buletin-de-presa-26-aprilie-2020-ora-13-00" TargetMode="External"/><Relationship Id="rId913" Type="http://schemas.openxmlformats.org/officeDocument/2006/relationships/hyperlink" Target="http://www.ms.ro/2020/05/01/buletin-informativ-01-05-2020/" TargetMode="External"/><Relationship Id="rId1336" Type="http://schemas.openxmlformats.org/officeDocument/2006/relationships/hyperlink" Target="https://www.ebihoreanul.ro/stiri/inca-doi-bihoreni-confirmati-cu-coronavirus-intre-care-un-pacient-oncologic-si-altul-cu-afectiuni-pulmonare-157379.html" TargetMode="External"/><Relationship Id="rId1543" Type="http://schemas.openxmlformats.org/officeDocument/2006/relationships/hyperlink" Target="http://www.ms.ro/2020/07/25/buletin-informativ-25-07-2020/" TargetMode="External"/><Relationship Id="rId1750" Type="http://schemas.openxmlformats.org/officeDocument/2006/relationships/hyperlink" Target="https://stirioficiale.ro/informatii/buletin-de-presa-30-iulie-2020-ora-13-00" TargetMode="External"/><Relationship Id="rId2801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42" Type="http://schemas.openxmlformats.org/officeDocument/2006/relationships/hyperlink" Target="https://stirioficiale.ro/informatii/buletin-de-presa-3-aprilie-2020-ora-13-00" TargetMode="External"/><Relationship Id="rId1403" Type="http://schemas.openxmlformats.org/officeDocument/2006/relationships/hyperlink" Target="http://www.ms.ro/2020/07/10/buletin-informativ-10-07-2020/" TargetMode="External"/><Relationship Id="rId1610" Type="http://schemas.openxmlformats.org/officeDocument/2006/relationships/hyperlink" Target="https://www.ebihoreanul.ro/stiri/inca-26-noi-cazuri-covid-depistate-in-bihor-intre-care-un-brancardier-si-o-asistenta-revenita-dupa-un-concediu-in-grecia-157871.html" TargetMode="External"/><Relationship Id="rId3368" Type="http://schemas.openxmlformats.org/officeDocument/2006/relationships/hyperlink" Target="http://www.ms.ro/2020/08/17/buletin-informativ-17-08-2020" TargetMode="External"/><Relationship Id="rId3575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3782" Type="http://schemas.openxmlformats.org/officeDocument/2006/relationships/hyperlink" Target="http://www.ms.ro/2020/08/21/buletin-informativ-21-08-2020" TargetMode="External"/><Relationship Id="rId289" Type="http://schemas.openxmlformats.org/officeDocument/2006/relationships/hyperlink" Target="http://www.ms.ro/2020/04/13/buletin-informativ-13-04-2020/" TargetMode="External"/><Relationship Id="rId496" Type="http://schemas.openxmlformats.org/officeDocument/2006/relationships/hyperlink" Target="http://www.ms.ro/2020/04/21/buletin-informativ-21-04-2020/" TargetMode="External"/><Relationship Id="rId2177" Type="http://schemas.openxmlformats.org/officeDocument/2006/relationships/hyperlink" Target="https://www.ebihoreanul.ro/stiri/record-dupa-record-in-bihor-intr-o-singura-zi-3-morti-si-59-noi-imbolnaviri-cu-covid-158047.html" TargetMode="External"/><Relationship Id="rId2384" Type="http://schemas.openxmlformats.org/officeDocument/2006/relationships/hyperlink" Target="http://www.ms.ro/2020/08/07/buletin-informativ-07-08-2020/" TargetMode="External"/><Relationship Id="rId2591" Type="http://schemas.openxmlformats.org/officeDocument/2006/relationships/hyperlink" Target="https://stirioficiale.ro/informatii/buletin-de-presa-9-august-2020-ora-13-00" TargetMode="External"/><Relationship Id="rId3228" Type="http://schemas.openxmlformats.org/officeDocument/2006/relationships/hyperlink" Target="http://www.ms.ro/2020/08/15/33355/" TargetMode="External"/><Relationship Id="rId3435" Type="http://schemas.openxmlformats.org/officeDocument/2006/relationships/hyperlink" Target="https://www.ebihoreanul.ro/stiri/coronavirus-in-bihor-inca-doua-decese-si-45-de-cazuri-noi-vezi-din-ce-localitati-158277.html" TargetMode="External"/><Relationship Id="rId3642" Type="http://schemas.openxmlformats.org/officeDocument/2006/relationships/hyperlink" Target="http://www.ms.ro/2020/08/20/buletin-informativ-20-08-2020" TargetMode="External"/><Relationship Id="rId149" Type="http://schemas.openxmlformats.org/officeDocument/2006/relationships/hyperlink" Target="http://www.ms.ro/2020/04/13/buletin-informativ-13-04-2020/" TargetMode="External"/><Relationship Id="rId356" Type="http://schemas.openxmlformats.org/officeDocument/2006/relationships/hyperlink" Target="http://www.ms.ro/2020/04/15/buletin-informativ-15-04-2020/" TargetMode="External"/><Relationship Id="rId563" Type="http://schemas.openxmlformats.org/officeDocument/2006/relationships/hyperlink" Target="http://www.ms.ro/2020/04/22/buletin-informativ-22-04-2020/" TargetMode="External"/><Relationship Id="rId770" Type="http://schemas.openxmlformats.org/officeDocument/2006/relationships/hyperlink" Target="https://stirioficiale.ro/informatii/buletin-de-presa-27-aprilie-2020-ora-13-00" TargetMode="External"/><Relationship Id="rId1193" Type="http://schemas.openxmlformats.org/officeDocument/2006/relationships/hyperlink" Target="https://stirioficiale.ro/informatii/buletin-de-presa-31-mai-2020-ora-13-00" TargetMode="External"/><Relationship Id="rId2037" Type="http://schemas.openxmlformats.org/officeDocument/2006/relationships/hyperlink" Target="https://www.ebihoreanul.ro/stiri/inca-50-de-cazuri-de-covid-19-in-bihor-in-urma-testelor-facute-duminica-157998.html" TargetMode="External"/><Relationship Id="rId2244" Type="http://schemas.openxmlformats.org/officeDocument/2006/relationships/hyperlink" Target="http://www.ms.ro/2020/08/06/buletin-informativ-06-08-2020/" TargetMode="External"/><Relationship Id="rId2451" Type="http://schemas.openxmlformats.org/officeDocument/2006/relationships/hyperlink" Target="https://stirioficiale.ro/informatii/buletin-de-presa-8-august-2020-ora-13-00" TargetMode="External"/><Relationship Id="rId216" Type="http://schemas.openxmlformats.org/officeDocument/2006/relationships/hyperlink" Target="https://stirioficiale.ro/informatii/buletin-de-presa-13-aprilie-2020-ora-13-70" TargetMode="External"/><Relationship Id="rId423" Type="http://schemas.openxmlformats.org/officeDocument/2006/relationships/hyperlink" Target="https://stirioficiale.ro/informatii/buletin-de-presa-18-aprilie-2020-ora-13-49" TargetMode="External"/><Relationship Id="rId1053" Type="http://schemas.openxmlformats.org/officeDocument/2006/relationships/hyperlink" Target="http://www.ms.ro/2020/05/22/buletin-informativ-22-05-2020/" TargetMode="External"/><Relationship Id="rId1260" Type="http://schemas.openxmlformats.org/officeDocument/2006/relationships/hyperlink" Target="https://stirioficiale.ro/informatii/buletin-de-presa-5-iunie-2020-ora-13-00" TargetMode="External"/><Relationship Id="rId2104" Type="http://schemas.openxmlformats.org/officeDocument/2006/relationships/hyperlink" Target="http://www.ms.ro/2020/08/04/buletin-informativ-04-08-2020/" TargetMode="External"/><Relationship Id="rId3502" Type="http://schemas.openxmlformats.org/officeDocument/2006/relationships/hyperlink" Target="http://www.ms.ro/2020/08/19/buletin-informativ-19-08-2020" TargetMode="External"/><Relationship Id="rId630" Type="http://schemas.openxmlformats.org/officeDocument/2006/relationships/hyperlink" Target="https://stirioficiale.ro/informatii/buletin-de-presa-22-aprilie-2020-ora-13-69" TargetMode="External"/><Relationship Id="rId2311" Type="http://schemas.openxmlformats.org/officeDocument/2006/relationships/hyperlink" Target="https://www.ebihoreanul.ro/stiri/a-patra-zi-la-rand-cu-decese-covid-in-bihor-si-53-noi-imbolnaviri-in-ultimele-24-de-ore-158087.html" TargetMode="External"/><Relationship Id="rId4069" Type="http://schemas.openxmlformats.org/officeDocument/2006/relationships/hyperlink" Target="https://www.ebihoreanul.ro/stiri/inca-trei-decese-ale-unor-pacienti-infectati-cu-covid-19-in-bihor-cazuri-noi-de-imbolnavire-dar-si-multe-vindecari-158365.html" TargetMode="External"/><Relationship Id="rId1120" Type="http://schemas.openxmlformats.org/officeDocument/2006/relationships/hyperlink" Target="http://www.ms.ro/2020/05/27/buletin-informativ-26-05-2020-2/" TargetMode="External"/><Relationship Id="rId1937" Type="http://schemas.openxmlformats.org/officeDocument/2006/relationships/hyperlink" Target="http://www.ms.ro/2020/08/02/buletin-informativ-02-08-2020/" TargetMode="External"/><Relationship Id="rId3085" Type="http://schemas.openxmlformats.org/officeDocument/2006/relationships/hyperlink" Target="https://www.ebihoreanul.ro/stiri/inca-56-de-cazuri-de-coronavirus-in-bihor-158211.html" TargetMode="External"/><Relationship Id="rId3292" Type="http://schemas.openxmlformats.org/officeDocument/2006/relationships/hyperlink" Target="http://www.ms.ro/2020/08/16/buletin-informativ-16-08-2020" TargetMode="External"/><Relationship Id="rId4136" Type="http://schemas.openxmlformats.org/officeDocument/2006/relationships/hyperlink" Target="http://www.ms.ro/2020/08/25/buletin-informativ-25-08-2020" TargetMode="External"/><Relationship Id="rId3152" Type="http://schemas.openxmlformats.org/officeDocument/2006/relationships/hyperlink" Target="http://www.ms.ro/2020/08/15/33355/" TargetMode="External"/><Relationship Id="rId4203" Type="http://schemas.openxmlformats.org/officeDocument/2006/relationships/hyperlink" Target="https://www.ebihoreanul.ro/stiri/28-de-noi-imbolnaviri-cu-covid-19-in-bihor-inclusiv-in-randul-personalului-upu-smurd-158401.html" TargetMode="External"/><Relationship Id="rId280" Type="http://schemas.openxmlformats.org/officeDocument/2006/relationships/hyperlink" Target="https://stirioficiale.ro/informatii/buletin-de-presa-13-aprilie-2020-ora-13-102" TargetMode="External"/><Relationship Id="rId3012" Type="http://schemas.openxmlformats.org/officeDocument/2006/relationships/hyperlink" Target="http://www.ms.ro/2020/08/13/buletin-informativ-13-08-2020" TargetMode="External"/><Relationship Id="rId140" Type="http://schemas.openxmlformats.org/officeDocument/2006/relationships/hyperlink" Target="https://stirioficiale.ro/informatii/buletin-de-presa-13-aprilie-2020-ora-13-32" TargetMode="External"/><Relationship Id="rId3969" Type="http://schemas.openxmlformats.org/officeDocument/2006/relationships/hyperlink" Target="https://www.ebihoreanul.ro/stiri/niciun-deces-in-bihor-si-zeci-de-pacienti-covid-vindecati-dar-si-40-noi-imbolnaviri-inclusiv-angajati-ai-maternitatii-si-spitalului-militar-158339.html" TargetMode="External"/><Relationship Id="rId6" Type="http://schemas.openxmlformats.org/officeDocument/2006/relationships/hyperlink" Target="https://www.ebihoreanul.ro/stiri/ultima-or-31-1/inca-trei-diagnosticati-cu-coronavirus-in-bihor-familia-primei-oradence-infectate-este-sanatoasa-155330.html" TargetMode="External"/><Relationship Id="rId2778" Type="http://schemas.openxmlformats.org/officeDocument/2006/relationships/hyperlink" Target="http://www.ms.ro/2020/08/11/buletin-informativ-11-08-2020" TargetMode="External"/><Relationship Id="rId2985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3829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957" Type="http://schemas.openxmlformats.org/officeDocument/2006/relationships/hyperlink" Target="http://www.ms.ro/2020/05/06/buletin-informativ-06-05-2020/" TargetMode="External"/><Relationship Id="rId1587" Type="http://schemas.openxmlformats.org/officeDocument/2006/relationships/hyperlink" Target="http://www.ms.ro/2020/07/27/buletin-informativ-27-07-2020/" TargetMode="External"/><Relationship Id="rId1794" Type="http://schemas.openxmlformats.org/officeDocument/2006/relationships/hyperlink" Target="https://stirioficiale.ro/informatii/buletin-de-presa-31-iulie-2020-ora-13-00" TargetMode="External"/><Relationship Id="rId2638" Type="http://schemas.openxmlformats.org/officeDocument/2006/relationships/hyperlink" Target="http://www.ms.ro/2020/08/10/buletin-informativ-10-08-2020" TargetMode="External"/><Relationship Id="rId2845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86" Type="http://schemas.openxmlformats.org/officeDocument/2006/relationships/hyperlink" Target="https://stirioficiale.ro/informatii/buletin-de-presa-9-aprilie-2020-ora-13-00" TargetMode="External"/><Relationship Id="rId817" Type="http://schemas.openxmlformats.org/officeDocument/2006/relationships/hyperlink" Target="http://www.ms.ro/2020/04/28/buletin-informativ-28-04-2020/" TargetMode="External"/><Relationship Id="rId1447" Type="http://schemas.openxmlformats.org/officeDocument/2006/relationships/hyperlink" Target="http://www.ms.ro/2020/07/21/buletin-informativ-21-07-2020/" TargetMode="External"/><Relationship Id="rId1654" Type="http://schemas.openxmlformats.org/officeDocument/2006/relationships/hyperlink" Target="https://stirioficiale.ro/informatii/buletin-de-presa-29-iulie-2020-ora-13-00" TargetMode="External"/><Relationship Id="rId1861" Type="http://schemas.openxmlformats.org/officeDocument/2006/relationships/hyperlink" Target="http://www.ms.ro/2020/08/01/buletin-informativ-01-08-2020/" TargetMode="External"/><Relationship Id="rId2705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2912" Type="http://schemas.openxmlformats.org/officeDocument/2006/relationships/hyperlink" Target="http://www.ms.ro/2020/08/13/buletin-informativ-13-08-2020" TargetMode="External"/><Relationship Id="rId4060" Type="http://schemas.openxmlformats.org/officeDocument/2006/relationships/hyperlink" Target="http://www.ms.ro/2020/08/24/buletin-informativ-24-08-2020" TargetMode="External"/><Relationship Id="rId1307" Type="http://schemas.openxmlformats.org/officeDocument/2006/relationships/hyperlink" Target="http://www.ms.ro/2020/06/14/buletin-informativ-14-06-2020/" TargetMode="External"/><Relationship Id="rId1514" Type="http://schemas.openxmlformats.org/officeDocument/2006/relationships/hyperlink" Target="https://stirioficiale.ro/informatii/buletin-de-presa-24-iulie-2020-ora-13-00" TargetMode="External"/><Relationship Id="rId1721" Type="http://schemas.openxmlformats.org/officeDocument/2006/relationships/hyperlink" Target="http://www.ms.ro/2020/07/30/buletin-informativ-30-07-2020/" TargetMode="External"/><Relationship Id="rId13" Type="http://schemas.openxmlformats.org/officeDocument/2006/relationships/hyperlink" Target="http://www.ms.ro/2020/03/28/buletin-informativ-28-03-2020/" TargetMode="External"/><Relationship Id="rId3479" Type="http://schemas.openxmlformats.org/officeDocument/2006/relationships/hyperlink" Target="https://www.ebihoreanul.ro/stiri/coronavirus-in-bihor-inca-doua-decese-si-45-de-cazuri-noi-vezi-din-ce-localitati-158277.html" TargetMode="External"/><Relationship Id="rId3686" Type="http://schemas.openxmlformats.org/officeDocument/2006/relationships/hyperlink" Target="http://www.ms.ro/2020/08/20/buletin-informativ-20-08-2020" TargetMode="External"/><Relationship Id="rId2288" Type="http://schemas.openxmlformats.org/officeDocument/2006/relationships/hyperlink" Target="http://www.ms.ro/2020/08/06/buletin-informativ-06-08-2020/" TargetMode="External"/><Relationship Id="rId2495" Type="http://schemas.openxmlformats.org/officeDocument/2006/relationships/hyperlink" Target="https://stirioficiale.ro/informatii/buletin-de-presa-9-august-2020-ora-13-00" TargetMode="External"/><Relationship Id="rId3339" Type="http://schemas.openxmlformats.org/officeDocument/2006/relationships/hyperlink" Target="https://www.ebihoreanul.ro/stiri/coronavirus-in-bihor-inca-trei-decese-inregistrate-50-de-cazuri-noi-diagnosticate-nicio-persoana-vindecata-158239.html" TargetMode="External"/><Relationship Id="rId3893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467" Type="http://schemas.openxmlformats.org/officeDocument/2006/relationships/hyperlink" Target="https://stirioficiale.ro/informatii/buletin-de-presa-20-aprilie-2020-ora-13-00" TargetMode="External"/><Relationship Id="rId1097" Type="http://schemas.openxmlformats.org/officeDocument/2006/relationships/hyperlink" Target="http://www.ms.ro/2020/05/27/decese-1224-1227/" TargetMode="External"/><Relationship Id="rId2148" Type="http://schemas.openxmlformats.org/officeDocument/2006/relationships/hyperlink" Target="http://www.ms.ro/2020/08/05/buletin-informativ-05-08-2020/" TargetMode="External"/><Relationship Id="rId3546" Type="http://schemas.openxmlformats.org/officeDocument/2006/relationships/hyperlink" Target="http://www.ms.ro/2020/08/19/buletin-informativ-19-08-2020" TargetMode="External"/><Relationship Id="rId3753" Type="http://schemas.openxmlformats.org/officeDocument/2006/relationships/hyperlink" Target="https://www.ebihoreanul.ro/stiri/record-alarmant-in-bihor-inca-85-de-cazuri-noi-de-covid-si-inca-doua-decese-158311.html" TargetMode="External"/><Relationship Id="rId3960" Type="http://schemas.openxmlformats.org/officeDocument/2006/relationships/hyperlink" Target="http://www.ms.ro/2020/08/22/buletin-informativ-22-08-2020" TargetMode="External"/><Relationship Id="rId674" Type="http://schemas.openxmlformats.org/officeDocument/2006/relationships/hyperlink" Target="https://stirioficiale.ro/informatii/buletin-de-presa-24-aprilie-2020-ora-13-00" TargetMode="External"/><Relationship Id="rId881" Type="http://schemas.openxmlformats.org/officeDocument/2006/relationships/hyperlink" Target="http://www.ms.ro/2020/04/30/buletin-informativ-30-04-2020/" TargetMode="External"/><Relationship Id="rId2355" Type="http://schemas.openxmlformats.org/officeDocument/2006/relationships/hyperlink" Target="https://www.ebihoreanul.ro/stiri/a-patra-zi-la-rand-cu-decese-covid-in-bihor-si-53-noi-imbolnaviri-in-ultimele-24-de-ore-158087.html" TargetMode="External"/><Relationship Id="rId2562" Type="http://schemas.openxmlformats.org/officeDocument/2006/relationships/hyperlink" Target="http://www.ms.ro/2020/08/09/buletin-informativ-09-08-2020" TargetMode="External"/><Relationship Id="rId3406" Type="http://schemas.openxmlformats.org/officeDocument/2006/relationships/hyperlink" Target="http://www.ms.ro/2020/08/17/buletin-informativ-17-08-2020" TargetMode="External"/><Relationship Id="rId3613" Type="http://schemas.openxmlformats.org/officeDocument/2006/relationships/hyperlink" Target="https://www.ebihoreanul.ro/stiri/record-alarmant-in-bihor-inca-85-de-cazuri-noi-de-covid-si-inca-doua-decese-158311.html" TargetMode="External"/><Relationship Id="rId3820" Type="http://schemas.openxmlformats.org/officeDocument/2006/relationships/hyperlink" Target="http://www.ms.ro/2020/08/21/buletin-informativ-21-08-2020" TargetMode="External"/><Relationship Id="rId327" Type="http://schemas.openxmlformats.org/officeDocument/2006/relationships/hyperlink" Target="https://stirioficiale.ro/informatii/buletin-de-presa-14-aprilie-2020-ora-13-25" TargetMode="External"/><Relationship Id="rId534" Type="http://schemas.openxmlformats.org/officeDocument/2006/relationships/hyperlink" Target="http://www.ms.ro/2020/04/21/buletin-informativ-21-04-2020/" TargetMode="External"/><Relationship Id="rId741" Type="http://schemas.openxmlformats.org/officeDocument/2006/relationships/hyperlink" Target="http://www.ms.ro/2020/04/27/buletin-informativ-27-04-2020/" TargetMode="External"/><Relationship Id="rId1164" Type="http://schemas.openxmlformats.org/officeDocument/2006/relationships/hyperlink" Target="http://www.ms.ro/2020/05/30/buletin-informativ-30-05-2020/" TargetMode="External"/><Relationship Id="rId1371" Type="http://schemas.openxmlformats.org/officeDocument/2006/relationships/hyperlink" Target="http://www.ms.ro/2020/07/05/buletin-informativ-05-07-2020/" TargetMode="External"/><Relationship Id="rId2008" Type="http://schemas.openxmlformats.org/officeDocument/2006/relationships/hyperlink" Target="https://www.ebihoreanul.ro/stiri/inca-50-de-cazuri-de-covid-19-in-bihor-in-urma-testelor-facute-duminica-157998.html" TargetMode="External"/><Relationship Id="rId2215" Type="http://schemas.openxmlformats.org/officeDocument/2006/relationships/hyperlink" Target="https://www.ebihoreanul.ro/stiri/record-dupa-record-in-bihor-intr-o-singura-zi-3-morti-si-59-noi-imbolnaviri-cu-covid-158047.html" TargetMode="External"/><Relationship Id="rId2422" Type="http://schemas.openxmlformats.org/officeDocument/2006/relationships/hyperlink" Target="http://www.ms.ro/2020/08/08/buletin-informativ-08-08-2020" TargetMode="External"/><Relationship Id="rId601" Type="http://schemas.openxmlformats.org/officeDocument/2006/relationships/hyperlink" Target="http://www.ms.ro/2020/04/22/buletin-informativ-22-04-2020/" TargetMode="External"/><Relationship Id="rId1024" Type="http://schemas.openxmlformats.org/officeDocument/2006/relationships/hyperlink" Target="http://www.ms.ro/2020/05/19/buletin-informativ-19-05-2020/" TargetMode="External"/><Relationship Id="rId1231" Type="http://schemas.openxmlformats.org/officeDocument/2006/relationships/hyperlink" Target="https://stirioficiale.ro/informatii/buletin-de-presa-2-iunie-2020-ora-13-00" TargetMode="External"/><Relationship Id="rId3196" Type="http://schemas.openxmlformats.org/officeDocument/2006/relationships/hyperlink" Target="http://www.ms.ro/2020/08/15/33355/" TargetMode="External"/><Relationship Id="rId3056" Type="http://schemas.openxmlformats.org/officeDocument/2006/relationships/hyperlink" Target="http://www.ms.ro/2020/08/14/buletin-informativ-14-08-2020" TargetMode="External"/><Relationship Id="rId3263" Type="http://schemas.openxmlformats.org/officeDocument/2006/relationships/hyperlink" Target="https://www.ebihoreanul.ro/stiri/coronavirus-in-bihor-inca-trei-decese-inregistrate-50-de-cazuri-noi-diagnosticate-nicio-persoana-vindecata-158239.html" TargetMode="External"/><Relationship Id="rId3470" Type="http://schemas.openxmlformats.org/officeDocument/2006/relationships/hyperlink" Target="http://www.ms.ro/2020/08/18/buletin-informativ-18-08-2020" TargetMode="External"/><Relationship Id="rId4107" Type="http://schemas.openxmlformats.org/officeDocument/2006/relationships/hyperlink" Target="https://www.ebihoreanul.ro/stiri/inca-trei-decese-ale-unor-pacienti-infectati-cu-covid-19-in-bihor-cazuri-noi-de-imbolnavire-dar-si-multe-vindecari-158365.html" TargetMode="External"/><Relationship Id="rId184" Type="http://schemas.openxmlformats.org/officeDocument/2006/relationships/hyperlink" Target="https://stirioficiale.ro/informatii/buletin-de-presa-13-aprilie-2020-ora-13-54" TargetMode="External"/><Relationship Id="rId391" Type="http://schemas.openxmlformats.org/officeDocument/2006/relationships/hyperlink" Target="https://stirioficiale.ro/informatii/buletin-de-presa-16-aprilie-2020-ora-13-67" TargetMode="External"/><Relationship Id="rId1908" Type="http://schemas.openxmlformats.org/officeDocument/2006/relationships/hyperlink" Target="https://stirioficiale.ro/informatii/informare-de-presa-01-august-2020" TargetMode="External"/><Relationship Id="rId2072" Type="http://schemas.openxmlformats.org/officeDocument/2006/relationships/hyperlink" Target="http://www.ms.ro/2020/08/03/buletin-informativ-03-08-2020/" TargetMode="External"/><Relationship Id="rId3123" Type="http://schemas.openxmlformats.org/officeDocument/2006/relationships/hyperlink" Target="https://www.ebihoreanul.ro/stiri/inca-56-de-cazuri-de-coronavirus-in-bihor-158211.html" TargetMode="External"/><Relationship Id="rId251" Type="http://schemas.openxmlformats.org/officeDocument/2006/relationships/hyperlink" Target="http://www.ms.ro/2020/04/13/buletin-informativ-13-04-2020/" TargetMode="External"/><Relationship Id="rId3330" Type="http://schemas.openxmlformats.org/officeDocument/2006/relationships/hyperlink" Target="http://www.ms.ro/2020/08/16/buletin-informativ-16-08-2020" TargetMode="External"/><Relationship Id="rId2889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111" Type="http://schemas.openxmlformats.org/officeDocument/2006/relationships/hyperlink" Target="http://www.ms.ro/2020/04/11/buletin-informativ-11-04-2020/" TargetMode="External"/><Relationship Id="rId1698" Type="http://schemas.openxmlformats.org/officeDocument/2006/relationships/hyperlink" Target="https://stirioficiale.ro/informatii/buletin-de-presa-30-iulie-2020-ora-13-00" TargetMode="External"/><Relationship Id="rId2749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2956" Type="http://schemas.openxmlformats.org/officeDocument/2006/relationships/hyperlink" Target="http://www.ms.ro/2020/08/13/buletin-informativ-13-08-2020" TargetMode="External"/><Relationship Id="rId928" Type="http://schemas.openxmlformats.org/officeDocument/2006/relationships/hyperlink" Target="https://stirioficiale.ro/informatii/buletin-de-presa-2-mai-2020-ora-13-00" TargetMode="External"/><Relationship Id="rId1558" Type="http://schemas.openxmlformats.org/officeDocument/2006/relationships/hyperlink" Target="https://stirioficiale.ro/informatii/buletin-de-presa-26-iulie-2020-ora-13-00" TargetMode="External"/><Relationship Id="rId1765" Type="http://schemas.openxmlformats.org/officeDocument/2006/relationships/hyperlink" Target="http://www.ms.ro/2020/07/30/buletin-informativ-30-07-2020/" TargetMode="External"/><Relationship Id="rId2609" Type="http://schemas.openxmlformats.org/officeDocument/2006/relationships/hyperlink" Target="https://www.ebihoreanul.ro/stiri/nc-un-deces-i-37-de-noi-mbolnviri-de-covid-19-n-bihor-o-parte-a-spitalului-din-beiu-va-trata-bolnavi-cu-covid-din-cauza-cazurilor-multe-din-zon-158138.html" TargetMode="External"/><Relationship Id="rId4171" Type="http://schemas.openxmlformats.org/officeDocument/2006/relationships/hyperlink" Target="https://www.ebihoreanul.ro/stiri/record-de-decese-covid-in-romania-58-intr-o-singura-zi-in-bihor-au-murit-3-oameni-iar-alti-37-au-fost-diagnosticati-aproape-100-de-pacienti-vindecati-158383.html" TargetMode="External"/><Relationship Id="rId57" Type="http://schemas.openxmlformats.org/officeDocument/2006/relationships/hyperlink" Target="https://stirioficiale.ro/informatii/buletin-de-presa-6-aprilie-2020-ora-13-00" TargetMode="External"/><Relationship Id="rId1418" Type="http://schemas.openxmlformats.org/officeDocument/2006/relationships/hyperlink" Target="https://stirioficiale.ro/informatii/buletin-de-presa-14-iulie-2020-ora-13-00" TargetMode="External"/><Relationship Id="rId1972" Type="http://schemas.openxmlformats.org/officeDocument/2006/relationships/hyperlink" Target="https://www.ebihoreanul.ro/stiri/inca-50-de-cazuri-de-covid-19-in-bihor-in-urma-testelor-facute-duminica-157998.html" TargetMode="External"/><Relationship Id="rId2816" Type="http://schemas.openxmlformats.org/officeDocument/2006/relationships/hyperlink" Target="http://www.ms.ro/2020/08/12/buletin-informativ-12-08-2020" TargetMode="External"/><Relationship Id="rId4031" Type="http://schemas.openxmlformats.org/officeDocument/2006/relationships/hyperlink" Target="https://www.ebihoreanul.ro/stiri/a-fost-depasit-pragul-de-2000-de-cazuri-covid-19diagnosticate-in-bihor-158350.html" TargetMode="External"/><Relationship Id="rId1625" Type="http://schemas.openxmlformats.org/officeDocument/2006/relationships/hyperlink" Target="http://www.ms.ro/2020/07/28/buletin-informativ-28-07-2020/" TargetMode="External"/><Relationship Id="rId1832" Type="http://schemas.openxmlformats.org/officeDocument/2006/relationships/hyperlink" Target="https://stirioficiale.ro/informatii/buletin-de-presa-31-iulie-2020-ora-13-00" TargetMode="External"/><Relationship Id="rId3797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2399" Type="http://schemas.openxmlformats.org/officeDocument/2006/relationships/hyperlink" Target="https://stirioficiale.ro/informatii/buletin-de-presa-8-august-2020-ora-13-00" TargetMode="External"/><Relationship Id="rId3657" Type="http://schemas.openxmlformats.org/officeDocument/2006/relationships/hyperlink" Target="https://www.ebihoreanul.ro/stiri/record-alarmant-in-bihor-inca-85-de-cazuri-noi-de-covid-si-inca-doua-decese-158311.html" TargetMode="External"/><Relationship Id="rId3864" Type="http://schemas.openxmlformats.org/officeDocument/2006/relationships/hyperlink" Target="http://www.ms.ro/2020/08/21/buletin-informativ-21-08-2020" TargetMode="External"/><Relationship Id="rId578" Type="http://schemas.openxmlformats.org/officeDocument/2006/relationships/hyperlink" Target="https://stirioficiale.ro/informatii/buletin-de-presa-22-aprilie-2020-ora-13-43" TargetMode="External"/><Relationship Id="rId785" Type="http://schemas.openxmlformats.org/officeDocument/2006/relationships/hyperlink" Target="http://www.ms.ro/2020/04/27/buletin-informativ-27-04-2020/" TargetMode="External"/><Relationship Id="rId992" Type="http://schemas.openxmlformats.org/officeDocument/2006/relationships/hyperlink" Target="https://www.bihon.ro/stirile-judetului-bihor/angajati-confirmati-cu-coronavirus-in-parcul-industrial-de-pe-borsului-2284463/" TargetMode="External"/><Relationship Id="rId2259" Type="http://schemas.openxmlformats.org/officeDocument/2006/relationships/hyperlink" Target="https://www.ebihoreanul.ro/stiri/a-treia-zi-consecutiva-cu-decese-covid-in-bihor-si-inca-35-noi-imbolnaviri-raportate-oficial-pentru-ultimele-24-de-ore-158069.html" TargetMode="External"/><Relationship Id="rId2466" Type="http://schemas.openxmlformats.org/officeDocument/2006/relationships/hyperlink" Target="http://www.ms.ro/2020/08/08/buletin-informativ-08-08-2020" TargetMode="External"/><Relationship Id="rId2673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2880" Type="http://schemas.openxmlformats.org/officeDocument/2006/relationships/hyperlink" Target="http://www.ms.ro/2020/08/12/buletin-informativ-12-08-2020" TargetMode="External"/><Relationship Id="rId3517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3724" Type="http://schemas.openxmlformats.org/officeDocument/2006/relationships/hyperlink" Target="http://www.ms.ro/2020/08/20/buletin-informativ-20-08-2020" TargetMode="External"/><Relationship Id="rId3931" Type="http://schemas.openxmlformats.org/officeDocument/2006/relationships/hyperlink" Target="https://www.ebihoreanul.ro/stiri/niciun-deces-in-bihor-si-zeci-de-pacienti-covid-vindecati-dar-si-40-noi-imbolnaviri-inclusiv-angajati-ai-maternitatii-si-spitalului-militar-158339.html" TargetMode="External"/><Relationship Id="rId438" Type="http://schemas.openxmlformats.org/officeDocument/2006/relationships/hyperlink" Target="http://www.ms.ro/2020/04/19/buletin-informativ-19-04-2020/" TargetMode="External"/><Relationship Id="rId645" Type="http://schemas.openxmlformats.org/officeDocument/2006/relationships/hyperlink" Target="http://www.ms.ro/2020/04/23/buletin-informativ-23-04-2020/" TargetMode="External"/><Relationship Id="rId852" Type="http://schemas.openxmlformats.org/officeDocument/2006/relationships/hyperlink" Target="http://www.ms.ro/2020/04/29/buletin-informativ-29-04-2020/" TargetMode="External"/><Relationship Id="rId1068" Type="http://schemas.openxmlformats.org/officeDocument/2006/relationships/hyperlink" Target="https://stirioficiale.ro/informatii/buletin-de-presa-22-mai-2020-ora-13-00" TargetMode="External"/><Relationship Id="rId1275" Type="http://schemas.openxmlformats.org/officeDocument/2006/relationships/hyperlink" Target="http://www.ms.ro/2020/06/06/buletin-informativ-06-06-2020/" TargetMode="External"/><Relationship Id="rId1482" Type="http://schemas.openxmlformats.org/officeDocument/2006/relationships/hyperlink" Target="https://stirioficiale.ro/informatii/buletin-de-presa-23-iulie-2020-ora-13-00" TargetMode="External"/><Relationship Id="rId2119" Type="http://schemas.openxmlformats.org/officeDocument/2006/relationships/hyperlink" Target="https://www.ebihoreanul.ro/stiri/record-dupa-record-in-bihor-intr-o-singura-zi-3-morti-si-59-noi-imbolnaviri-cu-covid-158047.html" TargetMode="External"/><Relationship Id="rId2326" Type="http://schemas.openxmlformats.org/officeDocument/2006/relationships/hyperlink" Target="http://www.ms.ro/2020/08/07/buletin-informativ-07-08-2020/" TargetMode="External"/><Relationship Id="rId2533" Type="http://schemas.openxmlformats.org/officeDocument/2006/relationships/hyperlink" Target="https://stirioficiale.ro/informatii/buletin-de-presa-9-august-2020-ora-13-00" TargetMode="External"/><Relationship Id="rId2740" Type="http://schemas.openxmlformats.org/officeDocument/2006/relationships/hyperlink" Target="http://www.ms.ro/2020/08/11/buletin-informativ-11-08-2020" TargetMode="External"/><Relationship Id="rId505" Type="http://schemas.openxmlformats.org/officeDocument/2006/relationships/hyperlink" Target="https://stirioficiale.ro/informatii/buletin-de-presa-21-aprilie-2020-ora-13-28" TargetMode="External"/><Relationship Id="rId712" Type="http://schemas.openxmlformats.org/officeDocument/2006/relationships/hyperlink" Target="https://stirioficiale.ro/informatii/buletin-de-presa-26-aprilie-2020-ora-13-00" TargetMode="External"/><Relationship Id="rId1135" Type="http://schemas.openxmlformats.org/officeDocument/2006/relationships/hyperlink" Target="https://stirioficiale.ro/informatii/buletin-de-presa-28-mai-2020-ora-13-00" TargetMode="External"/><Relationship Id="rId1342" Type="http://schemas.openxmlformats.org/officeDocument/2006/relationships/hyperlink" Target="https://stirioficiale.ro/informatii/buletin-de-presa-4-iulie-2020-ora-13-00" TargetMode="External"/><Relationship Id="rId1202" Type="http://schemas.openxmlformats.org/officeDocument/2006/relationships/hyperlink" Target="http://www.ms.ro/2020/05/31/buletin-informativ-31-05-2020/" TargetMode="External"/><Relationship Id="rId2600" Type="http://schemas.openxmlformats.org/officeDocument/2006/relationships/hyperlink" Target="http://www.ms.ro/2020/08/10/buletin-informativ-10-08-2020" TargetMode="External"/><Relationship Id="rId3167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295" Type="http://schemas.openxmlformats.org/officeDocument/2006/relationships/hyperlink" Target="http://www.ms.ro/2020/04/13/buletin-informativ-13-04-2020/" TargetMode="External"/><Relationship Id="rId3374" Type="http://schemas.openxmlformats.org/officeDocument/2006/relationships/hyperlink" Target="http://www.ms.ro/2020/08/17/buletin-informativ-17-08-2020" TargetMode="External"/><Relationship Id="rId3581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4218" Type="http://schemas.openxmlformats.org/officeDocument/2006/relationships/hyperlink" Target="http://www.ms.ro/2020/08/26/buletin-informativ-26-08-2020" TargetMode="External"/><Relationship Id="rId2183" Type="http://schemas.openxmlformats.org/officeDocument/2006/relationships/hyperlink" Target="https://www.ebihoreanul.ro/stiri/record-dupa-record-in-bihor-intr-o-singura-zi-3-morti-si-59-noi-imbolnaviri-cu-covid-158047.html" TargetMode="External"/><Relationship Id="rId2390" Type="http://schemas.openxmlformats.org/officeDocument/2006/relationships/hyperlink" Target="http://www.ms.ro/2020/08/07/buletin-informativ-07-08-2020/" TargetMode="External"/><Relationship Id="rId3027" Type="http://schemas.openxmlformats.org/officeDocument/2006/relationships/hyperlink" Target="https://www.ebihoreanul.ro/stiri/inca-56-de-cazuri-de-coronavirus-in-bihor-158211.html" TargetMode="External"/><Relationship Id="rId3234" Type="http://schemas.openxmlformats.org/officeDocument/2006/relationships/hyperlink" Target="http://www.ms.ro/2020/08/15/33355/" TargetMode="External"/><Relationship Id="rId3441" Type="http://schemas.openxmlformats.org/officeDocument/2006/relationships/hyperlink" Target="https://www.ebihoreanul.ro/stiri/coronavirus-in-bihor-inca-doua-decese-si-45-de-cazuri-noi-vezi-din-ce-localitati-158277.html" TargetMode="External"/><Relationship Id="rId155" Type="http://schemas.openxmlformats.org/officeDocument/2006/relationships/hyperlink" Target="http://www.ms.ro/2020/04/13/buletin-informativ-13-04-2020/" TargetMode="External"/><Relationship Id="rId362" Type="http://schemas.openxmlformats.org/officeDocument/2006/relationships/hyperlink" Target="http://www.ms.ro/2020/04/15/buletin-informativ-15-04-2020/" TargetMode="External"/><Relationship Id="rId2043" Type="http://schemas.openxmlformats.org/officeDocument/2006/relationships/hyperlink" Target="https://stirioficiale.ro/informatii/buletin-de-presa-3-august-2020-ora-13-00" TargetMode="External"/><Relationship Id="rId2250" Type="http://schemas.openxmlformats.org/officeDocument/2006/relationships/hyperlink" Target="http://www.ms.ro/2020/08/06/buletin-informativ-06-08-2020/" TargetMode="External"/><Relationship Id="rId3301" Type="http://schemas.openxmlformats.org/officeDocument/2006/relationships/hyperlink" Target="https://www.ebihoreanul.ro/stiri/coronavirus-in-bihor-inca-trei-decese-inregistrate-50-de-cazuri-noi-diagnosticate-nicio-persoana-vindecata-158239.html" TargetMode="External"/><Relationship Id="rId222" Type="http://schemas.openxmlformats.org/officeDocument/2006/relationships/hyperlink" Target="https://stirioficiale.ro/informatii/buletin-de-presa-13-aprilie-2020-ora-13-73" TargetMode="External"/><Relationship Id="rId2110" Type="http://schemas.openxmlformats.org/officeDocument/2006/relationships/hyperlink" Target="http://www.ms.ro/2020/08/05/buletin-informativ-05-08-2020/" TargetMode="External"/><Relationship Id="rId4075" Type="http://schemas.openxmlformats.org/officeDocument/2006/relationships/hyperlink" Target="https://www.ebihoreanul.ro/stiri/inca-trei-decese-ale-unor-pacienti-infectati-cu-covid-19-in-bihor-cazuri-noi-de-imbolnavire-dar-si-multe-vindecari-158365.html" TargetMode="External"/><Relationship Id="rId1669" Type="http://schemas.openxmlformats.org/officeDocument/2006/relationships/hyperlink" Target="http://www.ms.ro/2020/07/29/buletin-informativ-29-07-2020/" TargetMode="External"/><Relationship Id="rId1876" Type="http://schemas.openxmlformats.org/officeDocument/2006/relationships/hyperlink" Target="https://stirioficiale.ro/informatii/informare-de-presa-01-august-2020" TargetMode="External"/><Relationship Id="rId2927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3091" Type="http://schemas.openxmlformats.org/officeDocument/2006/relationships/hyperlink" Target="https://www.ebihoreanul.ro/stiri/inca-56-de-cazuri-de-coronavirus-in-bihor-158211.html" TargetMode="External"/><Relationship Id="rId4142" Type="http://schemas.openxmlformats.org/officeDocument/2006/relationships/hyperlink" Target="http://www.ms.ro/2020/08/25/buletin-informativ-25-08-2020" TargetMode="External"/><Relationship Id="rId1529" Type="http://schemas.openxmlformats.org/officeDocument/2006/relationships/hyperlink" Target="http://www.ms.ro/2020/07/25/buletin-informativ-25-07-2020/" TargetMode="External"/><Relationship Id="rId1736" Type="http://schemas.openxmlformats.org/officeDocument/2006/relationships/hyperlink" Target="https://stirioficiale.ro/informatii/buletin-de-presa-30-iulie-2020-ora-13-00" TargetMode="External"/><Relationship Id="rId1943" Type="http://schemas.openxmlformats.org/officeDocument/2006/relationships/hyperlink" Target="http://www.ms.ro/2020/08/02/buletin-informativ-02-08-2020/" TargetMode="External"/><Relationship Id="rId28" Type="http://schemas.openxmlformats.org/officeDocument/2006/relationships/hyperlink" Target="https://stirioficiale.ro/informatii/informare-de-presa-4-mai-2020-ora-10-00am" TargetMode="External"/><Relationship Id="rId1803" Type="http://schemas.openxmlformats.org/officeDocument/2006/relationships/hyperlink" Target="http://www.ms.ro/2020/07/31/buletin-informativ-31-07-2020/" TargetMode="External"/><Relationship Id="rId4002" Type="http://schemas.openxmlformats.org/officeDocument/2006/relationships/hyperlink" Target="http://www.ms.ro/2020/08/23/buletin-informativ-23-08-2020" TargetMode="External"/><Relationship Id="rId3768" Type="http://schemas.openxmlformats.org/officeDocument/2006/relationships/hyperlink" Target="http://www.ms.ro/2020/08/20/buletin-informativ-20-08-2020" TargetMode="External"/><Relationship Id="rId3975" Type="http://schemas.openxmlformats.org/officeDocument/2006/relationships/hyperlink" Target="https://www.ebihoreanul.ro/stiri/niciun-deces-in-bihor-si-zeci-de-pacienti-covid-vindecati-dar-si-40-noi-imbolnaviri-inclusiv-angajati-ai-maternitatii-si-spitalului-militar-158339.html" TargetMode="External"/><Relationship Id="rId689" Type="http://schemas.openxmlformats.org/officeDocument/2006/relationships/hyperlink" Target="http://www.ms.ro/2020/04/24/buletin-informativ-24-04-2020/" TargetMode="External"/><Relationship Id="rId896" Type="http://schemas.openxmlformats.org/officeDocument/2006/relationships/hyperlink" Target="http://www.ms.ro/2020/05/01/buletin-informativ-01-05-2020/" TargetMode="External"/><Relationship Id="rId2577" Type="http://schemas.openxmlformats.org/officeDocument/2006/relationships/hyperlink" Target="https://stirioficiale.ro/informatii/buletin-de-presa-9-august-2020-ora-13-00" TargetMode="External"/><Relationship Id="rId2784" Type="http://schemas.openxmlformats.org/officeDocument/2006/relationships/hyperlink" Target="http://www.ms.ro/2020/08/12/buletin-informativ-12-08-2020" TargetMode="External"/><Relationship Id="rId3628" Type="http://schemas.openxmlformats.org/officeDocument/2006/relationships/hyperlink" Target="http://www.ms.ro/2020/08/20/buletin-informativ-20-08-2020" TargetMode="External"/><Relationship Id="rId549" Type="http://schemas.openxmlformats.org/officeDocument/2006/relationships/hyperlink" Target="https://stirioficiale.ro/informatii/buletin-de-presa-21-aprilie-2020-ora-13-50" TargetMode="External"/><Relationship Id="rId756" Type="http://schemas.openxmlformats.org/officeDocument/2006/relationships/hyperlink" Target="https://stirioficiale.ro/informatii/buletin-de-presa-27-aprilie-2020-ora-13-00" TargetMode="External"/><Relationship Id="rId1179" Type="http://schemas.openxmlformats.org/officeDocument/2006/relationships/hyperlink" Target="https://www.bihon.ro/stirile-judetului-bihor/rezultatul-testarii-la-plexus-21-de-angajati-pozitivi-covid-19-iata-ce-masuri-ia-compania-americana-2295625/" TargetMode="External"/><Relationship Id="rId1386" Type="http://schemas.openxmlformats.org/officeDocument/2006/relationships/hyperlink" Target="https://stirioficiale.ro/informatii/buletin-de-presa-7-iulie-2020-ora-13-00" TargetMode="External"/><Relationship Id="rId1593" Type="http://schemas.openxmlformats.org/officeDocument/2006/relationships/hyperlink" Target="http://www.ms.ro/2020/07/27/buletin-informativ-27-07-2020/" TargetMode="External"/><Relationship Id="rId2437" Type="http://schemas.openxmlformats.org/officeDocument/2006/relationships/hyperlink" Target="https://stirioficiale.ro/informatii/buletin-de-presa-8-august-2020-ora-13-00" TargetMode="External"/><Relationship Id="rId2991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3835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409" Type="http://schemas.openxmlformats.org/officeDocument/2006/relationships/hyperlink" Target="http://www.ms.ro/2020/04/17/buletin-informativ-17-04-2020/" TargetMode="External"/><Relationship Id="rId963" Type="http://schemas.openxmlformats.org/officeDocument/2006/relationships/hyperlink" Target="https://stirioficiale.ro/informatii/buletin-de-presa-8-mai-2020-ora-13-00" TargetMode="External"/><Relationship Id="rId1039" Type="http://schemas.openxmlformats.org/officeDocument/2006/relationships/hyperlink" Target="https://stirioficiale.ro/informatii/buletin-de-presa-19-mai-2020-ora-13-00" TargetMode="External"/><Relationship Id="rId1246" Type="http://schemas.openxmlformats.org/officeDocument/2006/relationships/hyperlink" Target="http://www.ms.ro/2020/06/02/buletin-informativ-02-06-2020/" TargetMode="External"/><Relationship Id="rId2644" Type="http://schemas.openxmlformats.org/officeDocument/2006/relationships/hyperlink" Target="http://www.ms.ro/2020/08/10/buletin-informativ-10-08-2020" TargetMode="External"/><Relationship Id="rId2851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3902" Type="http://schemas.openxmlformats.org/officeDocument/2006/relationships/hyperlink" Target="http://www.ms.ro/2020/08/21/buletin-informativ-21-08-2020" TargetMode="External"/><Relationship Id="rId92" Type="http://schemas.openxmlformats.org/officeDocument/2006/relationships/hyperlink" Target="https://stirioficiale.ro/informatii/buletin-de-presa-9-aprilie-2020-ora-13-00" TargetMode="External"/><Relationship Id="rId616" Type="http://schemas.openxmlformats.org/officeDocument/2006/relationships/hyperlink" Target="https://stirioficiale.ro/informatii/buletin-de-presa-22-aprilie-2020-ora-13-62" TargetMode="External"/><Relationship Id="rId823" Type="http://schemas.openxmlformats.org/officeDocument/2006/relationships/hyperlink" Target="http://www.ms.ro/2020/04/28/buletin-informativ-28-04-2020/" TargetMode="External"/><Relationship Id="rId1453" Type="http://schemas.openxmlformats.org/officeDocument/2006/relationships/hyperlink" Target="http://www.ms.ro/2020/07/22/buletin-informativ-22-07-2020/" TargetMode="External"/><Relationship Id="rId1660" Type="http://schemas.openxmlformats.org/officeDocument/2006/relationships/hyperlink" Target="https://stirioficiale.ro/informatii/buletin-de-presa-29-iulie-2020-ora-13-00" TargetMode="External"/><Relationship Id="rId2504" Type="http://schemas.openxmlformats.org/officeDocument/2006/relationships/hyperlink" Target="http://www.ms.ro/2020/08/09/buletin-informativ-09-08-2020" TargetMode="External"/><Relationship Id="rId2711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1106" Type="http://schemas.openxmlformats.org/officeDocument/2006/relationships/hyperlink" Target="http://www.ms.ro/2020/05/27/buletin-informativ-26-05-2020-2/" TargetMode="External"/><Relationship Id="rId1313" Type="http://schemas.openxmlformats.org/officeDocument/2006/relationships/hyperlink" Target="http://www.ms.ro/2020/06/17/buletin-informativ-17-06-2020/" TargetMode="External"/><Relationship Id="rId1520" Type="http://schemas.openxmlformats.org/officeDocument/2006/relationships/hyperlink" Target="https://stirioficiale.ro/informatii/buletin-de-presa-24-iulie-2020-ora-13-00" TargetMode="External"/><Relationship Id="rId3278" Type="http://schemas.openxmlformats.org/officeDocument/2006/relationships/hyperlink" Target="http://www.ms.ro/2020/08/16/buletin-informativ-16-08-2020" TargetMode="External"/><Relationship Id="rId3485" Type="http://schemas.openxmlformats.org/officeDocument/2006/relationships/hyperlink" Target="https://www.ebihoreanul.ro/stiri/coronavirus-in-bihor-inca-doua-decese-si-45-de-cazuri-noi-vezi-din-ce-localitati-158277.html" TargetMode="External"/><Relationship Id="rId3692" Type="http://schemas.openxmlformats.org/officeDocument/2006/relationships/hyperlink" Target="http://www.ms.ro/2020/08/20/buletin-informativ-20-08-2020" TargetMode="External"/><Relationship Id="rId199" Type="http://schemas.openxmlformats.org/officeDocument/2006/relationships/hyperlink" Target="http://www.ms.ro/2020/04/13/buletin-informativ-13-04-2020/" TargetMode="External"/><Relationship Id="rId2087" Type="http://schemas.openxmlformats.org/officeDocument/2006/relationships/hyperlink" Target="https://stirioficiale.ro/informatii/buletin-de-presa-4-august-2020-ora-13-00" TargetMode="External"/><Relationship Id="rId2294" Type="http://schemas.openxmlformats.org/officeDocument/2006/relationships/hyperlink" Target="http://www.ms.ro/2020/08/07/buletin-informativ-07-08-2020/" TargetMode="External"/><Relationship Id="rId3138" Type="http://schemas.openxmlformats.org/officeDocument/2006/relationships/hyperlink" Target="http://www.ms.ro/2020/08/15/33355/" TargetMode="External"/><Relationship Id="rId3345" Type="http://schemas.openxmlformats.org/officeDocument/2006/relationships/hyperlink" Target="https://www.ebihoreanul.ro/stiri/coronavirus-in-bihor-inca-trei-decese-inregistrate-50-de-cazuri-noi-diagnosticate-nicio-persoana-vindecata-158239.html" TargetMode="External"/><Relationship Id="rId3552" Type="http://schemas.openxmlformats.org/officeDocument/2006/relationships/hyperlink" Target="http://www.ms.ro/2020/08/19/buletin-informativ-19-08-2020" TargetMode="External"/><Relationship Id="rId266" Type="http://schemas.openxmlformats.org/officeDocument/2006/relationships/hyperlink" Target="https://stirioficiale.ro/informatii/buletin-de-presa-13-aprilie-2020-ora-13-95" TargetMode="External"/><Relationship Id="rId473" Type="http://schemas.openxmlformats.org/officeDocument/2006/relationships/hyperlink" Target="https://stirioficiale.ro/informatii/buletin-de-presa-20-aprilie-2020-ora-13-00" TargetMode="External"/><Relationship Id="rId680" Type="http://schemas.openxmlformats.org/officeDocument/2006/relationships/hyperlink" Target="https://stirioficiale.ro/informatii/buletin-de-presa-24-aprilie-2020-ora-13-00" TargetMode="External"/><Relationship Id="rId2154" Type="http://schemas.openxmlformats.org/officeDocument/2006/relationships/hyperlink" Target="http://www.ms.ro/2020/08/05/buletin-informativ-05-08-2020/" TargetMode="External"/><Relationship Id="rId2361" Type="http://schemas.openxmlformats.org/officeDocument/2006/relationships/hyperlink" Target="https://www.ebihoreanul.ro/stiri/a-patra-zi-la-rand-cu-decese-covid-in-bihor-si-53-noi-imbolnaviri-in-ultimele-24-de-ore-158087.html" TargetMode="External"/><Relationship Id="rId3205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3412" Type="http://schemas.openxmlformats.org/officeDocument/2006/relationships/hyperlink" Target="http://www.ms.ro/2020/08/18/buletin-informativ-18-08-2020" TargetMode="External"/><Relationship Id="rId126" Type="http://schemas.openxmlformats.org/officeDocument/2006/relationships/hyperlink" Target="https://stirioficiale.ro/informatii/buletin-de-presa-11-aprilie-2020-ora-13-70" TargetMode="External"/><Relationship Id="rId333" Type="http://schemas.openxmlformats.org/officeDocument/2006/relationships/hyperlink" Target="https://stirioficiale.ro/informatii/buletin-de-presa-14-aprilie-2020-ora-13-28" TargetMode="External"/><Relationship Id="rId540" Type="http://schemas.openxmlformats.org/officeDocument/2006/relationships/hyperlink" Target="http://www.ms.ro/2020/04/21/buletin-informativ-21-04-2020/" TargetMode="External"/><Relationship Id="rId1170" Type="http://schemas.openxmlformats.org/officeDocument/2006/relationships/hyperlink" Target="http://www.ms.ro/2020/05/30/buletin-informativ-30-05-2020/" TargetMode="External"/><Relationship Id="rId2014" Type="http://schemas.openxmlformats.org/officeDocument/2006/relationships/hyperlink" Target="https://www.ebihoreanul.ro/stiri/inca-50-de-cazuri-de-covid-19-in-bihor-in-urma-testelor-facute-duminica-157998.html" TargetMode="External"/><Relationship Id="rId2221" Type="http://schemas.openxmlformats.org/officeDocument/2006/relationships/hyperlink" Target="https://www.ebihoreanul.ro/stiri/record-dupa-record-in-bihor-intr-o-singura-zi-3-morti-si-59-noi-imbolnaviri-cu-covid-158047.html" TargetMode="External"/><Relationship Id="rId1030" Type="http://schemas.openxmlformats.org/officeDocument/2006/relationships/hyperlink" Target="http://www.ms.ro/2020/05/19/buletin-informativ-19-05-2020/" TargetMode="External"/><Relationship Id="rId4186" Type="http://schemas.openxmlformats.org/officeDocument/2006/relationships/hyperlink" Target="http://www.ms.ro/2020/08/26/buletin-informativ-26-08-2020" TargetMode="External"/><Relationship Id="rId400" Type="http://schemas.openxmlformats.org/officeDocument/2006/relationships/hyperlink" Target="http://www.ms.ro/2020/04/16/buletin-informativ-16-04-2020/" TargetMode="External"/><Relationship Id="rId1987" Type="http://schemas.openxmlformats.org/officeDocument/2006/relationships/hyperlink" Target="https://www.ebihoreanul.ro/stiri/inca-50-de-cazuri-de-covid-19-in-bihor-in-urma-testelor-facute-duminica-157998.html" TargetMode="External"/><Relationship Id="rId1847" Type="http://schemas.openxmlformats.org/officeDocument/2006/relationships/hyperlink" Target="http://www.ms.ro/2020/08/01/buletin-informativ-01-08-2020/" TargetMode="External"/><Relationship Id="rId4046" Type="http://schemas.openxmlformats.org/officeDocument/2006/relationships/hyperlink" Target="http://www.ms.ro/2020/08/23/buletin-informativ-23-08-2020" TargetMode="External"/><Relationship Id="rId1707" Type="http://schemas.openxmlformats.org/officeDocument/2006/relationships/hyperlink" Target="http://www.ms.ro/2020/07/30/buletin-informativ-30-07-2020/" TargetMode="External"/><Relationship Id="rId3062" Type="http://schemas.openxmlformats.org/officeDocument/2006/relationships/hyperlink" Target="http://www.ms.ro/2020/08/14/buletin-informativ-14-08-2020" TargetMode="External"/><Relationship Id="rId4113" Type="http://schemas.openxmlformats.org/officeDocument/2006/relationships/hyperlink" Target="https://www.ebihoreanul.ro/stiri/record-de-decese-covid-in-romania-58-intr-o-singura-zi-in-bihor-au-murit-3-oameni-iar-alti-37-au-fost-diagnosticati-aproape-100-de-pacienti-vindecati-158383.html" TargetMode="External"/><Relationship Id="rId190" Type="http://schemas.openxmlformats.org/officeDocument/2006/relationships/hyperlink" Target="https://stirioficiale.ro/informatii/buletin-de-presa-13-aprilie-2020-ora-13-57" TargetMode="External"/><Relationship Id="rId1914" Type="http://schemas.openxmlformats.org/officeDocument/2006/relationships/hyperlink" Target="https://stirioficiale.ro/informatii/buletin-de-presa-2-august-2020-ora-13-00" TargetMode="External"/><Relationship Id="rId3879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2688" Type="http://schemas.openxmlformats.org/officeDocument/2006/relationships/hyperlink" Target="http://www.ms.ro/2020/08/11/buletin-informativ-11-08-2020" TargetMode="External"/><Relationship Id="rId2895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3739" Type="http://schemas.openxmlformats.org/officeDocument/2006/relationships/hyperlink" Target="https://www.ebihoreanul.ro/stiri/record-alarmant-in-bihor-inca-85-de-cazuri-noi-de-covid-si-inca-doua-decese-158311.html" TargetMode="External"/><Relationship Id="rId3946" Type="http://schemas.openxmlformats.org/officeDocument/2006/relationships/hyperlink" Target="http://www.ms.ro/2020/08/22/buletin-informativ-22-08-2020" TargetMode="External"/><Relationship Id="rId867" Type="http://schemas.openxmlformats.org/officeDocument/2006/relationships/hyperlink" Target="http://www.ms.ro/2020/04/29/buletin-informativ-29-04-2020/" TargetMode="External"/><Relationship Id="rId1497" Type="http://schemas.openxmlformats.org/officeDocument/2006/relationships/hyperlink" Target="http://www.ms.ro/2020/07/23/buletin-informativ-23-07-2020/" TargetMode="External"/><Relationship Id="rId2548" Type="http://schemas.openxmlformats.org/officeDocument/2006/relationships/hyperlink" Target="http://www.ms.ro/2020/08/09/buletin-informativ-09-08-2020" TargetMode="External"/><Relationship Id="rId2755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2962" Type="http://schemas.openxmlformats.org/officeDocument/2006/relationships/hyperlink" Target="http://www.ms.ro/2020/08/13/buletin-informativ-13-08-2020" TargetMode="External"/><Relationship Id="rId3806" Type="http://schemas.openxmlformats.org/officeDocument/2006/relationships/hyperlink" Target="http://www.ms.ro/2020/08/21/buletin-informativ-21-08-2020" TargetMode="External"/><Relationship Id="rId727" Type="http://schemas.openxmlformats.org/officeDocument/2006/relationships/hyperlink" Target="http://www.ms.ro/2020/04/27/buletin-informativ-27-04-2020/" TargetMode="External"/><Relationship Id="rId934" Type="http://schemas.openxmlformats.org/officeDocument/2006/relationships/hyperlink" Target="https://stirioficiale.ro/informatii/buletin-de-presa-3-mai-2020-ora-13-00" TargetMode="External"/><Relationship Id="rId1357" Type="http://schemas.openxmlformats.org/officeDocument/2006/relationships/hyperlink" Target="http://www.ms.ro/2020/07/05/buletin-informativ-05-07-2020/" TargetMode="External"/><Relationship Id="rId1564" Type="http://schemas.openxmlformats.org/officeDocument/2006/relationships/hyperlink" Target="https://stirioficiale.ro/informatii/buletin-de-presa-27-iulie-2020-ora-13-00" TargetMode="External"/><Relationship Id="rId1771" Type="http://schemas.openxmlformats.org/officeDocument/2006/relationships/hyperlink" Target="http://www.ms.ro/2020/07/30/buletin-informativ-30-07-2020/" TargetMode="External"/><Relationship Id="rId2408" Type="http://schemas.openxmlformats.org/officeDocument/2006/relationships/hyperlink" Target="http://www.ms.ro/2020/08/08/buletin-informativ-08-08-2020" TargetMode="External"/><Relationship Id="rId2615" Type="http://schemas.openxmlformats.org/officeDocument/2006/relationships/hyperlink" Target="https://www.ebihoreanul.ro/stiri/nc-un-deces-i-37-de-noi-mbolnviri-de-covid-19-n-bihor-o-parte-a-spitalului-din-beiu-va-trata-bolnavi-cu-covid-din-cauza-cazurilor-multe-din-zon-158138.html" TargetMode="External"/><Relationship Id="rId2822" Type="http://schemas.openxmlformats.org/officeDocument/2006/relationships/hyperlink" Target="http://www.ms.ro/2020/08/12/buletin-informativ-12-08-2020" TargetMode="External"/><Relationship Id="rId63" Type="http://schemas.openxmlformats.org/officeDocument/2006/relationships/hyperlink" Target="https://stirioficiale.ro/informatii/buletin-de-presa-6-aprilie-2020-ora-13-00" TargetMode="External"/><Relationship Id="rId1217" Type="http://schemas.openxmlformats.org/officeDocument/2006/relationships/hyperlink" Target="https://stirioficiale.ro/informatii/buletin-de-presa-1-iunie-2020-ora-13-00" TargetMode="External"/><Relationship Id="rId1424" Type="http://schemas.openxmlformats.org/officeDocument/2006/relationships/hyperlink" Target="https://stirioficiale.ro/informatii/buletin-de-presa-16-iulie-2020-ora-13-00" TargetMode="External"/><Relationship Id="rId1631" Type="http://schemas.openxmlformats.org/officeDocument/2006/relationships/hyperlink" Target="http://www.ms.ro/2020/07/28/buletin-informativ-28-07-2020/" TargetMode="External"/><Relationship Id="rId3389" Type="http://schemas.openxmlformats.org/officeDocument/2006/relationships/hyperlink" Target="https://www.ebihoreanul.ro/stiri/dupa-doua-saptamani-numarul-imbolnavirilor-covid-scade-in-bihor-31-noi-infectari-dar-si-un-deces-158256.html" TargetMode="External"/><Relationship Id="rId3596" Type="http://schemas.openxmlformats.org/officeDocument/2006/relationships/hyperlink" Target="http://www.ms.ro/2020/08/19/buletin-informativ-19-08-2020" TargetMode="External"/><Relationship Id="rId2198" Type="http://schemas.openxmlformats.org/officeDocument/2006/relationships/hyperlink" Target="http://www.ms.ro/2020/08/05/buletin-informativ-05-08-2020/" TargetMode="External"/><Relationship Id="rId3249" Type="http://schemas.openxmlformats.org/officeDocument/2006/relationships/hyperlink" Target="https://www.ebihoreanul.ro/stiri/coronavirus-in-bihor-inca-trei-decese-inregistrate-50-de-cazuri-noi-diagnosticate-nicio-persoana-vindecata-158239.html" TargetMode="External"/><Relationship Id="rId3456" Type="http://schemas.openxmlformats.org/officeDocument/2006/relationships/hyperlink" Target="http://www.ms.ro/2020/08/18/buletin-informativ-18-08-2020" TargetMode="External"/><Relationship Id="rId377" Type="http://schemas.openxmlformats.org/officeDocument/2006/relationships/hyperlink" Target="https://stirioficiale.ro/informatii/buletin-de-presa-16-aprilie-2020-ora-13-60" TargetMode="External"/><Relationship Id="rId584" Type="http://schemas.openxmlformats.org/officeDocument/2006/relationships/hyperlink" Target="https://stirioficiale.ro/informatii/buletin-de-presa-22-aprilie-2020-ora-13-46" TargetMode="External"/><Relationship Id="rId2058" Type="http://schemas.openxmlformats.org/officeDocument/2006/relationships/hyperlink" Target="http://www.ms.ro/2020/08/03/buletin-informativ-03-08-2020/" TargetMode="External"/><Relationship Id="rId2265" Type="http://schemas.openxmlformats.org/officeDocument/2006/relationships/hyperlink" Target="https://www.ebihoreanul.ro/stiri/a-treia-zi-consecutiva-cu-decese-covid-in-bihor-si-inca-35-noi-imbolnaviri-raportate-oficial-pentru-ultimele-24-de-ore-158069.html" TargetMode="External"/><Relationship Id="rId3109" Type="http://schemas.openxmlformats.org/officeDocument/2006/relationships/hyperlink" Target="https://www.ebihoreanul.ro/stiri/inca-56-de-cazuri-de-coronavirus-in-bihor-158211.html" TargetMode="External"/><Relationship Id="rId3663" Type="http://schemas.openxmlformats.org/officeDocument/2006/relationships/hyperlink" Target="https://www.ebihoreanul.ro/stiri/record-alarmant-in-bihor-inca-85-de-cazuri-noi-de-covid-si-inca-doua-decese-158311.html" TargetMode="External"/><Relationship Id="rId3870" Type="http://schemas.openxmlformats.org/officeDocument/2006/relationships/hyperlink" Target="http://www.ms.ro/2020/08/21/buletin-informativ-21-08-2020" TargetMode="External"/><Relationship Id="rId237" Type="http://schemas.openxmlformats.org/officeDocument/2006/relationships/hyperlink" Target="http://www.ms.ro/2020/04/13/buletin-informativ-13-04-2020/" TargetMode="External"/><Relationship Id="rId791" Type="http://schemas.openxmlformats.org/officeDocument/2006/relationships/hyperlink" Target="http://www.ms.ro/2020/04/27/buletin-informativ-27-04-2020/" TargetMode="External"/><Relationship Id="rId1074" Type="http://schemas.openxmlformats.org/officeDocument/2006/relationships/hyperlink" Target="https://stirioficiale.ro/informatii/buletin-de-presa-23-mai-2020-ora-13-00" TargetMode="External"/><Relationship Id="rId2472" Type="http://schemas.openxmlformats.org/officeDocument/2006/relationships/hyperlink" Target="http://www.ms.ro/2020/08/08/buletin-informativ-08-08-2020" TargetMode="External"/><Relationship Id="rId3316" Type="http://schemas.openxmlformats.org/officeDocument/2006/relationships/hyperlink" Target="http://www.ms.ro/2020/08/16/buletin-informativ-16-08-2020" TargetMode="External"/><Relationship Id="rId3523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3730" Type="http://schemas.openxmlformats.org/officeDocument/2006/relationships/hyperlink" Target="http://www.ms.ro/2020/08/20/buletin-informativ-20-08-2020" TargetMode="External"/><Relationship Id="rId444" Type="http://schemas.openxmlformats.org/officeDocument/2006/relationships/hyperlink" Target="http://www.ms.ro/2020/04/20/buletin-informativ-20-04-2020/" TargetMode="External"/><Relationship Id="rId651" Type="http://schemas.openxmlformats.org/officeDocument/2006/relationships/hyperlink" Target="http://www.ms.ro/2020/04/23/buletin-informativ-23-04-2020/" TargetMode="External"/><Relationship Id="rId1281" Type="http://schemas.openxmlformats.org/officeDocument/2006/relationships/hyperlink" Target="http://www.ms.ro/2020/06/07/buletin-informativ-07-06-2020/" TargetMode="External"/><Relationship Id="rId2125" Type="http://schemas.openxmlformats.org/officeDocument/2006/relationships/hyperlink" Target="https://www.ebihoreanul.ro/stiri/record-dupa-record-in-bihor-intr-o-singura-zi-3-morti-si-59-noi-imbolnaviri-cu-covid-158047.html" TargetMode="External"/><Relationship Id="rId2332" Type="http://schemas.openxmlformats.org/officeDocument/2006/relationships/hyperlink" Target="http://www.ms.ro/2020/08/07/buletin-informativ-07-08-2020/" TargetMode="External"/><Relationship Id="rId304" Type="http://schemas.openxmlformats.org/officeDocument/2006/relationships/hyperlink" Target="https://stirioficiale.ro/informatii/buletin-de-presa-13-aprilie-2020-ora-13-114" TargetMode="External"/><Relationship Id="rId511" Type="http://schemas.openxmlformats.org/officeDocument/2006/relationships/hyperlink" Target="https://stirioficiale.ro/informatii/buletin-de-presa-21-aprilie-2020-ora-13-31" TargetMode="External"/><Relationship Id="rId1141" Type="http://schemas.openxmlformats.org/officeDocument/2006/relationships/hyperlink" Target="https://www.bihon.ro/stirile-judetului-bihor/plexus-confirma-4-angajati-pozitivi-covid-19-inchid-fabrica-temporar-2293555/" TargetMode="External"/><Relationship Id="rId1001" Type="http://schemas.openxmlformats.org/officeDocument/2006/relationships/hyperlink" Target="http://www.ms.ro/2020/05/16/buletin-informativ-16-05-2020/" TargetMode="External"/><Relationship Id="rId4157" Type="http://schemas.openxmlformats.org/officeDocument/2006/relationships/hyperlink" Target="https://www.ebihoreanul.ro/stiri/record-de-decese-covid-in-romania-58-intr-o-singura-zi-in-bihor-au-murit-3-oameni-iar-alti-37-au-fost-diagnosticati-aproape-100-de-pacienti-vindecati-158383.html" TargetMode="External"/><Relationship Id="rId1958" Type="http://schemas.openxmlformats.org/officeDocument/2006/relationships/hyperlink" Target="https://stirioficiale.ro/informatii/buletin-de-presa-2-august-2020-ora-13-00" TargetMode="External"/><Relationship Id="rId3173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3380" Type="http://schemas.openxmlformats.org/officeDocument/2006/relationships/hyperlink" Target="http://www.ms.ro/2020/08/17/buletin-informativ-17-08-2020" TargetMode="External"/><Relationship Id="rId4017" Type="http://schemas.openxmlformats.org/officeDocument/2006/relationships/hyperlink" Target="https://www.ebihoreanul.ro/stiri/a-fost-depasit-pragul-de-2000-de-cazuri-covid-19diagnosticate-in-bihor-158350.html" TargetMode="External"/><Relationship Id="rId4224" Type="http://schemas.openxmlformats.org/officeDocument/2006/relationships/hyperlink" Target="http://www.ms.ro/2020/08/26/buletin-informativ-26-08-2020" TargetMode="External"/><Relationship Id="rId1818" Type="http://schemas.openxmlformats.org/officeDocument/2006/relationships/hyperlink" Target="https://stirioficiale.ro/informatii/buletin-de-presa-31-iulie-2020-ora-13-00" TargetMode="External"/><Relationship Id="rId3033" Type="http://schemas.openxmlformats.org/officeDocument/2006/relationships/hyperlink" Target="https://www.ebihoreanul.ro/stiri/inca-56-de-cazuri-de-coronavirus-in-bihor-158211.html" TargetMode="External"/><Relationship Id="rId3240" Type="http://schemas.openxmlformats.org/officeDocument/2006/relationships/hyperlink" Target="http://www.ms.ro/2020/08/15/33355/" TargetMode="External"/><Relationship Id="rId161" Type="http://schemas.openxmlformats.org/officeDocument/2006/relationships/hyperlink" Target="http://www.ms.ro/2020/04/13/buletin-informativ-13-04-2020/" TargetMode="External"/><Relationship Id="rId2799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3100" Type="http://schemas.openxmlformats.org/officeDocument/2006/relationships/hyperlink" Target="http://www.ms.ro/2020/08/14/buletin-informativ-14-08-2020" TargetMode="External"/><Relationship Id="rId978" Type="http://schemas.openxmlformats.org/officeDocument/2006/relationships/hyperlink" Target="http://www.ms.ro/2020/05/13/decese-1017-1030/" TargetMode="External"/><Relationship Id="rId2659" Type="http://schemas.openxmlformats.org/officeDocument/2006/relationships/hyperlink" Target="https://www.ebihoreanul.ro/stiri/nc-un-deces-i-37-de-noi-mbolnviri-de-covid-19-n-bihor-o-parte-a-spitalului-din-beiu-va-trata-bolnavi-cu-covid-din-cauza-cazurilor-multe-din-zon-158138.html" TargetMode="External"/><Relationship Id="rId2866" Type="http://schemas.openxmlformats.org/officeDocument/2006/relationships/hyperlink" Target="http://www.ms.ro/2020/08/12/buletin-informativ-12-08-2020" TargetMode="External"/><Relationship Id="rId3917" Type="http://schemas.openxmlformats.org/officeDocument/2006/relationships/hyperlink" Target="https://www.ebihoreanul.ro/stiri/niciun-deces-in-bihor-si-zeci-de-pacienti-covid-vindecati-dar-si-40-noi-imbolnaviri-inclusiv-angajati-ai-maternitatii-si-spitalului-militar-158339.html" TargetMode="External"/><Relationship Id="rId838" Type="http://schemas.openxmlformats.org/officeDocument/2006/relationships/hyperlink" Target="https://stirioficiale.ro/informatii/buletin-de-presa-28-aprilie-2020-ora-13-00" TargetMode="External"/><Relationship Id="rId1468" Type="http://schemas.openxmlformats.org/officeDocument/2006/relationships/hyperlink" Target="https://stirioficiale.ro/informatii/buletin-de-presa-22-iulie-2020-ora-13-00" TargetMode="External"/><Relationship Id="rId1675" Type="http://schemas.openxmlformats.org/officeDocument/2006/relationships/hyperlink" Target="http://www.ms.ro/2020/07/29/buletin-informativ-29-07-2020/" TargetMode="External"/><Relationship Id="rId1882" Type="http://schemas.openxmlformats.org/officeDocument/2006/relationships/hyperlink" Target="https://stirioficiale.ro/informatii/informare-de-presa-01-august-2020" TargetMode="External"/><Relationship Id="rId2519" Type="http://schemas.openxmlformats.org/officeDocument/2006/relationships/hyperlink" Target="https://stirioficiale.ro/informatii/buletin-de-presa-9-august-2020-ora-13-00" TargetMode="External"/><Relationship Id="rId2726" Type="http://schemas.openxmlformats.org/officeDocument/2006/relationships/hyperlink" Target="http://www.ms.ro/2020/08/11/buletin-informativ-11-08-2020" TargetMode="External"/><Relationship Id="rId4081" Type="http://schemas.openxmlformats.org/officeDocument/2006/relationships/hyperlink" Target="https://www.ebihoreanul.ro/stiri/inca-trei-decese-ale-unor-pacienti-infectati-cu-covid-19-in-bihor-cazuri-noi-de-imbolnavire-dar-si-multe-vindecari-158365.html" TargetMode="External"/><Relationship Id="rId1328" Type="http://schemas.openxmlformats.org/officeDocument/2006/relationships/hyperlink" Target="https://stirioficiale.ro/informatii/buletin-de-presa-26-iunie-2020-ora-13-00" TargetMode="External"/><Relationship Id="rId1535" Type="http://schemas.openxmlformats.org/officeDocument/2006/relationships/hyperlink" Target="http://www.ms.ro/2020/07/25/buletin-informativ-25-07-2020/" TargetMode="External"/><Relationship Id="rId2933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905" Type="http://schemas.openxmlformats.org/officeDocument/2006/relationships/hyperlink" Target="http://www.ms.ro/2020/05/01/buletin-informativ-01-05-2020/" TargetMode="External"/><Relationship Id="rId1742" Type="http://schemas.openxmlformats.org/officeDocument/2006/relationships/hyperlink" Target="https://stirioficiale.ro/informatii/buletin-de-presa-30-iulie-2020-ora-13-00" TargetMode="External"/><Relationship Id="rId34" Type="http://schemas.openxmlformats.org/officeDocument/2006/relationships/hyperlink" Target="https://stirioficiale.ro/informatii/buletin-de-presa-2-aprilie-2020-ora-13-01" TargetMode="External"/><Relationship Id="rId1602" Type="http://schemas.openxmlformats.org/officeDocument/2006/relationships/hyperlink" Target="https://www.ebihoreanul.ro/stiri/inca-26-noi-cazuri-covid-depistate-in-bihor-intre-care-un-brancardier-si-o-asistenta-revenita-dupa-un-concediu-in-grecia-157871.html" TargetMode="External"/><Relationship Id="rId3567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3774" Type="http://schemas.openxmlformats.org/officeDocument/2006/relationships/hyperlink" Target="http://www.ms.ro/2020/08/20/buletin-informativ-20-08-2020" TargetMode="External"/><Relationship Id="rId3981" Type="http://schemas.openxmlformats.org/officeDocument/2006/relationships/hyperlink" Target="https://www.ebihoreanul.ro/stiri/niciun-deces-in-bihor-si-zeci-de-pacienti-covid-vindecati-dar-si-40-noi-imbolnaviri-inclusiv-angajati-ai-maternitatii-si-spitalului-militar-158339.html" TargetMode="External"/><Relationship Id="rId488" Type="http://schemas.openxmlformats.org/officeDocument/2006/relationships/hyperlink" Target="http://www.ms.ro/2020/04/21/buletin-informativ-21-04-2020/" TargetMode="External"/><Relationship Id="rId695" Type="http://schemas.openxmlformats.org/officeDocument/2006/relationships/hyperlink" Target="http://www.ms.ro/2020/04/25/buletin-informativ-25-04-2020/" TargetMode="External"/><Relationship Id="rId2169" Type="http://schemas.openxmlformats.org/officeDocument/2006/relationships/hyperlink" Target="https://www.ebihoreanul.ro/stiri/record-dupa-record-in-bihor-intr-o-singura-zi-3-morti-si-59-noi-imbolnaviri-cu-covid-158047.html" TargetMode="External"/><Relationship Id="rId2376" Type="http://schemas.openxmlformats.org/officeDocument/2006/relationships/hyperlink" Target="http://www.ms.ro/2020/08/07/buletin-informativ-07-08-2020/" TargetMode="External"/><Relationship Id="rId2583" Type="http://schemas.openxmlformats.org/officeDocument/2006/relationships/hyperlink" Target="https://stirioficiale.ro/informatii/buletin-de-presa-9-august-2020-ora-13-00" TargetMode="External"/><Relationship Id="rId2790" Type="http://schemas.openxmlformats.org/officeDocument/2006/relationships/hyperlink" Target="http://www.ms.ro/2020/08/12/buletin-informativ-12-08-2020" TargetMode="External"/><Relationship Id="rId3427" Type="http://schemas.openxmlformats.org/officeDocument/2006/relationships/hyperlink" Target="https://www.ebihoreanul.ro/stiri/coronavirus-in-bihor-inca-doua-decese-si-45-de-cazuri-noi-vezi-din-ce-localitati-158277.html" TargetMode="External"/><Relationship Id="rId3634" Type="http://schemas.openxmlformats.org/officeDocument/2006/relationships/hyperlink" Target="http://www.ms.ro/2020/08/20/buletin-informativ-20-08-2020" TargetMode="External"/><Relationship Id="rId3841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348" Type="http://schemas.openxmlformats.org/officeDocument/2006/relationships/hyperlink" Target="http://www.ms.ro/2020/04/15/buletin-informativ-15-04-2020/" TargetMode="External"/><Relationship Id="rId555" Type="http://schemas.openxmlformats.org/officeDocument/2006/relationships/hyperlink" Target="https://stirioficiale.ro/informatii/buletin-de-presa-21-aprilie-2020-ora-13-53" TargetMode="External"/><Relationship Id="rId762" Type="http://schemas.openxmlformats.org/officeDocument/2006/relationships/hyperlink" Target="https://stirioficiale.ro/informatii/buletin-de-presa-27-aprilie-2020-ora-13-00" TargetMode="External"/><Relationship Id="rId1185" Type="http://schemas.openxmlformats.org/officeDocument/2006/relationships/hyperlink" Target="https://www.bihon.ro/stirile-judetului-bihor/rezultatul-testarii-la-plexus-21-de-angajati-pozitivi-covid-19-iata-ce-masuri-ia-compania-americana-2295625/" TargetMode="External"/><Relationship Id="rId1392" Type="http://schemas.openxmlformats.org/officeDocument/2006/relationships/hyperlink" Target="https://stirioficiale.ro/informatii/buletin-de-presa-8-iulie-2020-ora-13-00" TargetMode="External"/><Relationship Id="rId2029" Type="http://schemas.openxmlformats.org/officeDocument/2006/relationships/hyperlink" Target="https://www.ebihoreanul.ro/stiri/inca-50-de-cazuri-de-covid-19-in-bihor-in-urma-testelor-facute-duminica-157998.html" TargetMode="External"/><Relationship Id="rId2236" Type="http://schemas.openxmlformats.org/officeDocument/2006/relationships/hyperlink" Target="http://www.ms.ro/2020/08/06/buletin-informativ-06-08-2020/" TargetMode="External"/><Relationship Id="rId2443" Type="http://schemas.openxmlformats.org/officeDocument/2006/relationships/hyperlink" Target="https://stirioficiale.ro/informatii/buletin-de-presa-8-august-2020-ora-13-00" TargetMode="External"/><Relationship Id="rId2650" Type="http://schemas.openxmlformats.org/officeDocument/2006/relationships/hyperlink" Target="http://www.ms.ro/2020/08/10/buletin-informativ-10-08-2020" TargetMode="External"/><Relationship Id="rId3701" Type="http://schemas.openxmlformats.org/officeDocument/2006/relationships/hyperlink" Target="https://www.ebihoreanul.ro/stiri/record-alarmant-in-bihor-inca-85-de-cazuri-noi-de-covid-si-inca-doua-decese-158311.html" TargetMode="External"/><Relationship Id="rId208" Type="http://schemas.openxmlformats.org/officeDocument/2006/relationships/hyperlink" Target="https://stirioficiale.ro/informatii/buletin-de-presa-13-aprilie-2020-ora-13-66" TargetMode="External"/><Relationship Id="rId415" Type="http://schemas.openxmlformats.org/officeDocument/2006/relationships/hyperlink" Target="https://stirioficiale.ro/informatii/buletin-de-presa-18-aprilie-2020-ora-13-45" TargetMode="External"/><Relationship Id="rId622" Type="http://schemas.openxmlformats.org/officeDocument/2006/relationships/hyperlink" Target="https://stirioficiale.ro/informatii/buletin-de-presa-22-aprilie-2020-ora-13-65" TargetMode="External"/><Relationship Id="rId1045" Type="http://schemas.openxmlformats.org/officeDocument/2006/relationships/hyperlink" Target="https://stirioficiale.ro/informatii/buletin-de-presa-21-mai-2020-ora-13-00" TargetMode="External"/><Relationship Id="rId1252" Type="http://schemas.openxmlformats.org/officeDocument/2006/relationships/hyperlink" Target="http://www.ms.ro/2020/06/03/buletin-informativ-03-06-2020/" TargetMode="External"/><Relationship Id="rId2303" Type="http://schemas.openxmlformats.org/officeDocument/2006/relationships/hyperlink" Target="https://www.ebihoreanul.ro/stiri/a-patra-zi-la-rand-cu-decese-covid-in-bihor-si-53-noi-imbolnaviri-in-ultimele-24-de-ore-158087.html" TargetMode="External"/><Relationship Id="rId2510" Type="http://schemas.openxmlformats.org/officeDocument/2006/relationships/hyperlink" Target="http://www.ms.ro/2020/08/09/buletin-informativ-09-08-2020" TargetMode="External"/><Relationship Id="rId1112" Type="http://schemas.openxmlformats.org/officeDocument/2006/relationships/hyperlink" Target="http://www.ms.ro/2020/05/27/buletin-informativ-26-05-2020-2/" TargetMode="External"/><Relationship Id="rId3077" Type="http://schemas.openxmlformats.org/officeDocument/2006/relationships/hyperlink" Target="https://www.ebihoreanul.ro/stiri/inca-56-de-cazuri-de-coronavirus-in-bihor-158211.html" TargetMode="External"/><Relationship Id="rId3284" Type="http://schemas.openxmlformats.org/officeDocument/2006/relationships/hyperlink" Target="http://www.ms.ro/2020/08/16/buletin-informativ-16-08-2020" TargetMode="External"/><Relationship Id="rId4128" Type="http://schemas.openxmlformats.org/officeDocument/2006/relationships/hyperlink" Target="http://www.ms.ro/2020/08/25/buletin-informativ-25-08-2020" TargetMode="External"/><Relationship Id="rId1929" Type="http://schemas.openxmlformats.org/officeDocument/2006/relationships/hyperlink" Target="http://www.ms.ro/2020/08/02/buletin-informativ-02-08-2020/" TargetMode="External"/><Relationship Id="rId2093" Type="http://schemas.openxmlformats.org/officeDocument/2006/relationships/hyperlink" Target="https://stirioficiale.ro/informatii/buletin-de-presa-4-august-2020-ora-13-00" TargetMode="External"/><Relationship Id="rId3491" Type="http://schemas.openxmlformats.org/officeDocument/2006/relationships/hyperlink" Target="https://www.ebihoreanul.ro/stiri/coronavirus-in-bihor-inca-doua-decese-si-45-de-cazuri-noi-vezi-din-ce-localitati-158277.html" TargetMode="External"/><Relationship Id="rId3144" Type="http://schemas.openxmlformats.org/officeDocument/2006/relationships/hyperlink" Target="http://www.ms.ro/2020/08/15/33355/" TargetMode="External"/><Relationship Id="rId3351" Type="http://schemas.openxmlformats.org/officeDocument/2006/relationships/hyperlink" Target="https://www.ebihoreanul.ro/stiri/dupa-doua-saptamani-numarul-imbolnavirilor-covid-scade-in-bihor-31-noi-infectari-dar-si-un-deces-158256.html" TargetMode="External"/><Relationship Id="rId272" Type="http://schemas.openxmlformats.org/officeDocument/2006/relationships/hyperlink" Target="https://stirioficiale.ro/informatii/buletin-de-presa-13-aprilie-2020-ora-13-98" TargetMode="External"/><Relationship Id="rId2160" Type="http://schemas.openxmlformats.org/officeDocument/2006/relationships/hyperlink" Target="http://www.ms.ro/2020/08/05/buletin-informativ-05-08-2020/" TargetMode="External"/><Relationship Id="rId3004" Type="http://schemas.openxmlformats.org/officeDocument/2006/relationships/hyperlink" Target="http://www.ms.ro/2020/08/13/buletin-informativ-13-08-2020" TargetMode="External"/><Relationship Id="rId3211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132" Type="http://schemas.openxmlformats.org/officeDocument/2006/relationships/hyperlink" Target="https://stirioficiale.ro/informatii/buletin-de-presa-13-aprilie-2020-ora-13-28" TargetMode="External"/><Relationship Id="rId2020" Type="http://schemas.openxmlformats.org/officeDocument/2006/relationships/hyperlink" Target="http://www.ms.ro/2020/08/03/buletin-informativ-03-08-2020/" TargetMode="External"/><Relationship Id="rId1579" Type="http://schemas.openxmlformats.org/officeDocument/2006/relationships/hyperlink" Target="http://www.ms.ro/2020/07/27/buletin-informativ-27-07-2020/" TargetMode="External"/><Relationship Id="rId2977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4192" Type="http://schemas.openxmlformats.org/officeDocument/2006/relationships/hyperlink" Target="http://www.ms.ro/2020/08/26/buletin-informativ-26-08-2020" TargetMode="External"/><Relationship Id="rId949" Type="http://schemas.openxmlformats.org/officeDocument/2006/relationships/hyperlink" Target="http://www.ms.ro/2020/05/06/buletin-informativ-06-05-2020/" TargetMode="External"/><Relationship Id="rId1786" Type="http://schemas.openxmlformats.org/officeDocument/2006/relationships/hyperlink" Target="https://www.bihon.ro/stirile-judetului-bihor/caz-de-coronavirus-la-curtea-de-apel-oradea-2342142/" TargetMode="External"/><Relationship Id="rId1993" Type="http://schemas.openxmlformats.org/officeDocument/2006/relationships/hyperlink" Target="https://www.ebihoreanul.ro/stiri/inca-50-de-cazuri-de-covid-19-in-bihor-in-urma-testelor-facute-duminica-157998.html" TargetMode="External"/><Relationship Id="rId2837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4052" Type="http://schemas.openxmlformats.org/officeDocument/2006/relationships/hyperlink" Target="http://www.ms.ro/2020/08/23/buletin-informativ-23-08-2020" TargetMode="External"/><Relationship Id="rId78" Type="http://schemas.openxmlformats.org/officeDocument/2006/relationships/hyperlink" Target="http://www.ms.ro/2020/04/10/decese-258-265/" TargetMode="External"/><Relationship Id="rId809" Type="http://schemas.openxmlformats.org/officeDocument/2006/relationships/hyperlink" Target="http://www.ms.ro/2020/04/28/buletin-informativ-28-04-2020/" TargetMode="External"/><Relationship Id="rId1439" Type="http://schemas.openxmlformats.org/officeDocument/2006/relationships/hyperlink" Target="http://www.ms.ro/2020/07/19/buletin-informativ-19-07-2020/" TargetMode="External"/><Relationship Id="rId1646" Type="http://schemas.openxmlformats.org/officeDocument/2006/relationships/hyperlink" Target="https://stirioficiale.ro/informatii/buletin-de-presa-28-iulie-2020-ora-13-00" TargetMode="External"/><Relationship Id="rId1853" Type="http://schemas.openxmlformats.org/officeDocument/2006/relationships/hyperlink" Target="http://www.ms.ro/2020/08/01/buletin-informativ-01-08-2020/" TargetMode="External"/><Relationship Id="rId2904" Type="http://schemas.openxmlformats.org/officeDocument/2006/relationships/hyperlink" Target="http://www.ms.ro/2020/08/13/buletin-informativ-13-08-2020" TargetMode="External"/><Relationship Id="rId1506" Type="http://schemas.openxmlformats.org/officeDocument/2006/relationships/hyperlink" Target="https://stirioficiale.ro/informatii/buletin-de-presa-24-iulie-2020-ora-13-00" TargetMode="External"/><Relationship Id="rId1713" Type="http://schemas.openxmlformats.org/officeDocument/2006/relationships/hyperlink" Target="http://www.ms.ro/2020/07/30/buletin-informativ-30-07-2020/" TargetMode="External"/><Relationship Id="rId1920" Type="http://schemas.openxmlformats.org/officeDocument/2006/relationships/hyperlink" Target="https://stirioficiale.ro/informatii/buletin-de-presa-2-august-2020-ora-13-00" TargetMode="External"/><Relationship Id="rId3678" Type="http://schemas.openxmlformats.org/officeDocument/2006/relationships/hyperlink" Target="http://www.ms.ro/2020/08/20/buletin-informativ-20-08-2020" TargetMode="External"/><Relationship Id="rId3885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599" Type="http://schemas.openxmlformats.org/officeDocument/2006/relationships/hyperlink" Target="http://www.ms.ro/2020/04/22/buletin-informativ-22-04-2020/" TargetMode="External"/><Relationship Id="rId2487" Type="http://schemas.openxmlformats.org/officeDocument/2006/relationships/hyperlink" Target="https://stirioficiale.ro/informatii/buletin-de-presa-8-august-2020-ora-13-00" TargetMode="External"/><Relationship Id="rId2694" Type="http://schemas.openxmlformats.org/officeDocument/2006/relationships/hyperlink" Target="http://www.ms.ro/2020/08/11/buletin-informativ-11-08-2020" TargetMode="External"/><Relationship Id="rId3538" Type="http://schemas.openxmlformats.org/officeDocument/2006/relationships/hyperlink" Target="http://www.ms.ro/2020/08/19/buletin-informativ-19-08-2020" TargetMode="External"/><Relationship Id="rId3745" Type="http://schemas.openxmlformats.org/officeDocument/2006/relationships/hyperlink" Target="https://www.ebihoreanul.ro/stiri/record-alarmant-in-bihor-inca-85-de-cazuri-noi-de-covid-si-inca-doua-decese-158311.html" TargetMode="External"/><Relationship Id="rId459" Type="http://schemas.openxmlformats.org/officeDocument/2006/relationships/hyperlink" Target="https://stirioficiale.ro/informatii/buletin-de-presa-20-aprilie-2020-ora-13-00" TargetMode="External"/><Relationship Id="rId666" Type="http://schemas.openxmlformats.org/officeDocument/2006/relationships/hyperlink" Target="https://stirioficiale.ro/informatii/buletin-de-presa-24-aprilie-2020-ora-13-00" TargetMode="External"/><Relationship Id="rId873" Type="http://schemas.openxmlformats.org/officeDocument/2006/relationships/hyperlink" Target="http://www.ms.ro/2020/04/30/buletin-informativ-30-04-2020/" TargetMode="External"/><Relationship Id="rId1089" Type="http://schemas.openxmlformats.org/officeDocument/2006/relationships/hyperlink" Target="http://www.ms.ro/2020/05/23/buletin-informativ-23-05-2020/" TargetMode="External"/><Relationship Id="rId1296" Type="http://schemas.openxmlformats.org/officeDocument/2006/relationships/hyperlink" Target="https://stirioficiale.ro/informatii/buletin-de-presa-13-iunie-2020-ora-13-00" TargetMode="External"/><Relationship Id="rId2347" Type="http://schemas.openxmlformats.org/officeDocument/2006/relationships/hyperlink" Target="https://www.ebihoreanul.ro/stiri/a-patra-zi-la-rand-cu-decese-covid-in-bihor-si-53-noi-imbolnaviri-in-ultimele-24-de-ore-158087.html" TargetMode="External"/><Relationship Id="rId2554" Type="http://schemas.openxmlformats.org/officeDocument/2006/relationships/hyperlink" Target="http://www.ms.ro/2020/08/09/buletin-informativ-09-08-2020" TargetMode="External"/><Relationship Id="rId3952" Type="http://schemas.openxmlformats.org/officeDocument/2006/relationships/hyperlink" Target="http://www.ms.ro/2020/08/22/buletin-informativ-22-08-2020" TargetMode="External"/><Relationship Id="rId319" Type="http://schemas.openxmlformats.org/officeDocument/2006/relationships/hyperlink" Target="http://www.ms.ro/2020/05/04/decese-791-801/" TargetMode="External"/><Relationship Id="rId526" Type="http://schemas.openxmlformats.org/officeDocument/2006/relationships/hyperlink" Target="http://www.ms.ro/2020/04/21/buletin-informativ-21-04-2020/" TargetMode="External"/><Relationship Id="rId1156" Type="http://schemas.openxmlformats.org/officeDocument/2006/relationships/hyperlink" Target="http://www.ms.ro/2020/05/29/buletin-informativ-29-05-2020/" TargetMode="External"/><Relationship Id="rId1363" Type="http://schemas.openxmlformats.org/officeDocument/2006/relationships/hyperlink" Target="http://www.ms.ro/2020/07/05/buletin-informativ-05-07-2020/" TargetMode="External"/><Relationship Id="rId2207" Type="http://schemas.openxmlformats.org/officeDocument/2006/relationships/hyperlink" Target="https://www.ebihoreanul.ro/stiri/record-dupa-record-in-bihor-intr-o-singura-zi-3-morti-si-59-noi-imbolnaviri-cu-covid-158047.html" TargetMode="External"/><Relationship Id="rId2761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3605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3812" Type="http://schemas.openxmlformats.org/officeDocument/2006/relationships/hyperlink" Target="http://www.ms.ro/2020/08/21/buletin-informativ-21-08-2020" TargetMode="External"/><Relationship Id="rId733" Type="http://schemas.openxmlformats.org/officeDocument/2006/relationships/hyperlink" Target="http://www.ms.ro/2020/04/27/buletin-informativ-27-04-2020/" TargetMode="External"/><Relationship Id="rId940" Type="http://schemas.openxmlformats.org/officeDocument/2006/relationships/hyperlink" Target="https://stirioficiale.ro/informatii/buletin-de-presa-3-mai-2020-ora-13-00" TargetMode="External"/><Relationship Id="rId1016" Type="http://schemas.openxmlformats.org/officeDocument/2006/relationships/hyperlink" Target="https://stirioficiale.ro/informatii/buletin-de-presa-18-mai-2020-ora-13-00" TargetMode="External"/><Relationship Id="rId1570" Type="http://schemas.openxmlformats.org/officeDocument/2006/relationships/hyperlink" Target="https://www.ebihoreanul.ro/stiri/inca-26-noi-cazuri-covid-depistate-in-bihor-intre-care-un-brancardier-si-o-asistenta-revenita-dupa-un-concediu-in-grecia-157871.html" TargetMode="External"/><Relationship Id="rId2414" Type="http://schemas.openxmlformats.org/officeDocument/2006/relationships/hyperlink" Target="http://www.ms.ro/2020/08/08/buletin-informativ-08-08-2020" TargetMode="External"/><Relationship Id="rId2621" Type="http://schemas.openxmlformats.org/officeDocument/2006/relationships/hyperlink" Target="https://www.ebihoreanul.ro/stiri/nc-un-deces-i-37-de-noi-mbolnviri-de-covid-19-n-bihor-o-parte-a-spitalului-din-beiu-va-trata-bolnavi-cu-covid-din-cauza-cazurilor-multe-din-zon-158138.html" TargetMode="External"/><Relationship Id="rId800" Type="http://schemas.openxmlformats.org/officeDocument/2006/relationships/hyperlink" Target="https://stirioficiale.ro/informatii/buletin-de-presa-27-aprilie-2020-ora-13-00" TargetMode="External"/><Relationship Id="rId1223" Type="http://schemas.openxmlformats.org/officeDocument/2006/relationships/hyperlink" Target="https://stirioficiale.ro/informatii/buletin-de-presa-2-iunie-2020-ora-13-00" TargetMode="External"/><Relationship Id="rId1430" Type="http://schemas.openxmlformats.org/officeDocument/2006/relationships/hyperlink" Target="https://www.ebihoreanul.ro/stiri/doua-noi-cazuri-de-coronavirus-in-bihor-o-fetita-de-12-ani-si-o-femeie-internata-direct-la-terapie-intensiva-157694.html" TargetMode="External"/><Relationship Id="rId3188" Type="http://schemas.openxmlformats.org/officeDocument/2006/relationships/hyperlink" Target="http://www.ms.ro/2020/08/15/33355/" TargetMode="External"/><Relationship Id="rId3395" Type="http://schemas.openxmlformats.org/officeDocument/2006/relationships/hyperlink" Target="https://www.ebihoreanul.ro/stiri/dupa-doua-saptamani-numarul-imbolnavirilor-covid-scade-in-bihor-31-noi-infectari-dar-si-un-deces-158256.html" TargetMode="External"/><Relationship Id="rId4239" Type="http://schemas.openxmlformats.org/officeDocument/2006/relationships/printerSettings" Target="../printerSettings/printerSettings1.bin"/><Relationship Id="rId3048" Type="http://schemas.openxmlformats.org/officeDocument/2006/relationships/hyperlink" Target="http://www.ms.ro/2020/08/14/buletin-informativ-14-08-2020" TargetMode="External"/><Relationship Id="rId3255" Type="http://schemas.openxmlformats.org/officeDocument/2006/relationships/hyperlink" Target="https://www.ebihoreanul.ro/stiri/coronavirus-in-bihor-inca-trei-decese-inregistrate-50-de-cazuri-noi-diagnosticate-nicio-persoana-vindecata-158239.html" TargetMode="External"/><Relationship Id="rId3462" Type="http://schemas.openxmlformats.org/officeDocument/2006/relationships/hyperlink" Target="http://www.ms.ro/2020/08/18/buletin-informativ-18-08-2020" TargetMode="External"/><Relationship Id="rId176" Type="http://schemas.openxmlformats.org/officeDocument/2006/relationships/hyperlink" Target="https://stirioficiale.ro/informatii/buletin-de-presa-13-aprilie-2020-ora-13-50" TargetMode="External"/><Relationship Id="rId383" Type="http://schemas.openxmlformats.org/officeDocument/2006/relationships/hyperlink" Target="https://stirioficiale.ro/informatii/buletin-de-presa-16-aprilie-2020-ora-13-63" TargetMode="External"/><Relationship Id="rId590" Type="http://schemas.openxmlformats.org/officeDocument/2006/relationships/hyperlink" Target="https://stirioficiale.ro/informatii/buletin-de-presa-22-aprilie-2020-ora-13-49" TargetMode="External"/><Relationship Id="rId2064" Type="http://schemas.openxmlformats.org/officeDocument/2006/relationships/hyperlink" Target="http://www.ms.ro/2020/08/03/buletin-informativ-03-08-2020/" TargetMode="External"/><Relationship Id="rId2271" Type="http://schemas.openxmlformats.org/officeDocument/2006/relationships/hyperlink" Target="https://www.ebihoreanul.ro/stiri/a-treia-zi-consecutiva-cu-decese-covid-in-bihor-si-inca-35-noi-imbolnaviri-raportate-oficial-pentru-ultimele-24-de-ore-158069.html" TargetMode="External"/><Relationship Id="rId3115" Type="http://schemas.openxmlformats.org/officeDocument/2006/relationships/hyperlink" Target="https://www.ebihoreanul.ro/stiri/inca-56-de-cazuri-de-coronavirus-in-bihor-158211.html" TargetMode="External"/><Relationship Id="rId3322" Type="http://schemas.openxmlformats.org/officeDocument/2006/relationships/hyperlink" Target="http://www.ms.ro/2020/08/16/buletin-informativ-16-08-2020" TargetMode="External"/><Relationship Id="rId243" Type="http://schemas.openxmlformats.org/officeDocument/2006/relationships/hyperlink" Target="http://www.ms.ro/2020/04/13/buletin-informativ-13-04-2020/" TargetMode="External"/><Relationship Id="rId450" Type="http://schemas.openxmlformats.org/officeDocument/2006/relationships/hyperlink" Target="http://www.ms.ro/2020/04/20/buletin-informativ-20-04-2020/" TargetMode="External"/><Relationship Id="rId1080" Type="http://schemas.openxmlformats.org/officeDocument/2006/relationships/hyperlink" Target="https://stirioficiale.ro/informatii/buletin-de-presa-23-mai-2020-ora-13-00" TargetMode="External"/><Relationship Id="rId2131" Type="http://schemas.openxmlformats.org/officeDocument/2006/relationships/hyperlink" Target="https://www.ebihoreanul.ro/stiri/record-dupa-record-in-bihor-intr-o-singura-zi-3-morti-si-59-noi-imbolnaviri-cu-covid-158047.html" TargetMode="External"/><Relationship Id="rId103" Type="http://schemas.openxmlformats.org/officeDocument/2006/relationships/hyperlink" Target="https://stirioficiale.ro/informatii/buletin-de-presa-10-aprilie-2020-ora-13-52" TargetMode="External"/><Relationship Id="rId310" Type="http://schemas.openxmlformats.org/officeDocument/2006/relationships/hyperlink" Target="https://stirioficiale.ro/informatii/buletin-de-presa-13-aprilie-2020-ora-13-117" TargetMode="External"/><Relationship Id="rId4096" Type="http://schemas.openxmlformats.org/officeDocument/2006/relationships/hyperlink" Target="http://www.ms.ro/2020/08/24/buletin-informativ-24-08-2020" TargetMode="External"/><Relationship Id="rId1897" Type="http://schemas.openxmlformats.org/officeDocument/2006/relationships/hyperlink" Target="http://www.ms.ro/2020/08/01/buletin-informativ-01-08-2020/" TargetMode="External"/><Relationship Id="rId2948" Type="http://schemas.openxmlformats.org/officeDocument/2006/relationships/hyperlink" Target="http://www.ms.ro/2020/08/13/buletin-informativ-13-08-2020" TargetMode="External"/><Relationship Id="rId1757" Type="http://schemas.openxmlformats.org/officeDocument/2006/relationships/hyperlink" Target="http://www.ms.ro/2020/07/30/buletin-informativ-30-07-2020/" TargetMode="External"/><Relationship Id="rId1964" Type="http://schemas.openxmlformats.org/officeDocument/2006/relationships/hyperlink" Target="https://stirioficiale.ro/informatii/buletin-de-presa-2-august-2020-ora-13-00" TargetMode="External"/><Relationship Id="rId2808" Type="http://schemas.openxmlformats.org/officeDocument/2006/relationships/hyperlink" Target="http://www.ms.ro/2020/08/12/buletin-informativ-12-08-2020" TargetMode="External"/><Relationship Id="rId4163" Type="http://schemas.openxmlformats.org/officeDocument/2006/relationships/hyperlink" Target="https://www.ebihoreanul.ro/stiri/record-de-decese-covid-in-romania-58-intr-o-singura-zi-in-bihor-au-murit-3-oameni-iar-alti-37-au-fost-diagnosticati-aproape-100-de-pacienti-vindecati-158383.html" TargetMode="External"/><Relationship Id="rId49" Type="http://schemas.openxmlformats.org/officeDocument/2006/relationships/hyperlink" Target="http://www.ms.ro/2020/04/03/buletin-informativ-03-04-2020/" TargetMode="External"/><Relationship Id="rId1617" Type="http://schemas.openxmlformats.org/officeDocument/2006/relationships/hyperlink" Target="http://www.ms.ro/2020/07/28/buletin-informativ-28-07-2020/" TargetMode="External"/><Relationship Id="rId1824" Type="http://schemas.openxmlformats.org/officeDocument/2006/relationships/hyperlink" Target="https://stirioficiale.ro/informatii/buletin-de-presa-31-iulie-2020-ora-13-00" TargetMode="External"/><Relationship Id="rId4023" Type="http://schemas.openxmlformats.org/officeDocument/2006/relationships/hyperlink" Target="https://www.ebihoreanul.ro/stiri/a-fost-depasit-pragul-de-2000-de-cazuri-covid-19diagnosticate-in-bihor-158350.html" TargetMode="External"/><Relationship Id="rId4230" Type="http://schemas.openxmlformats.org/officeDocument/2006/relationships/hyperlink" Target="http://www.ms.ro/2020/08/26/buletin-informativ-26-08-2020" TargetMode="External"/><Relationship Id="rId3789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2598" Type="http://schemas.openxmlformats.org/officeDocument/2006/relationships/hyperlink" Target="http://www.ms.ro/2020/08/09/buletin-informativ-09-08-2020" TargetMode="External"/><Relationship Id="rId3996" Type="http://schemas.openxmlformats.org/officeDocument/2006/relationships/hyperlink" Target="http://www.ms.ro/2020/08/23/buletin-informativ-23-08-2020" TargetMode="External"/><Relationship Id="rId3649" Type="http://schemas.openxmlformats.org/officeDocument/2006/relationships/hyperlink" Target="https://www.ebihoreanul.ro/stiri/record-alarmant-in-bihor-inca-85-de-cazuri-noi-de-covid-si-inca-doua-decese-158311.html" TargetMode="External"/><Relationship Id="rId3856" Type="http://schemas.openxmlformats.org/officeDocument/2006/relationships/hyperlink" Target="http://www.ms.ro/2020/08/21/buletin-informativ-21-08-2020" TargetMode="External"/><Relationship Id="rId777" Type="http://schemas.openxmlformats.org/officeDocument/2006/relationships/hyperlink" Target="http://www.ms.ro/2020/04/27/buletin-informativ-27-04-2020/" TargetMode="External"/><Relationship Id="rId984" Type="http://schemas.openxmlformats.org/officeDocument/2006/relationships/hyperlink" Target="https://stirioficiale.ro/informatii/buletin-de-presa-14-mai-2020-ora-13-00" TargetMode="External"/><Relationship Id="rId2458" Type="http://schemas.openxmlformats.org/officeDocument/2006/relationships/hyperlink" Target="http://www.ms.ro/2020/08/08/buletin-informativ-08-08-2020" TargetMode="External"/><Relationship Id="rId2665" Type="http://schemas.openxmlformats.org/officeDocument/2006/relationships/hyperlink" Target="https://www.ebihoreanul.ro/stiri/nc-un-deces-i-37-de-noi-mbolnviri-de-covid-19-n-bihor-o-parte-a-spitalului-din-beiu-va-trata-bolnavi-cu-covid-din-cauza-cazurilor-multe-din-zon-158138.html" TargetMode="External"/><Relationship Id="rId2872" Type="http://schemas.openxmlformats.org/officeDocument/2006/relationships/hyperlink" Target="http://www.ms.ro/2020/08/12/buletin-informativ-12-08-2020" TargetMode="External"/><Relationship Id="rId3509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3716" Type="http://schemas.openxmlformats.org/officeDocument/2006/relationships/hyperlink" Target="http://www.ms.ro/2020/08/20/buletin-informativ-20-08-2020" TargetMode="External"/><Relationship Id="rId3923" Type="http://schemas.openxmlformats.org/officeDocument/2006/relationships/hyperlink" Target="https://www.ebihoreanul.ro/stiri/niciun-deces-in-bihor-si-zeci-de-pacienti-covid-vindecati-dar-si-40-noi-imbolnaviri-inclusiv-angajati-ai-maternitatii-si-spitalului-militar-158339.html" TargetMode="External"/><Relationship Id="rId637" Type="http://schemas.openxmlformats.org/officeDocument/2006/relationships/hyperlink" Target="http://www.ms.ro/2020/04/22/buletin-informativ-22-04-2020/" TargetMode="External"/><Relationship Id="rId844" Type="http://schemas.openxmlformats.org/officeDocument/2006/relationships/hyperlink" Target="https://stirioficiale.ro/informatii/buletin-de-presa-28-aprilie-2020-ora-13-00" TargetMode="External"/><Relationship Id="rId1267" Type="http://schemas.openxmlformats.org/officeDocument/2006/relationships/hyperlink" Target="http://www.ms.ro/2020/06/06/buletin-informativ-06-06-2020/" TargetMode="External"/><Relationship Id="rId1474" Type="http://schemas.openxmlformats.org/officeDocument/2006/relationships/hyperlink" Target="https://stirioficiale.ro/informatii/buletin-de-presa-23-iulie-2020-ora-13-00" TargetMode="External"/><Relationship Id="rId1681" Type="http://schemas.openxmlformats.org/officeDocument/2006/relationships/hyperlink" Target="http://www.ms.ro/2020/07/29/buletin-informativ-29-07-2020/" TargetMode="External"/><Relationship Id="rId2318" Type="http://schemas.openxmlformats.org/officeDocument/2006/relationships/hyperlink" Target="http://www.ms.ro/2020/08/07/buletin-informativ-07-08-2020/" TargetMode="External"/><Relationship Id="rId2525" Type="http://schemas.openxmlformats.org/officeDocument/2006/relationships/hyperlink" Target="https://stirioficiale.ro/informatii/buletin-de-presa-9-august-2020-ora-13-00" TargetMode="External"/><Relationship Id="rId2732" Type="http://schemas.openxmlformats.org/officeDocument/2006/relationships/hyperlink" Target="http://www.ms.ro/2020/08/11/buletin-informativ-11-08-2020" TargetMode="External"/><Relationship Id="rId704" Type="http://schemas.openxmlformats.org/officeDocument/2006/relationships/hyperlink" Target="https://stirioficiale.ro/informatii/buletin-de-presa-26-aprilie-2020-ora-13-00" TargetMode="External"/><Relationship Id="rId911" Type="http://schemas.openxmlformats.org/officeDocument/2006/relationships/hyperlink" Target="http://www.ms.ro/2020/05/01/buletin-informativ-01-05-2020/" TargetMode="External"/><Relationship Id="rId1127" Type="http://schemas.openxmlformats.org/officeDocument/2006/relationships/hyperlink" Target="https://stirioficiale.ro/informatii/buletin-de-presa-28-mai-2020-ora-13-00" TargetMode="External"/><Relationship Id="rId1334" Type="http://schemas.openxmlformats.org/officeDocument/2006/relationships/hyperlink" Target="https://stirioficiale.ro/informatii/buletin-de-presa-29-iunie-2020-ora-13-00" TargetMode="External"/><Relationship Id="rId1541" Type="http://schemas.openxmlformats.org/officeDocument/2006/relationships/hyperlink" Target="http://www.ms.ro/2020/07/25/buletin-informativ-25-07-2020/" TargetMode="External"/><Relationship Id="rId40" Type="http://schemas.openxmlformats.org/officeDocument/2006/relationships/hyperlink" Target="https://stirioficiale.ro/informatii/buletin-de-presa-3-aprilie-2020-ora-13-00" TargetMode="External"/><Relationship Id="rId1401" Type="http://schemas.openxmlformats.org/officeDocument/2006/relationships/hyperlink" Target="http://www.ms.ro/2020/07/09/buletin-informativ-09-07-2020/" TargetMode="External"/><Relationship Id="rId3299" Type="http://schemas.openxmlformats.org/officeDocument/2006/relationships/hyperlink" Target="https://www.hotnews.ro/stiri-coronavirus-24235881-seful-comisariatului-pentru-protectia-consumatorului-bihor-confirmat-covid-19-activitatea-institutiei-suspendata.htm" TargetMode="External"/><Relationship Id="rId3159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3366" Type="http://schemas.openxmlformats.org/officeDocument/2006/relationships/hyperlink" Target="http://www.ms.ro/2020/08/17/buletin-informativ-17-08-2020" TargetMode="External"/><Relationship Id="rId3573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287" Type="http://schemas.openxmlformats.org/officeDocument/2006/relationships/hyperlink" Target="http://www.ms.ro/2020/04/13/buletin-informativ-13-04-2020/" TargetMode="External"/><Relationship Id="rId494" Type="http://schemas.openxmlformats.org/officeDocument/2006/relationships/hyperlink" Target="http://www.ms.ro/2020/04/21/buletin-informativ-21-04-2020/" TargetMode="External"/><Relationship Id="rId2175" Type="http://schemas.openxmlformats.org/officeDocument/2006/relationships/hyperlink" Target="https://www.ebihoreanul.ro/stiri/record-dupa-record-in-bihor-intr-o-singura-zi-3-morti-si-59-noi-imbolnaviri-cu-covid-158047.html" TargetMode="External"/><Relationship Id="rId2382" Type="http://schemas.openxmlformats.org/officeDocument/2006/relationships/hyperlink" Target="http://www.ms.ro/2020/08/07/buletin-informativ-07-08-2020/" TargetMode="External"/><Relationship Id="rId3019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3226" Type="http://schemas.openxmlformats.org/officeDocument/2006/relationships/hyperlink" Target="http://www.ms.ro/2020/08/15/33355/" TargetMode="External"/><Relationship Id="rId3780" Type="http://schemas.openxmlformats.org/officeDocument/2006/relationships/hyperlink" Target="http://www.ms.ro/2020/08/21/buletin-informativ-21-08-2020" TargetMode="External"/><Relationship Id="rId147" Type="http://schemas.openxmlformats.org/officeDocument/2006/relationships/hyperlink" Target="http://www.ms.ro/2020/04/13/buletin-informativ-13-04-2020/" TargetMode="External"/><Relationship Id="rId354" Type="http://schemas.openxmlformats.org/officeDocument/2006/relationships/hyperlink" Target="http://www.ms.ro/2020/04/15/buletin-informativ-15-04-2020/" TargetMode="External"/><Relationship Id="rId1191" Type="http://schemas.openxmlformats.org/officeDocument/2006/relationships/hyperlink" Target="https://stirioficiale.ro/informatii/buletin-de-presa-31-mai-2020-ora-13-00" TargetMode="External"/><Relationship Id="rId2035" Type="http://schemas.openxmlformats.org/officeDocument/2006/relationships/hyperlink" Target="https://www.ebihoreanul.ro/stiri/inca-50-de-cazuri-de-covid-19-in-bihor-in-urma-testelor-facute-duminica-157998.html" TargetMode="External"/><Relationship Id="rId3433" Type="http://schemas.openxmlformats.org/officeDocument/2006/relationships/hyperlink" Target="https://www.ebihoreanul.ro/stiri/coronavirus-in-bihor-inca-doua-decese-si-45-de-cazuri-noi-vezi-din-ce-localitati-158277.html" TargetMode="External"/><Relationship Id="rId3640" Type="http://schemas.openxmlformats.org/officeDocument/2006/relationships/hyperlink" Target="http://www.ms.ro/2020/08/20/buletin-informativ-20-08-2020" TargetMode="External"/><Relationship Id="rId561" Type="http://schemas.openxmlformats.org/officeDocument/2006/relationships/hyperlink" Target="http://www.ms.ro/2020/04/22/buletin-informativ-22-04-2020/" TargetMode="External"/><Relationship Id="rId2242" Type="http://schemas.openxmlformats.org/officeDocument/2006/relationships/hyperlink" Target="http://www.ms.ro/2020/08/06/buletin-informativ-06-08-2020/" TargetMode="External"/><Relationship Id="rId3500" Type="http://schemas.openxmlformats.org/officeDocument/2006/relationships/hyperlink" Target="http://www.ms.ro/2020/08/18/buletin-informativ-18-08-2020" TargetMode="External"/><Relationship Id="rId214" Type="http://schemas.openxmlformats.org/officeDocument/2006/relationships/hyperlink" Target="https://stirioficiale.ro/informatii/buletin-de-presa-13-aprilie-2020-ora-13-69" TargetMode="External"/><Relationship Id="rId421" Type="http://schemas.openxmlformats.org/officeDocument/2006/relationships/hyperlink" Target="https://stirioficiale.ro/informatii/buletin-de-presa-18-aprilie-2020-ora-13-48" TargetMode="External"/><Relationship Id="rId1051" Type="http://schemas.openxmlformats.org/officeDocument/2006/relationships/hyperlink" Target="https://stirioficiale.ro/informatii/buletin-de-presa-21-mai-2020-ora-13-00" TargetMode="External"/><Relationship Id="rId2102" Type="http://schemas.openxmlformats.org/officeDocument/2006/relationships/hyperlink" Target="http://www.ms.ro/2020/08/04/buletin-informativ-04-08-2020/" TargetMode="External"/><Relationship Id="rId1868" Type="http://schemas.openxmlformats.org/officeDocument/2006/relationships/hyperlink" Target="https://stirioficiale.ro/informatii/informare-de-presa-01-august-2020" TargetMode="External"/><Relationship Id="rId4067" Type="http://schemas.openxmlformats.org/officeDocument/2006/relationships/hyperlink" Target="https://www.ebihoreanul.ro/stiri/inca-trei-decese-ale-unor-pacienti-infectati-cu-covid-19-in-bihor-cazuri-noi-de-imbolnavire-dar-si-multe-vindecari-158365.html" TargetMode="External"/><Relationship Id="rId2919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3083" Type="http://schemas.openxmlformats.org/officeDocument/2006/relationships/hyperlink" Target="https://www.ebihoreanul.ro/stiri/inca-56-de-cazuri-de-coronavirus-in-bihor-158211.html" TargetMode="External"/><Relationship Id="rId3290" Type="http://schemas.openxmlformats.org/officeDocument/2006/relationships/hyperlink" Target="http://www.ms.ro/2020/08/16/buletin-informativ-16-08-2020" TargetMode="External"/><Relationship Id="rId4134" Type="http://schemas.openxmlformats.org/officeDocument/2006/relationships/hyperlink" Target="http://www.ms.ro/2020/08/25/buletin-informativ-25-08-2020" TargetMode="External"/><Relationship Id="rId1728" Type="http://schemas.openxmlformats.org/officeDocument/2006/relationships/hyperlink" Target="https://stirioficiale.ro/informatii/buletin-de-presa-30-iulie-2020-ora-13-00" TargetMode="External"/><Relationship Id="rId1935" Type="http://schemas.openxmlformats.org/officeDocument/2006/relationships/hyperlink" Target="http://www.ms.ro/2020/08/02/buletin-informativ-02-08-2020/" TargetMode="External"/><Relationship Id="rId3150" Type="http://schemas.openxmlformats.org/officeDocument/2006/relationships/hyperlink" Target="http://www.ms.ro/2020/08/15/33355/" TargetMode="External"/><Relationship Id="rId4201" Type="http://schemas.openxmlformats.org/officeDocument/2006/relationships/hyperlink" Target="https://www.ebihoreanul.ro/stiri/28-de-noi-imbolnaviri-cu-covid-19-in-bihor-inclusiv-in-randul-personalului-upu-smurd-158401.html" TargetMode="External"/><Relationship Id="rId3010" Type="http://schemas.openxmlformats.org/officeDocument/2006/relationships/hyperlink" Target="http://www.ms.ro/2020/08/13/buletin-informativ-13-08-2020" TargetMode="External"/><Relationship Id="rId3967" Type="http://schemas.openxmlformats.org/officeDocument/2006/relationships/hyperlink" Target="https://www.ebihoreanul.ro/stiri/niciun-deces-in-bihor-si-zeci-de-pacienti-covid-vindecati-dar-si-40-noi-imbolnaviri-inclusiv-angajati-ai-maternitatii-si-spitalului-militar-158339.html" TargetMode="External"/><Relationship Id="rId4" Type="http://schemas.openxmlformats.org/officeDocument/2006/relationships/hyperlink" Target="https://www.ebihoreanul.ro/stiri/ultima-or-31-1/inca-trei-diagnosticati-cu-coronavirus-in-bihor-familia-primei-oradence-infectate-este-sanatoasa-155330.html" TargetMode="External"/><Relationship Id="rId888" Type="http://schemas.openxmlformats.org/officeDocument/2006/relationships/hyperlink" Target="http://www.ms.ro/2020/05/01/buletin-informativ-01-05-2020/" TargetMode="External"/><Relationship Id="rId2569" Type="http://schemas.openxmlformats.org/officeDocument/2006/relationships/hyperlink" Target="https://stirioficiale.ro/informatii/buletin-de-presa-9-august-2020-ora-13-00" TargetMode="External"/><Relationship Id="rId2776" Type="http://schemas.openxmlformats.org/officeDocument/2006/relationships/hyperlink" Target="http://www.ms.ro/2020/08/11/buletin-informativ-11-08-2020" TargetMode="External"/><Relationship Id="rId2983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3827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748" Type="http://schemas.openxmlformats.org/officeDocument/2006/relationships/hyperlink" Target="https://stirioficiale.ro/informatii/buletin-de-presa-27-aprilie-2020-ora-13-00" TargetMode="External"/><Relationship Id="rId955" Type="http://schemas.openxmlformats.org/officeDocument/2006/relationships/hyperlink" Target="http://www.ms.ro/2020/05/06/buletin-informativ-06-05-2020/" TargetMode="External"/><Relationship Id="rId1378" Type="http://schemas.openxmlformats.org/officeDocument/2006/relationships/hyperlink" Target="https://stirioficiale.ro/informatii/buletin-de-presa-5-iulie-2020-ora-13-00" TargetMode="External"/><Relationship Id="rId1585" Type="http://schemas.openxmlformats.org/officeDocument/2006/relationships/hyperlink" Target="http://www.ms.ro/2020/07/27/buletin-informativ-27-07-2020/" TargetMode="External"/><Relationship Id="rId1792" Type="http://schemas.openxmlformats.org/officeDocument/2006/relationships/hyperlink" Target="https://stirioficiale.ro/informatii/buletin-de-presa-31-iulie-2020-ora-13-00" TargetMode="External"/><Relationship Id="rId2429" Type="http://schemas.openxmlformats.org/officeDocument/2006/relationships/hyperlink" Target="https://stirioficiale.ro/informatii/buletin-de-presa-8-august-2020-ora-13-00" TargetMode="External"/><Relationship Id="rId2636" Type="http://schemas.openxmlformats.org/officeDocument/2006/relationships/hyperlink" Target="http://www.ms.ro/2020/08/10/buletin-informativ-10-08-2020" TargetMode="External"/><Relationship Id="rId2843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84" Type="http://schemas.openxmlformats.org/officeDocument/2006/relationships/hyperlink" Target="https://stirioficiale.ro/informatii/buletin-de-presa-9-aprilie-2020-ora-13-00" TargetMode="External"/><Relationship Id="rId608" Type="http://schemas.openxmlformats.org/officeDocument/2006/relationships/hyperlink" Target="https://stirioficiale.ro/informatii/buletin-de-presa-22-aprilie-2020-ora-13-58" TargetMode="External"/><Relationship Id="rId815" Type="http://schemas.openxmlformats.org/officeDocument/2006/relationships/hyperlink" Target="http://www.ms.ro/2020/04/28/buletin-informativ-28-04-2020/" TargetMode="External"/><Relationship Id="rId1238" Type="http://schemas.openxmlformats.org/officeDocument/2006/relationships/hyperlink" Target="http://www.ms.ro/2020/06/02/buletin-informativ-02-06-2020/" TargetMode="External"/><Relationship Id="rId1445" Type="http://schemas.openxmlformats.org/officeDocument/2006/relationships/hyperlink" Target="http://www.ms.ro/2020/07/21/buletin-informativ-21-07-2020/" TargetMode="External"/><Relationship Id="rId1652" Type="http://schemas.openxmlformats.org/officeDocument/2006/relationships/hyperlink" Target="https://stirioficiale.ro/informatii/buletin-de-presa-29-iulie-2020-ora-13-00" TargetMode="External"/><Relationship Id="rId1305" Type="http://schemas.openxmlformats.org/officeDocument/2006/relationships/hyperlink" Target="http://www.ms.ro/2020/06/14/buletin-informativ-14-06-2020/" TargetMode="External"/><Relationship Id="rId2703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2910" Type="http://schemas.openxmlformats.org/officeDocument/2006/relationships/hyperlink" Target="http://www.ms.ro/2020/08/13/buletin-informativ-13-08-2020" TargetMode="External"/><Relationship Id="rId1512" Type="http://schemas.openxmlformats.org/officeDocument/2006/relationships/hyperlink" Target="https://stirioficiale.ro/informatii/buletin-de-presa-24-iulie-2020-ora-13-00" TargetMode="External"/><Relationship Id="rId11" Type="http://schemas.openxmlformats.org/officeDocument/2006/relationships/hyperlink" Target="http://www.ms.ro/2020/03/28/buletin-informativ-28-03-2020/" TargetMode="External"/><Relationship Id="rId398" Type="http://schemas.openxmlformats.org/officeDocument/2006/relationships/hyperlink" Target="http://www.ms.ro/2020/04/16/buletin-informativ-16-04-2020/" TargetMode="External"/><Relationship Id="rId2079" Type="http://schemas.openxmlformats.org/officeDocument/2006/relationships/hyperlink" Target="https://stirioficiale.ro/informatii/buletin-de-presa-3-august-2020-ora-13-00" TargetMode="External"/><Relationship Id="rId3477" Type="http://schemas.openxmlformats.org/officeDocument/2006/relationships/hyperlink" Target="https://www.ebihoreanul.ro/stiri/coronavirus-in-bihor-inca-doua-decese-si-45-de-cazuri-noi-vezi-din-ce-localitati-158277.html" TargetMode="External"/><Relationship Id="rId3684" Type="http://schemas.openxmlformats.org/officeDocument/2006/relationships/hyperlink" Target="http://www.ms.ro/2020/08/20/buletin-informativ-20-08-2020" TargetMode="External"/><Relationship Id="rId3891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2286" Type="http://schemas.openxmlformats.org/officeDocument/2006/relationships/hyperlink" Target="http://www.ms.ro/2020/08/06/buletin-informativ-06-08-2020/" TargetMode="External"/><Relationship Id="rId2493" Type="http://schemas.openxmlformats.org/officeDocument/2006/relationships/hyperlink" Target="https://stirioficiale.ro/informatii/buletin-de-presa-8-august-2020-ora-13-00" TargetMode="External"/><Relationship Id="rId3337" Type="http://schemas.openxmlformats.org/officeDocument/2006/relationships/hyperlink" Target="https://www.ebihoreanul.ro/stiri/coronavirus-in-bihor-inca-trei-decese-inregistrate-50-de-cazuri-noi-diagnosticate-nicio-persoana-vindecata-158239.html" TargetMode="External"/><Relationship Id="rId3544" Type="http://schemas.openxmlformats.org/officeDocument/2006/relationships/hyperlink" Target="http://www.ms.ro/2020/08/19/buletin-informativ-19-08-2020" TargetMode="External"/><Relationship Id="rId3751" Type="http://schemas.openxmlformats.org/officeDocument/2006/relationships/hyperlink" Target="https://www.ebihoreanul.ro/stiri/record-alarmant-in-bihor-inca-85-de-cazuri-noi-de-covid-si-inca-doua-decese-158311.html" TargetMode="External"/><Relationship Id="rId258" Type="http://schemas.openxmlformats.org/officeDocument/2006/relationships/hyperlink" Target="https://stirioficiale.ro/informatii/buletin-de-presa-13-aprilie-2020-ora-13-91" TargetMode="External"/><Relationship Id="rId465" Type="http://schemas.openxmlformats.org/officeDocument/2006/relationships/hyperlink" Target="https://stirioficiale.ro/informatii/buletin-de-presa-20-aprilie-2020-ora-13-00" TargetMode="External"/><Relationship Id="rId672" Type="http://schemas.openxmlformats.org/officeDocument/2006/relationships/hyperlink" Target="https://stirioficiale.ro/informatii/buletin-de-presa-24-aprilie-2020-ora-13-00" TargetMode="External"/><Relationship Id="rId1095" Type="http://schemas.openxmlformats.org/officeDocument/2006/relationships/hyperlink" Target="http://www.ms.ro/2020/05/25/buletin-informativ-25-05-2020/" TargetMode="External"/><Relationship Id="rId2146" Type="http://schemas.openxmlformats.org/officeDocument/2006/relationships/hyperlink" Target="http://www.ms.ro/2020/08/05/buletin-informativ-05-08-2020/" TargetMode="External"/><Relationship Id="rId2353" Type="http://schemas.openxmlformats.org/officeDocument/2006/relationships/hyperlink" Target="https://www.ebihoreanul.ro/stiri/a-patra-zi-la-rand-cu-decese-covid-in-bihor-si-53-noi-imbolnaviri-in-ultimele-24-de-ore-158087.html" TargetMode="External"/><Relationship Id="rId2560" Type="http://schemas.openxmlformats.org/officeDocument/2006/relationships/hyperlink" Target="http://www.ms.ro/2020/08/09/buletin-informativ-09-08-2020" TargetMode="External"/><Relationship Id="rId3404" Type="http://schemas.openxmlformats.org/officeDocument/2006/relationships/hyperlink" Target="http://www.ms.ro/2020/08/17/buletin-informativ-17-08-2020" TargetMode="External"/><Relationship Id="rId3611" Type="http://schemas.openxmlformats.org/officeDocument/2006/relationships/hyperlink" Target="https://www.ebihoreanul.ro/stiri/record-alarmant-in-bihor-inca-85-de-cazuri-noi-de-covid-si-inca-doua-decese-158311.html" TargetMode="External"/><Relationship Id="rId118" Type="http://schemas.openxmlformats.org/officeDocument/2006/relationships/hyperlink" Target="https://stirioficiale.ro/informatii/buletin-de-presa-11-aprilie-2020-ora-13-66" TargetMode="External"/><Relationship Id="rId325" Type="http://schemas.openxmlformats.org/officeDocument/2006/relationships/hyperlink" Target="https://stirioficiale.ro/informatii/buletin-de-presa-14-aprilie-2020-ora-13-24" TargetMode="External"/><Relationship Id="rId532" Type="http://schemas.openxmlformats.org/officeDocument/2006/relationships/hyperlink" Target="http://www.ms.ro/2020/04/21/buletin-informativ-21-04-2020/" TargetMode="External"/><Relationship Id="rId1162" Type="http://schemas.openxmlformats.org/officeDocument/2006/relationships/hyperlink" Target="http://www.ms.ro/2020/05/29/buletin-informativ-29-05-2020/" TargetMode="External"/><Relationship Id="rId2006" Type="http://schemas.openxmlformats.org/officeDocument/2006/relationships/hyperlink" Target="http://www.ms.ro/2020/08/03/buletin-informativ-03-08-2020/" TargetMode="External"/><Relationship Id="rId2213" Type="http://schemas.openxmlformats.org/officeDocument/2006/relationships/hyperlink" Target="https://www.ebihoreanul.ro/stiri/record-dupa-record-in-bihor-intr-o-singura-zi-3-morti-si-59-noi-imbolnaviri-cu-covid-158047.html" TargetMode="External"/><Relationship Id="rId2420" Type="http://schemas.openxmlformats.org/officeDocument/2006/relationships/hyperlink" Target="http://www.ms.ro/2020/08/08/buletin-informativ-08-08-2020" TargetMode="External"/><Relationship Id="rId1022" Type="http://schemas.openxmlformats.org/officeDocument/2006/relationships/hyperlink" Target="https://stirioficiale.ro/informatii/buletin-de-presa-19-mai-2020-ora-13-00" TargetMode="External"/><Relationship Id="rId4178" Type="http://schemas.openxmlformats.org/officeDocument/2006/relationships/hyperlink" Target="http://www.ms.ro/2020/08/25/buletin-informativ-25-08-2020" TargetMode="External"/><Relationship Id="rId1979" Type="http://schemas.openxmlformats.org/officeDocument/2006/relationships/hyperlink" Target="http://www.ms.ro/2020/08/03/buletin-informativ-03-08-2020/" TargetMode="External"/><Relationship Id="rId3194" Type="http://schemas.openxmlformats.org/officeDocument/2006/relationships/hyperlink" Target="http://www.ms.ro/2020/08/15/33355/" TargetMode="External"/><Relationship Id="rId4038" Type="http://schemas.openxmlformats.org/officeDocument/2006/relationships/hyperlink" Target="http://www.ms.ro/2020/08/23/buletin-informativ-23-08-2020" TargetMode="External"/><Relationship Id="rId1839" Type="http://schemas.openxmlformats.org/officeDocument/2006/relationships/hyperlink" Target="http://www.ms.ro/2020/08/01/buletin-informativ-01-08-2020/" TargetMode="External"/><Relationship Id="rId3054" Type="http://schemas.openxmlformats.org/officeDocument/2006/relationships/hyperlink" Target="http://www.ms.ro/2020/08/14/buletin-informativ-14-08-2020" TargetMode="External"/><Relationship Id="rId182" Type="http://schemas.openxmlformats.org/officeDocument/2006/relationships/hyperlink" Target="https://stirioficiale.ro/informatii/buletin-de-presa-13-aprilie-2020-ora-13-53" TargetMode="External"/><Relationship Id="rId1906" Type="http://schemas.openxmlformats.org/officeDocument/2006/relationships/hyperlink" Target="https://stirioficiale.ro/informatii/informare-de-presa-01-august-2020" TargetMode="External"/><Relationship Id="rId3261" Type="http://schemas.openxmlformats.org/officeDocument/2006/relationships/hyperlink" Target="https://www.ebihoreanul.ro/stiri/coronavirus-in-bihor-inca-trei-decese-inregistrate-50-de-cazuri-noi-diagnosticate-nicio-persoana-vindecata-158239.html" TargetMode="External"/><Relationship Id="rId4105" Type="http://schemas.openxmlformats.org/officeDocument/2006/relationships/hyperlink" Target="https://www.ebihoreanul.ro/stiri/inca-trei-decese-ale-unor-pacienti-infectati-cu-covid-19-in-bihor-cazuri-noi-de-imbolnavire-dar-si-multe-vindecari-158365.html" TargetMode="External"/><Relationship Id="rId2070" Type="http://schemas.openxmlformats.org/officeDocument/2006/relationships/hyperlink" Target="http://www.ms.ro/2020/08/03/buletin-informativ-03-08-2020/" TargetMode="External"/><Relationship Id="rId3121" Type="http://schemas.openxmlformats.org/officeDocument/2006/relationships/hyperlink" Target="https://www.ebihoreanul.ro/stiri/inca-56-de-cazuri-de-coronavirus-in-bihor-158211.html" TargetMode="External"/><Relationship Id="rId999" Type="http://schemas.openxmlformats.org/officeDocument/2006/relationships/hyperlink" Target="http://www.ms.ro/2020/05/16/buletin-informativ-16-05-2020/" TargetMode="External"/><Relationship Id="rId2887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859" Type="http://schemas.openxmlformats.org/officeDocument/2006/relationships/hyperlink" Target="http://www.ms.ro/2020/04/29/buletin-informativ-29-04-2020/" TargetMode="External"/><Relationship Id="rId1489" Type="http://schemas.openxmlformats.org/officeDocument/2006/relationships/hyperlink" Target="http://www.ms.ro/2020/07/23/buletin-informativ-23-07-2020/" TargetMode="External"/><Relationship Id="rId1696" Type="http://schemas.openxmlformats.org/officeDocument/2006/relationships/hyperlink" Target="https://stirioficiale.ro/informatii/buletin-de-presa-29-iulie-2020-ora-13-00" TargetMode="External"/><Relationship Id="rId3938" Type="http://schemas.openxmlformats.org/officeDocument/2006/relationships/hyperlink" Target="http://www.ms.ro/2020/08/22/buletin-informativ-22-08-2020" TargetMode="External"/><Relationship Id="rId1349" Type="http://schemas.openxmlformats.org/officeDocument/2006/relationships/hyperlink" Target="http://www.ms.ro/2020/07/04/buletin-informativ-04-07-2020/" TargetMode="External"/><Relationship Id="rId2747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2954" Type="http://schemas.openxmlformats.org/officeDocument/2006/relationships/hyperlink" Target="http://www.ms.ro/2020/08/13/buletin-informativ-13-08-2020" TargetMode="External"/><Relationship Id="rId719" Type="http://schemas.openxmlformats.org/officeDocument/2006/relationships/hyperlink" Target="http://www.ms.ro/2020/04/26/buletin-informativ-26-04-2020/" TargetMode="External"/><Relationship Id="rId926" Type="http://schemas.openxmlformats.org/officeDocument/2006/relationships/hyperlink" Target="http://www.ms.ro/2020/05/01/buletin-informativ-01-05-2020/" TargetMode="External"/><Relationship Id="rId1556" Type="http://schemas.openxmlformats.org/officeDocument/2006/relationships/hyperlink" Target="https://stirioficiale.ro/informatii/buletin-de-presa-26-iulie-2020-ora-13-00" TargetMode="External"/><Relationship Id="rId1763" Type="http://schemas.openxmlformats.org/officeDocument/2006/relationships/hyperlink" Target="http://www.ms.ro/2020/07/30/buletin-informativ-30-07-2020/" TargetMode="External"/><Relationship Id="rId1970" Type="http://schemas.openxmlformats.org/officeDocument/2006/relationships/hyperlink" Target="http://www.ms.ro/2020/08/03/buletin-informativ-03-08-2020/" TargetMode="External"/><Relationship Id="rId2607" Type="http://schemas.openxmlformats.org/officeDocument/2006/relationships/hyperlink" Target="https://www.ebihoreanul.ro/stiri/nc-un-deces-i-37-de-noi-mbolnviri-de-covid-19-n-bihor-o-parte-a-spitalului-din-beiu-va-trata-bolnavi-cu-covid-din-cauza-cazurilor-multe-din-zon-158138.html" TargetMode="External"/><Relationship Id="rId2814" Type="http://schemas.openxmlformats.org/officeDocument/2006/relationships/hyperlink" Target="http://www.ms.ro/2020/08/12/buletin-informativ-12-08-2020" TargetMode="External"/><Relationship Id="rId55" Type="http://schemas.openxmlformats.org/officeDocument/2006/relationships/hyperlink" Target="https://stirioficiale.ro/informatii/buletin-de-presa-6-aprilie-2020-ora-13-00" TargetMode="External"/><Relationship Id="rId1209" Type="http://schemas.openxmlformats.org/officeDocument/2006/relationships/hyperlink" Target="https://stirioficiale.ro/informatii/buletin-de-presa-31-mai-2020-ora-13-00" TargetMode="External"/><Relationship Id="rId1416" Type="http://schemas.openxmlformats.org/officeDocument/2006/relationships/hyperlink" Target="https://www.alesdonline.ro/local/lugasu-de-jos/levente-sorban-avem-primul-caz-confirmat-de-coronavirus-la-lugasu-de-jos/" TargetMode="External"/><Relationship Id="rId1623" Type="http://schemas.openxmlformats.org/officeDocument/2006/relationships/hyperlink" Target="http://www.ms.ro/2020/07/28/buletin-informativ-28-07-2020/" TargetMode="External"/><Relationship Id="rId1830" Type="http://schemas.openxmlformats.org/officeDocument/2006/relationships/hyperlink" Target="https://stirioficiale.ro/informatii/buletin-de-presa-31-iulie-2020-ora-13-00" TargetMode="External"/><Relationship Id="rId3588" Type="http://schemas.openxmlformats.org/officeDocument/2006/relationships/hyperlink" Target="http://www.ms.ro/2020/08/19/buletin-informativ-19-08-2020" TargetMode="External"/><Relationship Id="rId3795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2397" Type="http://schemas.openxmlformats.org/officeDocument/2006/relationships/hyperlink" Target="https://www.ebihoreanul.ro/stiri/a-patra-zi-la-rand-cu-decese-covid-in-bihor-si-53-noi-imbolnaviri-in-ultimele-24-de-ore-158087.html" TargetMode="External"/><Relationship Id="rId3448" Type="http://schemas.openxmlformats.org/officeDocument/2006/relationships/hyperlink" Target="http://www.ms.ro/2020/08/18/buletin-informativ-18-08-2020" TargetMode="External"/><Relationship Id="rId3655" Type="http://schemas.openxmlformats.org/officeDocument/2006/relationships/hyperlink" Target="https://www.ebihoreanul.ro/stiri/record-alarmant-in-bihor-inca-85-de-cazuri-noi-de-covid-si-inca-doua-decese-158311.html" TargetMode="External"/><Relationship Id="rId3862" Type="http://schemas.openxmlformats.org/officeDocument/2006/relationships/hyperlink" Target="http://www.ms.ro/2020/08/21/buletin-informativ-21-08-2020" TargetMode="External"/><Relationship Id="rId369" Type="http://schemas.openxmlformats.org/officeDocument/2006/relationships/hyperlink" Target="https://stirioficiale.ro/informatii/buletin-de-presa-16-aprilie-2020-ora-13-56" TargetMode="External"/><Relationship Id="rId576" Type="http://schemas.openxmlformats.org/officeDocument/2006/relationships/hyperlink" Target="https://stirioficiale.ro/informatii/buletin-de-presa-22-aprilie-2020-ora-13-42" TargetMode="External"/><Relationship Id="rId783" Type="http://schemas.openxmlformats.org/officeDocument/2006/relationships/hyperlink" Target="http://www.ms.ro/2020/04/27/buletin-informativ-27-04-2020/" TargetMode="External"/><Relationship Id="rId990" Type="http://schemas.openxmlformats.org/officeDocument/2006/relationships/hyperlink" Target="https://www.bihon.ro/stirile-judetului-bihor/angajati-confirmati-cu-coronavirus-in-parcul-industrial-de-pe-borsului-2284463/" TargetMode="External"/><Relationship Id="rId2257" Type="http://schemas.openxmlformats.org/officeDocument/2006/relationships/hyperlink" Target="https://www.ebihoreanul.ro/stiri/a-treia-zi-consecutiva-cu-decese-covid-in-bihor-si-inca-35-noi-imbolnaviri-raportate-oficial-pentru-ultimele-24-de-ore-158069.html" TargetMode="External"/><Relationship Id="rId2464" Type="http://schemas.openxmlformats.org/officeDocument/2006/relationships/hyperlink" Target="http://www.ms.ro/2020/08/08/buletin-informativ-08-08-2020" TargetMode="External"/><Relationship Id="rId2671" Type="http://schemas.openxmlformats.org/officeDocument/2006/relationships/hyperlink" Target="https://www.ebihoreanul.ro/stiri/nc-un-deces-i-37-de-noi-mbolnviri-de-covid-19-n-bihor-o-parte-a-spitalului-din-beiu-va-trata-bolnavi-cu-covid-din-cauza-cazurilor-multe-din-zon-158138.html" TargetMode="External"/><Relationship Id="rId3308" Type="http://schemas.openxmlformats.org/officeDocument/2006/relationships/hyperlink" Target="http://www.ms.ro/2020/08/16/buletin-informativ-16-08-2020" TargetMode="External"/><Relationship Id="rId3515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229" Type="http://schemas.openxmlformats.org/officeDocument/2006/relationships/hyperlink" Target="http://www.ms.ro/2020/04/13/buletin-informativ-13-04-2020/" TargetMode="External"/><Relationship Id="rId436" Type="http://schemas.openxmlformats.org/officeDocument/2006/relationships/hyperlink" Target="http://www.ms.ro/2020/04/19/buletin-informativ-19-04-2020/" TargetMode="External"/><Relationship Id="rId643" Type="http://schemas.openxmlformats.org/officeDocument/2006/relationships/hyperlink" Target="http://www.ms.ro/2020/04/23/buletin-informativ-23-04-2020/" TargetMode="External"/><Relationship Id="rId1066" Type="http://schemas.openxmlformats.org/officeDocument/2006/relationships/hyperlink" Target="https://stirioficiale.ro/informatii/buletin-de-presa-22-mai-2020-ora-13-00" TargetMode="External"/><Relationship Id="rId1273" Type="http://schemas.openxmlformats.org/officeDocument/2006/relationships/hyperlink" Target="http://www.ms.ro/2020/06/06/buletin-informativ-06-06-2020/" TargetMode="External"/><Relationship Id="rId1480" Type="http://schemas.openxmlformats.org/officeDocument/2006/relationships/hyperlink" Target="https://stirioficiale.ro/informatii/buletin-de-presa-23-iulie-2020-ora-13-00" TargetMode="External"/><Relationship Id="rId2117" Type="http://schemas.openxmlformats.org/officeDocument/2006/relationships/hyperlink" Target="https://www.ebihoreanul.ro/stiri/record-dupa-record-in-bihor-intr-o-singura-zi-3-morti-si-59-noi-imbolnaviri-cu-covid-158047.html" TargetMode="External"/><Relationship Id="rId2324" Type="http://schemas.openxmlformats.org/officeDocument/2006/relationships/hyperlink" Target="http://www.ms.ro/2020/08/07/buletin-informativ-07-08-2020/" TargetMode="External"/><Relationship Id="rId3722" Type="http://schemas.openxmlformats.org/officeDocument/2006/relationships/hyperlink" Target="http://www.ms.ro/2020/08/20/buletin-informativ-20-08-2020" TargetMode="External"/><Relationship Id="rId850" Type="http://schemas.openxmlformats.org/officeDocument/2006/relationships/hyperlink" Target="http://www.ms.ro/2020/04/29/buletin-informativ-29-04-2020/" TargetMode="External"/><Relationship Id="rId1133" Type="http://schemas.openxmlformats.org/officeDocument/2006/relationships/hyperlink" Target="https://stirioficiale.ro/informatii/buletin-de-presa-28-mai-2020-ora-13-00" TargetMode="External"/><Relationship Id="rId2531" Type="http://schemas.openxmlformats.org/officeDocument/2006/relationships/hyperlink" Target="https://stirioficiale.ro/informatii/buletin-de-presa-9-august-2020-ora-13-00" TargetMode="External"/><Relationship Id="rId503" Type="http://schemas.openxmlformats.org/officeDocument/2006/relationships/hyperlink" Target="https://stirioficiale.ro/informatii/buletin-de-presa-21-aprilie-2020-ora-13-27" TargetMode="External"/><Relationship Id="rId710" Type="http://schemas.openxmlformats.org/officeDocument/2006/relationships/hyperlink" Target="https://stirioficiale.ro/informatii/buletin-de-presa-26-aprilie-2020-ora-13-00" TargetMode="External"/><Relationship Id="rId1340" Type="http://schemas.openxmlformats.org/officeDocument/2006/relationships/hyperlink" Target="https://stirioficiale.ro/informatii/buletin-de-presa-4-iulie-2020-ora-13-00" TargetMode="External"/><Relationship Id="rId3098" Type="http://schemas.openxmlformats.org/officeDocument/2006/relationships/hyperlink" Target="http://www.ms.ro/2020/08/14/buletin-informativ-14-08-2020" TargetMode="External"/><Relationship Id="rId1200" Type="http://schemas.openxmlformats.org/officeDocument/2006/relationships/hyperlink" Target="http://www.ms.ro/2020/05/31/buletin-informativ-31-05-2020/" TargetMode="External"/><Relationship Id="rId4149" Type="http://schemas.openxmlformats.org/officeDocument/2006/relationships/hyperlink" Target="https://www.ebihoreanul.ro/stiri/record-de-decese-covid-in-romania-58-intr-o-singura-zi-in-bihor-au-murit-3-oameni-iar-alti-37-au-fost-diagnosticati-aproape-100-de-pacienti-vindecati-158383.html" TargetMode="External"/><Relationship Id="rId3165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3372" Type="http://schemas.openxmlformats.org/officeDocument/2006/relationships/hyperlink" Target="http://www.ms.ro/2020/08/17/buletin-informativ-17-08-2020" TargetMode="External"/><Relationship Id="rId4009" Type="http://schemas.openxmlformats.org/officeDocument/2006/relationships/hyperlink" Target="https://www.ebihoreanul.ro/stiri/a-fost-depasit-pragul-de-2000-de-cazuri-covid-19diagnosticate-in-bihor-158350.html" TargetMode="External"/><Relationship Id="rId4216" Type="http://schemas.openxmlformats.org/officeDocument/2006/relationships/hyperlink" Target="http://www.ms.ro/2020/08/26/buletin-informativ-26-08-2020" TargetMode="External"/><Relationship Id="rId293" Type="http://schemas.openxmlformats.org/officeDocument/2006/relationships/hyperlink" Target="http://www.ms.ro/2020/04/13/buletin-informativ-13-04-2020/" TargetMode="External"/><Relationship Id="rId2181" Type="http://schemas.openxmlformats.org/officeDocument/2006/relationships/hyperlink" Target="https://www.ebihoreanul.ro/stiri/record-dupa-record-in-bihor-intr-o-singura-zi-3-morti-si-59-noi-imbolnaviri-cu-covid-158047.html" TargetMode="External"/><Relationship Id="rId3025" Type="http://schemas.openxmlformats.org/officeDocument/2006/relationships/hyperlink" Target="https://www.ebihoreanul.ro/stiri/inca-56-de-cazuri-de-coronavirus-in-bihor-158211.html" TargetMode="External"/><Relationship Id="rId3232" Type="http://schemas.openxmlformats.org/officeDocument/2006/relationships/hyperlink" Target="http://www.ms.ro/2020/08/15/33355/" TargetMode="External"/><Relationship Id="rId153" Type="http://schemas.openxmlformats.org/officeDocument/2006/relationships/hyperlink" Target="http://www.ms.ro/2020/04/13/buletin-informativ-13-04-2020/" TargetMode="External"/><Relationship Id="rId360" Type="http://schemas.openxmlformats.org/officeDocument/2006/relationships/hyperlink" Target="http://www.ms.ro/2020/04/15/buletin-informativ-15-04-2020/" TargetMode="External"/><Relationship Id="rId2041" Type="http://schemas.openxmlformats.org/officeDocument/2006/relationships/hyperlink" Target="https://www.ebihoreanul.ro/stiri/inca-50-de-cazuri-de-covid-19-in-bihor-in-urma-testelor-facute-duminica-157998.html" TargetMode="External"/><Relationship Id="rId220" Type="http://schemas.openxmlformats.org/officeDocument/2006/relationships/hyperlink" Target="https://stirioficiale.ro/informatii/buletin-de-presa-13-aprilie-2020-ora-13-72" TargetMode="External"/><Relationship Id="rId2998" Type="http://schemas.openxmlformats.org/officeDocument/2006/relationships/hyperlink" Target="http://www.ms.ro/2020/08/13/buletin-informativ-13-08-2020" TargetMode="External"/><Relationship Id="rId2858" Type="http://schemas.openxmlformats.org/officeDocument/2006/relationships/hyperlink" Target="http://www.ms.ro/2020/08/12/buletin-informativ-12-08-2020" TargetMode="External"/><Relationship Id="rId3909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4073" Type="http://schemas.openxmlformats.org/officeDocument/2006/relationships/hyperlink" Target="https://www.ebihoreanul.ro/stiri/inca-trei-decese-ale-unor-pacienti-infectati-cu-covid-19-in-bihor-cazuri-noi-de-imbolnavire-dar-si-multe-vindecari-158365.html" TargetMode="External"/><Relationship Id="rId99" Type="http://schemas.openxmlformats.org/officeDocument/2006/relationships/hyperlink" Target="http://www.ms.ro/2020/04/10/buletin-informativ-10-04-2020/" TargetMode="External"/><Relationship Id="rId1667" Type="http://schemas.openxmlformats.org/officeDocument/2006/relationships/hyperlink" Target="http://www.ms.ro/2020/07/29/buletin-informativ-29-07-2020/" TargetMode="External"/><Relationship Id="rId1874" Type="http://schemas.openxmlformats.org/officeDocument/2006/relationships/hyperlink" Target="https://stirioficiale.ro/informatii/informare-de-presa-01-august-2020" TargetMode="External"/><Relationship Id="rId2718" Type="http://schemas.openxmlformats.org/officeDocument/2006/relationships/hyperlink" Target="http://www.ms.ro/2020/08/11/buletin-informativ-11-08-2020" TargetMode="External"/><Relationship Id="rId2925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1527" Type="http://schemas.openxmlformats.org/officeDocument/2006/relationships/hyperlink" Target="http://www.ms.ro/2020/07/25/buletin-informativ-25-07-2020/" TargetMode="External"/><Relationship Id="rId1734" Type="http://schemas.openxmlformats.org/officeDocument/2006/relationships/hyperlink" Target="https://stirioficiale.ro/informatii/buletin-de-presa-30-iulie-2020-ora-13-00" TargetMode="External"/><Relationship Id="rId1941" Type="http://schemas.openxmlformats.org/officeDocument/2006/relationships/hyperlink" Target="http://www.ms.ro/2020/08/02/buletin-informativ-02-08-2020/" TargetMode="External"/><Relationship Id="rId4140" Type="http://schemas.openxmlformats.org/officeDocument/2006/relationships/hyperlink" Target="http://www.ms.ro/2020/08/25/buletin-informativ-25-08-2020" TargetMode="External"/><Relationship Id="rId26" Type="http://schemas.openxmlformats.org/officeDocument/2006/relationships/hyperlink" Target="http://www.ms.ro/2020/04/02/buletin-informativ-02-04-2020/" TargetMode="External"/><Relationship Id="rId3699" Type="http://schemas.openxmlformats.org/officeDocument/2006/relationships/hyperlink" Target="https://www.ebihoreanul.ro/stiri/record-alarmant-in-bihor-inca-85-de-cazuri-noi-de-covid-si-inca-doua-decese-158311.html" TargetMode="External"/><Relationship Id="rId4000" Type="http://schemas.openxmlformats.org/officeDocument/2006/relationships/hyperlink" Target="http://www.ms.ro/2020/08/23/buletin-informativ-23-08-2020" TargetMode="External"/><Relationship Id="rId1801" Type="http://schemas.openxmlformats.org/officeDocument/2006/relationships/hyperlink" Target="http://www.ms.ro/2020/07/31/buletin-informativ-31-07-2020/" TargetMode="External"/><Relationship Id="rId3559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687" Type="http://schemas.openxmlformats.org/officeDocument/2006/relationships/hyperlink" Target="http://www.ms.ro/2020/04/24/buletin-informativ-24-04-2020/" TargetMode="External"/><Relationship Id="rId2368" Type="http://schemas.openxmlformats.org/officeDocument/2006/relationships/hyperlink" Target="http://www.ms.ro/2020/08/07/buletin-informativ-07-08-2020/" TargetMode="External"/><Relationship Id="rId3766" Type="http://schemas.openxmlformats.org/officeDocument/2006/relationships/hyperlink" Target="http://www.ms.ro/2020/08/20/buletin-informativ-20-08-2020" TargetMode="External"/><Relationship Id="rId3973" Type="http://schemas.openxmlformats.org/officeDocument/2006/relationships/hyperlink" Target="https://www.ebihoreanul.ro/stiri/niciun-deces-in-bihor-si-zeci-de-pacienti-covid-vindecati-dar-si-40-noi-imbolnaviri-inclusiv-angajati-ai-maternitatii-si-spitalului-militar-158339.html" TargetMode="External"/><Relationship Id="rId894" Type="http://schemas.openxmlformats.org/officeDocument/2006/relationships/hyperlink" Target="http://www.ms.ro/2020/05/01/buletin-informativ-01-05-2020/" TargetMode="External"/><Relationship Id="rId1177" Type="http://schemas.openxmlformats.org/officeDocument/2006/relationships/hyperlink" Target="https://www.bihon.ro/stirile-judetului-bihor/rezultatul-testarii-la-plexus-21-de-angajati-pozitivi-covid-19-iata-ce-masuri-ia-compania-americana-2295625/" TargetMode="External"/><Relationship Id="rId2575" Type="http://schemas.openxmlformats.org/officeDocument/2006/relationships/hyperlink" Target="https://stirioficiale.ro/informatii/buletin-de-presa-9-august-2020-ora-13-00" TargetMode="External"/><Relationship Id="rId2782" Type="http://schemas.openxmlformats.org/officeDocument/2006/relationships/hyperlink" Target="http://www.ms.ro/2020/08/12/buletin-informativ-12-08-2020" TargetMode="External"/><Relationship Id="rId3419" Type="http://schemas.openxmlformats.org/officeDocument/2006/relationships/hyperlink" Target="https://www.ebihoreanul.ro/stiri/coronavirus-in-bihor-inca-doua-decese-si-45-de-cazuri-noi-vezi-din-ce-localitati-158277.html" TargetMode="External"/><Relationship Id="rId3626" Type="http://schemas.openxmlformats.org/officeDocument/2006/relationships/hyperlink" Target="http://www.ms.ro/2020/08/20/buletin-informativ-20-08-2020" TargetMode="External"/><Relationship Id="rId3833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547" Type="http://schemas.openxmlformats.org/officeDocument/2006/relationships/hyperlink" Target="https://stirioficiale.ro/informatii/buletin-de-presa-21-aprilie-2020-ora-13-49" TargetMode="External"/><Relationship Id="rId754" Type="http://schemas.openxmlformats.org/officeDocument/2006/relationships/hyperlink" Target="https://stirioficiale.ro/informatii/buletin-de-presa-27-aprilie-2020-ora-13-00" TargetMode="External"/><Relationship Id="rId961" Type="http://schemas.openxmlformats.org/officeDocument/2006/relationships/hyperlink" Target="https://stirioficiale.ro/informatii/buletin-de-presa-8-mai-2020-ora-13-00" TargetMode="External"/><Relationship Id="rId1384" Type="http://schemas.openxmlformats.org/officeDocument/2006/relationships/hyperlink" Target="https://stirioficiale.ro/informatii/buletin-de-presa-6-iulie-2020-ora-13-00" TargetMode="External"/><Relationship Id="rId1591" Type="http://schemas.openxmlformats.org/officeDocument/2006/relationships/hyperlink" Target="http://www.ms.ro/2020/07/27/buletin-informativ-27-07-2020/" TargetMode="External"/><Relationship Id="rId2228" Type="http://schemas.openxmlformats.org/officeDocument/2006/relationships/hyperlink" Target="http://www.ms.ro/2020/08/06/buletin-informativ-06-08-2020/" TargetMode="External"/><Relationship Id="rId2435" Type="http://schemas.openxmlformats.org/officeDocument/2006/relationships/hyperlink" Target="https://stirioficiale.ro/informatii/buletin-de-presa-8-august-2020-ora-13-00" TargetMode="External"/><Relationship Id="rId2642" Type="http://schemas.openxmlformats.org/officeDocument/2006/relationships/hyperlink" Target="http://www.ms.ro/2020/08/10/buletin-informativ-10-08-2020" TargetMode="External"/><Relationship Id="rId3900" Type="http://schemas.openxmlformats.org/officeDocument/2006/relationships/hyperlink" Target="http://www.ms.ro/2020/08/21/buletin-informativ-21-08-2020" TargetMode="External"/><Relationship Id="rId90" Type="http://schemas.openxmlformats.org/officeDocument/2006/relationships/hyperlink" Target="https://stirioficiale.ro/informatii/buletin-de-presa-9-aprilie-2020-ora-13-00" TargetMode="External"/><Relationship Id="rId407" Type="http://schemas.openxmlformats.org/officeDocument/2006/relationships/hyperlink" Target="http://www.ms.ro/2020/04/17/buletin-informativ-17-04-2020/" TargetMode="External"/><Relationship Id="rId614" Type="http://schemas.openxmlformats.org/officeDocument/2006/relationships/hyperlink" Target="https://stirioficiale.ro/informatii/buletin-de-presa-22-aprilie-2020-ora-13-61" TargetMode="External"/><Relationship Id="rId821" Type="http://schemas.openxmlformats.org/officeDocument/2006/relationships/hyperlink" Target="http://www.ms.ro/2020/04/28/buletin-informativ-28-04-2020/" TargetMode="External"/><Relationship Id="rId1037" Type="http://schemas.openxmlformats.org/officeDocument/2006/relationships/hyperlink" Target="https://stirioficiale.ro/informatii/buletin-de-presa-19-mai-2020-ora-13-00" TargetMode="External"/><Relationship Id="rId1244" Type="http://schemas.openxmlformats.org/officeDocument/2006/relationships/hyperlink" Target="http://www.ms.ro/2020/06/02/buletin-informativ-02-06-2020/" TargetMode="External"/><Relationship Id="rId1451" Type="http://schemas.openxmlformats.org/officeDocument/2006/relationships/hyperlink" Target="http://www.ms.ro/2020/07/21/buletin-informativ-21-07-2020/" TargetMode="External"/><Relationship Id="rId2502" Type="http://schemas.openxmlformats.org/officeDocument/2006/relationships/hyperlink" Target="http://www.ms.ro/2020/08/09/buletin-informativ-09-08-2020" TargetMode="External"/><Relationship Id="rId1104" Type="http://schemas.openxmlformats.org/officeDocument/2006/relationships/hyperlink" Target="http://www.ms.ro/2020/05/26/buletin-informativ-26-05-2020/" TargetMode="External"/><Relationship Id="rId1311" Type="http://schemas.openxmlformats.org/officeDocument/2006/relationships/hyperlink" Target="http://www.ms.ro/2020/06/15/buletin-informativ-15-06-2020/" TargetMode="External"/><Relationship Id="rId3069" Type="http://schemas.openxmlformats.org/officeDocument/2006/relationships/hyperlink" Target="https://www.ebihoreanul.ro/stiri/inca-56-de-cazuri-de-coronavirus-in-bihor-158211.html" TargetMode="External"/><Relationship Id="rId3276" Type="http://schemas.openxmlformats.org/officeDocument/2006/relationships/hyperlink" Target="http://www.ms.ro/2020/08/16/buletin-informativ-16-08-2020" TargetMode="External"/><Relationship Id="rId3483" Type="http://schemas.openxmlformats.org/officeDocument/2006/relationships/hyperlink" Target="https://www.ebihoreanul.ro/stiri/coronavirus-in-bihor-inca-doua-decese-si-45-de-cazuri-noi-vezi-din-ce-localitati-158277.html" TargetMode="External"/><Relationship Id="rId3690" Type="http://schemas.openxmlformats.org/officeDocument/2006/relationships/hyperlink" Target="http://www.ms.ro/2020/08/20/buletin-informativ-20-08-2020" TargetMode="External"/><Relationship Id="rId197" Type="http://schemas.openxmlformats.org/officeDocument/2006/relationships/hyperlink" Target="http://www.ms.ro/2020/04/13/buletin-informativ-13-04-2020/" TargetMode="External"/><Relationship Id="rId2085" Type="http://schemas.openxmlformats.org/officeDocument/2006/relationships/hyperlink" Target="https://stirioficiale.ro/informatii/buletin-de-presa-4-august-2020-ora-13-00" TargetMode="External"/><Relationship Id="rId2292" Type="http://schemas.openxmlformats.org/officeDocument/2006/relationships/hyperlink" Target="http://www.ms.ro/2020/08/06/buletin-informativ-06-08-2020/" TargetMode="External"/><Relationship Id="rId3136" Type="http://schemas.openxmlformats.org/officeDocument/2006/relationships/hyperlink" Target="http://www.ms.ro/2020/08/15/33355/" TargetMode="External"/><Relationship Id="rId3343" Type="http://schemas.openxmlformats.org/officeDocument/2006/relationships/hyperlink" Target="https://www.ebihoreanul.ro/stiri/coronavirus-in-bihor-inca-trei-decese-inregistrate-50-de-cazuri-noi-diagnosticate-nicio-persoana-vindecata-158239.html" TargetMode="External"/><Relationship Id="rId264" Type="http://schemas.openxmlformats.org/officeDocument/2006/relationships/hyperlink" Target="https://stirioficiale.ro/informatii/buletin-de-presa-13-aprilie-2020-ora-13-94" TargetMode="External"/><Relationship Id="rId471" Type="http://schemas.openxmlformats.org/officeDocument/2006/relationships/hyperlink" Target="https://stirioficiale.ro/informatii/buletin-de-presa-20-aprilie-2020-ora-13-00" TargetMode="External"/><Relationship Id="rId2152" Type="http://schemas.openxmlformats.org/officeDocument/2006/relationships/hyperlink" Target="http://www.ms.ro/2020/08/05/buletin-informativ-05-08-2020/" TargetMode="External"/><Relationship Id="rId3550" Type="http://schemas.openxmlformats.org/officeDocument/2006/relationships/hyperlink" Target="http://www.ms.ro/2020/08/19/buletin-informativ-19-08-2020" TargetMode="External"/><Relationship Id="rId124" Type="http://schemas.openxmlformats.org/officeDocument/2006/relationships/hyperlink" Target="https://stirioficiale.ro/informatii/buletin-de-presa-11-aprilie-2020-ora-13-69" TargetMode="External"/><Relationship Id="rId3203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3410" Type="http://schemas.openxmlformats.org/officeDocument/2006/relationships/hyperlink" Target="http://www.ms.ro/2020/08/17/buletin-informativ-17-08-2020" TargetMode="External"/><Relationship Id="rId331" Type="http://schemas.openxmlformats.org/officeDocument/2006/relationships/hyperlink" Target="https://stirioficiale.ro/informatii/buletin-de-presa-14-aprilie-2020-ora-13-27" TargetMode="External"/><Relationship Id="rId2012" Type="http://schemas.openxmlformats.org/officeDocument/2006/relationships/hyperlink" Target="http://www.ms.ro/2020/08/03/buletin-informativ-03-08-2020/" TargetMode="External"/><Relationship Id="rId2969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1778" Type="http://schemas.openxmlformats.org/officeDocument/2006/relationships/hyperlink" Target="https://stirioficiale.ro/informatii/buletin-de-presa-30-iulie-2020-ora-13-00" TargetMode="External"/><Relationship Id="rId1985" Type="http://schemas.openxmlformats.org/officeDocument/2006/relationships/hyperlink" Target="http://www.ms.ro/2020/08/03/buletin-informativ-03-08-2020/" TargetMode="External"/><Relationship Id="rId2829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4184" Type="http://schemas.openxmlformats.org/officeDocument/2006/relationships/hyperlink" Target="http://www.ms.ro/2020/08/26/buletin-informativ-26-08-2020" TargetMode="External"/><Relationship Id="rId1638" Type="http://schemas.openxmlformats.org/officeDocument/2006/relationships/hyperlink" Target="https://stirioficiale.ro/informatii/buletin-de-presa-28-iulie-2020-ora-13-00" TargetMode="External"/><Relationship Id="rId4044" Type="http://schemas.openxmlformats.org/officeDocument/2006/relationships/hyperlink" Target="http://www.ms.ro/2020/08/23/buletin-informativ-23-08-2020" TargetMode="External"/><Relationship Id="rId1845" Type="http://schemas.openxmlformats.org/officeDocument/2006/relationships/hyperlink" Target="http://www.ms.ro/2020/08/01/buletin-informativ-01-08-2020/" TargetMode="External"/><Relationship Id="rId3060" Type="http://schemas.openxmlformats.org/officeDocument/2006/relationships/hyperlink" Target="http://www.ms.ro/2020/08/14/buletin-informativ-14-08-2020" TargetMode="External"/><Relationship Id="rId4111" Type="http://schemas.openxmlformats.org/officeDocument/2006/relationships/hyperlink" Target="https://www.ebihoreanul.ro/stiri/record-de-decese-covid-in-romania-58-intr-o-singura-zi-in-bihor-au-murit-3-oameni-iar-alti-37-au-fost-diagnosticati-aproape-100-de-pacienti-vindecati-158383.html" TargetMode="External"/><Relationship Id="rId1705" Type="http://schemas.openxmlformats.org/officeDocument/2006/relationships/hyperlink" Target="http://www.ms.ro/2020/07/30/buletin-informativ-30-07-2020/" TargetMode="External"/><Relationship Id="rId1912" Type="http://schemas.openxmlformats.org/officeDocument/2006/relationships/hyperlink" Target="https://stirioficiale.ro/informatii/buletin-de-presa-2-august-2020-ora-13-00" TargetMode="External"/><Relationship Id="rId3877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798" Type="http://schemas.openxmlformats.org/officeDocument/2006/relationships/hyperlink" Target="https://stirioficiale.ro/informatii/buletin-de-presa-27-aprilie-2020-ora-13-00" TargetMode="External"/><Relationship Id="rId2479" Type="http://schemas.openxmlformats.org/officeDocument/2006/relationships/hyperlink" Target="https://stirioficiale.ro/informatii/buletin-de-presa-8-august-2020-ora-13-00" TargetMode="External"/><Relationship Id="rId2686" Type="http://schemas.openxmlformats.org/officeDocument/2006/relationships/hyperlink" Target="http://www.ms.ro/2020/08/11/buletin-informativ-11-08-2020" TargetMode="External"/><Relationship Id="rId2893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3737" Type="http://schemas.openxmlformats.org/officeDocument/2006/relationships/hyperlink" Target="https://www.ebihoreanul.ro/stiri/record-alarmant-in-bihor-inca-85-de-cazuri-noi-de-covid-si-inca-doua-decese-158311.html" TargetMode="External"/><Relationship Id="rId3944" Type="http://schemas.openxmlformats.org/officeDocument/2006/relationships/hyperlink" Target="http://www.ms.ro/2020/08/22/buletin-informativ-22-08-2020" TargetMode="External"/><Relationship Id="rId658" Type="http://schemas.openxmlformats.org/officeDocument/2006/relationships/hyperlink" Target="https://stirioficiale.ro/informatii/buletin-de-presa-23-aprilie-2020-ora-13-00" TargetMode="External"/><Relationship Id="rId865" Type="http://schemas.openxmlformats.org/officeDocument/2006/relationships/hyperlink" Target="http://www.ms.ro/2020/04/29/buletin-informativ-29-04-2020/" TargetMode="External"/><Relationship Id="rId1288" Type="http://schemas.openxmlformats.org/officeDocument/2006/relationships/hyperlink" Target="https://stirioficiale.ro/informatii/buletin-de-presa-11-iunie-2020-ora-13-00" TargetMode="External"/><Relationship Id="rId1495" Type="http://schemas.openxmlformats.org/officeDocument/2006/relationships/hyperlink" Target="http://www.ms.ro/2020/07/23/buletin-informativ-23-07-2020/" TargetMode="External"/><Relationship Id="rId2339" Type="http://schemas.openxmlformats.org/officeDocument/2006/relationships/hyperlink" Target="https://www.ebihoreanul.ro/stiri/a-patra-zi-la-rand-cu-decese-covid-in-bihor-si-53-noi-imbolnaviri-in-ultimele-24-de-ore-158087.html" TargetMode="External"/><Relationship Id="rId2546" Type="http://schemas.openxmlformats.org/officeDocument/2006/relationships/hyperlink" Target="http://www.ms.ro/2020/08/09/buletin-informativ-09-08-2020" TargetMode="External"/><Relationship Id="rId2753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2960" Type="http://schemas.openxmlformats.org/officeDocument/2006/relationships/hyperlink" Target="http://www.ms.ro/2020/08/13/buletin-informativ-13-08-2020" TargetMode="External"/><Relationship Id="rId3804" Type="http://schemas.openxmlformats.org/officeDocument/2006/relationships/hyperlink" Target="http://www.ms.ro/2020/08/21/buletin-informativ-21-08-2020" TargetMode="External"/><Relationship Id="rId518" Type="http://schemas.openxmlformats.org/officeDocument/2006/relationships/hyperlink" Target="http://www.ms.ro/2020/04/21/buletin-informativ-21-04-2020/" TargetMode="External"/><Relationship Id="rId725" Type="http://schemas.openxmlformats.org/officeDocument/2006/relationships/hyperlink" Target="http://www.ms.ro/2020/04/27/buletin-informativ-27-04-2020/" TargetMode="External"/><Relationship Id="rId932" Type="http://schemas.openxmlformats.org/officeDocument/2006/relationships/hyperlink" Target="https://stirioficiale.ro/informatii/buletin-de-presa-3-mai-2020-ora-13-00" TargetMode="External"/><Relationship Id="rId1148" Type="http://schemas.openxmlformats.org/officeDocument/2006/relationships/hyperlink" Target="http://www.ms.ro/2020/05/29/buletin-informativ-29-05-2020/" TargetMode="External"/><Relationship Id="rId1355" Type="http://schemas.openxmlformats.org/officeDocument/2006/relationships/hyperlink" Target="http://www.ms.ro/2020/07/05/buletin-informativ-05-07-2020/" TargetMode="External"/><Relationship Id="rId1562" Type="http://schemas.openxmlformats.org/officeDocument/2006/relationships/hyperlink" Target="https://stirioficiale.ro/informatii/buletin-de-presa-26-iulie-2020-ora-13-00" TargetMode="External"/><Relationship Id="rId2406" Type="http://schemas.openxmlformats.org/officeDocument/2006/relationships/hyperlink" Target="http://www.ms.ro/2020/08/08/buletin-informativ-08-08-2020" TargetMode="External"/><Relationship Id="rId2613" Type="http://schemas.openxmlformats.org/officeDocument/2006/relationships/hyperlink" Target="https://www.ebihoreanul.ro/stiri/nc-un-deces-i-37-de-noi-mbolnviri-de-covid-19-n-bihor-o-parte-a-spitalului-din-beiu-va-trata-bolnavi-cu-covid-din-cauza-cazurilor-multe-din-zon-158138.html" TargetMode="External"/><Relationship Id="rId1008" Type="http://schemas.openxmlformats.org/officeDocument/2006/relationships/hyperlink" Target="https://www.fanatik.ro/mai-multi-medici-reintorsi-din-republica-moldova-depistati-cu-noul-coronavirus-19201114" TargetMode="External"/><Relationship Id="rId1215" Type="http://schemas.openxmlformats.org/officeDocument/2006/relationships/hyperlink" Target="https://stirioficiale.ro/informatii/buletin-de-presa-1-iunie-2020-ora-13-00" TargetMode="External"/><Relationship Id="rId1422" Type="http://schemas.openxmlformats.org/officeDocument/2006/relationships/hyperlink" Target="https://stirioficiale.ro/informatii/buletin-de-presa-14-iulie-2020-ora-13-00" TargetMode="External"/><Relationship Id="rId2820" Type="http://schemas.openxmlformats.org/officeDocument/2006/relationships/hyperlink" Target="http://www.ms.ro/2020/08/12/buletin-informativ-12-08-2020" TargetMode="External"/><Relationship Id="rId61" Type="http://schemas.openxmlformats.org/officeDocument/2006/relationships/hyperlink" Target="https://stirioficiale.ro/informatii/buletin-de-presa-6-aprilie-2020-ora-13-00" TargetMode="External"/><Relationship Id="rId3387" Type="http://schemas.openxmlformats.org/officeDocument/2006/relationships/hyperlink" Target="https://www.ebihoreanul.ro/stiri/dupa-doua-saptamani-numarul-imbolnavirilor-covid-scade-in-bihor-31-noi-infectari-dar-si-un-deces-158256.html" TargetMode="External"/><Relationship Id="rId2196" Type="http://schemas.openxmlformats.org/officeDocument/2006/relationships/hyperlink" Target="http://www.ms.ro/2020/08/05/buletin-informativ-05-08-2020/" TargetMode="External"/><Relationship Id="rId3594" Type="http://schemas.openxmlformats.org/officeDocument/2006/relationships/hyperlink" Target="http://www.ms.ro/2020/08/19/buletin-informativ-19-08-2020" TargetMode="External"/><Relationship Id="rId168" Type="http://schemas.openxmlformats.org/officeDocument/2006/relationships/hyperlink" Target="https://stirioficiale.ro/informatii/buletin-de-presa-13-aprilie-2020-ora-13-46" TargetMode="External"/><Relationship Id="rId3247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3454" Type="http://schemas.openxmlformats.org/officeDocument/2006/relationships/hyperlink" Target="http://www.ms.ro/2020/08/18/buletin-informativ-18-08-2020" TargetMode="External"/><Relationship Id="rId3661" Type="http://schemas.openxmlformats.org/officeDocument/2006/relationships/hyperlink" Target="https://www.ebihoreanul.ro/stiri/record-alarmant-in-bihor-inca-85-de-cazuri-noi-de-covid-si-inca-doua-decese-158311.html" TargetMode="External"/><Relationship Id="rId375" Type="http://schemas.openxmlformats.org/officeDocument/2006/relationships/hyperlink" Target="https://stirioficiale.ro/informatii/buletin-de-presa-16-aprilie-2020-ora-13-59" TargetMode="External"/><Relationship Id="rId582" Type="http://schemas.openxmlformats.org/officeDocument/2006/relationships/hyperlink" Target="https://stirioficiale.ro/informatii/buletin-de-presa-22-aprilie-2020-ora-13-45" TargetMode="External"/><Relationship Id="rId2056" Type="http://schemas.openxmlformats.org/officeDocument/2006/relationships/hyperlink" Target="http://www.ms.ro/2020/08/03/buletin-informativ-03-08-2020/" TargetMode="External"/><Relationship Id="rId2263" Type="http://schemas.openxmlformats.org/officeDocument/2006/relationships/hyperlink" Target="https://www.ebihoreanul.ro/stiri/a-treia-zi-consecutiva-cu-decese-covid-in-bihor-si-inca-35-noi-imbolnaviri-raportate-oficial-pentru-ultimele-24-de-ore-158069.html" TargetMode="External"/><Relationship Id="rId2470" Type="http://schemas.openxmlformats.org/officeDocument/2006/relationships/hyperlink" Target="http://www.ms.ro/2020/08/08/buletin-informativ-08-08-2020" TargetMode="External"/><Relationship Id="rId3107" Type="http://schemas.openxmlformats.org/officeDocument/2006/relationships/hyperlink" Target="https://www.ebihoreanul.ro/stiri/inca-56-de-cazuri-de-coronavirus-in-bihor-158211.html" TargetMode="External"/><Relationship Id="rId3314" Type="http://schemas.openxmlformats.org/officeDocument/2006/relationships/hyperlink" Target="http://www.ms.ro/2020/08/16/buletin-informativ-16-08-2020" TargetMode="External"/><Relationship Id="rId3521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235" Type="http://schemas.openxmlformats.org/officeDocument/2006/relationships/hyperlink" Target="http://www.ms.ro/2020/04/13/buletin-informativ-13-04-2020/" TargetMode="External"/><Relationship Id="rId442" Type="http://schemas.openxmlformats.org/officeDocument/2006/relationships/hyperlink" Target="http://www.ms.ro/2020/04/19/buletin-informativ-19-04-2020/" TargetMode="External"/><Relationship Id="rId1072" Type="http://schemas.openxmlformats.org/officeDocument/2006/relationships/hyperlink" Target="https://stirioficiale.ro/informatii/buletin-de-presa-23-mai-2020-ora-13-00" TargetMode="External"/><Relationship Id="rId2123" Type="http://schemas.openxmlformats.org/officeDocument/2006/relationships/hyperlink" Target="https://www.ebihoreanul.ro/stiri/record-dupa-record-in-bihor-intr-o-singura-zi-3-morti-si-59-noi-imbolnaviri-cu-covid-158047.html" TargetMode="External"/><Relationship Id="rId2330" Type="http://schemas.openxmlformats.org/officeDocument/2006/relationships/hyperlink" Target="http://www.ms.ro/2020/08/07/buletin-informativ-07-08-2020/" TargetMode="External"/><Relationship Id="rId302" Type="http://schemas.openxmlformats.org/officeDocument/2006/relationships/hyperlink" Target="https://stirioficiale.ro/informatii/buletin-de-presa-13-aprilie-2020-ora-13-113" TargetMode="External"/><Relationship Id="rId4088" Type="http://schemas.openxmlformats.org/officeDocument/2006/relationships/hyperlink" Target="http://www.ms.ro/2020/08/24/buletin-informativ-24-08-2020" TargetMode="External"/><Relationship Id="rId1889" Type="http://schemas.openxmlformats.org/officeDocument/2006/relationships/hyperlink" Target="http://www.ms.ro/2020/08/01/buletin-informativ-01-08-2020/" TargetMode="External"/><Relationship Id="rId4155" Type="http://schemas.openxmlformats.org/officeDocument/2006/relationships/hyperlink" Target="https://www.ebihoreanul.ro/stiri/record-de-decese-covid-in-romania-58-intr-o-singura-zi-in-bihor-au-murit-3-oameni-iar-alti-37-au-fost-diagnosticati-aproape-100-de-pacienti-vindecati-158383.html" TargetMode="External"/><Relationship Id="rId1749" Type="http://schemas.openxmlformats.org/officeDocument/2006/relationships/hyperlink" Target="http://www.ms.ro/2020/07/30/buletin-informativ-30-07-2020/" TargetMode="External"/><Relationship Id="rId1956" Type="http://schemas.openxmlformats.org/officeDocument/2006/relationships/hyperlink" Target="https://stirioficiale.ro/informatii/buletin-de-presa-2-august-2020-ora-13-00" TargetMode="External"/><Relationship Id="rId3171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4015" Type="http://schemas.openxmlformats.org/officeDocument/2006/relationships/hyperlink" Target="https://www.ebihoreanul.ro/stiri/a-fost-depasit-pragul-de-2000-de-cazuri-covid-19diagnosticate-in-bihor-158350.html" TargetMode="External"/><Relationship Id="rId1609" Type="http://schemas.openxmlformats.org/officeDocument/2006/relationships/hyperlink" Target="http://www.ms.ro/2020/07/27/buletin-informativ-27-07-2020/" TargetMode="External"/><Relationship Id="rId1816" Type="http://schemas.openxmlformats.org/officeDocument/2006/relationships/hyperlink" Target="https://stirioficiale.ro/informatii/buletin-de-presa-31-iulie-2020-ora-13-00" TargetMode="External"/><Relationship Id="rId4222" Type="http://schemas.openxmlformats.org/officeDocument/2006/relationships/hyperlink" Target="http://www.ms.ro/2020/08/26/buletin-informativ-26-08-2020" TargetMode="External"/><Relationship Id="rId3031" Type="http://schemas.openxmlformats.org/officeDocument/2006/relationships/hyperlink" Target="https://www.ebihoreanul.ro/stiri/inca-56-de-cazuri-de-coronavirus-in-bihor-158211.html" TargetMode="External"/><Relationship Id="rId3988" Type="http://schemas.openxmlformats.org/officeDocument/2006/relationships/hyperlink" Target="http://www.ms.ro/2020/08/22/buletin-informativ-22-08-2020" TargetMode="External"/><Relationship Id="rId2797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3848" Type="http://schemas.openxmlformats.org/officeDocument/2006/relationships/hyperlink" Target="http://www.ms.ro/2020/08/21/buletin-informativ-21-08-2020" TargetMode="External"/><Relationship Id="rId769" Type="http://schemas.openxmlformats.org/officeDocument/2006/relationships/hyperlink" Target="http://www.ms.ro/2020/04/27/buletin-informativ-27-04-2020/" TargetMode="External"/><Relationship Id="rId976" Type="http://schemas.openxmlformats.org/officeDocument/2006/relationships/hyperlink" Target="http://www.ms.ro/2020/05/12/buletin-informativ-12-05-2020/" TargetMode="External"/><Relationship Id="rId1399" Type="http://schemas.openxmlformats.org/officeDocument/2006/relationships/hyperlink" Target="http://www.ms.ro/2020/07/09/buletin-informativ-09-07-2020/" TargetMode="External"/><Relationship Id="rId2657" Type="http://schemas.openxmlformats.org/officeDocument/2006/relationships/hyperlink" Target="https://www.ebihoreanul.ro/stiri/nc-un-deces-i-37-de-noi-mbolnviri-de-covid-19-n-bihor-o-parte-a-spitalului-din-beiu-va-trata-bolnavi-cu-covid-din-cauza-cazurilor-multe-din-zon-158138.html" TargetMode="External"/><Relationship Id="rId629" Type="http://schemas.openxmlformats.org/officeDocument/2006/relationships/hyperlink" Target="http://www.ms.ro/2020/04/22/buletin-informativ-22-04-2020/" TargetMode="External"/><Relationship Id="rId1259" Type="http://schemas.openxmlformats.org/officeDocument/2006/relationships/hyperlink" Target="http://www.ms.ro/2020/06/05/buletin-informativ-05-06-2020/" TargetMode="External"/><Relationship Id="rId1466" Type="http://schemas.openxmlformats.org/officeDocument/2006/relationships/hyperlink" Target="https://stirioficiale.ro/informatii/buletin-de-presa-22-iulie-2020-ora-13-00" TargetMode="External"/><Relationship Id="rId2864" Type="http://schemas.openxmlformats.org/officeDocument/2006/relationships/hyperlink" Target="http://www.ms.ro/2020/08/12/buletin-informativ-12-08-2020" TargetMode="External"/><Relationship Id="rId3708" Type="http://schemas.openxmlformats.org/officeDocument/2006/relationships/hyperlink" Target="http://www.ms.ro/2020/08/20/buletin-informativ-20-08-2020" TargetMode="External"/><Relationship Id="rId3915" Type="http://schemas.openxmlformats.org/officeDocument/2006/relationships/hyperlink" Target="https://www.ebihoreanul.ro/stiri/niciun-deces-in-bihor-si-zeci-de-pacienti-covid-vindecati-dar-si-40-noi-imbolnaviri-inclusiv-angajati-ai-maternitatii-si-spitalului-militar-158339.html" TargetMode="External"/><Relationship Id="rId836" Type="http://schemas.openxmlformats.org/officeDocument/2006/relationships/hyperlink" Target="https://stirioficiale.ro/informatii/buletin-de-presa-28-aprilie-2020-ora-13-00" TargetMode="External"/><Relationship Id="rId1119" Type="http://schemas.openxmlformats.org/officeDocument/2006/relationships/hyperlink" Target="https://stirioficiale.ro/informatii/buletin-de-presa-27-mai-2020-ora-13-00" TargetMode="External"/><Relationship Id="rId1673" Type="http://schemas.openxmlformats.org/officeDocument/2006/relationships/hyperlink" Target="http://www.ms.ro/2020/07/29/buletin-informativ-29-07-2020/" TargetMode="External"/><Relationship Id="rId1880" Type="http://schemas.openxmlformats.org/officeDocument/2006/relationships/hyperlink" Target="https://stirioficiale.ro/informatii/informare-de-presa-01-august-2020" TargetMode="External"/><Relationship Id="rId2517" Type="http://schemas.openxmlformats.org/officeDocument/2006/relationships/hyperlink" Target="https://stirioficiale.ro/informatii/buletin-de-presa-9-august-2020-ora-13-00" TargetMode="External"/><Relationship Id="rId2724" Type="http://schemas.openxmlformats.org/officeDocument/2006/relationships/hyperlink" Target="http://www.ms.ro/2020/08/11/buletin-informativ-11-08-2020" TargetMode="External"/><Relationship Id="rId2931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903" Type="http://schemas.openxmlformats.org/officeDocument/2006/relationships/hyperlink" Target="http://www.ms.ro/2020/05/01/buletin-informativ-01-05-2020/" TargetMode="External"/><Relationship Id="rId1326" Type="http://schemas.openxmlformats.org/officeDocument/2006/relationships/hyperlink" Target="https://stirioficiale.ro/informatii/buletin-de-presa-24-iunie-2020-ora-13-00" TargetMode="External"/><Relationship Id="rId1533" Type="http://schemas.openxmlformats.org/officeDocument/2006/relationships/hyperlink" Target="http://www.ms.ro/2020/07/25/buletin-informativ-25-07-2020/" TargetMode="External"/><Relationship Id="rId1740" Type="http://schemas.openxmlformats.org/officeDocument/2006/relationships/hyperlink" Target="https://stirioficiale.ro/informatii/buletin-de-presa-30-iulie-2020-ora-13-00" TargetMode="External"/><Relationship Id="rId32" Type="http://schemas.openxmlformats.org/officeDocument/2006/relationships/hyperlink" Target="https://stirioficiale.ro/informatii/buletin-de-presa-2-aprilie-2020-ora-13-01" TargetMode="External"/><Relationship Id="rId1600" Type="http://schemas.openxmlformats.org/officeDocument/2006/relationships/hyperlink" Target="https://www.ebihoreanul.ro/stiri/inca-26-noi-cazuri-covid-depistate-in-bihor-intre-care-un-brancardier-si-o-asistenta-revenita-dupa-un-concediu-in-grecia-157871.html" TargetMode="External"/><Relationship Id="rId3498" Type="http://schemas.openxmlformats.org/officeDocument/2006/relationships/hyperlink" Target="http://www.ms.ro/2020/08/18/buletin-informativ-18-08-2020" TargetMode="External"/><Relationship Id="rId3358" Type="http://schemas.openxmlformats.org/officeDocument/2006/relationships/hyperlink" Target="http://www.ms.ro/2020/08/17/buletin-informativ-17-08-2020" TargetMode="External"/><Relationship Id="rId3565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3772" Type="http://schemas.openxmlformats.org/officeDocument/2006/relationships/hyperlink" Target="http://www.ms.ro/2020/08/20/buletin-informativ-20-08-2020" TargetMode="External"/><Relationship Id="rId279" Type="http://schemas.openxmlformats.org/officeDocument/2006/relationships/hyperlink" Target="http://www.ms.ro/2020/04/13/buletin-informativ-13-04-2020/" TargetMode="External"/><Relationship Id="rId486" Type="http://schemas.openxmlformats.org/officeDocument/2006/relationships/hyperlink" Target="http://www.ms.ro/2020/04/20/buletin-informativ-20-04-2020/" TargetMode="External"/><Relationship Id="rId693" Type="http://schemas.openxmlformats.org/officeDocument/2006/relationships/hyperlink" Target="http://www.ms.ro/2020/04/25/buletin-informativ-25-04-2020/" TargetMode="External"/><Relationship Id="rId2167" Type="http://schemas.openxmlformats.org/officeDocument/2006/relationships/hyperlink" Target="https://www.ebihoreanul.ro/stiri/record-dupa-record-in-bihor-intr-o-singura-zi-3-morti-si-59-noi-imbolnaviri-cu-covid-158047.html" TargetMode="External"/><Relationship Id="rId2374" Type="http://schemas.openxmlformats.org/officeDocument/2006/relationships/hyperlink" Target="http://www.ms.ro/2020/08/07/buletin-informativ-07-08-2020/" TargetMode="External"/><Relationship Id="rId2581" Type="http://schemas.openxmlformats.org/officeDocument/2006/relationships/hyperlink" Target="https://stirioficiale.ro/informatii/buletin-de-presa-9-august-2020-ora-13-00" TargetMode="External"/><Relationship Id="rId3218" Type="http://schemas.openxmlformats.org/officeDocument/2006/relationships/hyperlink" Target="http://www.ms.ro/2020/08/15/33355/" TargetMode="External"/><Relationship Id="rId3425" Type="http://schemas.openxmlformats.org/officeDocument/2006/relationships/hyperlink" Target="https://www.ebihoreanul.ro/stiri/coronavirus-in-bihor-inca-doua-decese-si-45-de-cazuri-noi-vezi-din-ce-localitati-158277.html" TargetMode="External"/><Relationship Id="rId3632" Type="http://schemas.openxmlformats.org/officeDocument/2006/relationships/hyperlink" Target="http://www.ms.ro/2020/08/20/buletin-informativ-20-08-2020" TargetMode="External"/><Relationship Id="rId139" Type="http://schemas.openxmlformats.org/officeDocument/2006/relationships/hyperlink" Target="http://www.ms.ro/2020/04/13/buletin-informativ-13-04-2020/" TargetMode="External"/><Relationship Id="rId346" Type="http://schemas.openxmlformats.org/officeDocument/2006/relationships/hyperlink" Target="http://www.ms.ro/2020/04/14/buletin-informativ-14-04-2020/" TargetMode="External"/><Relationship Id="rId553" Type="http://schemas.openxmlformats.org/officeDocument/2006/relationships/hyperlink" Target="https://stirioficiale.ro/informatii/buletin-de-presa-21-aprilie-2020-ora-13-52" TargetMode="External"/><Relationship Id="rId760" Type="http://schemas.openxmlformats.org/officeDocument/2006/relationships/hyperlink" Target="https://stirioficiale.ro/informatii/buletin-de-presa-27-aprilie-2020-ora-13-00" TargetMode="External"/><Relationship Id="rId1183" Type="http://schemas.openxmlformats.org/officeDocument/2006/relationships/hyperlink" Target="https://www.bihon.ro/stirile-judetului-bihor/rezultatul-testarii-la-plexus-21-de-angajati-pozitivi-covid-19-iata-ce-masuri-ia-compania-americana-2295625/" TargetMode="External"/><Relationship Id="rId1390" Type="http://schemas.openxmlformats.org/officeDocument/2006/relationships/hyperlink" Target="https://stirioficiale.ro/informatii/buletin-de-presa-8-iulie-2020-ora-13-00" TargetMode="External"/><Relationship Id="rId2027" Type="http://schemas.openxmlformats.org/officeDocument/2006/relationships/hyperlink" Target="https://www.ebihoreanul.ro/stiri/inca-50-de-cazuri-de-covid-19-in-bihor-in-urma-testelor-facute-duminica-157998.html" TargetMode="External"/><Relationship Id="rId2234" Type="http://schemas.openxmlformats.org/officeDocument/2006/relationships/hyperlink" Target="http://www.ms.ro/2020/08/06/buletin-informativ-06-08-2020/" TargetMode="External"/><Relationship Id="rId2441" Type="http://schemas.openxmlformats.org/officeDocument/2006/relationships/hyperlink" Target="https://stirioficiale.ro/informatii/buletin-de-presa-8-august-2020-ora-13-00" TargetMode="External"/><Relationship Id="rId206" Type="http://schemas.openxmlformats.org/officeDocument/2006/relationships/hyperlink" Target="https://stirioficiale.ro/informatii/buletin-de-presa-13-aprilie-2020-ora-13-65" TargetMode="External"/><Relationship Id="rId413" Type="http://schemas.openxmlformats.org/officeDocument/2006/relationships/hyperlink" Target="http://www.ms.ro/2020/05/13/decese-1008-1016/" TargetMode="External"/><Relationship Id="rId1043" Type="http://schemas.openxmlformats.org/officeDocument/2006/relationships/hyperlink" Target="https://www.bihon.ro/stirile-judetului-bihor/plexus-confirma-4-angajati-pozitivi-covid-19-inchid-fabrica-temporar-2293555/" TargetMode="External"/><Relationship Id="rId4199" Type="http://schemas.openxmlformats.org/officeDocument/2006/relationships/hyperlink" Target="https://www.ebihoreanul.ro/stiri/28-de-noi-imbolnaviri-cu-covid-19-in-bihor-inclusiv-in-randul-personalului-upu-smurd-158401.html" TargetMode="External"/><Relationship Id="rId620" Type="http://schemas.openxmlformats.org/officeDocument/2006/relationships/hyperlink" Target="https://stirioficiale.ro/informatii/buletin-de-presa-22-aprilie-2020-ora-13-64" TargetMode="External"/><Relationship Id="rId1250" Type="http://schemas.openxmlformats.org/officeDocument/2006/relationships/hyperlink" Target="http://www.ms.ro/2020/06/03/buletin-informativ-03-06-2020/" TargetMode="External"/><Relationship Id="rId2301" Type="http://schemas.openxmlformats.org/officeDocument/2006/relationships/hyperlink" Target="https://www.ebihoreanul.ro/stiri/a-patra-zi-la-rand-cu-decese-covid-in-bihor-si-53-noi-imbolnaviri-in-ultimele-24-de-ore-158087.html" TargetMode="External"/><Relationship Id="rId4059" Type="http://schemas.openxmlformats.org/officeDocument/2006/relationships/hyperlink" Target="https://www.ebihoreanul.ro/stiri/inca-trei-decese-ale-unor-pacienti-infectati-cu-covid-19-in-bihor-cazuri-noi-de-imbolnavire-dar-si-multe-vindecari-158365.html" TargetMode="External"/><Relationship Id="rId1110" Type="http://schemas.openxmlformats.org/officeDocument/2006/relationships/hyperlink" Target="http://www.ms.ro/2020/05/27/buletin-informativ-26-05-2020-2/" TargetMode="External"/><Relationship Id="rId1927" Type="http://schemas.openxmlformats.org/officeDocument/2006/relationships/hyperlink" Target="http://www.ms.ro/2020/08/02/buletin-informativ-02-08-2020/" TargetMode="External"/><Relationship Id="rId3075" Type="http://schemas.openxmlformats.org/officeDocument/2006/relationships/hyperlink" Target="https://www.ebihoreanul.ro/stiri/inca-56-de-cazuri-de-coronavirus-in-bihor-158211.html" TargetMode="External"/><Relationship Id="rId3282" Type="http://schemas.openxmlformats.org/officeDocument/2006/relationships/hyperlink" Target="http://www.ms.ro/2020/08/16/buletin-informativ-16-08-2020" TargetMode="External"/><Relationship Id="rId4126" Type="http://schemas.openxmlformats.org/officeDocument/2006/relationships/hyperlink" Target="http://www.ms.ro/2020/08/25/buletin-informativ-25-08-2020" TargetMode="External"/><Relationship Id="rId2091" Type="http://schemas.openxmlformats.org/officeDocument/2006/relationships/hyperlink" Target="https://stirioficiale.ro/informatii/buletin-de-presa-4-august-2020-ora-13-00" TargetMode="External"/><Relationship Id="rId3142" Type="http://schemas.openxmlformats.org/officeDocument/2006/relationships/hyperlink" Target="http://www.ms.ro/2020/08/15/33355/" TargetMode="External"/><Relationship Id="rId270" Type="http://schemas.openxmlformats.org/officeDocument/2006/relationships/hyperlink" Target="https://stirioficiale.ro/informatii/buletin-de-presa-13-aprilie-2020-ora-13-97" TargetMode="External"/><Relationship Id="rId3002" Type="http://schemas.openxmlformats.org/officeDocument/2006/relationships/hyperlink" Target="http://www.ms.ro/2020/08/13/buletin-informativ-13-08-2020" TargetMode="External"/><Relationship Id="rId130" Type="http://schemas.openxmlformats.org/officeDocument/2006/relationships/hyperlink" Target="https://stirioficiale.ro/informatii/buletin-de-presa-11-aprilie-2020-ora-13-72" TargetMode="External"/><Relationship Id="rId3959" Type="http://schemas.openxmlformats.org/officeDocument/2006/relationships/hyperlink" Target="https://www.ebihoreanul.ro/stiri/niciun-deces-in-bihor-si-zeci-de-pacienti-covid-vindecati-dar-si-40-noi-imbolnaviri-inclusiv-angajati-ai-maternitatii-si-spitalului-militar-158339.html" TargetMode="External"/><Relationship Id="rId2768" Type="http://schemas.openxmlformats.org/officeDocument/2006/relationships/hyperlink" Target="http://www.ms.ro/2020/08/11/buletin-informativ-11-08-2020" TargetMode="External"/><Relationship Id="rId2975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3819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947" Type="http://schemas.openxmlformats.org/officeDocument/2006/relationships/hyperlink" Target="http://www.ms.ro/2020/05/06/buletin-informativ-06-05-2020/" TargetMode="External"/><Relationship Id="rId1577" Type="http://schemas.openxmlformats.org/officeDocument/2006/relationships/hyperlink" Target="http://www.ms.ro/2020/07/27/buletin-informativ-27-07-2020/" TargetMode="External"/><Relationship Id="rId1784" Type="http://schemas.openxmlformats.org/officeDocument/2006/relationships/hyperlink" Target="https://stirioficiale.ro/informatii/buletin-de-presa-30-iulie-2020-ora-13-00" TargetMode="External"/><Relationship Id="rId1991" Type="http://schemas.openxmlformats.org/officeDocument/2006/relationships/hyperlink" Target="http://www.ms.ro/2020/08/03/buletin-informativ-03-08-2020/" TargetMode="External"/><Relationship Id="rId2628" Type="http://schemas.openxmlformats.org/officeDocument/2006/relationships/hyperlink" Target="http://www.ms.ro/2020/08/10/buletin-informativ-10-08-2020" TargetMode="External"/><Relationship Id="rId2835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4190" Type="http://schemas.openxmlformats.org/officeDocument/2006/relationships/hyperlink" Target="http://www.ms.ro/2020/08/26/buletin-informativ-26-08-2020" TargetMode="External"/><Relationship Id="rId76" Type="http://schemas.openxmlformats.org/officeDocument/2006/relationships/hyperlink" Target="https://stirioficiale.ro/informatii/buletin-de-presa-8-aprilie-2020-ora-13-41" TargetMode="External"/><Relationship Id="rId807" Type="http://schemas.openxmlformats.org/officeDocument/2006/relationships/hyperlink" Target="http://www.ms.ro/2020/04/28/buletin-informativ-28-04-2020/" TargetMode="External"/><Relationship Id="rId1437" Type="http://schemas.openxmlformats.org/officeDocument/2006/relationships/hyperlink" Target="http://www.ms.ro/2020/07/19/buletin-informativ-19-07-2020/" TargetMode="External"/><Relationship Id="rId1644" Type="http://schemas.openxmlformats.org/officeDocument/2006/relationships/hyperlink" Target="https://stirioficiale.ro/informatii/buletin-de-presa-28-iulie-2020-ora-13-00" TargetMode="External"/><Relationship Id="rId1851" Type="http://schemas.openxmlformats.org/officeDocument/2006/relationships/hyperlink" Target="http://www.ms.ro/2020/08/01/buletin-informativ-01-08-2020/" TargetMode="External"/><Relationship Id="rId2902" Type="http://schemas.openxmlformats.org/officeDocument/2006/relationships/hyperlink" Target="http://www.ms.ro/2020/08/13/buletin-informativ-13-08-2020" TargetMode="External"/><Relationship Id="rId4050" Type="http://schemas.openxmlformats.org/officeDocument/2006/relationships/hyperlink" Target="http://www.ms.ro/2020/08/23/buletin-informativ-23-08-2020" TargetMode="External"/><Relationship Id="rId1504" Type="http://schemas.openxmlformats.org/officeDocument/2006/relationships/hyperlink" Target="https://stirioficiale.ro/informatii/buletin-de-presa-24-iulie-2020-ora-13-00" TargetMode="External"/><Relationship Id="rId1711" Type="http://schemas.openxmlformats.org/officeDocument/2006/relationships/hyperlink" Target="http://www.ms.ro/2020/07/30/buletin-informativ-30-07-2020/" TargetMode="External"/><Relationship Id="rId3469" Type="http://schemas.openxmlformats.org/officeDocument/2006/relationships/hyperlink" Target="https://www.ebihoreanul.ro/stiri/coronavirus-in-bihor-inca-doua-decese-si-45-de-cazuri-noi-vezi-din-ce-localitati-158277.html" TargetMode="External"/><Relationship Id="rId3676" Type="http://schemas.openxmlformats.org/officeDocument/2006/relationships/hyperlink" Target="http://www.ms.ro/2020/08/20/buletin-informativ-20-08-2020" TargetMode="External"/><Relationship Id="rId597" Type="http://schemas.openxmlformats.org/officeDocument/2006/relationships/hyperlink" Target="http://www.ms.ro/2020/04/22/buletin-informativ-22-04-2020/" TargetMode="External"/><Relationship Id="rId2278" Type="http://schemas.openxmlformats.org/officeDocument/2006/relationships/hyperlink" Target="http://www.ms.ro/2020/08/06/buletin-informativ-06-08-2020/" TargetMode="External"/><Relationship Id="rId2485" Type="http://schemas.openxmlformats.org/officeDocument/2006/relationships/hyperlink" Target="https://stirioficiale.ro/informatii/buletin-de-presa-8-august-2020-ora-13-00" TargetMode="External"/><Relationship Id="rId3329" Type="http://schemas.openxmlformats.org/officeDocument/2006/relationships/hyperlink" Target="https://www.ebihoreanul.ro/stiri/coronavirus-in-bihor-inca-trei-decese-inregistrate-50-de-cazuri-noi-diagnosticate-nicio-persoana-vindecata-158239.html" TargetMode="External"/><Relationship Id="rId3883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457" Type="http://schemas.openxmlformats.org/officeDocument/2006/relationships/hyperlink" Target="https://stirioficiale.ro/informatii/buletin-de-presa-20-aprilie-2020-ora-13-00" TargetMode="External"/><Relationship Id="rId1087" Type="http://schemas.openxmlformats.org/officeDocument/2006/relationships/hyperlink" Target="http://www.ms.ro/2020/05/23/buletin-informativ-23-05-2020/" TargetMode="External"/><Relationship Id="rId1294" Type="http://schemas.openxmlformats.org/officeDocument/2006/relationships/hyperlink" Target="https://stirioficiale.ro/informatii/buletin-de-presa-12-iunie-2020-ora-13-00" TargetMode="External"/><Relationship Id="rId2138" Type="http://schemas.openxmlformats.org/officeDocument/2006/relationships/hyperlink" Target="http://www.ms.ro/2020/08/05/buletin-informativ-05-08-2020/" TargetMode="External"/><Relationship Id="rId2692" Type="http://schemas.openxmlformats.org/officeDocument/2006/relationships/hyperlink" Target="http://www.ms.ro/2020/08/11/buletin-informativ-11-08-2020" TargetMode="External"/><Relationship Id="rId3536" Type="http://schemas.openxmlformats.org/officeDocument/2006/relationships/hyperlink" Target="http://www.ms.ro/2020/08/19/buletin-informativ-19-08-2020" TargetMode="External"/><Relationship Id="rId3743" Type="http://schemas.openxmlformats.org/officeDocument/2006/relationships/hyperlink" Target="https://www.ebihoreanul.ro/stiri/record-alarmant-in-bihor-inca-85-de-cazuri-noi-de-covid-si-inca-doua-decese-158311.html" TargetMode="External"/><Relationship Id="rId3950" Type="http://schemas.openxmlformats.org/officeDocument/2006/relationships/hyperlink" Target="http://www.ms.ro/2020/08/22/buletin-informativ-22-08-2020" TargetMode="External"/><Relationship Id="rId664" Type="http://schemas.openxmlformats.org/officeDocument/2006/relationships/hyperlink" Target="https://stirioficiale.ro/informatii/buletin-de-presa-23-aprilie-2020-ora-13-00" TargetMode="External"/><Relationship Id="rId871" Type="http://schemas.openxmlformats.org/officeDocument/2006/relationships/hyperlink" Target="http://www.ms.ro/2020/04/30/buletin-informativ-30-04-2020/" TargetMode="External"/><Relationship Id="rId2345" Type="http://schemas.openxmlformats.org/officeDocument/2006/relationships/hyperlink" Target="https://www.ebihoreanul.ro/stiri/a-patra-zi-la-rand-cu-decese-covid-in-bihor-si-53-noi-imbolnaviri-in-ultimele-24-de-ore-158087.html" TargetMode="External"/><Relationship Id="rId2552" Type="http://schemas.openxmlformats.org/officeDocument/2006/relationships/hyperlink" Target="http://www.ms.ro/2020/08/09/buletin-informativ-09-08-2020" TargetMode="External"/><Relationship Id="rId3603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3810" Type="http://schemas.openxmlformats.org/officeDocument/2006/relationships/hyperlink" Target="http://www.ms.ro/2020/08/21/buletin-informativ-21-08-2020" TargetMode="External"/><Relationship Id="rId317" Type="http://schemas.openxmlformats.org/officeDocument/2006/relationships/hyperlink" Target="http://www.ms.ro/2020/04/13/buletin-informativ-13-04-2020/" TargetMode="External"/><Relationship Id="rId524" Type="http://schemas.openxmlformats.org/officeDocument/2006/relationships/hyperlink" Target="http://www.ms.ro/2020/04/21/buletin-informativ-21-04-2020/" TargetMode="External"/><Relationship Id="rId731" Type="http://schemas.openxmlformats.org/officeDocument/2006/relationships/hyperlink" Target="http://www.ms.ro/2020/04/27/buletin-informativ-27-04-2020/" TargetMode="External"/><Relationship Id="rId1154" Type="http://schemas.openxmlformats.org/officeDocument/2006/relationships/hyperlink" Target="http://www.ms.ro/2020/05/29/buletin-informativ-29-05-2020/" TargetMode="External"/><Relationship Id="rId1361" Type="http://schemas.openxmlformats.org/officeDocument/2006/relationships/hyperlink" Target="http://www.ms.ro/2020/07/05/buletin-informativ-05-07-2020/" TargetMode="External"/><Relationship Id="rId2205" Type="http://schemas.openxmlformats.org/officeDocument/2006/relationships/hyperlink" Target="https://www.ebihoreanul.ro/stiri/record-dupa-record-in-bihor-intr-o-singura-zi-3-morti-si-59-noi-imbolnaviri-cu-covid-158047.html" TargetMode="External"/><Relationship Id="rId2412" Type="http://schemas.openxmlformats.org/officeDocument/2006/relationships/hyperlink" Target="http://www.ms.ro/2020/08/08/buletin-informativ-08-08-2020" TargetMode="External"/><Relationship Id="rId1014" Type="http://schemas.openxmlformats.org/officeDocument/2006/relationships/hyperlink" Target="https://www.fanatik.ro/mai-multi-medici-reintorsi-din-republica-moldova-depistati-cu-noul-coronavirus-19201117" TargetMode="External"/><Relationship Id="rId1221" Type="http://schemas.openxmlformats.org/officeDocument/2006/relationships/hyperlink" Target="https://stirioficiale.ro/informatii/buletin-de-presa-1-iunie-2020-ora-13-00" TargetMode="External"/><Relationship Id="rId3186" Type="http://schemas.openxmlformats.org/officeDocument/2006/relationships/hyperlink" Target="http://www.ms.ro/2020/08/15/33355/" TargetMode="External"/><Relationship Id="rId3393" Type="http://schemas.openxmlformats.org/officeDocument/2006/relationships/hyperlink" Target="https://www.ebihoreanul.ro/stiri/dupa-doua-saptamani-numarul-imbolnavirilor-covid-scade-in-bihor-31-noi-infectari-dar-si-un-deces-158256.html" TargetMode="External"/><Relationship Id="rId4237" Type="http://schemas.openxmlformats.org/officeDocument/2006/relationships/hyperlink" Target="https://www.ebihoreanul.ro/stiri/28-de-noi-imbolnaviri-cu-covid-19-in-bihor-inclusiv-in-randul-personalului-upu-smurd-158401.html" TargetMode="External"/><Relationship Id="rId3046" Type="http://schemas.openxmlformats.org/officeDocument/2006/relationships/hyperlink" Target="http://www.ms.ro/2020/08/14/buletin-informativ-14-08-2020" TargetMode="External"/><Relationship Id="rId3253" Type="http://schemas.openxmlformats.org/officeDocument/2006/relationships/hyperlink" Target="https://www.ebihoreanul.ro/stiri/coronavirus-in-bihor-inca-trei-decese-inregistrate-50-de-cazuri-noi-diagnosticate-nicio-persoana-vindecata-158239.html" TargetMode="External"/><Relationship Id="rId3460" Type="http://schemas.openxmlformats.org/officeDocument/2006/relationships/hyperlink" Target="http://www.ms.ro/2020/08/18/buletin-informativ-18-08-2020" TargetMode="External"/><Relationship Id="rId174" Type="http://schemas.openxmlformats.org/officeDocument/2006/relationships/hyperlink" Target="https://stirioficiale.ro/informatii/buletin-de-presa-13-aprilie-2020-ora-13-49" TargetMode="External"/><Relationship Id="rId381" Type="http://schemas.openxmlformats.org/officeDocument/2006/relationships/hyperlink" Target="https://stirioficiale.ro/informatii/buletin-de-presa-16-aprilie-2020-ora-13-62" TargetMode="External"/><Relationship Id="rId2062" Type="http://schemas.openxmlformats.org/officeDocument/2006/relationships/hyperlink" Target="http://www.ms.ro/2020/08/03/buletin-informativ-03-08-2020/" TargetMode="External"/><Relationship Id="rId3113" Type="http://schemas.openxmlformats.org/officeDocument/2006/relationships/hyperlink" Target="https://www.ebihoreanul.ro/stiri/inca-56-de-cazuri-de-coronavirus-in-bihor-158211.html" TargetMode="External"/><Relationship Id="rId241" Type="http://schemas.openxmlformats.org/officeDocument/2006/relationships/hyperlink" Target="http://www.ms.ro/2020/04/13/buletin-informativ-13-04-2020/" TargetMode="External"/><Relationship Id="rId3320" Type="http://schemas.openxmlformats.org/officeDocument/2006/relationships/hyperlink" Target="http://www.ms.ro/2020/08/16/buletin-informativ-16-08-2020" TargetMode="External"/><Relationship Id="rId2879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101" Type="http://schemas.openxmlformats.org/officeDocument/2006/relationships/hyperlink" Target="http://www.ms.ro/2020/05/02/decese-756-771/" TargetMode="External"/><Relationship Id="rId1688" Type="http://schemas.openxmlformats.org/officeDocument/2006/relationships/hyperlink" Target="https://stirioficiale.ro/informatii/buletin-de-presa-29-iulie-2020-ora-13-00" TargetMode="External"/><Relationship Id="rId1895" Type="http://schemas.openxmlformats.org/officeDocument/2006/relationships/hyperlink" Target="http://www.ms.ro/2020/08/01/buletin-informativ-01-08-2020/" TargetMode="External"/><Relationship Id="rId2739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2946" Type="http://schemas.openxmlformats.org/officeDocument/2006/relationships/hyperlink" Target="http://www.ms.ro/2020/08/13/buletin-informativ-13-08-2020" TargetMode="External"/><Relationship Id="rId4094" Type="http://schemas.openxmlformats.org/officeDocument/2006/relationships/hyperlink" Target="http://www.ms.ro/2020/08/24/buletin-informativ-24-08-2020" TargetMode="External"/><Relationship Id="rId918" Type="http://schemas.openxmlformats.org/officeDocument/2006/relationships/hyperlink" Target="http://www.ms.ro/2020/05/01/buletin-informativ-01-05-2020/" TargetMode="External"/><Relationship Id="rId1548" Type="http://schemas.openxmlformats.org/officeDocument/2006/relationships/hyperlink" Target="https://stirioficiale.ro/informatii/buletin-de-presa-25-iulie-2020-ora-13-00" TargetMode="External"/><Relationship Id="rId1755" Type="http://schemas.openxmlformats.org/officeDocument/2006/relationships/hyperlink" Target="http://www.ms.ro/2020/07/30/buletin-informativ-30-07-2020/" TargetMode="External"/><Relationship Id="rId4161" Type="http://schemas.openxmlformats.org/officeDocument/2006/relationships/hyperlink" Target="https://www.ebihoreanul.ro/stiri/record-de-decese-covid-in-romania-58-intr-o-singura-zi-in-bihor-au-murit-3-oameni-iar-alti-37-au-fost-diagnosticati-aproape-100-de-pacienti-vindecati-158383.html" TargetMode="External"/><Relationship Id="rId1408" Type="http://schemas.openxmlformats.org/officeDocument/2006/relationships/hyperlink" Target="https://stirioficiale.ro/informatii/buletin-de-presa-12-iulie-2020-ora-13-00" TargetMode="External"/><Relationship Id="rId1962" Type="http://schemas.openxmlformats.org/officeDocument/2006/relationships/hyperlink" Target="https://stirioficiale.ro/informatii/buletin-de-presa-2-august-2020-ora-13-00" TargetMode="External"/><Relationship Id="rId2806" Type="http://schemas.openxmlformats.org/officeDocument/2006/relationships/hyperlink" Target="http://www.ms.ro/2020/08/12/buletin-informativ-12-08-2020" TargetMode="External"/><Relationship Id="rId4021" Type="http://schemas.openxmlformats.org/officeDocument/2006/relationships/hyperlink" Target="https://www.ebihoreanul.ro/stiri/a-fost-depasit-pragul-de-2000-de-cazuri-covid-19diagnosticate-in-bihor-158350.html" TargetMode="External"/><Relationship Id="rId47" Type="http://schemas.openxmlformats.org/officeDocument/2006/relationships/hyperlink" Target="http://www.ms.ro/2020/04/03/buletin-informativ-03-04-2020/" TargetMode="External"/><Relationship Id="rId1615" Type="http://schemas.openxmlformats.org/officeDocument/2006/relationships/hyperlink" Target="http://www.ms.ro/2020/07/27/buletin-informativ-27-07-2020/" TargetMode="External"/><Relationship Id="rId1822" Type="http://schemas.openxmlformats.org/officeDocument/2006/relationships/hyperlink" Target="https://stirioficiale.ro/informatii/buletin-de-presa-31-iulie-2020-ora-13-00" TargetMode="External"/><Relationship Id="rId3787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3994" Type="http://schemas.openxmlformats.org/officeDocument/2006/relationships/hyperlink" Target="http://www.ms.ro/2020/08/23/buletin-informativ-23-08-2020" TargetMode="External"/><Relationship Id="rId2389" Type="http://schemas.openxmlformats.org/officeDocument/2006/relationships/hyperlink" Target="https://www.ebihoreanul.ro/stiri/a-patra-zi-la-rand-cu-decese-covid-in-bihor-si-53-noi-imbolnaviri-in-ultimele-24-de-ore-158087.html" TargetMode="External"/><Relationship Id="rId2596" Type="http://schemas.openxmlformats.org/officeDocument/2006/relationships/hyperlink" Target="http://www.ms.ro/2020/08/09/buletin-informativ-09-08-2020" TargetMode="External"/><Relationship Id="rId3647" Type="http://schemas.openxmlformats.org/officeDocument/2006/relationships/hyperlink" Target="https://www.ebihoreanul.ro/stiri/record-alarmant-in-bihor-inca-85-de-cazuri-noi-de-covid-si-inca-doua-decese-158311.html" TargetMode="External"/><Relationship Id="rId3854" Type="http://schemas.openxmlformats.org/officeDocument/2006/relationships/hyperlink" Target="http://www.ms.ro/2020/08/21/buletin-informativ-21-08-2020" TargetMode="External"/><Relationship Id="rId568" Type="http://schemas.openxmlformats.org/officeDocument/2006/relationships/hyperlink" Target="https://stirioficiale.ro/informatii/buletin-de-presa-22-aprilie-2020-ora-13-38" TargetMode="External"/><Relationship Id="rId775" Type="http://schemas.openxmlformats.org/officeDocument/2006/relationships/hyperlink" Target="http://www.ms.ro/2020/04/27/buletin-informativ-27-04-2020/" TargetMode="External"/><Relationship Id="rId982" Type="http://schemas.openxmlformats.org/officeDocument/2006/relationships/hyperlink" Target="https://www.bihon.ro/stirile-judetului-bihor/angajati-confirmati-cu-coronavirus-in-parcul-industrial-de-pe-borsului-2284463/" TargetMode="External"/><Relationship Id="rId1198" Type="http://schemas.openxmlformats.org/officeDocument/2006/relationships/hyperlink" Target="http://www.ms.ro/2020/05/31/buletin-informativ-31-05-2020/" TargetMode="External"/><Relationship Id="rId2249" Type="http://schemas.openxmlformats.org/officeDocument/2006/relationships/hyperlink" Target="https://www.ebihoreanul.ro/stiri/a-treia-zi-consecutiva-cu-decese-covid-in-bihor-si-inca-35-noi-imbolnaviri-raportate-oficial-pentru-ultimele-24-de-ore-158069.html" TargetMode="External"/><Relationship Id="rId2456" Type="http://schemas.openxmlformats.org/officeDocument/2006/relationships/hyperlink" Target="http://www.ms.ro/2020/08/08/buletin-informativ-08-08-2020" TargetMode="External"/><Relationship Id="rId2663" Type="http://schemas.openxmlformats.org/officeDocument/2006/relationships/hyperlink" Target="https://www.ebihoreanul.ro/stiri/nc-un-deces-i-37-de-noi-mbolnviri-de-covid-19-n-bihor-o-parte-a-spitalului-din-beiu-va-trata-bolnavi-cu-covid-din-cauza-cazurilor-multe-din-zon-158138.html" TargetMode="External"/><Relationship Id="rId2870" Type="http://schemas.openxmlformats.org/officeDocument/2006/relationships/hyperlink" Target="http://www.ms.ro/2020/08/12/buletin-informativ-12-08-2020" TargetMode="External"/><Relationship Id="rId3507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3714" Type="http://schemas.openxmlformats.org/officeDocument/2006/relationships/hyperlink" Target="http://www.ms.ro/2020/08/20/buletin-informativ-20-08-2020" TargetMode="External"/><Relationship Id="rId3921" Type="http://schemas.openxmlformats.org/officeDocument/2006/relationships/hyperlink" Target="https://www.ebihoreanul.ro/stiri/niciun-deces-in-bihor-si-zeci-de-pacienti-covid-vindecati-dar-si-40-noi-imbolnaviri-inclusiv-angajati-ai-maternitatii-si-spitalului-militar-158339.html" TargetMode="External"/><Relationship Id="rId428" Type="http://schemas.openxmlformats.org/officeDocument/2006/relationships/hyperlink" Target="http://www.ms.ro/2020/04/18/buletin-informativ-18-04-2020/" TargetMode="External"/><Relationship Id="rId635" Type="http://schemas.openxmlformats.org/officeDocument/2006/relationships/hyperlink" Target="http://www.ms.ro/2020/04/22/buletin-informativ-22-04-2020/" TargetMode="External"/><Relationship Id="rId842" Type="http://schemas.openxmlformats.org/officeDocument/2006/relationships/hyperlink" Target="https://stirioficiale.ro/informatii/buletin-de-presa-28-aprilie-2020-ora-13-00" TargetMode="External"/><Relationship Id="rId1058" Type="http://schemas.openxmlformats.org/officeDocument/2006/relationships/hyperlink" Target="https://stirioficiale.ro/informatii/buletin-de-presa-22-mai-2020-ora-13-00" TargetMode="External"/><Relationship Id="rId1265" Type="http://schemas.openxmlformats.org/officeDocument/2006/relationships/hyperlink" Target="http://www.ms.ro/2020/06/06/buletin-informativ-06-06-2020/" TargetMode="External"/><Relationship Id="rId1472" Type="http://schemas.openxmlformats.org/officeDocument/2006/relationships/hyperlink" Target="https://stirioficiale.ro/informatii/buletin-de-presa-23-iulie-2020-ora-13-00" TargetMode="External"/><Relationship Id="rId2109" Type="http://schemas.openxmlformats.org/officeDocument/2006/relationships/hyperlink" Target="https://www.ebihoreanul.ro/stiri/record-dupa-record-in-bihor-intr-o-singura-zi-3-morti-si-59-noi-imbolnaviri-cu-covid-158047.html" TargetMode="External"/><Relationship Id="rId2316" Type="http://schemas.openxmlformats.org/officeDocument/2006/relationships/hyperlink" Target="http://www.ms.ro/2020/08/07/buletin-informativ-07-08-2020/" TargetMode="External"/><Relationship Id="rId2523" Type="http://schemas.openxmlformats.org/officeDocument/2006/relationships/hyperlink" Target="https://stirioficiale.ro/informatii/buletin-de-presa-9-august-2020-ora-13-00" TargetMode="External"/><Relationship Id="rId2730" Type="http://schemas.openxmlformats.org/officeDocument/2006/relationships/hyperlink" Target="http://www.ms.ro/2020/08/11/buletin-informativ-11-08-2020" TargetMode="External"/><Relationship Id="rId702" Type="http://schemas.openxmlformats.org/officeDocument/2006/relationships/hyperlink" Target="https://stirioficiale.ro/informatii/buletin-de-presa-26-aprilie-2020-ora-13-00" TargetMode="External"/><Relationship Id="rId1125" Type="http://schemas.openxmlformats.org/officeDocument/2006/relationships/hyperlink" Target="https://stirioficiale.ro/informatii/buletin-de-presa-28-mai-2020-ora-13-00" TargetMode="External"/><Relationship Id="rId1332" Type="http://schemas.openxmlformats.org/officeDocument/2006/relationships/hyperlink" Target="https://stirioficiale.ro/informatii/buletin-de-presa-27-iunie-2020-ora-13-00" TargetMode="External"/><Relationship Id="rId3297" Type="http://schemas.openxmlformats.org/officeDocument/2006/relationships/hyperlink" Target="https://www.hotnews.ro/stiri-coronavirus-24235881-seful-comisariatului-pentru-protectia-consumatorului-bihor-confirmat-covid-19-activitatea-institutiei-suspendata.htm" TargetMode="External"/><Relationship Id="rId3157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285" Type="http://schemas.openxmlformats.org/officeDocument/2006/relationships/hyperlink" Target="http://www.ms.ro/2020/04/13/buletin-informativ-13-04-2020/" TargetMode="External"/><Relationship Id="rId3364" Type="http://schemas.openxmlformats.org/officeDocument/2006/relationships/hyperlink" Target="http://www.ms.ro/2020/08/17/buletin-informativ-17-08-2020" TargetMode="External"/><Relationship Id="rId3571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4208" Type="http://schemas.openxmlformats.org/officeDocument/2006/relationships/hyperlink" Target="http://www.ms.ro/2020/08/26/buletin-informativ-26-08-2020" TargetMode="External"/><Relationship Id="rId492" Type="http://schemas.openxmlformats.org/officeDocument/2006/relationships/hyperlink" Target="http://www.ms.ro/2020/04/21/buletin-informativ-21-04-2020/" TargetMode="External"/><Relationship Id="rId2173" Type="http://schemas.openxmlformats.org/officeDocument/2006/relationships/hyperlink" Target="https://www.ebihoreanul.ro/stiri/record-dupa-record-in-bihor-intr-o-singura-zi-3-morti-si-59-noi-imbolnaviri-cu-covid-158047.html" TargetMode="External"/><Relationship Id="rId2380" Type="http://schemas.openxmlformats.org/officeDocument/2006/relationships/hyperlink" Target="http://www.ms.ro/2020/08/07/buletin-informativ-07-08-2020/" TargetMode="External"/><Relationship Id="rId3017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3224" Type="http://schemas.openxmlformats.org/officeDocument/2006/relationships/hyperlink" Target="http://www.ms.ro/2020/08/15/33355/" TargetMode="External"/><Relationship Id="rId3431" Type="http://schemas.openxmlformats.org/officeDocument/2006/relationships/hyperlink" Target="https://www.ebihoreanul.ro/stiri/coronavirus-in-bihor-inca-doua-decese-si-45-de-cazuri-noi-vezi-din-ce-localitati-158277.html" TargetMode="External"/><Relationship Id="rId145" Type="http://schemas.openxmlformats.org/officeDocument/2006/relationships/hyperlink" Target="http://www.ms.ro/2020/04/13/buletin-informativ-13-04-2020/" TargetMode="External"/><Relationship Id="rId352" Type="http://schemas.openxmlformats.org/officeDocument/2006/relationships/hyperlink" Target="http://www.ms.ro/2020/04/15/buletin-informativ-15-04-2020/" TargetMode="External"/><Relationship Id="rId2033" Type="http://schemas.openxmlformats.org/officeDocument/2006/relationships/hyperlink" Target="https://www.ebihoreanul.ro/stiri/inca-50-de-cazuri-de-covid-19-in-bihor-in-urma-testelor-facute-duminica-157998.html" TargetMode="External"/><Relationship Id="rId2240" Type="http://schemas.openxmlformats.org/officeDocument/2006/relationships/hyperlink" Target="http://www.ms.ro/2020/08/06/buletin-informativ-06-08-2020/" TargetMode="External"/><Relationship Id="rId212" Type="http://schemas.openxmlformats.org/officeDocument/2006/relationships/hyperlink" Target="https://stirioficiale.ro/informatii/buletin-de-presa-13-aprilie-2020-ora-13-68" TargetMode="External"/><Relationship Id="rId1799" Type="http://schemas.openxmlformats.org/officeDocument/2006/relationships/hyperlink" Target="http://www.ms.ro/2020/07/31/buletin-informativ-31-07-2020/" TargetMode="External"/><Relationship Id="rId2100" Type="http://schemas.openxmlformats.org/officeDocument/2006/relationships/hyperlink" Target="http://www.ms.ro/2020/08/04/buletin-informativ-04-08-2020/" TargetMode="External"/><Relationship Id="rId4065" Type="http://schemas.openxmlformats.org/officeDocument/2006/relationships/hyperlink" Target="https://www.ebihoreanul.ro/stiri/inca-trei-decese-ale-unor-pacienti-infectati-cu-covid-19-in-bihor-cazuri-noi-de-imbolnavire-dar-si-multe-vindecari-158365.html" TargetMode="External"/><Relationship Id="rId1659" Type="http://schemas.openxmlformats.org/officeDocument/2006/relationships/hyperlink" Target="http://www.ms.ro/2020/07/29/buletin-informativ-29-07-2020/" TargetMode="External"/><Relationship Id="rId1866" Type="http://schemas.openxmlformats.org/officeDocument/2006/relationships/hyperlink" Target="https://stirioficiale.ro/informatii/informare-de-presa-01-august-2020" TargetMode="External"/><Relationship Id="rId2917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3081" Type="http://schemas.openxmlformats.org/officeDocument/2006/relationships/hyperlink" Target="https://www.ebihoreanul.ro/stiri/inca-56-de-cazuri-de-coronavirus-in-bihor-158211.html" TargetMode="External"/><Relationship Id="rId4132" Type="http://schemas.openxmlformats.org/officeDocument/2006/relationships/hyperlink" Target="http://www.ms.ro/2020/08/25/buletin-informativ-25-08-2020" TargetMode="External"/><Relationship Id="rId1519" Type="http://schemas.openxmlformats.org/officeDocument/2006/relationships/hyperlink" Target="http://www.ms.ro/2020/07/24/buletin-informativ-24-07-2020/" TargetMode="External"/><Relationship Id="rId1726" Type="http://schemas.openxmlformats.org/officeDocument/2006/relationships/hyperlink" Target="https://stirioficiale.ro/informatii/buletin-de-presa-30-iulie-2020-ora-13-00" TargetMode="External"/><Relationship Id="rId1933" Type="http://schemas.openxmlformats.org/officeDocument/2006/relationships/hyperlink" Target="http://www.ms.ro/2020/08/02/buletin-informativ-02-08-2020/" TargetMode="External"/><Relationship Id="rId18" Type="http://schemas.openxmlformats.org/officeDocument/2006/relationships/hyperlink" Target="http://www.ms.ro/2020/03/28/buletin-informativ-28-03-2020/" TargetMode="External"/><Relationship Id="rId3898" Type="http://schemas.openxmlformats.org/officeDocument/2006/relationships/hyperlink" Target="http://www.ms.ro/2020/08/21/buletin-informativ-21-08-2020" TargetMode="External"/><Relationship Id="rId3758" Type="http://schemas.openxmlformats.org/officeDocument/2006/relationships/hyperlink" Target="http://www.ms.ro/2020/08/20/buletin-informativ-20-08-2020" TargetMode="External"/><Relationship Id="rId3965" Type="http://schemas.openxmlformats.org/officeDocument/2006/relationships/hyperlink" Target="https://www.ebihoreanul.ro/stiri/niciun-deces-in-bihor-si-zeci-de-pacienti-covid-vindecati-dar-si-40-noi-imbolnaviri-inclusiv-angajati-ai-maternitatii-si-spitalului-militar-158339.html" TargetMode="External"/><Relationship Id="rId679" Type="http://schemas.openxmlformats.org/officeDocument/2006/relationships/hyperlink" Target="http://www.ms.ro/2020/04/24/buletin-informativ-24-04-2020/" TargetMode="External"/><Relationship Id="rId886" Type="http://schemas.openxmlformats.org/officeDocument/2006/relationships/hyperlink" Target="http://www.ms.ro/2020/05/01/buletin-informativ-01-05-2020/" TargetMode="External"/><Relationship Id="rId2567" Type="http://schemas.openxmlformats.org/officeDocument/2006/relationships/hyperlink" Target="https://stirioficiale.ro/informatii/buletin-de-presa-9-august-2020-ora-13-00" TargetMode="External"/><Relationship Id="rId2774" Type="http://schemas.openxmlformats.org/officeDocument/2006/relationships/hyperlink" Target="http://www.ms.ro/2020/08/11/buletin-informativ-11-08-2020" TargetMode="External"/><Relationship Id="rId3618" Type="http://schemas.openxmlformats.org/officeDocument/2006/relationships/hyperlink" Target="http://www.ms.ro/2020/08/20/buletin-informativ-20-08-2020" TargetMode="External"/><Relationship Id="rId2" Type="http://schemas.openxmlformats.org/officeDocument/2006/relationships/hyperlink" Target="https://www.ebihoreanul.ro/stiri/ultima-or-31-1/dsp-bihor-confirma-a-doua-bolnava-de-coronavirus-din-bihor-este-o-femeie-de-53-de-ani-care-s-a-intors-din-italiasi-se-afla-in-carantina-155255.html" TargetMode="External"/><Relationship Id="rId539" Type="http://schemas.openxmlformats.org/officeDocument/2006/relationships/hyperlink" Target="https://stirioficiale.ro/informatii/buletin-de-presa-21-aprilie-2020-ora-13-45" TargetMode="External"/><Relationship Id="rId746" Type="http://schemas.openxmlformats.org/officeDocument/2006/relationships/hyperlink" Target="https://stirioficiale.ro/informatii/buletin-de-presa-27-aprilie-2020-ora-13-00" TargetMode="External"/><Relationship Id="rId1169" Type="http://schemas.openxmlformats.org/officeDocument/2006/relationships/hyperlink" Target="https://www.bihon.ro/stirile-judetului-bihor/rezultatul-testarii-la-plexus-21-de-angajati-pozitivi-covid-19-iata-ce-masuri-ia-compania-americana-2295625/" TargetMode="External"/><Relationship Id="rId1376" Type="http://schemas.openxmlformats.org/officeDocument/2006/relationships/hyperlink" Target="https://stirioficiale.ro/informatii/buletin-de-presa-5-iulie-2020-ora-13-00" TargetMode="External"/><Relationship Id="rId1583" Type="http://schemas.openxmlformats.org/officeDocument/2006/relationships/hyperlink" Target="http://www.ms.ro/2020/07/27/buletin-informativ-27-07-2020/" TargetMode="External"/><Relationship Id="rId2427" Type="http://schemas.openxmlformats.org/officeDocument/2006/relationships/hyperlink" Target="https://stirioficiale.ro/informatii/buletin-de-presa-8-august-2020-ora-13-00" TargetMode="External"/><Relationship Id="rId2981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3825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953" Type="http://schemas.openxmlformats.org/officeDocument/2006/relationships/hyperlink" Target="http://www.ms.ro/2020/05/06/buletin-informativ-06-05-2020/" TargetMode="External"/><Relationship Id="rId1029" Type="http://schemas.openxmlformats.org/officeDocument/2006/relationships/hyperlink" Target="https://stirioficiale.ro/informatii/buletin-de-presa-19-mai-2020-ora-13-00" TargetMode="External"/><Relationship Id="rId1236" Type="http://schemas.openxmlformats.org/officeDocument/2006/relationships/hyperlink" Target="http://www.ms.ro/2020/06/02/buletin-informativ-02-06-2020/" TargetMode="External"/><Relationship Id="rId1790" Type="http://schemas.openxmlformats.org/officeDocument/2006/relationships/hyperlink" Target="https://stirioficiale.ro/informatii/buletin-de-presa-31-iulie-2020-ora-13-00" TargetMode="External"/><Relationship Id="rId2634" Type="http://schemas.openxmlformats.org/officeDocument/2006/relationships/hyperlink" Target="http://www.ms.ro/2020/08/10/buletin-informativ-10-08-2020" TargetMode="External"/><Relationship Id="rId2841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82" Type="http://schemas.openxmlformats.org/officeDocument/2006/relationships/hyperlink" Target="https://stirioficiale.ro/informatii/buletin-de-presa-9-aprilie-2020-ora-13-00" TargetMode="External"/><Relationship Id="rId606" Type="http://schemas.openxmlformats.org/officeDocument/2006/relationships/hyperlink" Target="https://stirioficiale.ro/informatii/buletin-de-presa-22-aprilie-2020-ora-13-57" TargetMode="External"/><Relationship Id="rId813" Type="http://schemas.openxmlformats.org/officeDocument/2006/relationships/hyperlink" Target="http://www.ms.ro/2020/04/28/buletin-informativ-28-04-2020/" TargetMode="External"/><Relationship Id="rId1443" Type="http://schemas.openxmlformats.org/officeDocument/2006/relationships/hyperlink" Target="http://www.ms.ro/2020/07/21/buletin-informativ-21-07-2020/" TargetMode="External"/><Relationship Id="rId1650" Type="http://schemas.openxmlformats.org/officeDocument/2006/relationships/hyperlink" Target="https://stirioficiale.ro/informatii/buletin-de-presa-28-iulie-2020-ora-13-00" TargetMode="External"/><Relationship Id="rId2701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1303" Type="http://schemas.openxmlformats.org/officeDocument/2006/relationships/hyperlink" Target="http://www.ms.ro/2020/06/14/buletin-informativ-14-06-2020/" TargetMode="External"/><Relationship Id="rId1510" Type="http://schemas.openxmlformats.org/officeDocument/2006/relationships/hyperlink" Target="https://stirioficiale.ro/informatii/buletin-de-presa-24-iulie-2020-ora-13-00" TargetMode="External"/><Relationship Id="rId3268" Type="http://schemas.openxmlformats.org/officeDocument/2006/relationships/hyperlink" Target="http://www.ms.ro/2020/08/16/buletin-informativ-16-08-2020" TargetMode="External"/><Relationship Id="rId3475" Type="http://schemas.openxmlformats.org/officeDocument/2006/relationships/hyperlink" Target="https://www.ebihoreanul.ro/stiri/coronavirus-in-bihor-inca-doua-decese-si-45-de-cazuri-noi-vezi-din-ce-localitati-158277.html" TargetMode="External"/><Relationship Id="rId3682" Type="http://schemas.openxmlformats.org/officeDocument/2006/relationships/hyperlink" Target="http://www.ms.ro/2020/08/20/buletin-informativ-20-08-2020" TargetMode="External"/><Relationship Id="rId189" Type="http://schemas.openxmlformats.org/officeDocument/2006/relationships/hyperlink" Target="http://www.ms.ro/2020/04/13/buletin-informativ-13-04-2020/" TargetMode="External"/><Relationship Id="rId396" Type="http://schemas.openxmlformats.org/officeDocument/2006/relationships/hyperlink" Target="http://www.ms.ro/2020/04/16/buletin-informativ-16-04-2020/" TargetMode="External"/><Relationship Id="rId2077" Type="http://schemas.openxmlformats.org/officeDocument/2006/relationships/hyperlink" Target="https://stirioficiale.ro/informatii/buletin-de-presa-3-august-2020-ora-13-00" TargetMode="External"/><Relationship Id="rId2284" Type="http://schemas.openxmlformats.org/officeDocument/2006/relationships/hyperlink" Target="http://www.ms.ro/2020/08/06/buletin-informativ-06-08-2020/" TargetMode="External"/><Relationship Id="rId2491" Type="http://schemas.openxmlformats.org/officeDocument/2006/relationships/hyperlink" Target="https://stirioficiale.ro/informatii/buletin-de-presa-8-august-2020-ora-13-00" TargetMode="External"/><Relationship Id="rId3128" Type="http://schemas.openxmlformats.org/officeDocument/2006/relationships/hyperlink" Target="http://www.ms.ro/2020/08/14/buletin-informativ-14-08-2020" TargetMode="External"/><Relationship Id="rId3335" Type="http://schemas.openxmlformats.org/officeDocument/2006/relationships/hyperlink" Target="https://www.ebihoreanul.ro/stiri/coronavirus-in-bihor-inca-trei-decese-inregistrate-50-de-cazuri-noi-diagnosticate-nicio-persoana-vindecata-158239.html" TargetMode="External"/><Relationship Id="rId3542" Type="http://schemas.openxmlformats.org/officeDocument/2006/relationships/hyperlink" Target="http://www.ms.ro/2020/08/19/buletin-informativ-19-08-2020" TargetMode="External"/><Relationship Id="rId256" Type="http://schemas.openxmlformats.org/officeDocument/2006/relationships/hyperlink" Target="https://stirioficiale.ro/informatii/buletin-de-presa-13-aprilie-2020-ora-13-90" TargetMode="External"/><Relationship Id="rId463" Type="http://schemas.openxmlformats.org/officeDocument/2006/relationships/hyperlink" Target="https://stirioficiale.ro/informatii/buletin-de-presa-20-aprilie-2020-ora-13-00" TargetMode="External"/><Relationship Id="rId670" Type="http://schemas.openxmlformats.org/officeDocument/2006/relationships/hyperlink" Target="https://stirioficiale.ro/informatii/buletin-de-presa-24-aprilie-2020-ora-13-00" TargetMode="External"/><Relationship Id="rId1093" Type="http://schemas.openxmlformats.org/officeDocument/2006/relationships/hyperlink" Target="http://www.ms.ro/2020/05/25/buletin-informativ-25-05-2020/" TargetMode="External"/><Relationship Id="rId2144" Type="http://schemas.openxmlformats.org/officeDocument/2006/relationships/hyperlink" Target="http://www.ms.ro/2020/08/05/buletin-informativ-05-08-2020/" TargetMode="External"/><Relationship Id="rId2351" Type="http://schemas.openxmlformats.org/officeDocument/2006/relationships/hyperlink" Target="https://www.ebihoreanul.ro/stiri/a-patra-zi-la-rand-cu-decese-covid-in-bihor-si-53-noi-imbolnaviri-in-ultimele-24-de-ore-158087.html" TargetMode="External"/><Relationship Id="rId3402" Type="http://schemas.openxmlformats.org/officeDocument/2006/relationships/hyperlink" Target="http://www.ms.ro/2020/08/17/buletin-informativ-17-08-2020" TargetMode="External"/><Relationship Id="rId116" Type="http://schemas.openxmlformats.org/officeDocument/2006/relationships/hyperlink" Target="https://stirioficiale.ro/informatii/buletin-de-presa-11-aprilie-2020-ora-13-65" TargetMode="External"/><Relationship Id="rId323" Type="http://schemas.openxmlformats.org/officeDocument/2006/relationships/hyperlink" Target="https://stirioficiale.ro/informatii/buletin-de-presa-14-aprilie-2020-ora-13-23" TargetMode="External"/><Relationship Id="rId530" Type="http://schemas.openxmlformats.org/officeDocument/2006/relationships/hyperlink" Target="http://www.ms.ro/2020/04/21/buletin-informativ-21-04-2020/" TargetMode="External"/><Relationship Id="rId1160" Type="http://schemas.openxmlformats.org/officeDocument/2006/relationships/hyperlink" Target="http://www.ms.ro/2020/05/29/buletin-informativ-29-05-2020/" TargetMode="External"/><Relationship Id="rId2004" Type="http://schemas.openxmlformats.org/officeDocument/2006/relationships/hyperlink" Target="https://www.ebihoreanul.ro/stiri/inca-50-de-cazuri-de-covid-19-in-bihor-in-urma-testelor-facute-duminica-157998.html" TargetMode="External"/><Relationship Id="rId2211" Type="http://schemas.openxmlformats.org/officeDocument/2006/relationships/hyperlink" Target="https://www.ebihoreanul.ro/stiri/record-dupa-record-in-bihor-intr-o-singura-zi-3-morti-si-59-noi-imbolnaviri-cu-covid-158047.html" TargetMode="External"/><Relationship Id="rId4176" Type="http://schemas.openxmlformats.org/officeDocument/2006/relationships/hyperlink" Target="http://www.ms.ro/2020/08/25/buletin-informativ-25-08-2020" TargetMode="External"/><Relationship Id="rId1020" Type="http://schemas.openxmlformats.org/officeDocument/2006/relationships/hyperlink" Target="https://stirioficiale.ro/informatii/buletin-de-presa-18-mai-2020-ora-13-00" TargetMode="External"/><Relationship Id="rId1977" Type="http://schemas.openxmlformats.org/officeDocument/2006/relationships/hyperlink" Target="https://www.ebihoreanul.ro/stiri/inca-50-de-cazuri-de-covid-19-in-bihor-in-urma-testelor-facute-duminica-157998.html" TargetMode="External"/><Relationship Id="rId1837" Type="http://schemas.openxmlformats.org/officeDocument/2006/relationships/hyperlink" Target="http://www.ms.ro/2020/08/01/buletin-informativ-01-08-2020/" TargetMode="External"/><Relationship Id="rId3192" Type="http://schemas.openxmlformats.org/officeDocument/2006/relationships/hyperlink" Target="http://www.ms.ro/2020/08/15/33355/" TargetMode="External"/><Relationship Id="rId4036" Type="http://schemas.openxmlformats.org/officeDocument/2006/relationships/hyperlink" Target="http://www.ms.ro/2020/08/23/buletin-informativ-23-08-2020" TargetMode="External"/><Relationship Id="rId3052" Type="http://schemas.openxmlformats.org/officeDocument/2006/relationships/hyperlink" Target="http://www.ms.ro/2020/08/14/buletin-informativ-14-08-2020" TargetMode="External"/><Relationship Id="rId4103" Type="http://schemas.openxmlformats.org/officeDocument/2006/relationships/hyperlink" Target="https://www.ebihoreanul.ro/stiri/inca-trei-decese-ale-unor-pacienti-infectati-cu-covid-19-in-bihor-cazuri-noi-de-imbolnavire-dar-si-multe-vindecari-158365.html" TargetMode="External"/><Relationship Id="rId180" Type="http://schemas.openxmlformats.org/officeDocument/2006/relationships/hyperlink" Target="https://stirioficiale.ro/informatii/buletin-de-presa-13-aprilie-2020-ora-13-52" TargetMode="External"/><Relationship Id="rId1904" Type="http://schemas.openxmlformats.org/officeDocument/2006/relationships/hyperlink" Target="https://stirioficiale.ro/informatii/informare-de-presa-01-august-2020" TargetMode="External"/><Relationship Id="rId3869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997" Type="http://schemas.openxmlformats.org/officeDocument/2006/relationships/hyperlink" Target="http://www.ms.ro/2020/05/16/buletin-informativ-16-05-2020/" TargetMode="External"/><Relationship Id="rId2678" Type="http://schemas.openxmlformats.org/officeDocument/2006/relationships/hyperlink" Target="http://www.ms.ro/2020/08/11/buletin-informativ-11-08-2020" TargetMode="External"/><Relationship Id="rId2885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3729" Type="http://schemas.openxmlformats.org/officeDocument/2006/relationships/hyperlink" Target="https://www.ebihoreanul.ro/stiri/record-alarmant-in-bihor-inca-85-de-cazuri-noi-de-covid-si-inca-doua-decese-158311.html" TargetMode="External"/><Relationship Id="rId3936" Type="http://schemas.openxmlformats.org/officeDocument/2006/relationships/hyperlink" Target="http://www.ms.ro/2020/08/22/buletin-informativ-22-08-2020" TargetMode="External"/><Relationship Id="rId857" Type="http://schemas.openxmlformats.org/officeDocument/2006/relationships/hyperlink" Target="http://www.ms.ro/2020/04/29/buletin-informativ-29-04-2020/" TargetMode="External"/><Relationship Id="rId1487" Type="http://schemas.openxmlformats.org/officeDocument/2006/relationships/hyperlink" Target="http://www.ms.ro/2020/07/23/buletin-informativ-23-07-2020/" TargetMode="External"/><Relationship Id="rId1694" Type="http://schemas.openxmlformats.org/officeDocument/2006/relationships/hyperlink" Target="https://stirioficiale.ro/informatii/buletin-de-presa-29-iulie-2020-ora-13-00" TargetMode="External"/><Relationship Id="rId2538" Type="http://schemas.openxmlformats.org/officeDocument/2006/relationships/hyperlink" Target="http://www.ms.ro/2020/08/09/buletin-informativ-09-08-2020" TargetMode="External"/><Relationship Id="rId2745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2952" Type="http://schemas.openxmlformats.org/officeDocument/2006/relationships/hyperlink" Target="http://www.ms.ro/2020/08/13/buletin-informativ-13-08-2020" TargetMode="External"/><Relationship Id="rId717" Type="http://schemas.openxmlformats.org/officeDocument/2006/relationships/hyperlink" Target="http://www.ms.ro/2020/04/26/buletin-informativ-26-04-2020/" TargetMode="External"/><Relationship Id="rId924" Type="http://schemas.openxmlformats.org/officeDocument/2006/relationships/hyperlink" Target="http://www.ms.ro/2020/05/01/buletin-informativ-01-05-2020/" TargetMode="External"/><Relationship Id="rId1347" Type="http://schemas.openxmlformats.org/officeDocument/2006/relationships/hyperlink" Target="http://www.ms.ro/2020/07/04/buletin-informativ-04-07-2020/" TargetMode="External"/><Relationship Id="rId1554" Type="http://schemas.openxmlformats.org/officeDocument/2006/relationships/hyperlink" Target="https://stirioficiale.ro/informatii/buletin-de-presa-26-iulie-2020-ora-13-00" TargetMode="External"/><Relationship Id="rId1761" Type="http://schemas.openxmlformats.org/officeDocument/2006/relationships/hyperlink" Target="http://www.ms.ro/2020/07/30/buletin-informativ-30-07-2020/" TargetMode="External"/><Relationship Id="rId2605" Type="http://schemas.openxmlformats.org/officeDocument/2006/relationships/hyperlink" Target="https://www.ebihoreanul.ro/stiri/nc-un-deces-i-37-de-noi-mbolnviri-de-covid-19-n-bihor-o-parte-a-spitalului-din-beiu-va-trata-bolnavi-cu-covid-din-cauza-cazurilor-multe-din-zon-158138.html" TargetMode="External"/><Relationship Id="rId2812" Type="http://schemas.openxmlformats.org/officeDocument/2006/relationships/hyperlink" Target="http://www.ms.ro/2020/08/12/buletin-informativ-12-08-2020" TargetMode="External"/><Relationship Id="rId53" Type="http://schemas.openxmlformats.org/officeDocument/2006/relationships/hyperlink" Target="http://www.ms.ro/2020/04/04/buletin-informativ-05-04-2020/" TargetMode="External"/><Relationship Id="rId1207" Type="http://schemas.openxmlformats.org/officeDocument/2006/relationships/hyperlink" Target="https://stirioficiale.ro/informatii/buletin-de-presa-31-mai-2020-ora-13-00" TargetMode="External"/><Relationship Id="rId1414" Type="http://schemas.openxmlformats.org/officeDocument/2006/relationships/hyperlink" Target="https://stirioficiale.ro/informatii/buletin-de-presa-13-iulie-2020-ora-13-00" TargetMode="External"/><Relationship Id="rId1621" Type="http://schemas.openxmlformats.org/officeDocument/2006/relationships/hyperlink" Target="http://www.ms.ro/2020/07/28/buletin-informativ-28-07-2020/" TargetMode="External"/><Relationship Id="rId3379" Type="http://schemas.openxmlformats.org/officeDocument/2006/relationships/hyperlink" Target="https://www.ebihoreanul.ro/stiri/dupa-doua-saptamani-numarul-imbolnavirilor-covid-scade-in-bihor-31-noi-infectari-dar-si-un-deces-158256.html" TargetMode="External"/><Relationship Id="rId3586" Type="http://schemas.openxmlformats.org/officeDocument/2006/relationships/hyperlink" Target="http://www.ms.ro/2020/08/19/buletin-informativ-19-08-2020" TargetMode="External"/><Relationship Id="rId3793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2188" Type="http://schemas.openxmlformats.org/officeDocument/2006/relationships/hyperlink" Target="http://www.ms.ro/2020/08/05/buletin-informativ-05-08-2020/" TargetMode="External"/><Relationship Id="rId2395" Type="http://schemas.openxmlformats.org/officeDocument/2006/relationships/hyperlink" Target="https://www.ebihoreanul.ro/stiri/a-patra-zi-la-rand-cu-decese-covid-in-bihor-si-53-noi-imbolnaviri-in-ultimele-24-de-ore-158087.html" TargetMode="External"/><Relationship Id="rId3239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3446" Type="http://schemas.openxmlformats.org/officeDocument/2006/relationships/hyperlink" Target="http://www.ms.ro/2020/08/18/buletin-informativ-18-08-2020" TargetMode="External"/><Relationship Id="rId367" Type="http://schemas.openxmlformats.org/officeDocument/2006/relationships/hyperlink" Target="https://stirioficiale.ro/informatii/buletin-de-presa-16-aprilie-2020-ora-13-55" TargetMode="External"/><Relationship Id="rId574" Type="http://schemas.openxmlformats.org/officeDocument/2006/relationships/hyperlink" Target="https://stirioficiale.ro/informatii/buletin-de-presa-22-aprilie-2020-ora-13-41" TargetMode="External"/><Relationship Id="rId2048" Type="http://schemas.openxmlformats.org/officeDocument/2006/relationships/hyperlink" Target="http://www.ms.ro/2020/08/03/buletin-informativ-03-08-2020/" TargetMode="External"/><Relationship Id="rId2255" Type="http://schemas.openxmlformats.org/officeDocument/2006/relationships/hyperlink" Target="https://www.ebihoreanul.ro/stiri/a-treia-zi-consecutiva-cu-decese-covid-in-bihor-si-inca-35-noi-imbolnaviri-raportate-oficial-pentru-ultimele-24-de-ore-158069.html" TargetMode="External"/><Relationship Id="rId3653" Type="http://schemas.openxmlformats.org/officeDocument/2006/relationships/hyperlink" Target="https://www.ebihoreanul.ro/stiri/record-alarmant-in-bihor-inca-85-de-cazuri-noi-de-covid-si-inca-doua-decese-158311.html" TargetMode="External"/><Relationship Id="rId3860" Type="http://schemas.openxmlformats.org/officeDocument/2006/relationships/hyperlink" Target="http://www.ms.ro/2020/08/21/buletin-informativ-21-08-2020" TargetMode="External"/><Relationship Id="rId227" Type="http://schemas.openxmlformats.org/officeDocument/2006/relationships/hyperlink" Target="http://www.ms.ro/2020/04/13/buletin-informativ-13-04-2020/" TargetMode="External"/><Relationship Id="rId781" Type="http://schemas.openxmlformats.org/officeDocument/2006/relationships/hyperlink" Target="http://www.ms.ro/2020/04/27/buletin-informativ-27-04-2020/" TargetMode="External"/><Relationship Id="rId2462" Type="http://schemas.openxmlformats.org/officeDocument/2006/relationships/hyperlink" Target="http://www.ms.ro/2020/08/08/buletin-informativ-08-08-2020" TargetMode="External"/><Relationship Id="rId3306" Type="http://schemas.openxmlformats.org/officeDocument/2006/relationships/hyperlink" Target="http://www.ms.ro/2020/08/16/buletin-informativ-16-08-2020" TargetMode="External"/><Relationship Id="rId3513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3720" Type="http://schemas.openxmlformats.org/officeDocument/2006/relationships/hyperlink" Target="http://www.ms.ro/2020/08/20/buletin-informativ-20-08-2020" TargetMode="External"/><Relationship Id="rId434" Type="http://schemas.openxmlformats.org/officeDocument/2006/relationships/hyperlink" Target="http://www.ms.ro/2020/04/18/buletin-informativ-18-04-2020/" TargetMode="External"/><Relationship Id="rId641" Type="http://schemas.openxmlformats.org/officeDocument/2006/relationships/hyperlink" Target="http://www.ms.ro/2020/04/22/buletin-informativ-22-04-2020/" TargetMode="External"/><Relationship Id="rId1064" Type="http://schemas.openxmlformats.org/officeDocument/2006/relationships/hyperlink" Target="https://stirioficiale.ro/informatii/buletin-de-presa-22-mai-2020-ora-13-00" TargetMode="External"/><Relationship Id="rId1271" Type="http://schemas.openxmlformats.org/officeDocument/2006/relationships/hyperlink" Target="http://www.ms.ro/2020/06/06/buletin-informativ-06-06-2020/" TargetMode="External"/><Relationship Id="rId2115" Type="http://schemas.openxmlformats.org/officeDocument/2006/relationships/hyperlink" Target="https://www.ebihoreanul.ro/stiri/record-dupa-record-in-bihor-intr-o-singura-zi-3-morti-si-59-noi-imbolnaviri-cu-covid-158047.html" TargetMode="External"/><Relationship Id="rId2322" Type="http://schemas.openxmlformats.org/officeDocument/2006/relationships/hyperlink" Target="http://www.ms.ro/2020/08/07/buletin-informativ-07-08-2020/" TargetMode="External"/><Relationship Id="rId501" Type="http://schemas.openxmlformats.org/officeDocument/2006/relationships/hyperlink" Target="https://stirioficiale.ro/informatii/buletin-de-presa-21-aprilie-2020-ora-13-26" TargetMode="External"/><Relationship Id="rId1131" Type="http://schemas.openxmlformats.org/officeDocument/2006/relationships/hyperlink" Target="https://stirioficiale.ro/informatii/buletin-de-presa-28-mai-2020-ora-13-00" TargetMode="External"/><Relationship Id="rId3096" Type="http://schemas.openxmlformats.org/officeDocument/2006/relationships/hyperlink" Target="http://www.ms.ro/2020/08/14/buletin-informativ-14-08-2020" TargetMode="External"/><Relationship Id="rId4147" Type="http://schemas.openxmlformats.org/officeDocument/2006/relationships/hyperlink" Target="https://www.ebihoreanul.ro/stiri/record-de-decese-covid-in-romania-58-intr-o-singura-zi-in-bihor-au-murit-3-oameni-iar-alti-37-au-fost-diagnosticati-aproape-100-de-pacienti-vindecati-158383.html" TargetMode="External"/><Relationship Id="rId1948" Type="http://schemas.openxmlformats.org/officeDocument/2006/relationships/hyperlink" Target="https://stirioficiale.ro/informatii/buletin-de-presa-2-august-2020-ora-13-00" TargetMode="External"/><Relationship Id="rId3163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3370" Type="http://schemas.openxmlformats.org/officeDocument/2006/relationships/hyperlink" Target="http://www.ms.ro/2020/08/17/buletin-informativ-17-08-2020" TargetMode="External"/><Relationship Id="rId4007" Type="http://schemas.openxmlformats.org/officeDocument/2006/relationships/hyperlink" Target="https://www.ebihoreanul.ro/stiri/a-fost-depasit-pragul-de-2000-de-cazuri-covid-19diagnosticate-in-bihor-158350.html" TargetMode="External"/><Relationship Id="rId4214" Type="http://schemas.openxmlformats.org/officeDocument/2006/relationships/hyperlink" Target="http://www.ms.ro/2020/08/26/buletin-informativ-26-08-2020" TargetMode="External"/><Relationship Id="rId291" Type="http://schemas.openxmlformats.org/officeDocument/2006/relationships/hyperlink" Target="http://www.ms.ro/2020/04/13/buletin-informativ-13-04-2020/" TargetMode="External"/><Relationship Id="rId1808" Type="http://schemas.openxmlformats.org/officeDocument/2006/relationships/hyperlink" Target="https://stirioficiale.ro/informatii/buletin-de-presa-31-iulie-2020-ora-13-00" TargetMode="External"/><Relationship Id="rId3023" Type="http://schemas.openxmlformats.org/officeDocument/2006/relationships/hyperlink" Target="https://www.ebihoreanul.ro/stiri/inca-56-de-cazuri-de-coronavirus-in-bihor-158211.html" TargetMode="External"/><Relationship Id="rId151" Type="http://schemas.openxmlformats.org/officeDocument/2006/relationships/hyperlink" Target="http://www.ms.ro/2020/04/13/buletin-informativ-13-04-2020/" TargetMode="External"/><Relationship Id="rId3230" Type="http://schemas.openxmlformats.org/officeDocument/2006/relationships/hyperlink" Target="http://www.ms.ro/2020/08/15/33355/" TargetMode="External"/><Relationship Id="rId2789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2996" Type="http://schemas.openxmlformats.org/officeDocument/2006/relationships/hyperlink" Target="http://www.ms.ro/2020/08/13/buletin-informativ-13-08-2020" TargetMode="External"/><Relationship Id="rId968" Type="http://schemas.openxmlformats.org/officeDocument/2006/relationships/hyperlink" Target="http://www.ms.ro/2020/05/09/buletin-informativ-09-05-2020/" TargetMode="External"/><Relationship Id="rId1598" Type="http://schemas.openxmlformats.org/officeDocument/2006/relationships/hyperlink" Target="https://www.ebihoreanul.ro/stiri/inca-26-noi-cazuri-covid-depistate-in-bihor-intre-care-un-brancardier-si-o-asistenta-revenita-dupa-un-concediu-in-grecia-157871.html" TargetMode="External"/><Relationship Id="rId2649" Type="http://schemas.openxmlformats.org/officeDocument/2006/relationships/hyperlink" Target="https://www.ebihoreanul.ro/stiri/nc-un-deces-i-37-de-noi-mbolnviri-de-covid-19-n-bihor-o-parte-a-spitalului-din-beiu-va-trata-bolnavi-cu-covid-din-cauza-cazurilor-multe-din-zon-158138.html" TargetMode="External"/><Relationship Id="rId2856" Type="http://schemas.openxmlformats.org/officeDocument/2006/relationships/hyperlink" Target="http://www.ms.ro/2020/08/12/buletin-informativ-12-08-2020" TargetMode="External"/><Relationship Id="rId3907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97" Type="http://schemas.openxmlformats.org/officeDocument/2006/relationships/hyperlink" Target="https://stirioficiale.ro/informatii/buletin-de-presa-10-aprilie-2020-ora-13-50" TargetMode="External"/><Relationship Id="rId828" Type="http://schemas.openxmlformats.org/officeDocument/2006/relationships/hyperlink" Target="https://stirioficiale.ro/informatii/buletin-de-presa-28-aprilie-2020-ora-13-00" TargetMode="External"/><Relationship Id="rId1458" Type="http://schemas.openxmlformats.org/officeDocument/2006/relationships/hyperlink" Target="https://stirioficiale.ro/informatii/buletin-de-presa-22-iulie-2020-ora-13-00" TargetMode="External"/><Relationship Id="rId1665" Type="http://schemas.openxmlformats.org/officeDocument/2006/relationships/hyperlink" Target="http://www.ms.ro/2020/07/29/buletin-informativ-29-07-2020/" TargetMode="External"/><Relationship Id="rId1872" Type="http://schemas.openxmlformats.org/officeDocument/2006/relationships/hyperlink" Target="https://stirioficiale.ro/informatii/informare-de-presa-01-august-2020" TargetMode="External"/><Relationship Id="rId2509" Type="http://schemas.openxmlformats.org/officeDocument/2006/relationships/hyperlink" Target="https://stirioficiale.ro/informatii/buletin-de-presa-9-august-2020-ora-13-00" TargetMode="External"/><Relationship Id="rId2716" Type="http://schemas.openxmlformats.org/officeDocument/2006/relationships/hyperlink" Target="http://www.ms.ro/2020/08/11/buletin-informativ-11-08-2020" TargetMode="External"/><Relationship Id="rId4071" Type="http://schemas.openxmlformats.org/officeDocument/2006/relationships/hyperlink" Target="https://www.ebihoreanul.ro/stiri/inca-trei-decese-ale-unor-pacienti-infectati-cu-covid-19-in-bihor-cazuri-noi-de-imbolnavire-dar-si-multe-vindecari-158365.html" TargetMode="External"/><Relationship Id="rId1318" Type="http://schemas.openxmlformats.org/officeDocument/2006/relationships/hyperlink" Target="https://stirioficiale.ro/informatii/buletin-de-presa-19-iunie-2020-ora-13-00" TargetMode="External"/><Relationship Id="rId1525" Type="http://schemas.openxmlformats.org/officeDocument/2006/relationships/hyperlink" Target="http://www.ms.ro/2020/07/25/buletin-informativ-25-07-2020/" TargetMode="External"/><Relationship Id="rId2923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1732" Type="http://schemas.openxmlformats.org/officeDocument/2006/relationships/hyperlink" Target="https://stirioficiale.ro/informatii/buletin-de-presa-30-iulie-2020-ora-13-00" TargetMode="External"/><Relationship Id="rId24" Type="http://schemas.openxmlformats.org/officeDocument/2006/relationships/hyperlink" Target="https://stirioficiale.ro/informatii/buletin-de-presa-2-aprilie-2020-ora-13-01" TargetMode="External"/><Relationship Id="rId2299" Type="http://schemas.openxmlformats.org/officeDocument/2006/relationships/hyperlink" Target="https://www.ebihoreanul.ro/stiri/a-patra-zi-la-rand-cu-decese-covid-in-bihor-si-53-noi-imbolnaviri-in-ultimele-24-de-ore-158087.html" TargetMode="External"/><Relationship Id="rId3697" Type="http://schemas.openxmlformats.org/officeDocument/2006/relationships/hyperlink" Target="https://www.ebihoreanul.ro/stiri/record-alarmant-in-bihor-inca-85-de-cazuri-noi-de-covid-si-inca-doua-decese-158311.html" TargetMode="External"/><Relationship Id="rId3557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3764" Type="http://schemas.openxmlformats.org/officeDocument/2006/relationships/hyperlink" Target="http://www.ms.ro/2020/08/20/buletin-informativ-20-08-2020" TargetMode="External"/><Relationship Id="rId3971" Type="http://schemas.openxmlformats.org/officeDocument/2006/relationships/hyperlink" Target="https://www.ebihoreanul.ro/stiri/niciun-deces-in-bihor-si-zeci-de-pacienti-covid-vindecati-dar-si-40-noi-imbolnaviri-inclusiv-angajati-ai-maternitatii-si-spitalului-militar-158339.html" TargetMode="External"/><Relationship Id="rId478" Type="http://schemas.openxmlformats.org/officeDocument/2006/relationships/hyperlink" Target="http://www.ms.ro/2020/04/20/buletin-informativ-20-04-2020/" TargetMode="External"/><Relationship Id="rId685" Type="http://schemas.openxmlformats.org/officeDocument/2006/relationships/hyperlink" Target="http://www.ms.ro/2020/04/24/buletin-informativ-24-04-2020/" TargetMode="External"/><Relationship Id="rId892" Type="http://schemas.openxmlformats.org/officeDocument/2006/relationships/hyperlink" Target="http://www.ms.ro/2020/05/01/buletin-informativ-01-05-2020/" TargetMode="External"/><Relationship Id="rId2159" Type="http://schemas.openxmlformats.org/officeDocument/2006/relationships/hyperlink" Target="https://www.ebihoreanul.ro/stiri/record-dupa-record-in-bihor-intr-o-singura-zi-3-morti-si-59-noi-imbolnaviri-cu-covid-158047.html" TargetMode="External"/><Relationship Id="rId2366" Type="http://schemas.openxmlformats.org/officeDocument/2006/relationships/hyperlink" Target="http://www.ms.ro/2020/08/07/buletin-informativ-07-08-2020/" TargetMode="External"/><Relationship Id="rId2573" Type="http://schemas.openxmlformats.org/officeDocument/2006/relationships/hyperlink" Target="https://stirioficiale.ro/informatii/buletin-de-presa-9-august-2020-ora-13-00" TargetMode="External"/><Relationship Id="rId2780" Type="http://schemas.openxmlformats.org/officeDocument/2006/relationships/hyperlink" Target="http://www.ms.ro/2020/08/12/buletin-informativ-12-08-2020" TargetMode="External"/><Relationship Id="rId3417" Type="http://schemas.openxmlformats.org/officeDocument/2006/relationships/hyperlink" Target="https://www.ebihoreanul.ro/stiri/coronavirus-in-bihor-inca-doua-decese-si-45-de-cazuri-noi-vezi-din-ce-localitati-158277.html" TargetMode="External"/><Relationship Id="rId3624" Type="http://schemas.openxmlformats.org/officeDocument/2006/relationships/hyperlink" Target="http://www.ms.ro/2020/08/20/buletin-informativ-20-08-2020" TargetMode="External"/><Relationship Id="rId3831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338" Type="http://schemas.openxmlformats.org/officeDocument/2006/relationships/hyperlink" Target="http://www.ms.ro/2020/04/14/buletin-informativ-14-04-2020/" TargetMode="External"/><Relationship Id="rId545" Type="http://schemas.openxmlformats.org/officeDocument/2006/relationships/hyperlink" Target="https://stirioficiale.ro/informatii/buletin-de-presa-21-aprilie-2020-ora-13-48" TargetMode="External"/><Relationship Id="rId752" Type="http://schemas.openxmlformats.org/officeDocument/2006/relationships/hyperlink" Target="https://stirioficiale.ro/informatii/buletin-de-presa-27-aprilie-2020-ora-13-00" TargetMode="External"/><Relationship Id="rId1175" Type="http://schemas.openxmlformats.org/officeDocument/2006/relationships/hyperlink" Target="https://www.bihon.ro/stirile-judetului-bihor/rezultatul-testarii-la-plexus-21-de-angajati-pozitivi-covid-19-iata-ce-masuri-ia-compania-americana-2295625/" TargetMode="External"/><Relationship Id="rId1382" Type="http://schemas.openxmlformats.org/officeDocument/2006/relationships/hyperlink" Target="https://stirioficiale.ro/informatii/buletin-de-presa-6-iulie-2020-ora-13-00" TargetMode="External"/><Relationship Id="rId2019" Type="http://schemas.openxmlformats.org/officeDocument/2006/relationships/hyperlink" Target="https://www.ebihoreanul.ro/stiri/inca-50-de-cazuri-de-covid-19-in-bihor-in-urma-testelor-facute-duminica-157998.html" TargetMode="External"/><Relationship Id="rId2226" Type="http://schemas.openxmlformats.org/officeDocument/2006/relationships/hyperlink" Target="http://www.ms.ro/2020/08/06/buletin-informativ-06-08-2020/" TargetMode="External"/><Relationship Id="rId2433" Type="http://schemas.openxmlformats.org/officeDocument/2006/relationships/hyperlink" Target="https://stirioficiale.ro/informatii/buletin-de-presa-8-august-2020-ora-13-00" TargetMode="External"/><Relationship Id="rId2640" Type="http://schemas.openxmlformats.org/officeDocument/2006/relationships/hyperlink" Target="http://www.ms.ro/2020/08/10/buletin-informativ-10-08-2020" TargetMode="External"/><Relationship Id="rId405" Type="http://schemas.openxmlformats.org/officeDocument/2006/relationships/hyperlink" Target="http://www.ms.ro/2020/04/17/buletin-informativ-17-04-2020/" TargetMode="External"/><Relationship Id="rId612" Type="http://schemas.openxmlformats.org/officeDocument/2006/relationships/hyperlink" Target="https://stirioficiale.ro/informatii/buletin-de-presa-22-aprilie-2020-ora-13-60" TargetMode="External"/><Relationship Id="rId1035" Type="http://schemas.openxmlformats.org/officeDocument/2006/relationships/hyperlink" Target="https://stirioficiale.ro/informatii/buletin-de-presa-19-mai-2020-ora-13-00" TargetMode="External"/><Relationship Id="rId1242" Type="http://schemas.openxmlformats.org/officeDocument/2006/relationships/hyperlink" Target="http://www.ms.ro/2020/06/02/buletin-informativ-02-06-2020/" TargetMode="External"/><Relationship Id="rId2500" Type="http://schemas.openxmlformats.org/officeDocument/2006/relationships/hyperlink" Target="http://www.ms.ro/2020/08/09/buletin-informativ-09-08-2020" TargetMode="External"/><Relationship Id="rId1102" Type="http://schemas.openxmlformats.org/officeDocument/2006/relationships/hyperlink" Target="http://www.ms.ro/2020/05/26/buletin-informativ-26-05-2020/" TargetMode="External"/><Relationship Id="rId3067" Type="http://schemas.openxmlformats.org/officeDocument/2006/relationships/hyperlink" Target="https://www.ebihoreanul.ro/stiri/inca-56-de-cazuri-de-coronavirus-in-bihor-158211.html" TargetMode="External"/><Relationship Id="rId3274" Type="http://schemas.openxmlformats.org/officeDocument/2006/relationships/hyperlink" Target="http://www.ms.ro/2020/08/16/buletin-informativ-16-08-2020" TargetMode="External"/><Relationship Id="rId4118" Type="http://schemas.openxmlformats.org/officeDocument/2006/relationships/hyperlink" Target="http://www.ms.ro/2020/08/25/buletin-informativ-25-08-2020" TargetMode="External"/><Relationship Id="rId195" Type="http://schemas.openxmlformats.org/officeDocument/2006/relationships/hyperlink" Target="http://www.ms.ro/2020/04/13/buletin-informativ-13-04-2020/" TargetMode="External"/><Relationship Id="rId1919" Type="http://schemas.openxmlformats.org/officeDocument/2006/relationships/hyperlink" Target="http://www.ms.ro/2020/08/02/buletin-informativ-02-08-2020/" TargetMode="External"/><Relationship Id="rId3481" Type="http://schemas.openxmlformats.org/officeDocument/2006/relationships/hyperlink" Target="https://www.ebihoreanul.ro/stiri/coronavirus-in-bihor-inca-doua-decese-si-45-de-cazuri-noi-vezi-din-ce-localitati-158277.html" TargetMode="External"/><Relationship Id="rId2083" Type="http://schemas.openxmlformats.org/officeDocument/2006/relationships/hyperlink" Target="https://stirioficiale.ro/informatii/buletin-de-presa-4-august-2020-ora-13-00" TargetMode="External"/><Relationship Id="rId2290" Type="http://schemas.openxmlformats.org/officeDocument/2006/relationships/hyperlink" Target="http://www.ms.ro/2020/08/06/buletin-informativ-06-08-2020/" TargetMode="External"/><Relationship Id="rId3134" Type="http://schemas.openxmlformats.org/officeDocument/2006/relationships/hyperlink" Target="http://www.ms.ro/2020/08/15/33355/" TargetMode="External"/><Relationship Id="rId3341" Type="http://schemas.openxmlformats.org/officeDocument/2006/relationships/hyperlink" Target="https://www.ebihoreanul.ro/stiri/coronavirus-in-bihor-inca-trei-decese-inregistrate-50-de-cazuri-noi-diagnosticate-nicio-persoana-vindecata-158239.html" TargetMode="External"/><Relationship Id="rId262" Type="http://schemas.openxmlformats.org/officeDocument/2006/relationships/hyperlink" Target="https://stirioficiale.ro/informatii/buletin-de-presa-13-aprilie-2020-ora-13-93" TargetMode="External"/><Relationship Id="rId2150" Type="http://schemas.openxmlformats.org/officeDocument/2006/relationships/hyperlink" Target="http://www.ms.ro/2020/08/05/buletin-informativ-05-08-2020/" TargetMode="External"/><Relationship Id="rId3201" Type="http://schemas.openxmlformats.org/officeDocument/2006/relationships/hyperlink" Target="https://www.hotnews.ro/stiri-coronavirus-24235881-seful-comisariatului-pentru-protectia-consumatorului-bihor-confirmat-covid-19-activitatea-institutiei-suspendata.htm" TargetMode="External"/><Relationship Id="rId122" Type="http://schemas.openxmlformats.org/officeDocument/2006/relationships/hyperlink" Target="https://stirioficiale.ro/informatii/buletin-de-presa-11-aprilie-2020-ora-13-68" TargetMode="External"/><Relationship Id="rId2010" Type="http://schemas.openxmlformats.org/officeDocument/2006/relationships/hyperlink" Target="https://www.ebihoreanul.ro/stiri/inca-50-de-cazuri-de-covid-19-in-bihor-in-urma-testelor-facute-duminica-157998.html" TargetMode="External"/><Relationship Id="rId1569" Type="http://schemas.openxmlformats.org/officeDocument/2006/relationships/hyperlink" Target="http://www.ms.ro/2020/07/27/buletin-informativ-27-07-2020/" TargetMode="External"/><Relationship Id="rId2967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4182" Type="http://schemas.openxmlformats.org/officeDocument/2006/relationships/hyperlink" Target="http://www.ms.ro/2020/08/25/buletin-informativ-25-08-2020" TargetMode="External"/><Relationship Id="rId939" Type="http://schemas.openxmlformats.org/officeDocument/2006/relationships/hyperlink" Target="http://www.ms.ro/2020/05/03/buletin-informativ-03-05-2020/" TargetMode="External"/><Relationship Id="rId1776" Type="http://schemas.openxmlformats.org/officeDocument/2006/relationships/hyperlink" Target="https://stirioficiale.ro/informatii/buletin-de-presa-30-iulie-2020-ora-13-00" TargetMode="External"/><Relationship Id="rId1983" Type="http://schemas.openxmlformats.org/officeDocument/2006/relationships/hyperlink" Target="https://www.ebihoreanul.ro/stiri/inca-50-de-cazuri-de-covid-19-in-bihor-in-urma-testelor-facute-duminica-157998.html" TargetMode="External"/><Relationship Id="rId2827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4042" Type="http://schemas.openxmlformats.org/officeDocument/2006/relationships/hyperlink" Target="http://www.ms.ro/2020/08/23/buletin-informativ-23-08-2020" TargetMode="External"/><Relationship Id="rId68" Type="http://schemas.openxmlformats.org/officeDocument/2006/relationships/hyperlink" Target="http://www.ms.ro/2020/04/07/buletin-informativ-07-04-2020/" TargetMode="External"/><Relationship Id="rId1429" Type="http://schemas.openxmlformats.org/officeDocument/2006/relationships/hyperlink" Target="http://www.ms.ro/2020/07/16/buletin-informativ-16-07-2020/" TargetMode="External"/><Relationship Id="rId1636" Type="http://schemas.openxmlformats.org/officeDocument/2006/relationships/hyperlink" Target="https://stirioficiale.ro/informatii/buletin-de-presa-28-iulie-2020-ora-13-00" TargetMode="External"/><Relationship Id="rId1843" Type="http://schemas.openxmlformats.org/officeDocument/2006/relationships/hyperlink" Target="http://www.ms.ro/2020/08/01/buletin-informativ-01-08-2020/" TargetMode="External"/><Relationship Id="rId1703" Type="http://schemas.openxmlformats.org/officeDocument/2006/relationships/hyperlink" Target="http://www.ms.ro/2020/07/30/buletin-informativ-30-07-2020/" TargetMode="External"/><Relationship Id="rId1910" Type="http://schemas.openxmlformats.org/officeDocument/2006/relationships/hyperlink" Target="https://stirioficiale.ro/informatii/buletin-de-presa-2-august-2020-ora-13-00" TargetMode="External"/><Relationship Id="rId3668" Type="http://schemas.openxmlformats.org/officeDocument/2006/relationships/hyperlink" Target="http://www.ms.ro/2020/08/20/buletin-informativ-20-08-2020" TargetMode="External"/><Relationship Id="rId3875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589" Type="http://schemas.openxmlformats.org/officeDocument/2006/relationships/hyperlink" Target="http://www.ms.ro/2020/04/22/buletin-informativ-22-04-2020/" TargetMode="External"/><Relationship Id="rId796" Type="http://schemas.openxmlformats.org/officeDocument/2006/relationships/hyperlink" Target="https://stirioficiale.ro/informatii/buletin-de-presa-27-aprilie-2020-ora-13-00" TargetMode="External"/><Relationship Id="rId2477" Type="http://schemas.openxmlformats.org/officeDocument/2006/relationships/hyperlink" Target="https://stirioficiale.ro/informatii/buletin-de-presa-8-august-2020-ora-13-00" TargetMode="External"/><Relationship Id="rId2684" Type="http://schemas.openxmlformats.org/officeDocument/2006/relationships/hyperlink" Target="http://www.ms.ro/2020/08/11/buletin-informativ-11-08-2020" TargetMode="External"/><Relationship Id="rId3528" Type="http://schemas.openxmlformats.org/officeDocument/2006/relationships/hyperlink" Target="http://www.ms.ro/2020/08/19/buletin-informativ-19-08-2020" TargetMode="External"/><Relationship Id="rId3735" Type="http://schemas.openxmlformats.org/officeDocument/2006/relationships/hyperlink" Target="https://www.ebihoreanul.ro/stiri/record-alarmant-in-bihor-inca-85-de-cazuri-noi-de-covid-si-inca-doua-decese-158311.html" TargetMode="External"/><Relationship Id="rId449" Type="http://schemas.openxmlformats.org/officeDocument/2006/relationships/hyperlink" Target="https://stirioficiale.ro/informatii/buletin-de-presa-20-aprilie-2020-ora-13-00" TargetMode="External"/><Relationship Id="rId656" Type="http://schemas.openxmlformats.org/officeDocument/2006/relationships/hyperlink" Target="https://stirioficiale.ro/informatii/buletin-de-presa-23-aprilie-2020-ora-13-00" TargetMode="External"/><Relationship Id="rId863" Type="http://schemas.openxmlformats.org/officeDocument/2006/relationships/hyperlink" Target="http://www.ms.ro/2020/04/29/buletin-informativ-29-04-2020/" TargetMode="External"/><Relationship Id="rId1079" Type="http://schemas.openxmlformats.org/officeDocument/2006/relationships/hyperlink" Target="http://www.ms.ro/2020/05/23/buletin-informativ-23-05-2020/" TargetMode="External"/><Relationship Id="rId1286" Type="http://schemas.openxmlformats.org/officeDocument/2006/relationships/hyperlink" Target="https://stirioficiale.ro/informatii/buletin-de-presa-10-iunie-2020-ora-13-00" TargetMode="External"/><Relationship Id="rId1493" Type="http://schemas.openxmlformats.org/officeDocument/2006/relationships/hyperlink" Target="http://www.ms.ro/2020/07/23/buletin-informativ-23-07-2020/" TargetMode="External"/><Relationship Id="rId2337" Type="http://schemas.openxmlformats.org/officeDocument/2006/relationships/hyperlink" Target="https://www.ebihoreanul.ro/stiri/a-patra-zi-la-rand-cu-decese-covid-in-bihor-si-53-noi-imbolnaviri-in-ultimele-24-de-ore-158087.html" TargetMode="External"/><Relationship Id="rId2544" Type="http://schemas.openxmlformats.org/officeDocument/2006/relationships/hyperlink" Target="http://www.ms.ro/2020/08/09/buletin-informativ-09-08-2020" TargetMode="External"/><Relationship Id="rId2891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3942" Type="http://schemas.openxmlformats.org/officeDocument/2006/relationships/hyperlink" Target="http://www.ms.ro/2020/08/22/buletin-informativ-22-08-2020" TargetMode="External"/><Relationship Id="rId309" Type="http://schemas.openxmlformats.org/officeDocument/2006/relationships/hyperlink" Target="http://www.ms.ro/2020/04/13/buletin-informativ-13-04-2020/" TargetMode="External"/><Relationship Id="rId516" Type="http://schemas.openxmlformats.org/officeDocument/2006/relationships/hyperlink" Target="http://www.ms.ro/2020/04/21/buletin-informativ-21-04-2020/" TargetMode="External"/><Relationship Id="rId1146" Type="http://schemas.openxmlformats.org/officeDocument/2006/relationships/hyperlink" Target="http://www.ms.ro/2020/05/29/buletin-informativ-29-05-2020/" TargetMode="External"/><Relationship Id="rId2751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3802" Type="http://schemas.openxmlformats.org/officeDocument/2006/relationships/hyperlink" Target="http://www.ms.ro/2020/08/21/buletin-informativ-21-08-2020" TargetMode="External"/><Relationship Id="rId723" Type="http://schemas.openxmlformats.org/officeDocument/2006/relationships/hyperlink" Target="http://www.ms.ro/2020/04/27/buletin-informativ-27-04-2020/" TargetMode="External"/><Relationship Id="rId930" Type="http://schemas.openxmlformats.org/officeDocument/2006/relationships/hyperlink" Target="https://stirioficiale.ro/informatii/buletin-de-presa-3-mai-2020-ora-13-00" TargetMode="External"/><Relationship Id="rId1006" Type="http://schemas.openxmlformats.org/officeDocument/2006/relationships/hyperlink" Target="https://www.bihon.ro/stirile-judetului-bihor/angajati-confirmati-cu-coronavirus-in-parcul-industrial-de-pe-borsului-2284463/" TargetMode="External"/><Relationship Id="rId1353" Type="http://schemas.openxmlformats.org/officeDocument/2006/relationships/hyperlink" Target="http://www.ms.ro/2020/07/05/buletin-informativ-05-07-2020/" TargetMode="External"/><Relationship Id="rId1560" Type="http://schemas.openxmlformats.org/officeDocument/2006/relationships/hyperlink" Target="https://stirioficiale.ro/informatii/buletin-de-presa-26-iulie-2020-ora-13-00" TargetMode="External"/><Relationship Id="rId2404" Type="http://schemas.openxmlformats.org/officeDocument/2006/relationships/hyperlink" Target="http://www.ms.ro/2020/08/08/buletin-informativ-08-08-2020" TargetMode="External"/><Relationship Id="rId2611" Type="http://schemas.openxmlformats.org/officeDocument/2006/relationships/hyperlink" Target="https://www.ebihoreanul.ro/stiri/nc-un-deces-i-37-de-noi-mbolnviri-de-covid-19-n-bihor-o-parte-a-spitalului-din-beiu-va-trata-bolnavi-cu-covid-din-cauza-cazurilor-multe-din-zon-158138.html" TargetMode="External"/><Relationship Id="rId1213" Type="http://schemas.openxmlformats.org/officeDocument/2006/relationships/hyperlink" Target="https://stirioficiale.ro/informatii/buletin-de-presa-31-mai-2020-ora-13-00" TargetMode="External"/><Relationship Id="rId1420" Type="http://schemas.openxmlformats.org/officeDocument/2006/relationships/hyperlink" Target="https://stirioficiale.ro/informatii/buletin-de-presa-14-iulie-2020-ora-13-00" TargetMode="External"/><Relationship Id="rId3178" Type="http://schemas.openxmlformats.org/officeDocument/2006/relationships/hyperlink" Target="http://www.ms.ro/2020/08/15/33355/" TargetMode="External"/><Relationship Id="rId3385" Type="http://schemas.openxmlformats.org/officeDocument/2006/relationships/hyperlink" Target="https://www.ebihoreanul.ro/stiri/dupa-doua-saptamani-numarul-imbolnavirilor-covid-scade-in-bihor-31-noi-infectari-dar-si-un-deces-158256.html" TargetMode="External"/><Relationship Id="rId3592" Type="http://schemas.openxmlformats.org/officeDocument/2006/relationships/hyperlink" Target="http://www.ms.ro/2020/08/19/buletin-informativ-19-08-2020" TargetMode="External"/><Relationship Id="rId4229" Type="http://schemas.openxmlformats.org/officeDocument/2006/relationships/hyperlink" Target="https://www.ebihoreanul.ro/stiri/28-de-noi-imbolnaviri-cu-covid-19-in-bihor-inclusiv-in-randul-personalului-upu-smurd-158401.html" TargetMode="External"/><Relationship Id="rId2194" Type="http://schemas.openxmlformats.org/officeDocument/2006/relationships/hyperlink" Target="http://www.ms.ro/2020/08/05/buletin-informativ-05-08-2020/" TargetMode="External"/><Relationship Id="rId3038" Type="http://schemas.openxmlformats.org/officeDocument/2006/relationships/hyperlink" Target="http://www.ms.ro/2020/08/14/buletin-informativ-14-08-2020" TargetMode="External"/><Relationship Id="rId3245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3452" Type="http://schemas.openxmlformats.org/officeDocument/2006/relationships/hyperlink" Target="http://www.ms.ro/2020/08/18/buletin-informativ-18-08-2020" TargetMode="External"/><Relationship Id="rId166" Type="http://schemas.openxmlformats.org/officeDocument/2006/relationships/hyperlink" Target="https://stirioficiale.ro/informatii/buletin-de-presa-13-aprilie-2020-ora-13-45" TargetMode="External"/><Relationship Id="rId373" Type="http://schemas.openxmlformats.org/officeDocument/2006/relationships/hyperlink" Target="https://stirioficiale.ro/informatii/buletin-de-presa-16-aprilie-2020-ora-13-58" TargetMode="External"/><Relationship Id="rId580" Type="http://schemas.openxmlformats.org/officeDocument/2006/relationships/hyperlink" Target="https://stirioficiale.ro/informatii/buletin-de-presa-22-aprilie-2020-ora-13-44" TargetMode="External"/><Relationship Id="rId2054" Type="http://schemas.openxmlformats.org/officeDocument/2006/relationships/hyperlink" Target="http://www.ms.ro/2020/08/03/buletin-informativ-03-08-2020/" TargetMode="External"/><Relationship Id="rId2261" Type="http://schemas.openxmlformats.org/officeDocument/2006/relationships/hyperlink" Target="https://www.ebihoreanul.ro/stiri/a-treia-zi-consecutiva-cu-decese-covid-in-bihor-si-inca-35-noi-imbolnaviri-raportate-oficial-pentru-ultimele-24-de-ore-158069.html" TargetMode="External"/><Relationship Id="rId3105" Type="http://schemas.openxmlformats.org/officeDocument/2006/relationships/hyperlink" Target="https://www.ebihoreanul.ro/stiri/inca-56-de-cazuri-de-coronavirus-in-bihor-158211.html" TargetMode="External"/><Relationship Id="rId3312" Type="http://schemas.openxmlformats.org/officeDocument/2006/relationships/hyperlink" Target="http://www.ms.ro/2020/08/16/buletin-informativ-16-08-2020" TargetMode="External"/><Relationship Id="rId233" Type="http://schemas.openxmlformats.org/officeDocument/2006/relationships/hyperlink" Target="http://www.ms.ro/2020/04/13/buletin-informativ-13-04-2020/" TargetMode="External"/><Relationship Id="rId440" Type="http://schemas.openxmlformats.org/officeDocument/2006/relationships/hyperlink" Target="http://www.ms.ro/2020/04/19/buletin-informativ-19-04-2020/" TargetMode="External"/><Relationship Id="rId1070" Type="http://schemas.openxmlformats.org/officeDocument/2006/relationships/hyperlink" Target="https://stirioficiale.ro/informatii/buletin-de-presa-22-mai-2020-ora-13-00" TargetMode="External"/><Relationship Id="rId2121" Type="http://schemas.openxmlformats.org/officeDocument/2006/relationships/hyperlink" Target="https://www.ebihoreanul.ro/stiri/record-dupa-record-in-bihor-intr-o-singura-zi-3-morti-si-59-noi-imbolnaviri-cu-covid-158047.html" TargetMode="External"/><Relationship Id="rId300" Type="http://schemas.openxmlformats.org/officeDocument/2006/relationships/hyperlink" Target="https://stirioficiale.ro/informatii/buletin-de-presa-13-aprilie-2020-ora-13-112" TargetMode="External"/><Relationship Id="rId4086" Type="http://schemas.openxmlformats.org/officeDocument/2006/relationships/hyperlink" Target="http://www.ms.ro/2020/08/24/buletin-informativ-24-08-2020" TargetMode="External"/><Relationship Id="rId1887" Type="http://schemas.openxmlformats.org/officeDocument/2006/relationships/hyperlink" Target="http://www.ms.ro/2020/08/01/buletin-informativ-01-08-2020/" TargetMode="External"/><Relationship Id="rId2938" Type="http://schemas.openxmlformats.org/officeDocument/2006/relationships/hyperlink" Target="http://www.ms.ro/2020/08/13/buletin-informativ-13-08-2020" TargetMode="External"/><Relationship Id="rId1747" Type="http://schemas.openxmlformats.org/officeDocument/2006/relationships/hyperlink" Target="http://www.ms.ro/2020/07/30/buletin-informativ-30-07-2020/" TargetMode="External"/><Relationship Id="rId1954" Type="http://schemas.openxmlformats.org/officeDocument/2006/relationships/hyperlink" Target="https://stirioficiale.ro/informatii/buletin-de-presa-2-august-2020-ora-13-00" TargetMode="External"/><Relationship Id="rId4153" Type="http://schemas.openxmlformats.org/officeDocument/2006/relationships/hyperlink" Target="https://www.ebihoreanul.ro/stiri/record-de-decese-covid-in-romania-58-intr-o-singura-zi-in-bihor-au-murit-3-oameni-iar-alti-37-au-fost-diagnosticati-aproape-100-de-pacienti-vindecati-158383.html" TargetMode="External"/><Relationship Id="rId39" Type="http://schemas.openxmlformats.org/officeDocument/2006/relationships/hyperlink" Target="http://www.ms.ro/2020/04/02/buletin-informativ-02-04-2020/" TargetMode="External"/><Relationship Id="rId1607" Type="http://schemas.openxmlformats.org/officeDocument/2006/relationships/hyperlink" Target="http://www.ms.ro/2020/07/27/buletin-informativ-27-07-2020/" TargetMode="External"/><Relationship Id="rId1814" Type="http://schemas.openxmlformats.org/officeDocument/2006/relationships/hyperlink" Target="https://stirioficiale.ro/informatii/buletin-de-presa-31-iulie-2020-ora-13-00" TargetMode="External"/><Relationship Id="rId4013" Type="http://schemas.openxmlformats.org/officeDocument/2006/relationships/hyperlink" Target="https://www.ebihoreanul.ro/stiri/a-fost-depasit-pragul-de-2000-de-cazuri-covid-19diagnosticate-in-bihor-158350.html" TargetMode="External"/><Relationship Id="rId4220" Type="http://schemas.openxmlformats.org/officeDocument/2006/relationships/hyperlink" Target="http://www.ms.ro/2020/08/26/buletin-informativ-26-08-2020" TargetMode="External"/><Relationship Id="rId3779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2588" Type="http://schemas.openxmlformats.org/officeDocument/2006/relationships/hyperlink" Target="http://www.ms.ro/2020/08/09/buletin-informativ-09-08-2020" TargetMode="External"/><Relationship Id="rId3986" Type="http://schemas.openxmlformats.org/officeDocument/2006/relationships/hyperlink" Target="http://www.ms.ro/2020/08/22/buletin-informativ-22-08-2020" TargetMode="External"/><Relationship Id="rId1397" Type="http://schemas.openxmlformats.org/officeDocument/2006/relationships/hyperlink" Target="http://www.ms.ro/2020/07/09/buletin-informativ-09-07-2020/" TargetMode="External"/><Relationship Id="rId2795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3639" Type="http://schemas.openxmlformats.org/officeDocument/2006/relationships/hyperlink" Target="https://www.ebihoreanul.ro/stiri/record-alarmant-in-bihor-inca-85-de-cazuri-noi-de-covid-si-inca-doua-decese-158311.html" TargetMode="External"/><Relationship Id="rId3846" Type="http://schemas.openxmlformats.org/officeDocument/2006/relationships/hyperlink" Target="http://www.ms.ro/2020/08/21/buletin-informativ-21-08-2020" TargetMode="External"/><Relationship Id="rId767" Type="http://schemas.openxmlformats.org/officeDocument/2006/relationships/hyperlink" Target="http://www.ms.ro/2020/04/27/buletin-informativ-27-04-2020/" TargetMode="External"/><Relationship Id="rId974" Type="http://schemas.openxmlformats.org/officeDocument/2006/relationships/hyperlink" Target="http://www.ms.ro/2020/05/12/buletin-informativ-12-05-2020/" TargetMode="External"/><Relationship Id="rId2448" Type="http://schemas.openxmlformats.org/officeDocument/2006/relationships/hyperlink" Target="http://www.ms.ro/2020/08/08/buletin-informativ-08-08-2020" TargetMode="External"/><Relationship Id="rId2655" Type="http://schemas.openxmlformats.org/officeDocument/2006/relationships/hyperlink" Target="https://www.ebihoreanul.ro/stiri/nc-un-deces-i-37-de-noi-mbolnviri-de-covid-19-n-bihor-o-parte-a-spitalului-din-beiu-va-trata-bolnavi-cu-covid-din-cauza-cazurilor-multe-din-zon-158138.html" TargetMode="External"/><Relationship Id="rId2862" Type="http://schemas.openxmlformats.org/officeDocument/2006/relationships/hyperlink" Target="http://www.ms.ro/2020/08/12/buletin-informativ-12-08-2020" TargetMode="External"/><Relationship Id="rId3706" Type="http://schemas.openxmlformats.org/officeDocument/2006/relationships/hyperlink" Target="http://www.ms.ro/2020/08/20/buletin-informativ-20-08-2020" TargetMode="External"/><Relationship Id="rId3913" Type="http://schemas.openxmlformats.org/officeDocument/2006/relationships/hyperlink" Target="https://www.ebihoreanul.ro/stiri/niciun-deces-in-bihor-si-zeci-de-pacienti-covid-vindecati-dar-si-40-noi-imbolnaviri-inclusiv-angajati-ai-maternitatii-si-spitalului-militar-158339.html" TargetMode="External"/><Relationship Id="rId627" Type="http://schemas.openxmlformats.org/officeDocument/2006/relationships/hyperlink" Target="http://www.ms.ro/2020/04/22/buletin-informativ-22-04-2020/" TargetMode="External"/><Relationship Id="rId834" Type="http://schemas.openxmlformats.org/officeDocument/2006/relationships/hyperlink" Target="https://stirioficiale.ro/informatii/buletin-de-presa-28-aprilie-2020-ora-13-00" TargetMode="External"/><Relationship Id="rId1257" Type="http://schemas.openxmlformats.org/officeDocument/2006/relationships/hyperlink" Target="https://stirioficiale.ro/informatii/buletin-de-presa-4-iunie-2020-ora-13-00" TargetMode="External"/><Relationship Id="rId1464" Type="http://schemas.openxmlformats.org/officeDocument/2006/relationships/hyperlink" Target="https://stirioficiale.ro/informatii/buletin-de-presa-22-iulie-2020-ora-13-00" TargetMode="External"/><Relationship Id="rId1671" Type="http://schemas.openxmlformats.org/officeDocument/2006/relationships/hyperlink" Target="http://www.ms.ro/2020/07/29/buletin-informativ-29-07-2020/" TargetMode="External"/><Relationship Id="rId2308" Type="http://schemas.openxmlformats.org/officeDocument/2006/relationships/hyperlink" Target="http://www.ms.ro/2020/08/07/buletin-informativ-07-08-2020/" TargetMode="External"/><Relationship Id="rId2515" Type="http://schemas.openxmlformats.org/officeDocument/2006/relationships/hyperlink" Target="https://stirioficiale.ro/informatii/buletin-de-presa-9-august-2020-ora-13-00" TargetMode="External"/><Relationship Id="rId2722" Type="http://schemas.openxmlformats.org/officeDocument/2006/relationships/hyperlink" Target="http://www.ms.ro/2020/08/11/buletin-informativ-11-08-2020" TargetMode="External"/><Relationship Id="rId901" Type="http://schemas.openxmlformats.org/officeDocument/2006/relationships/hyperlink" Target="http://www.ms.ro/2020/05/01/buletin-informativ-01-05-2020/" TargetMode="External"/><Relationship Id="rId1117" Type="http://schemas.openxmlformats.org/officeDocument/2006/relationships/hyperlink" Target="https://stirioficiale.ro/informatii/buletin-de-presa-27-mai-2020-ora-13-00" TargetMode="External"/><Relationship Id="rId1324" Type="http://schemas.openxmlformats.org/officeDocument/2006/relationships/hyperlink" Target="https://stirioficiale.ro/informatii/buletin-de-presa-24-iunie-2020-ora-13-00" TargetMode="External"/><Relationship Id="rId1531" Type="http://schemas.openxmlformats.org/officeDocument/2006/relationships/hyperlink" Target="http://www.ms.ro/2020/07/25/buletin-informativ-25-07-2020/" TargetMode="External"/><Relationship Id="rId30" Type="http://schemas.openxmlformats.org/officeDocument/2006/relationships/hyperlink" Target="https://stirioficiale.ro/informatii/buletin-de-presa-2-aprilie-2020-ora-13-01" TargetMode="External"/><Relationship Id="rId3289" Type="http://schemas.openxmlformats.org/officeDocument/2006/relationships/hyperlink" Target="https://www.ebihoreanul.ro/stiri/coronavirus-in-bihor-inca-trei-decese-inregistrate-50-de-cazuri-noi-diagnosticate-nicio-persoana-vindecata-158239.html" TargetMode="External"/><Relationship Id="rId3496" Type="http://schemas.openxmlformats.org/officeDocument/2006/relationships/hyperlink" Target="http://www.ms.ro/2020/08/18/buletin-informativ-18-08-2020" TargetMode="External"/><Relationship Id="rId2098" Type="http://schemas.openxmlformats.org/officeDocument/2006/relationships/hyperlink" Target="http://www.ms.ro/2020/08/04/buletin-informativ-04-08-2020/" TargetMode="External"/><Relationship Id="rId3149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3356" Type="http://schemas.openxmlformats.org/officeDocument/2006/relationships/hyperlink" Target="http://www.ms.ro/2020/08/17/buletin-informativ-17-08-2020" TargetMode="External"/><Relationship Id="rId3563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277" Type="http://schemas.openxmlformats.org/officeDocument/2006/relationships/hyperlink" Target="http://www.ms.ro/2020/04/13/buletin-informativ-13-04-2020/" TargetMode="External"/><Relationship Id="rId484" Type="http://schemas.openxmlformats.org/officeDocument/2006/relationships/hyperlink" Target="http://www.ms.ro/2020/04/20/buletin-informativ-20-04-2020/" TargetMode="External"/><Relationship Id="rId2165" Type="http://schemas.openxmlformats.org/officeDocument/2006/relationships/hyperlink" Target="https://www.ebihoreanul.ro/stiri/record-dupa-record-in-bihor-intr-o-singura-zi-3-morti-si-59-noi-imbolnaviri-cu-covid-158047.html" TargetMode="External"/><Relationship Id="rId3009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3216" Type="http://schemas.openxmlformats.org/officeDocument/2006/relationships/hyperlink" Target="http://www.ms.ro/2020/08/15/33355/" TargetMode="External"/><Relationship Id="rId3770" Type="http://schemas.openxmlformats.org/officeDocument/2006/relationships/hyperlink" Target="http://www.ms.ro/2020/08/20/buletin-informativ-20-08-2020" TargetMode="External"/><Relationship Id="rId137" Type="http://schemas.openxmlformats.org/officeDocument/2006/relationships/hyperlink" Target="http://www.ms.ro/2020/04/13/buletin-informativ-13-04-2020/" TargetMode="External"/><Relationship Id="rId344" Type="http://schemas.openxmlformats.org/officeDocument/2006/relationships/hyperlink" Target="http://www.ms.ro/2020/04/14/buletin-informativ-14-04-2020/" TargetMode="External"/><Relationship Id="rId691" Type="http://schemas.openxmlformats.org/officeDocument/2006/relationships/hyperlink" Target="http://www.ms.ro/2020/04/25/buletin-informativ-25-04-2020/" TargetMode="External"/><Relationship Id="rId2025" Type="http://schemas.openxmlformats.org/officeDocument/2006/relationships/hyperlink" Target="https://www.ebihoreanul.ro/stiri/inca-50-de-cazuri-de-covid-19-in-bihor-in-urma-testelor-facute-duminica-157998.html" TargetMode="External"/><Relationship Id="rId2372" Type="http://schemas.openxmlformats.org/officeDocument/2006/relationships/hyperlink" Target="http://www.ms.ro/2020/08/07/buletin-informativ-07-08-2020/" TargetMode="External"/><Relationship Id="rId3423" Type="http://schemas.openxmlformats.org/officeDocument/2006/relationships/hyperlink" Target="https://www.ebihoreanul.ro/stiri/coronavirus-in-bihor-inca-doua-decese-si-45-de-cazuri-noi-vezi-din-ce-localitati-158277.html" TargetMode="External"/><Relationship Id="rId3630" Type="http://schemas.openxmlformats.org/officeDocument/2006/relationships/hyperlink" Target="http://www.ms.ro/2020/08/20/buletin-informativ-20-08-2020" TargetMode="External"/><Relationship Id="rId551" Type="http://schemas.openxmlformats.org/officeDocument/2006/relationships/hyperlink" Target="https://stirioficiale.ro/informatii/buletin-de-presa-21-aprilie-2020-ora-13-51" TargetMode="External"/><Relationship Id="rId1181" Type="http://schemas.openxmlformats.org/officeDocument/2006/relationships/hyperlink" Target="https://www.bihon.ro/stirile-judetului-bihor/rezultatul-testarii-la-plexus-21-de-angajati-pozitivi-covid-19-iata-ce-masuri-ia-compania-americana-2295625/" TargetMode="External"/><Relationship Id="rId2232" Type="http://schemas.openxmlformats.org/officeDocument/2006/relationships/hyperlink" Target="http://www.ms.ro/2020/08/06/buletin-informativ-06-08-2020/" TargetMode="External"/><Relationship Id="rId204" Type="http://schemas.openxmlformats.org/officeDocument/2006/relationships/hyperlink" Target="https://stirioficiale.ro/informatii/buletin-de-presa-13-aprilie-2020-ora-13-64" TargetMode="External"/><Relationship Id="rId411" Type="http://schemas.openxmlformats.org/officeDocument/2006/relationships/hyperlink" Target="http://www.ms.ro/2020/04/17/buletin-informativ-17-04-2020/" TargetMode="External"/><Relationship Id="rId1041" Type="http://schemas.openxmlformats.org/officeDocument/2006/relationships/hyperlink" Target="https://stirioficiale.ro/informatii/buletin-de-presa-20-mai-2020-ora-13-00" TargetMode="External"/><Relationship Id="rId1998" Type="http://schemas.openxmlformats.org/officeDocument/2006/relationships/hyperlink" Target="https://www.ebihoreanul.ro/stiri/inca-50-de-cazuri-de-covid-19-in-bihor-in-urma-testelor-facute-duminica-157998.html" TargetMode="External"/><Relationship Id="rId4197" Type="http://schemas.openxmlformats.org/officeDocument/2006/relationships/hyperlink" Target="https://www.ebihoreanul.ro/stiri/28-de-noi-imbolnaviri-cu-covid-19-in-bihor-inclusiv-in-randul-personalului-upu-smurd-158401.html" TargetMode="External"/><Relationship Id="rId1858" Type="http://schemas.openxmlformats.org/officeDocument/2006/relationships/hyperlink" Target="https://stirioficiale.ro/informatii/informare-de-presa-01-august-2020" TargetMode="External"/><Relationship Id="rId4057" Type="http://schemas.openxmlformats.org/officeDocument/2006/relationships/hyperlink" Target="https://www.ebihoreanul.ro/stiri/inca-trei-decese-ale-unor-pacienti-infectati-cu-covid-19-in-bihor-cazuri-noi-de-imbolnavire-dar-si-multe-vindecari-158365.html" TargetMode="External"/><Relationship Id="rId2909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3073" Type="http://schemas.openxmlformats.org/officeDocument/2006/relationships/hyperlink" Target="https://www.ebihoreanul.ro/stiri/inca-56-de-cazuri-de-coronavirus-in-bihor-158211.html" TargetMode="External"/><Relationship Id="rId3280" Type="http://schemas.openxmlformats.org/officeDocument/2006/relationships/hyperlink" Target="http://www.ms.ro/2020/08/16/buletin-informativ-16-08-2020" TargetMode="External"/><Relationship Id="rId4124" Type="http://schemas.openxmlformats.org/officeDocument/2006/relationships/hyperlink" Target="http://www.ms.ro/2020/08/25/buletin-informativ-25-08-2020" TargetMode="External"/><Relationship Id="rId1718" Type="http://schemas.openxmlformats.org/officeDocument/2006/relationships/hyperlink" Target="https://stirioficiale.ro/informatii/buletin-de-presa-30-iulie-2020-ora-13-00" TargetMode="External"/><Relationship Id="rId1925" Type="http://schemas.openxmlformats.org/officeDocument/2006/relationships/hyperlink" Target="http://www.ms.ro/2020/08/02/buletin-informativ-02-08-2020/" TargetMode="External"/><Relationship Id="rId3140" Type="http://schemas.openxmlformats.org/officeDocument/2006/relationships/hyperlink" Target="http://www.ms.ro/2020/08/15/33355/" TargetMode="External"/><Relationship Id="rId2699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3000" Type="http://schemas.openxmlformats.org/officeDocument/2006/relationships/hyperlink" Target="http://www.ms.ro/2020/08/13/buletin-informativ-13-08-2020" TargetMode="External"/><Relationship Id="rId3957" Type="http://schemas.openxmlformats.org/officeDocument/2006/relationships/hyperlink" Target="https://www.ebihoreanul.ro/stiri/niciun-deces-in-bihor-si-zeci-de-pacienti-covid-vindecati-dar-si-40-noi-imbolnaviri-inclusiv-angajati-ai-maternitatii-si-spitalului-militar-158339.html" TargetMode="External"/><Relationship Id="rId878" Type="http://schemas.openxmlformats.org/officeDocument/2006/relationships/hyperlink" Target="http://www.ms.ro/2020/04/30/buletin-informativ-30-04-2020/" TargetMode="External"/><Relationship Id="rId2559" Type="http://schemas.openxmlformats.org/officeDocument/2006/relationships/hyperlink" Target="https://stirioficiale.ro/informatii/buletin-de-presa-9-august-2020-ora-13-00" TargetMode="External"/><Relationship Id="rId2766" Type="http://schemas.openxmlformats.org/officeDocument/2006/relationships/hyperlink" Target="http://www.ms.ro/2020/08/11/buletin-informativ-11-08-2020" TargetMode="External"/><Relationship Id="rId2973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3817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738" Type="http://schemas.openxmlformats.org/officeDocument/2006/relationships/hyperlink" Target="https://stirioficiale.ro/informatii/buletin-de-presa-27-aprilie-2020-ora-13-00" TargetMode="External"/><Relationship Id="rId945" Type="http://schemas.openxmlformats.org/officeDocument/2006/relationships/hyperlink" Target="http://www.ms.ro/2020/05/05/buletin-informativ-05-05-2020/" TargetMode="External"/><Relationship Id="rId1368" Type="http://schemas.openxmlformats.org/officeDocument/2006/relationships/hyperlink" Target="https://stirioficiale.ro/informatii/buletin-de-presa-5-iulie-2020-ora-13-00" TargetMode="External"/><Relationship Id="rId1575" Type="http://schemas.openxmlformats.org/officeDocument/2006/relationships/hyperlink" Target="http://www.ms.ro/2020/07/27/buletin-informativ-27-07-2020/" TargetMode="External"/><Relationship Id="rId1782" Type="http://schemas.openxmlformats.org/officeDocument/2006/relationships/hyperlink" Target="https://stirioficiale.ro/informatii/buletin-de-presa-30-iulie-2020-ora-13-00" TargetMode="External"/><Relationship Id="rId2419" Type="http://schemas.openxmlformats.org/officeDocument/2006/relationships/hyperlink" Target="https://stirioficiale.ro/informatii/buletin-de-presa-8-august-2020-ora-13-00" TargetMode="External"/><Relationship Id="rId2626" Type="http://schemas.openxmlformats.org/officeDocument/2006/relationships/hyperlink" Target="http://www.ms.ro/2020/08/10/buletin-informativ-10-08-2020" TargetMode="External"/><Relationship Id="rId2833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74" Type="http://schemas.openxmlformats.org/officeDocument/2006/relationships/hyperlink" Target="http://www.ms.ro/2020/04/16/decese-373-387/" TargetMode="External"/><Relationship Id="rId805" Type="http://schemas.openxmlformats.org/officeDocument/2006/relationships/hyperlink" Target="http://www.ms.ro/2020/04/28/buletin-informativ-28-04-2020/" TargetMode="External"/><Relationship Id="rId1228" Type="http://schemas.openxmlformats.org/officeDocument/2006/relationships/hyperlink" Target="http://www.ms.ro/2020/06/02/buletin-informativ-02-06-2020/" TargetMode="External"/><Relationship Id="rId1435" Type="http://schemas.openxmlformats.org/officeDocument/2006/relationships/hyperlink" Target="http://www.ms.ro/2020/07/18/buletin-informativ-18-07-2020/" TargetMode="External"/><Relationship Id="rId1642" Type="http://schemas.openxmlformats.org/officeDocument/2006/relationships/hyperlink" Target="https://stirioficiale.ro/informatii/buletin-de-presa-28-iulie-2020-ora-13-00" TargetMode="External"/><Relationship Id="rId2900" Type="http://schemas.openxmlformats.org/officeDocument/2006/relationships/hyperlink" Target="http://www.ms.ro/2020/08/13/buletin-informativ-13-08-2020" TargetMode="External"/><Relationship Id="rId1502" Type="http://schemas.openxmlformats.org/officeDocument/2006/relationships/hyperlink" Target="https://stirioficiale.ro/informatii/buletin-de-presa-24-iulie-2020-ora-13-00" TargetMode="External"/><Relationship Id="rId388" Type="http://schemas.openxmlformats.org/officeDocument/2006/relationships/hyperlink" Target="http://www.ms.ro/2020/04/16/buletin-informativ-16-04-2020/" TargetMode="External"/><Relationship Id="rId2069" Type="http://schemas.openxmlformats.org/officeDocument/2006/relationships/hyperlink" Target="https://stirioficiale.ro/informatii/buletin-de-presa-3-august-2020-ora-13-00" TargetMode="External"/><Relationship Id="rId3467" Type="http://schemas.openxmlformats.org/officeDocument/2006/relationships/hyperlink" Target="https://www.ebihoreanul.ro/stiri/coronavirus-in-bihor-inca-doua-decese-si-45-de-cazuri-noi-vezi-din-ce-localitati-158277.html" TargetMode="External"/><Relationship Id="rId3674" Type="http://schemas.openxmlformats.org/officeDocument/2006/relationships/hyperlink" Target="http://www.ms.ro/2020/08/20/buletin-informativ-20-08-2020" TargetMode="External"/><Relationship Id="rId3881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595" Type="http://schemas.openxmlformats.org/officeDocument/2006/relationships/hyperlink" Target="http://www.ms.ro/2020/04/22/buletin-informativ-22-04-2020/" TargetMode="External"/><Relationship Id="rId2276" Type="http://schemas.openxmlformats.org/officeDocument/2006/relationships/hyperlink" Target="http://www.ms.ro/2020/08/06/buletin-informativ-06-08-2020/" TargetMode="External"/><Relationship Id="rId2483" Type="http://schemas.openxmlformats.org/officeDocument/2006/relationships/hyperlink" Target="https://stirioficiale.ro/informatii/buletin-de-presa-8-august-2020-ora-13-00" TargetMode="External"/><Relationship Id="rId2690" Type="http://schemas.openxmlformats.org/officeDocument/2006/relationships/hyperlink" Target="http://www.ms.ro/2020/08/11/buletin-informativ-11-08-2020" TargetMode="External"/><Relationship Id="rId3327" Type="http://schemas.openxmlformats.org/officeDocument/2006/relationships/hyperlink" Target="https://www.ebihoreanul.ro/stiri/coronavirus-in-bihor-inca-trei-decese-inregistrate-50-de-cazuri-noi-diagnosticate-nicio-persoana-vindecata-158239.html" TargetMode="External"/><Relationship Id="rId3534" Type="http://schemas.openxmlformats.org/officeDocument/2006/relationships/hyperlink" Target="http://www.ms.ro/2020/08/19/buletin-informativ-19-08-2020" TargetMode="External"/><Relationship Id="rId3741" Type="http://schemas.openxmlformats.org/officeDocument/2006/relationships/hyperlink" Target="https://www.ebihoreanul.ro/stiri/record-alarmant-in-bihor-inca-85-de-cazuri-noi-de-covid-si-inca-doua-decese-158311.html" TargetMode="External"/><Relationship Id="rId248" Type="http://schemas.openxmlformats.org/officeDocument/2006/relationships/hyperlink" Target="https://stirioficiale.ro/informatii/buletin-de-presa-13-aprilie-2020-ora-13-86" TargetMode="External"/><Relationship Id="rId455" Type="http://schemas.openxmlformats.org/officeDocument/2006/relationships/hyperlink" Target="https://stirioficiale.ro/informatii/buletin-de-presa-20-aprilie-2020-ora-13-00" TargetMode="External"/><Relationship Id="rId662" Type="http://schemas.openxmlformats.org/officeDocument/2006/relationships/hyperlink" Target="https://stirioficiale.ro/informatii/buletin-de-presa-23-aprilie-2020-ora-13-00" TargetMode="External"/><Relationship Id="rId1085" Type="http://schemas.openxmlformats.org/officeDocument/2006/relationships/hyperlink" Target="http://www.ms.ro/2020/05/23/buletin-informativ-23-05-2020/" TargetMode="External"/><Relationship Id="rId1292" Type="http://schemas.openxmlformats.org/officeDocument/2006/relationships/hyperlink" Target="https://stirioficiale.ro/informatii/buletin-de-presa-12-iunie-2020-ora-13-00" TargetMode="External"/><Relationship Id="rId2136" Type="http://schemas.openxmlformats.org/officeDocument/2006/relationships/hyperlink" Target="http://www.ms.ro/2020/08/05/buletin-informativ-05-08-2020/" TargetMode="External"/><Relationship Id="rId2343" Type="http://schemas.openxmlformats.org/officeDocument/2006/relationships/hyperlink" Target="https://www.ebihoreanul.ro/stiri/a-patra-zi-la-rand-cu-decese-covid-in-bihor-si-53-noi-imbolnaviri-in-ultimele-24-de-ore-158087.html" TargetMode="External"/><Relationship Id="rId2550" Type="http://schemas.openxmlformats.org/officeDocument/2006/relationships/hyperlink" Target="http://www.ms.ro/2020/08/09/buletin-informativ-09-08-2020" TargetMode="External"/><Relationship Id="rId3601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108" Type="http://schemas.openxmlformats.org/officeDocument/2006/relationships/hyperlink" Target="https://stirioficiale.ro/informatii/buletin-de-presa-11-aprilie-2020-ora-13-61" TargetMode="External"/><Relationship Id="rId315" Type="http://schemas.openxmlformats.org/officeDocument/2006/relationships/hyperlink" Target="http://www.ms.ro/2020/04/13/buletin-informativ-13-04-2020/" TargetMode="External"/><Relationship Id="rId522" Type="http://schemas.openxmlformats.org/officeDocument/2006/relationships/hyperlink" Target="http://www.ms.ro/2020/04/21/buletin-informativ-21-04-2020/" TargetMode="External"/><Relationship Id="rId1152" Type="http://schemas.openxmlformats.org/officeDocument/2006/relationships/hyperlink" Target="http://www.ms.ro/2020/05/29/buletin-informativ-29-05-2020/" TargetMode="External"/><Relationship Id="rId2203" Type="http://schemas.openxmlformats.org/officeDocument/2006/relationships/hyperlink" Target="https://www.ebihoreanul.ro/stiri/record-dupa-record-in-bihor-intr-o-singura-zi-3-morti-si-59-noi-imbolnaviri-cu-covid-158047.html" TargetMode="External"/><Relationship Id="rId2410" Type="http://schemas.openxmlformats.org/officeDocument/2006/relationships/hyperlink" Target="http://www.ms.ro/2020/08/08/buletin-informativ-08-08-2020" TargetMode="External"/><Relationship Id="rId1012" Type="http://schemas.openxmlformats.org/officeDocument/2006/relationships/hyperlink" Target="https://www.fanatik.ro/mai-multi-medici-reintorsi-din-republica-moldova-depistati-cu-noul-coronavirus-19201116" TargetMode="External"/><Relationship Id="rId4168" Type="http://schemas.openxmlformats.org/officeDocument/2006/relationships/hyperlink" Target="http://www.ms.ro/2020/08/25/buletin-informativ-25-08-2020" TargetMode="External"/><Relationship Id="rId1969" Type="http://schemas.openxmlformats.org/officeDocument/2006/relationships/hyperlink" Target="https://www.ebihoreanul.ro/stiri/inca-50-de-cazuri-de-covid-19-in-bihor-in-urma-testelor-facute-duminica-157998.html" TargetMode="External"/><Relationship Id="rId3184" Type="http://schemas.openxmlformats.org/officeDocument/2006/relationships/hyperlink" Target="http://www.ms.ro/2020/08/15/33355/" TargetMode="External"/><Relationship Id="rId4028" Type="http://schemas.openxmlformats.org/officeDocument/2006/relationships/hyperlink" Target="http://www.ms.ro/2020/08/23/buletin-informativ-23-08-2020" TargetMode="External"/><Relationship Id="rId4235" Type="http://schemas.openxmlformats.org/officeDocument/2006/relationships/hyperlink" Target="https://www.ebihoreanul.ro/stiri/28-de-noi-imbolnaviri-cu-covid-19-in-bihor-inclusiv-in-randul-personalului-upu-smurd-158401.html" TargetMode="External"/><Relationship Id="rId1829" Type="http://schemas.openxmlformats.org/officeDocument/2006/relationships/hyperlink" Target="http://www.ms.ro/2020/07/31/buletin-informativ-31-07-2020/" TargetMode="External"/><Relationship Id="rId3391" Type="http://schemas.openxmlformats.org/officeDocument/2006/relationships/hyperlink" Target="https://www.ebihoreanul.ro/stiri/dupa-doua-saptamani-numarul-imbolnavirilor-covid-scade-in-bihor-31-noi-infectari-dar-si-un-deces-158256.html" TargetMode="External"/><Relationship Id="rId3044" Type="http://schemas.openxmlformats.org/officeDocument/2006/relationships/hyperlink" Target="http://www.ms.ro/2020/08/14/buletin-informativ-14-08-2020" TargetMode="External"/><Relationship Id="rId3251" Type="http://schemas.openxmlformats.org/officeDocument/2006/relationships/hyperlink" Target="https://www.ebihoreanul.ro/stiri/coronavirus-in-bihor-inca-trei-decese-inregistrate-50-de-cazuri-noi-diagnosticate-nicio-persoana-vindecata-158239.html" TargetMode="External"/><Relationship Id="rId172" Type="http://schemas.openxmlformats.org/officeDocument/2006/relationships/hyperlink" Target="https://stirioficiale.ro/informatii/buletin-de-presa-13-aprilie-2020-ora-13-48" TargetMode="External"/><Relationship Id="rId2060" Type="http://schemas.openxmlformats.org/officeDocument/2006/relationships/hyperlink" Target="http://www.ms.ro/2020/08/03/buletin-informativ-03-08-2020/" TargetMode="External"/><Relationship Id="rId3111" Type="http://schemas.openxmlformats.org/officeDocument/2006/relationships/hyperlink" Target="https://www.ebihoreanul.ro/stiri/inca-56-de-cazuri-de-coronavirus-in-bihor-158211.html" TargetMode="External"/><Relationship Id="rId989" Type="http://schemas.openxmlformats.org/officeDocument/2006/relationships/hyperlink" Target="http://www.ms.ro/2020/05/15/buletin-informativ-15-05-2020/" TargetMode="External"/><Relationship Id="rId2877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849" Type="http://schemas.openxmlformats.org/officeDocument/2006/relationships/hyperlink" Target="http://www.ms.ro/2020/04/29/buletin-informativ-29-04-2020/" TargetMode="External"/><Relationship Id="rId1479" Type="http://schemas.openxmlformats.org/officeDocument/2006/relationships/hyperlink" Target="http://www.ms.ro/2020/07/23/buletin-informativ-23-07-2020/" TargetMode="External"/><Relationship Id="rId1686" Type="http://schemas.openxmlformats.org/officeDocument/2006/relationships/hyperlink" Target="https://stirioficiale.ro/informatii/buletin-de-presa-29-iulie-2020-ora-13-00" TargetMode="External"/><Relationship Id="rId3928" Type="http://schemas.openxmlformats.org/officeDocument/2006/relationships/hyperlink" Target="http://www.ms.ro/2020/08/22/buletin-informativ-22-08-2020" TargetMode="External"/><Relationship Id="rId4092" Type="http://schemas.openxmlformats.org/officeDocument/2006/relationships/hyperlink" Target="http://www.ms.ro/2020/08/24/buletin-informativ-24-08-2020" TargetMode="External"/><Relationship Id="rId1339" Type="http://schemas.openxmlformats.org/officeDocument/2006/relationships/hyperlink" Target="http://www.ms.ro/2020/07/02/buletin-informativ-02-07-2020/" TargetMode="External"/><Relationship Id="rId1893" Type="http://schemas.openxmlformats.org/officeDocument/2006/relationships/hyperlink" Target="http://www.ms.ro/2020/08/01/buletin-informativ-01-08-2020/" TargetMode="External"/><Relationship Id="rId2737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2944" Type="http://schemas.openxmlformats.org/officeDocument/2006/relationships/hyperlink" Target="http://www.ms.ro/2020/08/13/buletin-informativ-13-08-2020" TargetMode="External"/><Relationship Id="rId709" Type="http://schemas.openxmlformats.org/officeDocument/2006/relationships/hyperlink" Target="http://www.ms.ro/2020/04/26/buletin-informativ-26-04-2020/" TargetMode="External"/><Relationship Id="rId916" Type="http://schemas.openxmlformats.org/officeDocument/2006/relationships/hyperlink" Target="http://www.ms.ro/2020/05/01/buletin-informativ-01-05-2020/" TargetMode="External"/><Relationship Id="rId1546" Type="http://schemas.openxmlformats.org/officeDocument/2006/relationships/hyperlink" Target="https://stirioficiale.ro/informatii/buletin-de-presa-25-iulie-2020-ora-13-00" TargetMode="External"/><Relationship Id="rId1753" Type="http://schemas.openxmlformats.org/officeDocument/2006/relationships/hyperlink" Target="http://www.ms.ro/2020/07/30/buletin-informativ-30-07-2020/" TargetMode="External"/><Relationship Id="rId1960" Type="http://schemas.openxmlformats.org/officeDocument/2006/relationships/hyperlink" Target="https://stirioficiale.ro/informatii/buletin-de-presa-2-august-2020-ora-13-00" TargetMode="External"/><Relationship Id="rId2804" Type="http://schemas.openxmlformats.org/officeDocument/2006/relationships/hyperlink" Target="http://www.ms.ro/2020/08/12/buletin-informativ-12-08-2020" TargetMode="External"/><Relationship Id="rId45" Type="http://schemas.openxmlformats.org/officeDocument/2006/relationships/hyperlink" Target="http://www.ms.ro/2020/04/03/buletin-informativ-03-04-2020/" TargetMode="External"/><Relationship Id="rId1406" Type="http://schemas.openxmlformats.org/officeDocument/2006/relationships/hyperlink" Target="https://www.ebihoreanul.ro/stiri/doua-noi-cazuri-covid-in-bihor-descoperite-la-persoane-internate-in-spitalul-municipal-din-oradea-157581.html" TargetMode="External"/><Relationship Id="rId1613" Type="http://schemas.openxmlformats.org/officeDocument/2006/relationships/hyperlink" Target="http://www.ms.ro/2020/07/27/buletin-informativ-27-07-2020/" TargetMode="External"/><Relationship Id="rId1820" Type="http://schemas.openxmlformats.org/officeDocument/2006/relationships/hyperlink" Target="https://stirioficiale.ro/informatii/buletin-de-presa-31-iulie-2020-ora-13-00" TargetMode="External"/><Relationship Id="rId3578" Type="http://schemas.openxmlformats.org/officeDocument/2006/relationships/hyperlink" Target="http://www.ms.ro/2020/08/19/buletin-informativ-19-08-2020" TargetMode="External"/><Relationship Id="rId3785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3992" Type="http://schemas.openxmlformats.org/officeDocument/2006/relationships/hyperlink" Target="http://www.ms.ro/2020/08/22/buletin-informativ-22-08-2020" TargetMode="External"/><Relationship Id="rId499" Type="http://schemas.openxmlformats.org/officeDocument/2006/relationships/hyperlink" Target="https://stirioficiale.ro/informatii/buletin-de-presa-21-aprilie-2020-ora-13-25" TargetMode="External"/><Relationship Id="rId2387" Type="http://schemas.openxmlformats.org/officeDocument/2006/relationships/hyperlink" Target="https://www.ebihoreanul.ro/stiri/a-patra-zi-la-rand-cu-decese-covid-in-bihor-si-53-noi-imbolnaviri-in-ultimele-24-de-ore-158087.html" TargetMode="External"/><Relationship Id="rId2594" Type="http://schemas.openxmlformats.org/officeDocument/2006/relationships/hyperlink" Target="http://www.ms.ro/2020/08/09/buletin-informativ-09-08-2020" TargetMode="External"/><Relationship Id="rId3438" Type="http://schemas.openxmlformats.org/officeDocument/2006/relationships/hyperlink" Target="http://www.ms.ro/2020/08/18/buletin-informativ-18-08-2020" TargetMode="External"/><Relationship Id="rId3645" Type="http://schemas.openxmlformats.org/officeDocument/2006/relationships/hyperlink" Target="https://www.ebihoreanul.ro/stiri/record-alarmant-in-bihor-inca-85-de-cazuri-noi-de-covid-si-inca-doua-decese-158311.html" TargetMode="External"/><Relationship Id="rId3852" Type="http://schemas.openxmlformats.org/officeDocument/2006/relationships/hyperlink" Target="http://www.ms.ro/2020/08/21/buletin-informativ-21-08-2020" TargetMode="External"/><Relationship Id="rId359" Type="http://schemas.openxmlformats.org/officeDocument/2006/relationships/hyperlink" Target="https://stirioficiale.ro/informatii/buletin-de-presa-15-aprilie-2020-ora-13-60" TargetMode="External"/><Relationship Id="rId566" Type="http://schemas.openxmlformats.org/officeDocument/2006/relationships/hyperlink" Target="https://stirioficiale.ro/informatii/buletin-de-presa-22-aprilie-2020-ora-13-37" TargetMode="External"/><Relationship Id="rId773" Type="http://schemas.openxmlformats.org/officeDocument/2006/relationships/hyperlink" Target="http://www.ms.ro/2020/04/27/buletin-informativ-27-04-2020/" TargetMode="External"/><Relationship Id="rId1196" Type="http://schemas.openxmlformats.org/officeDocument/2006/relationships/hyperlink" Target="http://www.ms.ro/2020/05/31/buletin-informativ-31-05-2020/" TargetMode="External"/><Relationship Id="rId2247" Type="http://schemas.openxmlformats.org/officeDocument/2006/relationships/hyperlink" Target="https://www.ebihoreanul.ro/stiri/a-treia-zi-consecutiva-cu-decese-covid-in-bihor-si-inca-35-noi-imbolnaviri-raportate-oficial-pentru-ultimele-24-de-ore-158069.html" TargetMode="External"/><Relationship Id="rId2454" Type="http://schemas.openxmlformats.org/officeDocument/2006/relationships/hyperlink" Target="http://www.ms.ro/2020/08/08/buletin-informativ-08-08-2020" TargetMode="External"/><Relationship Id="rId3505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219" Type="http://schemas.openxmlformats.org/officeDocument/2006/relationships/hyperlink" Target="http://www.ms.ro/2020/04/13/buletin-informativ-13-04-2020/" TargetMode="External"/><Relationship Id="rId426" Type="http://schemas.openxmlformats.org/officeDocument/2006/relationships/hyperlink" Target="http://www.ms.ro/2020/04/18/buletin-informativ-18-04-2020/" TargetMode="External"/><Relationship Id="rId633" Type="http://schemas.openxmlformats.org/officeDocument/2006/relationships/hyperlink" Target="http://www.ms.ro/2020/04/22/buletin-informativ-22-04-2020/" TargetMode="External"/><Relationship Id="rId980" Type="http://schemas.openxmlformats.org/officeDocument/2006/relationships/hyperlink" Target="https://www.bihon.ro/stirile-judetului-bihor/angajati-confirmati-cu-coronavirus-in-parcul-industrial-de-pe-borsului-2284463/" TargetMode="External"/><Relationship Id="rId1056" Type="http://schemas.openxmlformats.org/officeDocument/2006/relationships/hyperlink" Target="https://stirioficiale.ro/informatii/buletin-de-presa-22-mai-2020-ora-13-00" TargetMode="External"/><Relationship Id="rId1263" Type="http://schemas.openxmlformats.org/officeDocument/2006/relationships/hyperlink" Target="http://www.ms.ro/2020/06/05/buletin-informativ-05-06-2020/" TargetMode="External"/><Relationship Id="rId2107" Type="http://schemas.openxmlformats.org/officeDocument/2006/relationships/hyperlink" Target="https://www.ebihoreanul.ro/stiri/record-dupa-record-in-bihor-intr-o-singura-zi-3-morti-si-59-noi-imbolnaviri-cu-covid-158047.html" TargetMode="External"/><Relationship Id="rId2314" Type="http://schemas.openxmlformats.org/officeDocument/2006/relationships/hyperlink" Target="http://www.ms.ro/2020/08/07/buletin-informativ-07-08-2020/" TargetMode="External"/><Relationship Id="rId2661" Type="http://schemas.openxmlformats.org/officeDocument/2006/relationships/hyperlink" Target="https://www.ebihoreanul.ro/stiri/nc-un-deces-i-37-de-noi-mbolnviri-de-covid-19-n-bihor-o-parte-a-spitalului-din-beiu-va-trata-bolnavi-cu-covid-din-cauza-cazurilor-multe-din-zon-158138.html" TargetMode="External"/><Relationship Id="rId3712" Type="http://schemas.openxmlformats.org/officeDocument/2006/relationships/hyperlink" Target="http://www.ms.ro/2020/08/20/buletin-informativ-20-08-2020" TargetMode="External"/><Relationship Id="rId840" Type="http://schemas.openxmlformats.org/officeDocument/2006/relationships/hyperlink" Target="https://stirioficiale.ro/informatii/buletin-de-presa-28-aprilie-2020-ora-13-00" TargetMode="External"/><Relationship Id="rId1470" Type="http://schemas.openxmlformats.org/officeDocument/2006/relationships/hyperlink" Target="https://www.alesdonline.ro/local/alesd/todoca-ioan-aveam-un-nou-caz-de-coronavirus-in-alesd/" TargetMode="External"/><Relationship Id="rId2521" Type="http://schemas.openxmlformats.org/officeDocument/2006/relationships/hyperlink" Target="https://stirioficiale.ro/informatii/buletin-de-presa-9-august-2020-ora-13-00" TargetMode="External"/><Relationship Id="rId700" Type="http://schemas.openxmlformats.org/officeDocument/2006/relationships/hyperlink" Target="https://stirioficiale.ro/informatii/buletin-de-presa-26-aprilie-2020-ora-13-00" TargetMode="External"/><Relationship Id="rId1123" Type="http://schemas.openxmlformats.org/officeDocument/2006/relationships/hyperlink" Target="https://stirioficiale.ro/informatii/buletin-de-presa-28-mai-2020-ora-13-00" TargetMode="External"/><Relationship Id="rId1330" Type="http://schemas.openxmlformats.org/officeDocument/2006/relationships/hyperlink" Target="https://stirioficiale.ro/informatii/buletin-de-presa-27-iunie-2020-ora-13-00" TargetMode="External"/><Relationship Id="rId3088" Type="http://schemas.openxmlformats.org/officeDocument/2006/relationships/hyperlink" Target="http://www.ms.ro/2020/08/14/buletin-informativ-14-08-2020" TargetMode="External"/><Relationship Id="rId3295" Type="http://schemas.openxmlformats.org/officeDocument/2006/relationships/hyperlink" Target="https://www.ebihoreanul.ro/stiri/coronavirus-in-bihor-inca-trei-decese-inregistrate-50-de-cazuri-noi-diagnosticate-nicio-persoana-vindecata-158239.html" TargetMode="External"/><Relationship Id="rId4139" Type="http://schemas.openxmlformats.org/officeDocument/2006/relationships/hyperlink" Target="https://www.ebihoreanul.ro/stiri/record-de-decese-covid-in-romania-58-intr-o-singura-zi-in-bihor-au-murit-3-oameni-iar-alti-37-au-fost-diagnosticati-aproape-100-de-pacienti-vindecati-158383.html" TargetMode="External"/><Relationship Id="rId3155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3362" Type="http://schemas.openxmlformats.org/officeDocument/2006/relationships/hyperlink" Target="http://www.ms.ro/2020/08/17/buletin-informativ-17-08-2020" TargetMode="External"/><Relationship Id="rId4206" Type="http://schemas.openxmlformats.org/officeDocument/2006/relationships/hyperlink" Target="http://www.ms.ro/2020/08/26/buletin-informativ-26-08-2020" TargetMode="External"/><Relationship Id="rId283" Type="http://schemas.openxmlformats.org/officeDocument/2006/relationships/hyperlink" Target="http://www.ms.ro/2020/04/13/buletin-informativ-13-04-2020/" TargetMode="External"/><Relationship Id="rId490" Type="http://schemas.openxmlformats.org/officeDocument/2006/relationships/hyperlink" Target="http://www.ms.ro/2020/04/21/buletin-informativ-21-04-2020/" TargetMode="External"/><Relationship Id="rId2171" Type="http://schemas.openxmlformats.org/officeDocument/2006/relationships/hyperlink" Target="https://www.ebihoreanul.ro/stiri/record-dupa-record-in-bihor-intr-o-singura-zi-3-morti-si-59-noi-imbolnaviri-cu-covid-158047.html" TargetMode="External"/><Relationship Id="rId3015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3222" Type="http://schemas.openxmlformats.org/officeDocument/2006/relationships/hyperlink" Target="http://www.ms.ro/2020/08/15/33355/" TargetMode="External"/><Relationship Id="rId143" Type="http://schemas.openxmlformats.org/officeDocument/2006/relationships/hyperlink" Target="http://www.ms.ro/2020/04/13/buletin-informativ-13-04-2020/" TargetMode="External"/><Relationship Id="rId350" Type="http://schemas.openxmlformats.org/officeDocument/2006/relationships/hyperlink" Target="http://www.ms.ro/2020/04/15/buletin-informativ-15-04-2020/" TargetMode="External"/><Relationship Id="rId2031" Type="http://schemas.openxmlformats.org/officeDocument/2006/relationships/hyperlink" Target="https://www.ebihoreanul.ro/stiri/inca-50-de-cazuri-de-covid-19-in-bihor-in-urma-testelor-facute-duminica-157998.html" TargetMode="External"/><Relationship Id="rId9" Type="http://schemas.openxmlformats.org/officeDocument/2006/relationships/hyperlink" Target="http://www.ms.ro/2020/03/20/buletin-informativ-20-03-2020/" TargetMode="External"/><Relationship Id="rId210" Type="http://schemas.openxmlformats.org/officeDocument/2006/relationships/hyperlink" Target="https://stirioficiale.ro/informatii/buletin-de-presa-13-aprilie-2020-ora-13-67" TargetMode="External"/><Relationship Id="rId2988" Type="http://schemas.openxmlformats.org/officeDocument/2006/relationships/hyperlink" Target="http://www.ms.ro/2020/08/13/buletin-informativ-13-08-2020" TargetMode="External"/><Relationship Id="rId1797" Type="http://schemas.openxmlformats.org/officeDocument/2006/relationships/hyperlink" Target="http://www.ms.ro/2020/07/31/buletin-informativ-31-07-2020/" TargetMode="External"/><Relationship Id="rId2848" Type="http://schemas.openxmlformats.org/officeDocument/2006/relationships/hyperlink" Target="http://www.ms.ro/2020/08/12/buletin-informativ-12-08-2020" TargetMode="External"/><Relationship Id="rId89" Type="http://schemas.openxmlformats.org/officeDocument/2006/relationships/hyperlink" Target="http://www.ms.ro/2020/04/09/buletin-informativ-09-04-2020/" TargetMode="External"/><Relationship Id="rId1657" Type="http://schemas.openxmlformats.org/officeDocument/2006/relationships/hyperlink" Target="http://www.ms.ro/2020/07/29/buletin-informativ-29-07-2020/" TargetMode="External"/><Relationship Id="rId1864" Type="http://schemas.openxmlformats.org/officeDocument/2006/relationships/hyperlink" Target="https://stirioficiale.ro/informatii/informare-de-presa-01-august-2020" TargetMode="External"/><Relationship Id="rId2708" Type="http://schemas.openxmlformats.org/officeDocument/2006/relationships/hyperlink" Target="http://www.ms.ro/2020/08/11/buletin-informativ-11-08-2020" TargetMode="External"/><Relationship Id="rId2915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4063" Type="http://schemas.openxmlformats.org/officeDocument/2006/relationships/hyperlink" Target="https://www.ebihoreanul.ro/stiri/inca-trei-decese-ale-unor-pacienti-infectati-cu-covid-19-in-bihor-cazuri-noi-de-imbolnavire-dar-si-multe-vindecari-158365.html" TargetMode="External"/><Relationship Id="rId1517" Type="http://schemas.openxmlformats.org/officeDocument/2006/relationships/hyperlink" Target="http://www.ms.ro/2020/07/24/buletin-informativ-24-07-2020/" TargetMode="External"/><Relationship Id="rId1724" Type="http://schemas.openxmlformats.org/officeDocument/2006/relationships/hyperlink" Target="https://stirioficiale.ro/informatii/buletin-de-presa-30-iulie-2020-ora-13-00" TargetMode="External"/><Relationship Id="rId4130" Type="http://schemas.openxmlformats.org/officeDocument/2006/relationships/hyperlink" Target="http://www.ms.ro/2020/08/25/buletin-informativ-25-08-2020" TargetMode="External"/><Relationship Id="rId16" Type="http://schemas.openxmlformats.org/officeDocument/2006/relationships/hyperlink" Target="https://www.hotnews.ro/stiri-coronavirus-23759368-coronavirus-romania-28-martie.htm" TargetMode="External"/><Relationship Id="rId1931" Type="http://schemas.openxmlformats.org/officeDocument/2006/relationships/hyperlink" Target="http://www.ms.ro/2020/08/02/buletin-informativ-02-08-2020/" TargetMode="External"/><Relationship Id="rId3689" Type="http://schemas.openxmlformats.org/officeDocument/2006/relationships/hyperlink" Target="https://www.ebihoreanul.ro/stiri/record-alarmant-in-bihor-inca-85-de-cazuri-noi-de-covid-si-inca-doua-decese-158311.html" TargetMode="External"/><Relationship Id="rId3896" Type="http://schemas.openxmlformats.org/officeDocument/2006/relationships/hyperlink" Target="http://www.ms.ro/2020/08/21/buletin-informativ-21-08-2020" TargetMode="External"/><Relationship Id="rId2498" Type="http://schemas.openxmlformats.org/officeDocument/2006/relationships/hyperlink" Target="http://www.ms.ro/2020/08/09/buletin-informativ-09-08-2020" TargetMode="External"/><Relationship Id="rId3549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677" Type="http://schemas.openxmlformats.org/officeDocument/2006/relationships/hyperlink" Target="http://www.ms.ro/2020/04/24/buletin-informativ-24-04-2020/" TargetMode="External"/><Relationship Id="rId2358" Type="http://schemas.openxmlformats.org/officeDocument/2006/relationships/hyperlink" Target="http://www.ms.ro/2020/08/07/buletin-informativ-07-08-2020/" TargetMode="External"/><Relationship Id="rId3756" Type="http://schemas.openxmlformats.org/officeDocument/2006/relationships/hyperlink" Target="http://www.ms.ro/2020/08/20/buletin-informativ-20-08-2020" TargetMode="External"/><Relationship Id="rId3963" Type="http://schemas.openxmlformats.org/officeDocument/2006/relationships/hyperlink" Target="https://www.ebihoreanul.ro/stiri/niciun-deces-in-bihor-si-zeci-de-pacienti-covid-vindecati-dar-si-40-noi-imbolnaviri-inclusiv-angajati-ai-maternitatii-si-spitalului-militar-158339.html" TargetMode="External"/><Relationship Id="rId884" Type="http://schemas.openxmlformats.org/officeDocument/2006/relationships/hyperlink" Target="http://www.ms.ro/2020/05/01/buletin-informativ-01-05-2020/" TargetMode="External"/><Relationship Id="rId2565" Type="http://schemas.openxmlformats.org/officeDocument/2006/relationships/hyperlink" Target="https://stirioficiale.ro/informatii/buletin-de-presa-9-august-2020-ora-13-00" TargetMode="External"/><Relationship Id="rId2772" Type="http://schemas.openxmlformats.org/officeDocument/2006/relationships/hyperlink" Target="http://www.ms.ro/2020/08/11/buletin-informativ-11-08-2020" TargetMode="External"/><Relationship Id="rId3409" Type="http://schemas.openxmlformats.org/officeDocument/2006/relationships/hyperlink" Target="https://www.ebihoreanul.ro/stiri/dupa-doua-saptamani-numarul-imbolnavirilor-covid-scade-in-bihor-31-noi-infectari-dar-si-un-deces-158256.html" TargetMode="External"/><Relationship Id="rId3616" Type="http://schemas.openxmlformats.org/officeDocument/2006/relationships/hyperlink" Target="http://www.ms.ro/2020/08/20/buletin-informativ-20-08-2020" TargetMode="External"/><Relationship Id="rId3823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537" Type="http://schemas.openxmlformats.org/officeDocument/2006/relationships/hyperlink" Target="https://stirioficiale.ro/informatii/buletin-de-presa-21-aprilie-2020-ora-13-44" TargetMode="External"/><Relationship Id="rId744" Type="http://schemas.openxmlformats.org/officeDocument/2006/relationships/hyperlink" Target="https://stirioficiale.ro/informatii/buletin-de-presa-27-aprilie-2020-ora-13-00" TargetMode="External"/><Relationship Id="rId951" Type="http://schemas.openxmlformats.org/officeDocument/2006/relationships/hyperlink" Target="http://www.ms.ro/2020/05/06/buletin-informativ-06-05-2020/" TargetMode="External"/><Relationship Id="rId1167" Type="http://schemas.openxmlformats.org/officeDocument/2006/relationships/hyperlink" Target="https://www.bihon.ro/stirile-judetului-bihor/rezultatul-testarii-la-plexus-21-de-angajati-pozitivi-covid-19-iata-ce-masuri-ia-compania-americana-2295625/" TargetMode="External"/><Relationship Id="rId1374" Type="http://schemas.openxmlformats.org/officeDocument/2006/relationships/hyperlink" Target="https://stirioficiale.ro/informatii/buletin-de-presa-5-iulie-2020-ora-13-00" TargetMode="External"/><Relationship Id="rId1581" Type="http://schemas.openxmlformats.org/officeDocument/2006/relationships/hyperlink" Target="http://www.ms.ro/2020/07/27/buletin-informativ-27-07-2020/" TargetMode="External"/><Relationship Id="rId2218" Type="http://schemas.openxmlformats.org/officeDocument/2006/relationships/hyperlink" Target="http://www.ms.ro/2020/08/05/buletin-informativ-05-08-2020/" TargetMode="External"/><Relationship Id="rId2425" Type="http://schemas.openxmlformats.org/officeDocument/2006/relationships/hyperlink" Target="https://stirioficiale.ro/informatii/buletin-de-presa-8-august-2020-ora-13-00" TargetMode="External"/><Relationship Id="rId2632" Type="http://schemas.openxmlformats.org/officeDocument/2006/relationships/hyperlink" Target="http://www.ms.ro/2020/08/10/buletin-informativ-10-08-2020" TargetMode="External"/><Relationship Id="rId80" Type="http://schemas.openxmlformats.org/officeDocument/2006/relationships/hyperlink" Target="https://stirioficiale.ro/informatii/buletin-de-presa-9-aprilie-2020-ora-13-00" TargetMode="External"/><Relationship Id="rId604" Type="http://schemas.openxmlformats.org/officeDocument/2006/relationships/hyperlink" Target="https://stirioficiale.ro/informatii/buletin-de-presa-22-aprilie-2020-ora-13-56" TargetMode="External"/><Relationship Id="rId811" Type="http://schemas.openxmlformats.org/officeDocument/2006/relationships/hyperlink" Target="http://www.ms.ro/2020/04/28/buletin-informativ-28-04-2020/" TargetMode="External"/><Relationship Id="rId1027" Type="http://schemas.openxmlformats.org/officeDocument/2006/relationships/hyperlink" Target="https://stirioficiale.ro/informatii/buletin-de-presa-19-mai-2020-ora-13-00" TargetMode="External"/><Relationship Id="rId1234" Type="http://schemas.openxmlformats.org/officeDocument/2006/relationships/hyperlink" Target="http://www.ms.ro/2020/06/02/buletin-informativ-02-06-2020/" TargetMode="External"/><Relationship Id="rId1441" Type="http://schemas.openxmlformats.org/officeDocument/2006/relationships/hyperlink" Target="http://www.ms.ro/2020/07/21/buletin-informativ-21-07-2020/" TargetMode="External"/><Relationship Id="rId1301" Type="http://schemas.openxmlformats.org/officeDocument/2006/relationships/hyperlink" Target="http://www.ms.ro/2020/06/14/buletin-informativ-14-06-2020/" TargetMode="External"/><Relationship Id="rId3199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3059" Type="http://schemas.openxmlformats.org/officeDocument/2006/relationships/hyperlink" Target="https://www.ebihoreanul.ro/stiri/inca-56-de-cazuri-de-coronavirus-in-bihor-158211.html" TargetMode="External"/><Relationship Id="rId3266" Type="http://schemas.openxmlformats.org/officeDocument/2006/relationships/hyperlink" Target="http://www.ms.ro/2020/08/16/buletin-informativ-16-08-2020" TargetMode="External"/><Relationship Id="rId3473" Type="http://schemas.openxmlformats.org/officeDocument/2006/relationships/hyperlink" Target="https://www.ebihoreanul.ro/stiri/coronavirus-in-bihor-inca-doua-decese-si-45-de-cazuri-noi-vezi-din-ce-localitati-158277.html" TargetMode="External"/><Relationship Id="rId187" Type="http://schemas.openxmlformats.org/officeDocument/2006/relationships/hyperlink" Target="http://www.ms.ro/2020/04/13/buletin-informativ-13-04-2020/" TargetMode="External"/><Relationship Id="rId394" Type="http://schemas.openxmlformats.org/officeDocument/2006/relationships/hyperlink" Target="http://www.ms.ro/2020/04/16/buletin-informativ-16-04-2020/" TargetMode="External"/><Relationship Id="rId2075" Type="http://schemas.openxmlformats.org/officeDocument/2006/relationships/hyperlink" Target="https://stirioficiale.ro/informatii/buletin-de-presa-3-august-2020-ora-13-00" TargetMode="External"/><Relationship Id="rId2282" Type="http://schemas.openxmlformats.org/officeDocument/2006/relationships/hyperlink" Target="http://www.ms.ro/2020/08/06/buletin-informativ-06-08-2020/" TargetMode="External"/><Relationship Id="rId3126" Type="http://schemas.openxmlformats.org/officeDocument/2006/relationships/hyperlink" Target="http://www.ms.ro/2020/08/14/buletin-informativ-14-08-2020" TargetMode="External"/><Relationship Id="rId3680" Type="http://schemas.openxmlformats.org/officeDocument/2006/relationships/hyperlink" Target="http://www.ms.ro/2020/08/20/buletin-informativ-20-08-2020" TargetMode="External"/><Relationship Id="rId254" Type="http://schemas.openxmlformats.org/officeDocument/2006/relationships/hyperlink" Target="https://stirioficiale.ro/informatii/buletin-de-presa-13-aprilie-2020-ora-13-89" TargetMode="External"/><Relationship Id="rId1091" Type="http://schemas.openxmlformats.org/officeDocument/2006/relationships/hyperlink" Target="http://www.ms.ro/2020/05/25/buletin-informativ-25-05-2020/" TargetMode="External"/><Relationship Id="rId3333" Type="http://schemas.openxmlformats.org/officeDocument/2006/relationships/hyperlink" Target="https://www.ebihoreanul.ro/stiri/coronavirus-in-bihor-inca-trei-decese-inregistrate-50-de-cazuri-noi-diagnosticate-nicio-persoana-vindecata-158239.html" TargetMode="External"/><Relationship Id="rId3540" Type="http://schemas.openxmlformats.org/officeDocument/2006/relationships/hyperlink" Target="http://www.ms.ro/2020/08/19/buletin-informativ-19-08-2020" TargetMode="External"/><Relationship Id="rId114" Type="http://schemas.openxmlformats.org/officeDocument/2006/relationships/hyperlink" Target="https://stirioficiale.ro/informatii/buletin-de-presa-11-aprilie-2020-ora-13-64" TargetMode="External"/><Relationship Id="rId461" Type="http://schemas.openxmlformats.org/officeDocument/2006/relationships/hyperlink" Target="https://stirioficiale.ro/informatii/buletin-de-presa-20-aprilie-2020-ora-13-00" TargetMode="External"/><Relationship Id="rId2142" Type="http://schemas.openxmlformats.org/officeDocument/2006/relationships/hyperlink" Target="http://www.ms.ro/2020/08/05/buletin-informativ-05-08-2020/" TargetMode="External"/><Relationship Id="rId3400" Type="http://schemas.openxmlformats.org/officeDocument/2006/relationships/hyperlink" Target="http://www.ms.ro/2020/08/17/buletin-informativ-17-08-2020" TargetMode="External"/><Relationship Id="rId321" Type="http://schemas.openxmlformats.org/officeDocument/2006/relationships/hyperlink" Target="https://stirioficiale.ro/informatii/buletin-de-presa-14-aprilie-2020-ora-13-22" TargetMode="External"/><Relationship Id="rId2002" Type="http://schemas.openxmlformats.org/officeDocument/2006/relationships/hyperlink" Target="https://www.ebihoreanul.ro/stiri/inca-50-de-cazuri-de-covid-19-in-bihor-in-urma-testelor-facute-duminica-157998.html" TargetMode="External"/><Relationship Id="rId2959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1768" Type="http://schemas.openxmlformats.org/officeDocument/2006/relationships/hyperlink" Target="https://stirioficiale.ro/informatii/buletin-de-presa-30-iulie-2020-ora-13-00" TargetMode="External"/><Relationship Id="rId2819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4174" Type="http://schemas.openxmlformats.org/officeDocument/2006/relationships/hyperlink" Target="http://www.ms.ro/2020/08/25/buletin-informativ-25-08-2020" TargetMode="External"/><Relationship Id="rId1628" Type="http://schemas.openxmlformats.org/officeDocument/2006/relationships/hyperlink" Target="https://stirioficiale.ro/informatii/buletin-de-presa-28-iulie-2020-ora-13-00" TargetMode="External"/><Relationship Id="rId1975" Type="http://schemas.openxmlformats.org/officeDocument/2006/relationships/hyperlink" Target="https://www.ebihoreanul.ro/stiri/inca-50-de-cazuri-de-covid-19-in-bihor-in-urma-testelor-facute-duminica-157998.html" TargetMode="External"/><Relationship Id="rId3190" Type="http://schemas.openxmlformats.org/officeDocument/2006/relationships/hyperlink" Target="http://www.ms.ro/2020/08/15/33355/" TargetMode="External"/><Relationship Id="rId4034" Type="http://schemas.openxmlformats.org/officeDocument/2006/relationships/hyperlink" Target="http://www.ms.ro/2020/08/23/buletin-informativ-23-08-2020" TargetMode="External"/><Relationship Id="rId1835" Type="http://schemas.openxmlformats.org/officeDocument/2006/relationships/hyperlink" Target="http://www.ms.ro/2020/08/01/buletin-informativ-01-08-2020/" TargetMode="External"/><Relationship Id="rId3050" Type="http://schemas.openxmlformats.org/officeDocument/2006/relationships/hyperlink" Target="http://www.ms.ro/2020/08/14/buletin-informativ-14-08-2020" TargetMode="External"/><Relationship Id="rId4101" Type="http://schemas.openxmlformats.org/officeDocument/2006/relationships/hyperlink" Target="https://www.ebihoreanul.ro/stiri/inca-trei-decese-ale-unor-pacienti-infectati-cu-covid-19-in-bihor-cazuri-noi-de-imbolnavire-dar-si-multe-vindecari-158365.html" TargetMode="External"/><Relationship Id="rId1902" Type="http://schemas.openxmlformats.org/officeDocument/2006/relationships/hyperlink" Target="https://stirioficiale.ro/informatii/informare-de-presa-01-august-2020" TargetMode="External"/><Relationship Id="rId3867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788" Type="http://schemas.openxmlformats.org/officeDocument/2006/relationships/hyperlink" Target="https://stirioficiale.ro/informatii/buletin-de-presa-27-aprilie-2020-ora-13-00" TargetMode="External"/><Relationship Id="rId995" Type="http://schemas.openxmlformats.org/officeDocument/2006/relationships/hyperlink" Target="http://www.ms.ro/2020/05/16/buletin-informativ-16-05-2020/" TargetMode="External"/><Relationship Id="rId2469" Type="http://schemas.openxmlformats.org/officeDocument/2006/relationships/hyperlink" Target="https://stirioficiale.ro/informatii/buletin-de-presa-8-august-2020-ora-13-00" TargetMode="External"/><Relationship Id="rId2676" Type="http://schemas.openxmlformats.org/officeDocument/2006/relationships/hyperlink" Target="http://www.ms.ro/2020/08/11/buletin-informativ-11-08-2020" TargetMode="External"/><Relationship Id="rId2883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3727" Type="http://schemas.openxmlformats.org/officeDocument/2006/relationships/hyperlink" Target="https://www.ebihoreanul.ro/stiri/record-alarmant-in-bihor-inca-85-de-cazuri-noi-de-covid-si-inca-doua-decese-158311.html" TargetMode="External"/><Relationship Id="rId3934" Type="http://schemas.openxmlformats.org/officeDocument/2006/relationships/hyperlink" Target="http://www.ms.ro/2020/08/22/buletin-informativ-22-08-2020" TargetMode="External"/><Relationship Id="rId648" Type="http://schemas.openxmlformats.org/officeDocument/2006/relationships/hyperlink" Target="https://stirioficiale.ro/informatii/buletin-de-presa-23-aprilie-2020-ora-13-00" TargetMode="External"/><Relationship Id="rId855" Type="http://schemas.openxmlformats.org/officeDocument/2006/relationships/hyperlink" Target="http://www.ms.ro/2020/04/29/buletin-informativ-29-04-2020/" TargetMode="External"/><Relationship Id="rId1278" Type="http://schemas.openxmlformats.org/officeDocument/2006/relationships/hyperlink" Target="https://stirioficiale.ro/informatii/buletin-de-presa-6-iunie-2020-ora-13-00" TargetMode="External"/><Relationship Id="rId1485" Type="http://schemas.openxmlformats.org/officeDocument/2006/relationships/hyperlink" Target="http://www.ms.ro/2020/07/23/buletin-informativ-23-07-2020/" TargetMode="External"/><Relationship Id="rId1692" Type="http://schemas.openxmlformats.org/officeDocument/2006/relationships/hyperlink" Target="https://stirioficiale.ro/informatii/buletin-de-presa-29-iulie-2020-ora-13-00" TargetMode="External"/><Relationship Id="rId2329" Type="http://schemas.openxmlformats.org/officeDocument/2006/relationships/hyperlink" Target="https://www.ebihoreanul.ro/stiri/a-patra-zi-la-rand-cu-decese-covid-in-bihor-si-53-noi-imbolnaviri-in-ultimele-24-de-ore-158087.html" TargetMode="External"/><Relationship Id="rId2536" Type="http://schemas.openxmlformats.org/officeDocument/2006/relationships/hyperlink" Target="http://www.ms.ro/2020/08/09/buletin-informativ-09-08-2020" TargetMode="External"/><Relationship Id="rId2743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508" Type="http://schemas.openxmlformats.org/officeDocument/2006/relationships/hyperlink" Target="http://www.ms.ro/2020/04/21/buletin-informativ-21-04-2020/" TargetMode="External"/><Relationship Id="rId715" Type="http://schemas.openxmlformats.org/officeDocument/2006/relationships/hyperlink" Target="http://www.ms.ro/2020/04/26/buletin-informativ-26-04-2020/" TargetMode="External"/><Relationship Id="rId922" Type="http://schemas.openxmlformats.org/officeDocument/2006/relationships/hyperlink" Target="http://www.ms.ro/2020/05/01/buletin-informativ-01-05-2020/" TargetMode="External"/><Relationship Id="rId1138" Type="http://schemas.openxmlformats.org/officeDocument/2006/relationships/hyperlink" Target="http://www.ms.ro/2020/05/28/buletin-informativ-28-05-2020/" TargetMode="External"/><Relationship Id="rId1345" Type="http://schemas.openxmlformats.org/officeDocument/2006/relationships/hyperlink" Target="http://www.ms.ro/2020/07/04/buletin-informativ-04-07-2020/" TargetMode="External"/><Relationship Id="rId1552" Type="http://schemas.openxmlformats.org/officeDocument/2006/relationships/hyperlink" Target="https://stirioficiale.ro/informatii/buletin-de-presa-26-iulie-2020-ora-13-00" TargetMode="External"/><Relationship Id="rId2603" Type="http://schemas.openxmlformats.org/officeDocument/2006/relationships/hyperlink" Target="https://www.ebihoreanul.ro/stiri/nc-un-deces-i-37-de-noi-mbolnviri-de-covid-19-n-bihor-o-parte-a-spitalului-din-beiu-va-trata-bolnavi-cu-covid-din-cauza-cazurilor-multe-din-zon-158138.html" TargetMode="External"/><Relationship Id="rId2950" Type="http://schemas.openxmlformats.org/officeDocument/2006/relationships/hyperlink" Target="http://www.ms.ro/2020/08/13/buletin-informativ-13-08-2020" TargetMode="External"/><Relationship Id="rId1205" Type="http://schemas.openxmlformats.org/officeDocument/2006/relationships/hyperlink" Target="https://stirioficiale.ro/informatii/buletin-de-presa-31-mai-2020-ora-13-00" TargetMode="External"/><Relationship Id="rId2810" Type="http://schemas.openxmlformats.org/officeDocument/2006/relationships/hyperlink" Target="http://www.ms.ro/2020/08/12/buletin-informativ-12-08-2020" TargetMode="External"/><Relationship Id="rId51" Type="http://schemas.openxmlformats.org/officeDocument/2006/relationships/hyperlink" Target="http://www.ms.ro/2020/04/04/buletin-informativ-05-04-2020/" TargetMode="External"/><Relationship Id="rId1412" Type="http://schemas.openxmlformats.org/officeDocument/2006/relationships/hyperlink" Target="https://stirioficiale.ro/informatii/buletin-de-presa-13-iulie-2020-ora-13-00" TargetMode="External"/><Relationship Id="rId3377" Type="http://schemas.openxmlformats.org/officeDocument/2006/relationships/hyperlink" Target="https://www.ebihoreanul.ro/stiri/dupa-doua-saptamani-numarul-imbolnavirilor-covid-scade-in-bihor-31-noi-infectari-dar-si-un-deces-158256.html" TargetMode="External"/><Relationship Id="rId298" Type="http://schemas.openxmlformats.org/officeDocument/2006/relationships/hyperlink" Target="https://stirioficiale.ro/informatii/buletin-de-presa-13-aprilie-2020-ora-13-111" TargetMode="External"/><Relationship Id="rId3584" Type="http://schemas.openxmlformats.org/officeDocument/2006/relationships/hyperlink" Target="http://www.ms.ro/2020/08/19/buletin-informativ-19-08-2020" TargetMode="External"/><Relationship Id="rId3791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158" Type="http://schemas.openxmlformats.org/officeDocument/2006/relationships/hyperlink" Target="https://stirioficiale.ro/informatii/buletin-de-presa-13-aprilie-2020-ora-13-41" TargetMode="External"/><Relationship Id="rId2186" Type="http://schemas.openxmlformats.org/officeDocument/2006/relationships/hyperlink" Target="http://www.ms.ro/2020/08/05/buletin-informativ-05-08-2020/" TargetMode="External"/><Relationship Id="rId2393" Type="http://schemas.openxmlformats.org/officeDocument/2006/relationships/hyperlink" Target="https://www.ebihoreanul.ro/stiri/a-patra-zi-la-rand-cu-decese-covid-in-bihor-si-53-noi-imbolnaviri-in-ultimele-24-de-ore-158087.html" TargetMode="External"/><Relationship Id="rId3237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3444" Type="http://schemas.openxmlformats.org/officeDocument/2006/relationships/hyperlink" Target="http://www.ms.ro/2020/08/18/buletin-informativ-18-08-2020" TargetMode="External"/><Relationship Id="rId3651" Type="http://schemas.openxmlformats.org/officeDocument/2006/relationships/hyperlink" Target="https://www.ebihoreanul.ro/stiri/record-alarmant-in-bihor-inca-85-de-cazuri-noi-de-covid-si-inca-doua-decese-158311.html" TargetMode="External"/><Relationship Id="rId365" Type="http://schemas.openxmlformats.org/officeDocument/2006/relationships/hyperlink" Target="https://stirioficiale.ro/informatii/buletin-de-presa-16-aprilie-2020-ora-13-54" TargetMode="External"/><Relationship Id="rId572" Type="http://schemas.openxmlformats.org/officeDocument/2006/relationships/hyperlink" Target="https://stirioficiale.ro/informatii/buletin-de-presa-22-aprilie-2020-ora-13-40" TargetMode="External"/><Relationship Id="rId2046" Type="http://schemas.openxmlformats.org/officeDocument/2006/relationships/hyperlink" Target="http://www.ms.ro/2020/08/03/buletin-informativ-03-08-2020/" TargetMode="External"/><Relationship Id="rId2253" Type="http://schemas.openxmlformats.org/officeDocument/2006/relationships/hyperlink" Target="https://www.ebihoreanul.ro/stiri/a-treia-zi-consecutiva-cu-decese-covid-in-bihor-si-inca-35-noi-imbolnaviri-raportate-oficial-pentru-ultimele-24-de-ore-158069.html" TargetMode="External"/><Relationship Id="rId2460" Type="http://schemas.openxmlformats.org/officeDocument/2006/relationships/hyperlink" Target="http://www.ms.ro/2020/08/08/buletin-informativ-08-08-2020" TargetMode="External"/><Relationship Id="rId3304" Type="http://schemas.openxmlformats.org/officeDocument/2006/relationships/hyperlink" Target="http://www.ms.ro/2020/08/16/buletin-informativ-16-08-2020" TargetMode="External"/><Relationship Id="rId3511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225" Type="http://schemas.openxmlformats.org/officeDocument/2006/relationships/hyperlink" Target="http://www.ms.ro/2020/04/13/buletin-informativ-13-04-2020/" TargetMode="External"/><Relationship Id="rId432" Type="http://schemas.openxmlformats.org/officeDocument/2006/relationships/hyperlink" Target="http://www.ms.ro/2020/04/18/buletin-informativ-18-04-2020/" TargetMode="External"/><Relationship Id="rId1062" Type="http://schemas.openxmlformats.org/officeDocument/2006/relationships/hyperlink" Target="https://stirioficiale.ro/informatii/buletin-de-presa-22-mai-2020-ora-13-00" TargetMode="External"/><Relationship Id="rId2113" Type="http://schemas.openxmlformats.org/officeDocument/2006/relationships/hyperlink" Target="https://www.ebihoreanul.ro/stiri/record-dupa-record-in-bihor-intr-o-singura-zi-3-morti-si-59-noi-imbolnaviri-cu-covid-158047.html" TargetMode="External"/><Relationship Id="rId2320" Type="http://schemas.openxmlformats.org/officeDocument/2006/relationships/hyperlink" Target="http://www.ms.ro/2020/08/07/buletin-informativ-07-08-2020/" TargetMode="External"/><Relationship Id="rId4078" Type="http://schemas.openxmlformats.org/officeDocument/2006/relationships/hyperlink" Target="http://www.ms.ro/2020/08/24/buletin-informativ-24-08-2020" TargetMode="External"/><Relationship Id="rId1879" Type="http://schemas.openxmlformats.org/officeDocument/2006/relationships/hyperlink" Target="http://www.ms.ro/2020/08/01/buletin-informativ-01-08-2020/" TargetMode="External"/><Relationship Id="rId3094" Type="http://schemas.openxmlformats.org/officeDocument/2006/relationships/hyperlink" Target="http://www.ms.ro/2020/08/14/buletin-informativ-14-08-2020" TargetMode="External"/><Relationship Id="rId4145" Type="http://schemas.openxmlformats.org/officeDocument/2006/relationships/hyperlink" Target="https://www.ebihoreanul.ro/stiri/record-de-decese-covid-in-romania-58-intr-o-singura-zi-in-bihor-au-murit-3-oameni-iar-alti-37-au-fost-diagnosticati-aproape-100-de-pacienti-vindecati-158383.html" TargetMode="External"/><Relationship Id="rId1739" Type="http://schemas.openxmlformats.org/officeDocument/2006/relationships/hyperlink" Target="http://www.ms.ro/2020/07/30/buletin-informativ-30-07-2020/" TargetMode="External"/><Relationship Id="rId1946" Type="http://schemas.openxmlformats.org/officeDocument/2006/relationships/hyperlink" Target="https://stirioficiale.ro/informatii/buletin-de-presa-2-august-2020-ora-13-00" TargetMode="External"/><Relationship Id="rId4005" Type="http://schemas.openxmlformats.org/officeDocument/2006/relationships/hyperlink" Target="https://www.ebihoreanul.ro/stiri/a-fost-depasit-pragul-de-2000-de-cazuri-covid-19diagnosticate-in-bihor-158350.html" TargetMode="External"/><Relationship Id="rId1806" Type="http://schemas.openxmlformats.org/officeDocument/2006/relationships/hyperlink" Target="https://stirioficiale.ro/informatii/buletin-de-presa-31-iulie-2020-ora-13-00" TargetMode="External"/><Relationship Id="rId3161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4212" Type="http://schemas.openxmlformats.org/officeDocument/2006/relationships/hyperlink" Target="http://www.ms.ro/2020/08/26/buletin-informativ-26-08-2020" TargetMode="External"/><Relationship Id="rId3021" Type="http://schemas.openxmlformats.org/officeDocument/2006/relationships/hyperlink" Target="https://www.ebihoreanul.ro/stiri/inca-56-de-cazuri-de-coronavirus-in-bihor-158211.html" TargetMode="External"/><Relationship Id="rId3978" Type="http://schemas.openxmlformats.org/officeDocument/2006/relationships/hyperlink" Target="http://www.ms.ro/2020/08/22/buletin-informativ-22-08-2020" TargetMode="External"/><Relationship Id="rId899" Type="http://schemas.openxmlformats.org/officeDocument/2006/relationships/hyperlink" Target="http://www.ms.ro/2020/05/01/buletin-informativ-01-05-2020/" TargetMode="External"/><Relationship Id="rId2787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3838" Type="http://schemas.openxmlformats.org/officeDocument/2006/relationships/hyperlink" Target="http://www.ms.ro/2020/08/21/buletin-informativ-21-08-2020" TargetMode="External"/><Relationship Id="rId759" Type="http://schemas.openxmlformats.org/officeDocument/2006/relationships/hyperlink" Target="http://www.ms.ro/2020/04/27/buletin-informativ-27-04-2020/" TargetMode="External"/><Relationship Id="rId966" Type="http://schemas.openxmlformats.org/officeDocument/2006/relationships/hyperlink" Target="http://www.ms.ro/2020/05/09/buletin-informativ-09-05-2020/" TargetMode="External"/><Relationship Id="rId1389" Type="http://schemas.openxmlformats.org/officeDocument/2006/relationships/hyperlink" Target="http://www.ms.ro/2020/07/08/buletin-informativ-07-08-2020/" TargetMode="External"/><Relationship Id="rId1596" Type="http://schemas.openxmlformats.org/officeDocument/2006/relationships/hyperlink" Target="https://www.ebihoreanul.ro/stiri/inca-26-noi-cazuri-covid-depistate-in-bihor-intre-care-un-brancardier-si-o-asistenta-revenita-dupa-un-concediu-in-grecia-157871.html" TargetMode="External"/><Relationship Id="rId2647" Type="http://schemas.openxmlformats.org/officeDocument/2006/relationships/hyperlink" Target="https://www.ebihoreanul.ro/stiri/nc-un-deces-i-37-de-noi-mbolnviri-de-covid-19-n-bihor-o-parte-a-spitalului-din-beiu-va-trata-bolnavi-cu-covid-din-cauza-cazurilor-multe-din-zon-158138.html" TargetMode="External"/><Relationship Id="rId2994" Type="http://schemas.openxmlformats.org/officeDocument/2006/relationships/hyperlink" Target="http://www.ms.ro/2020/08/13/buletin-informativ-13-08-2020" TargetMode="External"/><Relationship Id="rId619" Type="http://schemas.openxmlformats.org/officeDocument/2006/relationships/hyperlink" Target="http://www.ms.ro/2020/04/22/buletin-informativ-22-04-2020/" TargetMode="External"/><Relationship Id="rId1249" Type="http://schemas.openxmlformats.org/officeDocument/2006/relationships/hyperlink" Target="https://stirioficiale.ro/informatii/buletin-de-presa-3-iunie-2020-ora-13-00" TargetMode="External"/><Relationship Id="rId2854" Type="http://schemas.openxmlformats.org/officeDocument/2006/relationships/hyperlink" Target="http://www.ms.ro/2020/08/12/buletin-informativ-12-08-2020" TargetMode="External"/><Relationship Id="rId3905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95" Type="http://schemas.openxmlformats.org/officeDocument/2006/relationships/hyperlink" Target="http://www.ms.ro/2020/04/22/decese-508-512/" TargetMode="External"/><Relationship Id="rId826" Type="http://schemas.openxmlformats.org/officeDocument/2006/relationships/hyperlink" Target="https://stirioficiale.ro/informatii/buletin-de-presa-28-aprilie-2020-ora-13-00" TargetMode="External"/><Relationship Id="rId1109" Type="http://schemas.openxmlformats.org/officeDocument/2006/relationships/hyperlink" Target="https://stirioficiale.ro/informatii/buletin-de-presa-27-mai-2020-ora-13-00" TargetMode="External"/><Relationship Id="rId1456" Type="http://schemas.openxmlformats.org/officeDocument/2006/relationships/hyperlink" Target="https://stirioficiale.ro/informatii/buletin-de-presa-22-iulie-2020-ora-13-00" TargetMode="External"/><Relationship Id="rId1663" Type="http://schemas.openxmlformats.org/officeDocument/2006/relationships/hyperlink" Target="http://www.ms.ro/2020/07/29/buletin-informativ-29-07-2020/" TargetMode="External"/><Relationship Id="rId1870" Type="http://schemas.openxmlformats.org/officeDocument/2006/relationships/hyperlink" Target="https://stirioficiale.ro/informatii/informare-de-presa-01-august-2020" TargetMode="External"/><Relationship Id="rId2507" Type="http://schemas.openxmlformats.org/officeDocument/2006/relationships/hyperlink" Target="https://stirioficiale.ro/informatii/buletin-de-presa-9-august-2020-ora-13-00" TargetMode="External"/><Relationship Id="rId2714" Type="http://schemas.openxmlformats.org/officeDocument/2006/relationships/hyperlink" Target="http://www.ms.ro/2020/08/11/buletin-informativ-11-08-2020" TargetMode="External"/><Relationship Id="rId2921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1316" Type="http://schemas.openxmlformats.org/officeDocument/2006/relationships/hyperlink" Target="https://stirioficiale.ro/informatii/buletin-de-presa-19-iunie-2020-ora-13-00" TargetMode="External"/><Relationship Id="rId1523" Type="http://schemas.openxmlformats.org/officeDocument/2006/relationships/hyperlink" Target="http://www.ms.ro/2020/07/24/buletin-informativ-24-07-2020/" TargetMode="External"/><Relationship Id="rId1730" Type="http://schemas.openxmlformats.org/officeDocument/2006/relationships/hyperlink" Target="https://stirioficiale.ro/informatii/buletin-de-presa-30-iulie-2020-ora-13-00" TargetMode="External"/><Relationship Id="rId22" Type="http://schemas.openxmlformats.org/officeDocument/2006/relationships/hyperlink" Target="https://www.g4media.ro/breaking-2460-de-cazuri-de-coronavirus-confirmate-in-romania-din-care-215-in-ultimele-24-de-ore-85-de-oameni-au-murit.html" TargetMode="External"/><Relationship Id="rId3488" Type="http://schemas.openxmlformats.org/officeDocument/2006/relationships/hyperlink" Target="http://www.ms.ro/2020/08/18/buletin-informativ-18-08-2020" TargetMode="External"/><Relationship Id="rId3695" Type="http://schemas.openxmlformats.org/officeDocument/2006/relationships/hyperlink" Target="https://www.ebihoreanul.ro/stiri/record-alarmant-in-bihor-inca-85-de-cazuri-noi-de-covid-si-inca-doua-decese-158311.html" TargetMode="External"/><Relationship Id="rId2297" Type="http://schemas.openxmlformats.org/officeDocument/2006/relationships/hyperlink" Target="https://www.ebihoreanul.ro/stiri/a-patra-zi-la-rand-cu-decese-covid-in-bihor-si-53-noi-imbolnaviri-in-ultimele-24-de-ore-158087.html" TargetMode="External"/><Relationship Id="rId3348" Type="http://schemas.openxmlformats.org/officeDocument/2006/relationships/hyperlink" Target="http://www.ms.ro/2020/08/16/buletin-informativ-16-08-2020" TargetMode="External"/><Relationship Id="rId3555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3762" Type="http://schemas.openxmlformats.org/officeDocument/2006/relationships/hyperlink" Target="http://www.ms.ro/2020/08/20/buletin-informativ-20-08-2020" TargetMode="External"/><Relationship Id="rId269" Type="http://schemas.openxmlformats.org/officeDocument/2006/relationships/hyperlink" Target="http://www.ms.ro/2020/04/13/buletin-informativ-13-04-2020/" TargetMode="External"/><Relationship Id="rId476" Type="http://schemas.openxmlformats.org/officeDocument/2006/relationships/hyperlink" Target="http://www.ms.ro/2020/04/20/buletin-informativ-20-04-2020/" TargetMode="External"/><Relationship Id="rId683" Type="http://schemas.openxmlformats.org/officeDocument/2006/relationships/hyperlink" Target="http://www.ms.ro/2020/04/24/buletin-informativ-24-04-2020/" TargetMode="External"/><Relationship Id="rId890" Type="http://schemas.openxmlformats.org/officeDocument/2006/relationships/hyperlink" Target="http://www.ms.ro/2020/05/01/buletin-informativ-01-05-2020/" TargetMode="External"/><Relationship Id="rId2157" Type="http://schemas.openxmlformats.org/officeDocument/2006/relationships/hyperlink" Target="https://www.ebihoreanul.ro/stiri/record-dupa-record-in-bihor-intr-o-singura-zi-3-morti-si-59-noi-imbolnaviri-cu-covid-158047.html" TargetMode="External"/><Relationship Id="rId2364" Type="http://schemas.openxmlformats.org/officeDocument/2006/relationships/hyperlink" Target="http://www.ms.ro/2020/08/07/buletin-informativ-07-08-2020/" TargetMode="External"/><Relationship Id="rId2571" Type="http://schemas.openxmlformats.org/officeDocument/2006/relationships/hyperlink" Target="https://stirioficiale.ro/informatii/buletin-de-presa-9-august-2020-ora-13-00" TargetMode="External"/><Relationship Id="rId3208" Type="http://schemas.openxmlformats.org/officeDocument/2006/relationships/hyperlink" Target="http://www.ms.ro/2020/08/15/33355/" TargetMode="External"/><Relationship Id="rId3415" Type="http://schemas.openxmlformats.org/officeDocument/2006/relationships/hyperlink" Target="https://www.ebihoreanul.ro/stiri/coronavirus-in-bihor-inca-doua-decese-si-45-de-cazuri-noi-vezi-din-ce-localitati-158277.html" TargetMode="External"/><Relationship Id="rId129" Type="http://schemas.openxmlformats.org/officeDocument/2006/relationships/hyperlink" Target="http://www.ms.ro/2020/04/11/buletin-informativ-11-04-2020/" TargetMode="External"/><Relationship Id="rId336" Type="http://schemas.openxmlformats.org/officeDocument/2006/relationships/hyperlink" Target="http://www.ms.ro/2020/04/14/buletin-informativ-14-04-2020/" TargetMode="External"/><Relationship Id="rId543" Type="http://schemas.openxmlformats.org/officeDocument/2006/relationships/hyperlink" Target="https://stirioficiale.ro/informatii/buletin-de-presa-21-aprilie-2020-ora-13-47" TargetMode="External"/><Relationship Id="rId1173" Type="http://schemas.openxmlformats.org/officeDocument/2006/relationships/hyperlink" Target="https://www.bihon.ro/stirile-judetului-bihor/rezultatul-testarii-la-plexus-21-de-angajati-pozitivi-covid-19-iata-ce-masuri-ia-compania-americana-2295625/" TargetMode="External"/><Relationship Id="rId1380" Type="http://schemas.openxmlformats.org/officeDocument/2006/relationships/hyperlink" Target="https://stirioficiale.ro/informatii/buletin-de-presa-5-iulie-2020-ora-13-00" TargetMode="External"/><Relationship Id="rId2017" Type="http://schemas.openxmlformats.org/officeDocument/2006/relationships/hyperlink" Target="https://www.ebihoreanul.ro/stiri/inca-50-de-cazuri-de-covid-19-in-bihor-in-urma-testelor-facute-duminica-157998.html" TargetMode="External"/><Relationship Id="rId2224" Type="http://schemas.openxmlformats.org/officeDocument/2006/relationships/hyperlink" Target="http://www.ms.ro/2020/08/06/buletin-informativ-06-08-2020/" TargetMode="External"/><Relationship Id="rId3622" Type="http://schemas.openxmlformats.org/officeDocument/2006/relationships/hyperlink" Target="http://www.ms.ro/2020/08/20/buletin-informativ-20-08-2020" TargetMode="External"/><Relationship Id="rId403" Type="http://schemas.openxmlformats.org/officeDocument/2006/relationships/hyperlink" Target="https://stirioficiale.ro/informatii/buletin-de-presa-16-aprilie-2020-ora-13-73" TargetMode="External"/><Relationship Id="rId750" Type="http://schemas.openxmlformats.org/officeDocument/2006/relationships/hyperlink" Target="https://stirioficiale.ro/informatii/buletin-de-presa-27-aprilie-2020-ora-13-00" TargetMode="External"/><Relationship Id="rId1033" Type="http://schemas.openxmlformats.org/officeDocument/2006/relationships/hyperlink" Target="https://stirioficiale.ro/informatii/buletin-de-presa-19-mai-2020-ora-13-00" TargetMode="External"/><Relationship Id="rId2431" Type="http://schemas.openxmlformats.org/officeDocument/2006/relationships/hyperlink" Target="https://stirioficiale.ro/informatii/buletin-de-presa-8-august-2020-ora-13-00" TargetMode="External"/><Relationship Id="rId4189" Type="http://schemas.openxmlformats.org/officeDocument/2006/relationships/hyperlink" Target="https://www.ebihoreanul.ro/stiri/28-de-noi-imbolnaviri-cu-covid-19-in-bihor-inclusiv-in-randul-personalului-upu-smurd-158401.html" TargetMode="External"/><Relationship Id="rId610" Type="http://schemas.openxmlformats.org/officeDocument/2006/relationships/hyperlink" Target="https://stirioficiale.ro/informatii/buletin-de-presa-22-aprilie-2020-ora-13-59" TargetMode="External"/><Relationship Id="rId1240" Type="http://schemas.openxmlformats.org/officeDocument/2006/relationships/hyperlink" Target="http://www.ms.ro/2020/06/02/buletin-informativ-02-06-2020/" TargetMode="External"/><Relationship Id="rId4049" Type="http://schemas.openxmlformats.org/officeDocument/2006/relationships/hyperlink" Target="https://www.ebihoreanul.ro/stiri/a-fost-depasit-pragul-de-2000-de-cazuri-covid-19diagnosticate-in-bihor-158350.html" TargetMode="External"/><Relationship Id="rId1100" Type="http://schemas.openxmlformats.org/officeDocument/2006/relationships/hyperlink" Target="http://www.ms.ro/2020/05/26/buletin-informativ-26-05-2020/" TargetMode="External"/><Relationship Id="rId1917" Type="http://schemas.openxmlformats.org/officeDocument/2006/relationships/hyperlink" Target="http://www.ms.ro/2020/08/02/buletin-informativ-02-08-2020/" TargetMode="External"/><Relationship Id="rId3065" Type="http://schemas.openxmlformats.org/officeDocument/2006/relationships/hyperlink" Target="https://www.ebihoreanul.ro/stiri/inca-56-de-cazuri-de-coronavirus-in-bihor-158211.html" TargetMode="External"/><Relationship Id="rId3272" Type="http://schemas.openxmlformats.org/officeDocument/2006/relationships/hyperlink" Target="http://www.ms.ro/2020/08/16/buletin-informativ-16-08-2020" TargetMode="External"/><Relationship Id="rId4116" Type="http://schemas.openxmlformats.org/officeDocument/2006/relationships/hyperlink" Target="http://www.ms.ro/2020/08/25/buletin-informativ-25-08-2020" TargetMode="External"/><Relationship Id="rId193" Type="http://schemas.openxmlformats.org/officeDocument/2006/relationships/hyperlink" Target="http://www.ms.ro/2020/04/13/buletin-informativ-13-04-2020/" TargetMode="External"/><Relationship Id="rId2081" Type="http://schemas.openxmlformats.org/officeDocument/2006/relationships/hyperlink" Target="https://stirioficiale.ro/informatii/buletin-de-presa-3-august-2020-ora-13-00" TargetMode="External"/><Relationship Id="rId3132" Type="http://schemas.openxmlformats.org/officeDocument/2006/relationships/hyperlink" Target="http://www.ms.ro/2020/08/14/buletin-informativ-14-08-2020" TargetMode="External"/><Relationship Id="rId260" Type="http://schemas.openxmlformats.org/officeDocument/2006/relationships/hyperlink" Target="https://stirioficiale.ro/informatii/buletin-de-presa-13-aprilie-2020-ora-13-92" TargetMode="External"/><Relationship Id="rId120" Type="http://schemas.openxmlformats.org/officeDocument/2006/relationships/hyperlink" Target="https://stirioficiale.ro/informatii/buletin-de-presa-11-aprilie-2020-ora-13-67" TargetMode="External"/><Relationship Id="rId2898" Type="http://schemas.openxmlformats.org/officeDocument/2006/relationships/hyperlink" Target="http://www.ms.ro/2020/08/13/buletin-informativ-13-08-2020" TargetMode="External"/><Relationship Id="rId3949" Type="http://schemas.openxmlformats.org/officeDocument/2006/relationships/hyperlink" Target="https://www.ebihoreanul.ro/stiri/niciun-deces-in-bihor-si-zeci-de-pacienti-covid-vindecati-dar-si-40-noi-imbolnaviri-inclusiv-angajati-ai-maternitatii-si-spitalului-militar-158339.html" TargetMode="External"/><Relationship Id="rId2758" Type="http://schemas.openxmlformats.org/officeDocument/2006/relationships/hyperlink" Target="http://www.ms.ro/2020/08/11/buletin-informativ-11-08-2020" TargetMode="External"/><Relationship Id="rId2965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3809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937" Type="http://schemas.openxmlformats.org/officeDocument/2006/relationships/hyperlink" Target="http://www.ms.ro/2020/05/03/buletin-informativ-03-05-2020/" TargetMode="External"/><Relationship Id="rId1567" Type="http://schemas.openxmlformats.org/officeDocument/2006/relationships/hyperlink" Target="http://www.ms.ro/2020/07/27/buletin-informativ-27-07-2020/" TargetMode="External"/><Relationship Id="rId1774" Type="http://schemas.openxmlformats.org/officeDocument/2006/relationships/hyperlink" Target="https://stirioficiale.ro/informatii/buletin-de-presa-30-iulie-2020-ora-13-00" TargetMode="External"/><Relationship Id="rId1981" Type="http://schemas.openxmlformats.org/officeDocument/2006/relationships/hyperlink" Target="https://www.ebihoreanul.ro/stiri/inca-50-de-cazuri-de-covid-19-in-bihor-in-urma-testelor-facute-duminica-157998.html" TargetMode="External"/><Relationship Id="rId2618" Type="http://schemas.openxmlformats.org/officeDocument/2006/relationships/hyperlink" Target="http://www.ms.ro/2020/08/10/buletin-informativ-10-08-2020" TargetMode="External"/><Relationship Id="rId2825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4180" Type="http://schemas.openxmlformats.org/officeDocument/2006/relationships/hyperlink" Target="http://www.ms.ro/2020/08/25/buletin-informativ-25-08-2020" TargetMode="External"/><Relationship Id="rId66" Type="http://schemas.openxmlformats.org/officeDocument/2006/relationships/hyperlink" Target="https://stirioficiale.ro/informatii/buletin-de-presa-6-aprilie-2020-ora-13-00" TargetMode="External"/><Relationship Id="rId1427" Type="http://schemas.openxmlformats.org/officeDocument/2006/relationships/hyperlink" Target="http://www.ms.ro/2020/07/16/buletin-informativ-16-07-2020/" TargetMode="External"/><Relationship Id="rId1634" Type="http://schemas.openxmlformats.org/officeDocument/2006/relationships/hyperlink" Target="https://stirioficiale.ro/informatii/buletin-de-presa-28-iulie-2020-ora-13-00" TargetMode="External"/><Relationship Id="rId1841" Type="http://schemas.openxmlformats.org/officeDocument/2006/relationships/hyperlink" Target="http://www.ms.ro/2020/08/01/buletin-informativ-01-08-2020/" TargetMode="External"/><Relationship Id="rId4040" Type="http://schemas.openxmlformats.org/officeDocument/2006/relationships/hyperlink" Target="http://www.ms.ro/2020/08/23/buletin-informativ-23-08-2020" TargetMode="External"/><Relationship Id="rId3599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1701" Type="http://schemas.openxmlformats.org/officeDocument/2006/relationships/hyperlink" Target="http://www.ms.ro/2020/07/30/buletin-informativ-30-07-2020/" TargetMode="External"/><Relationship Id="rId3459" Type="http://schemas.openxmlformats.org/officeDocument/2006/relationships/hyperlink" Target="https://www.ebihoreanul.ro/stiri/coronavirus-in-bihor-inca-doua-decese-si-45-de-cazuri-noi-vezi-din-ce-localitati-158277.html" TargetMode="External"/><Relationship Id="rId3666" Type="http://schemas.openxmlformats.org/officeDocument/2006/relationships/hyperlink" Target="http://www.ms.ro/2020/08/20/buletin-informativ-20-08-2020" TargetMode="External"/><Relationship Id="rId587" Type="http://schemas.openxmlformats.org/officeDocument/2006/relationships/hyperlink" Target="http://www.ms.ro/2020/04/22/buletin-informativ-22-04-2020/" TargetMode="External"/><Relationship Id="rId2268" Type="http://schemas.openxmlformats.org/officeDocument/2006/relationships/hyperlink" Target="http://www.ms.ro/2020/08/06/buletin-informativ-06-08-2020/" TargetMode="External"/><Relationship Id="rId3319" Type="http://schemas.openxmlformats.org/officeDocument/2006/relationships/hyperlink" Target="https://www.ebihoreanul.ro/stiri/coronavirus-in-bihor-inca-trei-decese-inregistrate-50-de-cazuri-noi-diagnosticate-nicio-persoana-vindecata-158239.html" TargetMode="External"/><Relationship Id="rId3873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447" Type="http://schemas.openxmlformats.org/officeDocument/2006/relationships/hyperlink" Target="https://stirioficiale.ro/informatii/buletin-de-presa-20-aprilie-2020-ora-13-00" TargetMode="External"/><Relationship Id="rId794" Type="http://schemas.openxmlformats.org/officeDocument/2006/relationships/hyperlink" Target="https://stirioficiale.ro/informatii/buletin-de-presa-27-aprilie-2020-ora-13-00" TargetMode="External"/><Relationship Id="rId1077" Type="http://schemas.openxmlformats.org/officeDocument/2006/relationships/hyperlink" Target="http://www.ms.ro/2020/05/23/buletin-informativ-23-05-2020/" TargetMode="External"/><Relationship Id="rId2128" Type="http://schemas.openxmlformats.org/officeDocument/2006/relationships/hyperlink" Target="http://www.ms.ro/2020/08/05/buletin-informativ-05-08-2020/" TargetMode="External"/><Relationship Id="rId2475" Type="http://schemas.openxmlformats.org/officeDocument/2006/relationships/hyperlink" Target="https://stirioficiale.ro/informatii/buletin-de-presa-8-august-2020-ora-13-00" TargetMode="External"/><Relationship Id="rId2682" Type="http://schemas.openxmlformats.org/officeDocument/2006/relationships/hyperlink" Target="http://www.ms.ro/2020/08/11/buletin-informativ-11-08-2020" TargetMode="External"/><Relationship Id="rId3526" Type="http://schemas.openxmlformats.org/officeDocument/2006/relationships/hyperlink" Target="http://www.ms.ro/2020/08/19/buletin-informativ-19-08-2020" TargetMode="External"/><Relationship Id="rId3733" Type="http://schemas.openxmlformats.org/officeDocument/2006/relationships/hyperlink" Target="https://www.ebihoreanul.ro/stiri/record-alarmant-in-bihor-inca-85-de-cazuri-noi-de-covid-si-inca-doua-decese-158311.html" TargetMode="External"/><Relationship Id="rId3940" Type="http://schemas.openxmlformats.org/officeDocument/2006/relationships/hyperlink" Target="http://www.ms.ro/2020/08/22/buletin-informativ-22-08-2020" TargetMode="External"/><Relationship Id="rId654" Type="http://schemas.openxmlformats.org/officeDocument/2006/relationships/hyperlink" Target="https://stirioficiale.ro/informatii/buletin-de-presa-23-aprilie-2020-ora-13-00" TargetMode="External"/><Relationship Id="rId861" Type="http://schemas.openxmlformats.org/officeDocument/2006/relationships/hyperlink" Target="http://www.ms.ro/2020/04/29/buletin-informativ-29-04-2020/" TargetMode="External"/><Relationship Id="rId1284" Type="http://schemas.openxmlformats.org/officeDocument/2006/relationships/hyperlink" Target="https://stirioficiale.ro/informatii/buletin-de-presa-7-iunie-2020-ora-13-00" TargetMode="External"/><Relationship Id="rId1491" Type="http://schemas.openxmlformats.org/officeDocument/2006/relationships/hyperlink" Target="http://www.ms.ro/2020/07/23/buletin-informativ-23-07-2020/" TargetMode="External"/><Relationship Id="rId2335" Type="http://schemas.openxmlformats.org/officeDocument/2006/relationships/hyperlink" Target="https://www.ebihoreanul.ro/stiri/a-patra-zi-la-rand-cu-decese-covid-in-bihor-si-53-noi-imbolnaviri-in-ultimele-24-de-ore-158087.html" TargetMode="External"/><Relationship Id="rId2542" Type="http://schemas.openxmlformats.org/officeDocument/2006/relationships/hyperlink" Target="http://www.ms.ro/2020/08/09/buletin-informativ-09-08-2020" TargetMode="External"/><Relationship Id="rId3800" Type="http://schemas.openxmlformats.org/officeDocument/2006/relationships/hyperlink" Target="http://www.ms.ro/2020/08/21/buletin-informativ-21-08-2020" TargetMode="External"/><Relationship Id="rId307" Type="http://schemas.openxmlformats.org/officeDocument/2006/relationships/hyperlink" Target="http://www.ms.ro/2020/04/13/buletin-informativ-13-04-2020/" TargetMode="External"/><Relationship Id="rId514" Type="http://schemas.openxmlformats.org/officeDocument/2006/relationships/hyperlink" Target="http://www.ms.ro/2020/04/21/buletin-informativ-21-04-2020/" TargetMode="External"/><Relationship Id="rId721" Type="http://schemas.openxmlformats.org/officeDocument/2006/relationships/hyperlink" Target="http://www.ms.ro/2020/04/26/buletin-informativ-26-04-2020/" TargetMode="External"/><Relationship Id="rId1144" Type="http://schemas.openxmlformats.org/officeDocument/2006/relationships/hyperlink" Target="http://www.ms.ro/2020/05/29/buletin-informativ-29-05-2020/" TargetMode="External"/><Relationship Id="rId1351" Type="http://schemas.openxmlformats.org/officeDocument/2006/relationships/hyperlink" Target="http://www.ms.ro/2020/07/04/buletin-informativ-04-07-2020/" TargetMode="External"/><Relationship Id="rId2402" Type="http://schemas.openxmlformats.org/officeDocument/2006/relationships/hyperlink" Target="http://www.ms.ro/2020/08/08/buletin-informativ-08-08-2020" TargetMode="External"/><Relationship Id="rId1004" Type="http://schemas.openxmlformats.org/officeDocument/2006/relationships/hyperlink" Target="https://www.bihon.ro/stirile-judetului-bihor/angajati-confirmati-cu-coronavirus-in-parcul-industrial-de-pe-borsului-2284463/" TargetMode="External"/><Relationship Id="rId1211" Type="http://schemas.openxmlformats.org/officeDocument/2006/relationships/hyperlink" Target="https://stirioficiale.ro/informatii/buletin-de-presa-31-mai-2020-ora-13-00" TargetMode="External"/><Relationship Id="rId3176" Type="http://schemas.openxmlformats.org/officeDocument/2006/relationships/hyperlink" Target="http://www.ms.ro/2020/08/15/33355/" TargetMode="External"/><Relationship Id="rId3383" Type="http://schemas.openxmlformats.org/officeDocument/2006/relationships/hyperlink" Target="https://www.ebihoreanul.ro/stiri/dupa-doua-saptamani-numarul-imbolnavirilor-covid-scade-in-bihor-31-noi-infectari-dar-si-un-deces-158256.html" TargetMode="External"/><Relationship Id="rId3590" Type="http://schemas.openxmlformats.org/officeDocument/2006/relationships/hyperlink" Target="http://www.ms.ro/2020/08/19/buletin-informativ-19-08-2020" TargetMode="External"/><Relationship Id="rId4227" Type="http://schemas.openxmlformats.org/officeDocument/2006/relationships/hyperlink" Target="https://www.ebihoreanul.ro/stiri/28-de-noi-imbolnaviri-cu-covid-19-in-bihor-inclusiv-in-randul-personalului-upu-smurd-158401.html" TargetMode="External"/><Relationship Id="rId2192" Type="http://schemas.openxmlformats.org/officeDocument/2006/relationships/hyperlink" Target="http://www.ms.ro/2020/08/05/buletin-informativ-05-08-2020/" TargetMode="External"/><Relationship Id="rId3036" Type="http://schemas.openxmlformats.org/officeDocument/2006/relationships/hyperlink" Target="http://www.ms.ro/2020/08/14/buletin-informativ-14-08-2020" TargetMode="External"/><Relationship Id="rId3243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164" Type="http://schemas.openxmlformats.org/officeDocument/2006/relationships/hyperlink" Target="https://stirioficiale.ro/informatii/buletin-de-presa-13-aprilie-2020-ora-13-44" TargetMode="External"/><Relationship Id="rId371" Type="http://schemas.openxmlformats.org/officeDocument/2006/relationships/hyperlink" Target="https://stirioficiale.ro/informatii/buletin-de-presa-16-aprilie-2020-ora-13-57" TargetMode="External"/><Relationship Id="rId2052" Type="http://schemas.openxmlformats.org/officeDocument/2006/relationships/hyperlink" Target="http://www.ms.ro/2020/08/03/buletin-informativ-03-08-2020/" TargetMode="External"/><Relationship Id="rId3450" Type="http://schemas.openxmlformats.org/officeDocument/2006/relationships/hyperlink" Target="http://www.ms.ro/2020/08/18/buletin-informativ-18-08-2020" TargetMode="External"/><Relationship Id="rId3103" Type="http://schemas.openxmlformats.org/officeDocument/2006/relationships/hyperlink" Target="https://www.ebihoreanul.ro/stiri/inca-56-de-cazuri-de-coronavirus-in-bihor-158211.html" TargetMode="External"/><Relationship Id="rId3310" Type="http://schemas.openxmlformats.org/officeDocument/2006/relationships/hyperlink" Target="http://www.ms.ro/2020/08/16/buletin-informativ-16-08-2020" TargetMode="External"/><Relationship Id="rId231" Type="http://schemas.openxmlformats.org/officeDocument/2006/relationships/hyperlink" Target="http://www.ms.ro/2020/04/13/buletin-informativ-13-04-2020/" TargetMode="External"/><Relationship Id="rId2869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1678" Type="http://schemas.openxmlformats.org/officeDocument/2006/relationships/hyperlink" Target="https://stirioficiale.ro/informatii/buletin-de-presa-29-iulie-2020-ora-13-00" TargetMode="External"/><Relationship Id="rId1885" Type="http://schemas.openxmlformats.org/officeDocument/2006/relationships/hyperlink" Target="http://www.ms.ro/2020/08/01/buletin-informativ-01-08-2020/" TargetMode="External"/><Relationship Id="rId2729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2936" Type="http://schemas.openxmlformats.org/officeDocument/2006/relationships/hyperlink" Target="http://www.ms.ro/2020/08/13/buletin-informativ-13-08-2020" TargetMode="External"/><Relationship Id="rId4084" Type="http://schemas.openxmlformats.org/officeDocument/2006/relationships/hyperlink" Target="http://www.ms.ro/2020/08/24/buletin-informativ-24-08-2020" TargetMode="External"/><Relationship Id="rId908" Type="http://schemas.openxmlformats.org/officeDocument/2006/relationships/hyperlink" Target="http://www.ms.ro/2020/05/01/buletin-informativ-01-05-2020/" TargetMode="External"/><Relationship Id="rId1538" Type="http://schemas.openxmlformats.org/officeDocument/2006/relationships/hyperlink" Target="https://stirioficiale.ro/informatii/buletin-de-presa-25-iulie-2020-ora-13-00" TargetMode="External"/><Relationship Id="rId4151" Type="http://schemas.openxmlformats.org/officeDocument/2006/relationships/hyperlink" Target="https://www.ebihoreanul.ro/stiri/record-de-decese-covid-in-romania-58-intr-o-singura-zi-in-bihor-au-murit-3-oameni-iar-alti-37-au-fost-diagnosticati-aproape-100-de-pacienti-vindecati-158383.html" TargetMode="External"/><Relationship Id="rId1745" Type="http://schemas.openxmlformats.org/officeDocument/2006/relationships/hyperlink" Target="http://www.ms.ro/2020/07/30/buletin-informativ-30-07-2020/" TargetMode="External"/><Relationship Id="rId1952" Type="http://schemas.openxmlformats.org/officeDocument/2006/relationships/hyperlink" Target="https://stirioficiale.ro/informatii/buletin-de-presa-2-august-2020-ora-13-00" TargetMode="External"/><Relationship Id="rId4011" Type="http://schemas.openxmlformats.org/officeDocument/2006/relationships/hyperlink" Target="https://www.ebihoreanul.ro/stiri/a-fost-depasit-pragul-de-2000-de-cazuri-covid-19diagnosticate-in-bihor-158350.html" TargetMode="External"/><Relationship Id="rId37" Type="http://schemas.openxmlformats.org/officeDocument/2006/relationships/hyperlink" Target="http://www.ms.ro/2020/04/02/buletin-informativ-02-04-2020/" TargetMode="External"/><Relationship Id="rId1605" Type="http://schemas.openxmlformats.org/officeDocument/2006/relationships/hyperlink" Target="http://www.ms.ro/2020/07/27/buletin-informativ-27-07-2020/" TargetMode="External"/><Relationship Id="rId1812" Type="http://schemas.openxmlformats.org/officeDocument/2006/relationships/hyperlink" Target="https://stirioficiale.ro/informatii/buletin-de-presa-31-iulie-2020-ora-13-00" TargetMode="External"/><Relationship Id="rId3777" Type="http://schemas.openxmlformats.org/officeDocument/2006/relationships/hyperlink" Target="https://www.ebihoreanul.ro/stiri/record-alarmant-in-bihor-inca-85-de-cazuri-noi-de-covid-si-inca-doua-decese-158311.html" TargetMode="External"/><Relationship Id="rId3984" Type="http://schemas.openxmlformats.org/officeDocument/2006/relationships/hyperlink" Target="http://www.ms.ro/2020/08/22/buletin-informativ-22-08-2020" TargetMode="External"/><Relationship Id="rId698" Type="http://schemas.openxmlformats.org/officeDocument/2006/relationships/hyperlink" Target="https://stirioficiale.ro/informatii/buletin-de-presa-26-aprilie-2020-ora-13-00" TargetMode="External"/><Relationship Id="rId2379" Type="http://schemas.openxmlformats.org/officeDocument/2006/relationships/hyperlink" Target="https://www.ebihoreanul.ro/stiri/a-patra-zi-la-rand-cu-decese-covid-in-bihor-si-53-noi-imbolnaviri-in-ultimele-24-de-ore-158087.html" TargetMode="External"/><Relationship Id="rId2586" Type="http://schemas.openxmlformats.org/officeDocument/2006/relationships/hyperlink" Target="http://www.ms.ro/2020/08/09/buletin-informativ-09-08-2020" TargetMode="External"/><Relationship Id="rId2793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3637" Type="http://schemas.openxmlformats.org/officeDocument/2006/relationships/hyperlink" Target="https://www.ebihoreanul.ro/stiri/record-alarmant-in-bihor-inca-85-de-cazuri-noi-de-covid-si-inca-doua-decese-158311.html" TargetMode="External"/><Relationship Id="rId3844" Type="http://schemas.openxmlformats.org/officeDocument/2006/relationships/hyperlink" Target="http://www.ms.ro/2020/08/21/buletin-informativ-21-08-2020" TargetMode="External"/><Relationship Id="rId558" Type="http://schemas.openxmlformats.org/officeDocument/2006/relationships/hyperlink" Target="https://stirioficiale.ro/informatii/informare-de-presa-30-aprilie-2020-ora-18-08" TargetMode="External"/><Relationship Id="rId765" Type="http://schemas.openxmlformats.org/officeDocument/2006/relationships/hyperlink" Target="http://www.ms.ro/2020/04/27/buletin-informativ-27-04-2020/" TargetMode="External"/><Relationship Id="rId972" Type="http://schemas.openxmlformats.org/officeDocument/2006/relationships/hyperlink" Target="http://www.ms.ro/2020/05/11/buletin-informativ-11-05-2020/" TargetMode="External"/><Relationship Id="rId1188" Type="http://schemas.openxmlformats.org/officeDocument/2006/relationships/hyperlink" Target="http://www.ms.ro/2020/05/31/buletin-informativ-31-05-2020/" TargetMode="External"/><Relationship Id="rId1395" Type="http://schemas.openxmlformats.org/officeDocument/2006/relationships/hyperlink" Target="http://www.ms.ro/2020/07/08/buletin-informativ-07-08-2020/" TargetMode="External"/><Relationship Id="rId2239" Type="http://schemas.openxmlformats.org/officeDocument/2006/relationships/hyperlink" Target="https://www.ebihoreanul.ro/stiri/a-treia-zi-consecutiva-cu-decese-covid-in-bihor-si-inca-35-noi-imbolnaviri-raportate-oficial-pentru-ultimele-24-de-ore-158069.html" TargetMode="External"/><Relationship Id="rId2446" Type="http://schemas.openxmlformats.org/officeDocument/2006/relationships/hyperlink" Target="http://www.ms.ro/2020/08/08/buletin-informativ-08-08-2020" TargetMode="External"/><Relationship Id="rId2653" Type="http://schemas.openxmlformats.org/officeDocument/2006/relationships/hyperlink" Target="https://www.ebihoreanul.ro/stiri/nc-un-deces-i-37-de-noi-mbolnviri-de-covid-19-n-bihor-o-parte-a-spitalului-din-beiu-va-trata-bolnavi-cu-covid-din-cauza-cazurilor-multe-din-zon-158138.html" TargetMode="External"/><Relationship Id="rId2860" Type="http://schemas.openxmlformats.org/officeDocument/2006/relationships/hyperlink" Target="http://www.ms.ro/2020/08/12/buletin-informativ-12-08-2020" TargetMode="External"/><Relationship Id="rId3704" Type="http://schemas.openxmlformats.org/officeDocument/2006/relationships/hyperlink" Target="http://www.ms.ro/2020/08/20/buletin-informativ-20-08-2020" TargetMode="External"/><Relationship Id="rId418" Type="http://schemas.openxmlformats.org/officeDocument/2006/relationships/hyperlink" Target="http://www.ms.ro/2020/04/18/buletin-informativ-18-04-2020/" TargetMode="External"/><Relationship Id="rId625" Type="http://schemas.openxmlformats.org/officeDocument/2006/relationships/hyperlink" Target="http://www.ms.ro/2020/04/22/buletin-informativ-22-04-2020/" TargetMode="External"/><Relationship Id="rId832" Type="http://schemas.openxmlformats.org/officeDocument/2006/relationships/hyperlink" Target="https://stirioficiale.ro/informatii/buletin-de-presa-28-aprilie-2020-ora-13-00" TargetMode="External"/><Relationship Id="rId1048" Type="http://schemas.openxmlformats.org/officeDocument/2006/relationships/hyperlink" Target="https://stirioficiale.ro/informatii/buletin-de-presa-21-mai-2020-ora-13-00" TargetMode="External"/><Relationship Id="rId1255" Type="http://schemas.openxmlformats.org/officeDocument/2006/relationships/hyperlink" Target="https://stirioficiale.ro/informatii/buletin-de-presa-4-iunie-2020-ora-13-00" TargetMode="External"/><Relationship Id="rId1462" Type="http://schemas.openxmlformats.org/officeDocument/2006/relationships/hyperlink" Target="https://stirioficiale.ro/informatii/buletin-de-presa-22-iulie-2020-ora-13-00" TargetMode="External"/><Relationship Id="rId2306" Type="http://schemas.openxmlformats.org/officeDocument/2006/relationships/hyperlink" Target="http://www.ms.ro/2020/08/07/buletin-informativ-07-08-2020/" TargetMode="External"/><Relationship Id="rId2513" Type="http://schemas.openxmlformats.org/officeDocument/2006/relationships/hyperlink" Target="https://stirioficiale.ro/informatii/buletin-de-presa-9-august-2020-ora-13-00" TargetMode="External"/><Relationship Id="rId3911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1115" Type="http://schemas.openxmlformats.org/officeDocument/2006/relationships/hyperlink" Target="https://stirioficiale.ro/informatii/buletin-de-presa-27-mai-2020-ora-13-00" TargetMode="External"/><Relationship Id="rId1322" Type="http://schemas.openxmlformats.org/officeDocument/2006/relationships/hyperlink" Target="https://stirioficiale.ro/informatii/buletin-de-presa-23-iunie-2020-ora-13-00" TargetMode="External"/><Relationship Id="rId2720" Type="http://schemas.openxmlformats.org/officeDocument/2006/relationships/hyperlink" Target="http://www.ms.ro/2020/08/11/buletin-informativ-11-08-2020" TargetMode="External"/><Relationship Id="rId3287" Type="http://schemas.openxmlformats.org/officeDocument/2006/relationships/hyperlink" Target="https://www.ebihoreanul.ro/stiri/coronavirus-in-bihor-inca-trei-decese-inregistrate-50-de-cazuri-noi-diagnosticate-nicio-persoana-vindecata-158239.html" TargetMode="External"/><Relationship Id="rId2096" Type="http://schemas.openxmlformats.org/officeDocument/2006/relationships/hyperlink" Target="http://www.ms.ro/2020/08/04/buletin-informativ-04-08-2020/" TargetMode="External"/><Relationship Id="rId3494" Type="http://schemas.openxmlformats.org/officeDocument/2006/relationships/hyperlink" Target="http://www.ms.ro/2020/08/18/buletin-informativ-18-08-2020" TargetMode="External"/><Relationship Id="rId3147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3354" Type="http://schemas.openxmlformats.org/officeDocument/2006/relationships/hyperlink" Target="http://www.ms.ro/2020/08/17/buletin-informativ-17-08-2020" TargetMode="External"/><Relationship Id="rId3561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275" Type="http://schemas.openxmlformats.org/officeDocument/2006/relationships/hyperlink" Target="http://www.ms.ro/2020/04/13/buletin-informativ-13-04-2020/" TargetMode="External"/><Relationship Id="rId482" Type="http://schemas.openxmlformats.org/officeDocument/2006/relationships/hyperlink" Target="http://www.ms.ro/2020/04/20/buletin-informativ-20-04-2020/" TargetMode="External"/><Relationship Id="rId2163" Type="http://schemas.openxmlformats.org/officeDocument/2006/relationships/hyperlink" Target="https://www.ebihoreanul.ro/stiri/record-dupa-record-in-bihor-intr-o-singura-zi-3-morti-si-59-noi-imbolnaviri-cu-covid-158047.html" TargetMode="External"/><Relationship Id="rId2370" Type="http://schemas.openxmlformats.org/officeDocument/2006/relationships/hyperlink" Target="http://www.ms.ro/2020/08/07/buletin-informativ-07-08-2020/" TargetMode="External"/><Relationship Id="rId3007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3214" Type="http://schemas.openxmlformats.org/officeDocument/2006/relationships/hyperlink" Target="http://www.ms.ro/2020/08/15/33355/" TargetMode="External"/><Relationship Id="rId3421" Type="http://schemas.openxmlformats.org/officeDocument/2006/relationships/hyperlink" Target="https://www.ebihoreanul.ro/stiri/coronavirus-in-bihor-inca-doua-decese-si-45-de-cazuri-noi-vezi-din-ce-localitati-158277.html" TargetMode="External"/><Relationship Id="rId135" Type="http://schemas.openxmlformats.org/officeDocument/2006/relationships/hyperlink" Target="http://www.ms.ro/2020/04/13/buletin-informativ-13-04-2020/" TargetMode="External"/><Relationship Id="rId342" Type="http://schemas.openxmlformats.org/officeDocument/2006/relationships/hyperlink" Target="http://www.ms.ro/2020/04/14/buletin-informativ-14-04-2020/" TargetMode="External"/><Relationship Id="rId2023" Type="http://schemas.openxmlformats.org/officeDocument/2006/relationships/hyperlink" Target="https://www.ebihoreanul.ro/stiri/inca-50-de-cazuri-de-covid-19-in-bihor-in-urma-testelor-facute-duminica-157998.html" TargetMode="External"/><Relationship Id="rId2230" Type="http://schemas.openxmlformats.org/officeDocument/2006/relationships/hyperlink" Target="http://www.ms.ro/2020/08/06/buletin-informativ-06-08-2020/" TargetMode="External"/><Relationship Id="rId202" Type="http://schemas.openxmlformats.org/officeDocument/2006/relationships/hyperlink" Target="https://stirioficiale.ro/informatii/buletin-de-presa-13-aprilie-2020-ora-13-63" TargetMode="External"/><Relationship Id="rId4195" Type="http://schemas.openxmlformats.org/officeDocument/2006/relationships/hyperlink" Target="https://www.ebihoreanul.ro/stiri/28-de-noi-imbolnaviri-cu-covid-19-in-bihor-inclusiv-in-randul-personalului-upu-smurd-158401.html" TargetMode="External"/><Relationship Id="rId1789" Type="http://schemas.openxmlformats.org/officeDocument/2006/relationships/hyperlink" Target="http://www.ms.ro/2020/07/31/buletin-informativ-31-07-2020/" TargetMode="External"/><Relationship Id="rId1996" Type="http://schemas.openxmlformats.org/officeDocument/2006/relationships/hyperlink" Target="https://www.ebihoreanul.ro/stiri/inca-50-de-cazuri-de-covid-19-in-bihor-in-urma-testelor-facute-duminica-157998.html" TargetMode="External"/><Relationship Id="rId4055" Type="http://schemas.openxmlformats.org/officeDocument/2006/relationships/hyperlink" Target="https://www.ebihoreanul.ro/stiri/inca-trei-decese-ale-unor-pacienti-infectati-cu-covid-19-in-bihor-cazuri-noi-de-imbolnavire-dar-si-multe-vindecari-158365.html" TargetMode="External"/><Relationship Id="rId1649" Type="http://schemas.openxmlformats.org/officeDocument/2006/relationships/hyperlink" Target="http://www.ms.ro/2020/07/28/buletin-informativ-28-07-2020/" TargetMode="External"/><Relationship Id="rId1856" Type="http://schemas.openxmlformats.org/officeDocument/2006/relationships/hyperlink" Target="https://www.ebihoreanul.ro/stiri/nou-record-covid-in-bihor-52-de-cazuri-noi-157971.html" TargetMode="External"/><Relationship Id="rId2907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3071" Type="http://schemas.openxmlformats.org/officeDocument/2006/relationships/hyperlink" Target="https://www.ebihoreanul.ro/stiri/inca-56-de-cazuri-de-coronavirus-in-bihor-158211.html" TargetMode="External"/><Relationship Id="rId1509" Type="http://schemas.openxmlformats.org/officeDocument/2006/relationships/hyperlink" Target="http://www.ms.ro/2020/07/24/buletin-informativ-24-07-2020/" TargetMode="External"/><Relationship Id="rId1716" Type="http://schemas.openxmlformats.org/officeDocument/2006/relationships/hyperlink" Target="https://stirioficiale.ro/informatii/buletin-de-presa-30-iulie-2020-ora-13-00" TargetMode="External"/><Relationship Id="rId1923" Type="http://schemas.openxmlformats.org/officeDocument/2006/relationships/hyperlink" Target="http://www.ms.ro/2020/08/02/buletin-informativ-02-08-2020/" TargetMode="External"/><Relationship Id="rId4122" Type="http://schemas.openxmlformats.org/officeDocument/2006/relationships/hyperlink" Target="http://www.ms.ro/2020/08/25/buletin-informativ-25-08-2020" TargetMode="External"/><Relationship Id="rId3888" Type="http://schemas.openxmlformats.org/officeDocument/2006/relationships/hyperlink" Target="http://www.ms.ro/2020/08/21/buletin-informativ-21-08-2020" TargetMode="External"/><Relationship Id="rId2697" Type="http://schemas.openxmlformats.org/officeDocument/2006/relationships/hyperlink" Target="https://www.ebihoreanul.ro/stiri/pandemia-in-bihor-inca-un-deces-si-peste-50-de-cazuri-noi-de-covid-19-au-fost-raportate-si-multe-vindecari-158157.html" TargetMode="External"/><Relationship Id="rId3748" Type="http://schemas.openxmlformats.org/officeDocument/2006/relationships/hyperlink" Target="http://www.ms.ro/2020/08/20/buletin-informativ-20-08-2020" TargetMode="External"/><Relationship Id="rId669" Type="http://schemas.openxmlformats.org/officeDocument/2006/relationships/hyperlink" Target="http://www.ms.ro/2020/04/24/buletin-informativ-24-04-2020/" TargetMode="External"/><Relationship Id="rId876" Type="http://schemas.openxmlformats.org/officeDocument/2006/relationships/hyperlink" Target="http://www.ms.ro/2020/04/30/buletin-informativ-30-04-2020/" TargetMode="External"/><Relationship Id="rId1299" Type="http://schemas.openxmlformats.org/officeDocument/2006/relationships/hyperlink" Target="http://www.ms.ro/2020/06/13/buletin-informativ-13-06-2020/" TargetMode="External"/><Relationship Id="rId2557" Type="http://schemas.openxmlformats.org/officeDocument/2006/relationships/hyperlink" Target="https://stirioficiale.ro/informatii/buletin-de-presa-9-august-2020-ora-13-00" TargetMode="External"/><Relationship Id="rId3608" Type="http://schemas.openxmlformats.org/officeDocument/2006/relationships/hyperlink" Target="http://www.ms.ro/2020/08/19/buletin-informativ-19-08-2020" TargetMode="External"/><Relationship Id="rId3955" Type="http://schemas.openxmlformats.org/officeDocument/2006/relationships/hyperlink" Target="https://www.ebihoreanul.ro/stiri/niciun-deces-in-bihor-si-zeci-de-pacienti-covid-vindecati-dar-si-40-noi-imbolnaviri-inclusiv-angajati-ai-maternitatii-si-spitalului-militar-158339.html" TargetMode="External"/><Relationship Id="rId529" Type="http://schemas.openxmlformats.org/officeDocument/2006/relationships/hyperlink" Target="https://stirioficiale.ro/informatii/buletin-de-presa-21-aprilie-2020-ora-13-40" TargetMode="External"/><Relationship Id="rId736" Type="http://schemas.openxmlformats.org/officeDocument/2006/relationships/hyperlink" Target="https://stirioficiale.ro/informatii/buletin-de-presa-27-aprilie-2020-ora-13-00" TargetMode="External"/><Relationship Id="rId1159" Type="http://schemas.openxmlformats.org/officeDocument/2006/relationships/hyperlink" Target="https://stirioficiale.ro/informatii/buletin-de-presa-29-mai-2020-ora-13-00" TargetMode="External"/><Relationship Id="rId1366" Type="http://schemas.openxmlformats.org/officeDocument/2006/relationships/hyperlink" Target="https://stirioficiale.ro/informatii/buletin-de-presa-5-iulie-2020-ora-13-00" TargetMode="External"/><Relationship Id="rId2417" Type="http://schemas.openxmlformats.org/officeDocument/2006/relationships/hyperlink" Target="https://stirioficiale.ro/informatii/buletin-de-presa-8-august-2020-ora-13-00" TargetMode="External"/><Relationship Id="rId2764" Type="http://schemas.openxmlformats.org/officeDocument/2006/relationships/hyperlink" Target="http://www.ms.ro/2020/08/11/buletin-informativ-11-08-2020" TargetMode="External"/><Relationship Id="rId2971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3815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943" Type="http://schemas.openxmlformats.org/officeDocument/2006/relationships/hyperlink" Target="http://www.ms.ro/2020/05/03/buletin-informativ-03-05-2020/" TargetMode="External"/><Relationship Id="rId1019" Type="http://schemas.openxmlformats.org/officeDocument/2006/relationships/hyperlink" Target="http://www.ms.ro/2020/05/18/buletin-informativ-18-05-2020/" TargetMode="External"/><Relationship Id="rId1573" Type="http://schemas.openxmlformats.org/officeDocument/2006/relationships/hyperlink" Target="http://www.ms.ro/2020/07/27/buletin-informativ-27-07-2020/" TargetMode="External"/><Relationship Id="rId1780" Type="http://schemas.openxmlformats.org/officeDocument/2006/relationships/hyperlink" Target="https://stirioficiale.ro/informatii/buletin-de-presa-30-iulie-2020-ora-13-00" TargetMode="External"/><Relationship Id="rId2624" Type="http://schemas.openxmlformats.org/officeDocument/2006/relationships/hyperlink" Target="http://www.ms.ro/2020/08/10/buletin-informativ-10-08-2020" TargetMode="External"/><Relationship Id="rId2831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72" Type="http://schemas.openxmlformats.org/officeDocument/2006/relationships/hyperlink" Target="http://www.ms.ro/2020/04/07/buletin-informativ-07-04-2020/" TargetMode="External"/><Relationship Id="rId803" Type="http://schemas.openxmlformats.org/officeDocument/2006/relationships/hyperlink" Target="http://www.ms.ro/2020/04/28/buletin-informativ-28-04-2020/" TargetMode="External"/><Relationship Id="rId1226" Type="http://schemas.openxmlformats.org/officeDocument/2006/relationships/hyperlink" Target="http://www.ms.ro/2020/06/02/buletin-informativ-02-06-2020/" TargetMode="External"/><Relationship Id="rId1433" Type="http://schemas.openxmlformats.org/officeDocument/2006/relationships/hyperlink" Target="http://www.ms.ro/2020/07/17/buletin-informati-17-07-2020/" TargetMode="External"/><Relationship Id="rId1640" Type="http://schemas.openxmlformats.org/officeDocument/2006/relationships/hyperlink" Target="https://stirioficiale.ro/informatii/buletin-de-presa-28-iulie-2020-ora-13-00" TargetMode="External"/><Relationship Id="rId1500" Type="http://schemas.openxmlformats.org/officeDocument/2006/relationships/hyperlink" Target="https://stirioficiale.ro/informatii/buletin-de-presa-23-iulie-2020-ora-13-00" TargetMode="External"/><Relationship Id="rId3398" Type="http://schemas.openxmlformats.org/officeDocument/2006/relationships/hyperlink" Target="http://www.ms.ro/2020/08/17/buletin-informativ-17-08-2020" TargetMode="External"/><Relationship Id="rId3258" Type="http://schemas.openxmlformats.org/officeDocument/2006/relationships/hyperlink" Target="http://www.ms.ro/2020/08/16/buletin-informativ-16-08-2020" TargetMode="External"/><Relationship Id="rId3465" Type="http://schemas.openxmlformats.org/officeDocument/2006/relationships/hyperlink" Target="https://www.ebihoreanul.ro/stiri/coronavirus-in-bihor-inca-doua-decese-si-45-de-cazuri-noi-vezi-din-ce-localitati-158277.html" TargetMode="External"/><Relationship Id="rId3672" Type="http://schemas.openxmlformats.org/officeDocument/2006/relationships/hyperlink" Target="http://www.ms.ro/2020/08/20/buletin-informativ-20-08-2020" TargetMode="External"/><Relationship Id="rId179" Type="http://schemas.openxmlformats.org/officeDocument/2006/relationships/hyperlink" Target="http://www.ms.ro/2020/04/13/buletin-informativ-13-04-2020/" TargetMode="External"/><Relationship Id="rId386" Type="http://schemas.openxmlformats.org/officeDocument/2006/relationships/hyperlink" Target="http://www.ms.ro/2020/04/16/buletin-informativ-16-04-2020/" TargetMode="External"/><Relationship Id="rId593" Type="http://schemas.openxmlformats.org/officeDocument/2006/relationships/hyperlink" Target="http://www.ms.ro/2020/04/22/buletin-informativ-22-04-2020/" TargetMode="External"/><Relationship Id="rId2067" Type="http://schemas.openxmlformats.org/officeDocument/2006/relationships/hyperlink" Target="https://stirioficiale.ro/informatii/buletin-de-presa-3-august-2020-ora-13-00" TargetMode="External"/><Relationship Id="rId2274" Type="http://schemas.openxmlformats.org/officeDocument/2006/relationships/hyperlink" Target="http://www.ms.ro/2020/08/06/buletin-informativ-06-08-2020/" TargetMode="External"/><Relationship Id="rId2481" Type="http://schemas.openxmlformats.org/officeDocument/2006/relationships/hyperlink" Target="https://stirioficiale.ro/informatii/buletin-de-presa-8-august-2020-ora-13-00" TargetMode="External"/><Relationship Id="rId3118" Type="http://schemas.openxmlformats.org/officeDocument/2006/relationships/hyperlink" Target="http://www.ms.ro/2020/08/14/buletin-informativ-14-08-2020" TargetMode="External"/><Relationship Id="rId3325" Type="http://schemas.openxmlformats.org/officeDocument/2006/relationships/hyperlink" Target="https://www.ebihoreanul.ro/stiri/coronavirus-in-bihor-inca-trei-decese-inregistrate-50-de-cazuri-noi-diagnosticate-nicio-persoana-vindecata-158239.html" TargetMode="External"/><Relationship Id="rId3532" Type="http://schemas.openxmlformats.org/officeDocument/2006/relationships/hyperlink" Target="http://www.ms.ro/2020/08/19/buletin-informativ-19-08-2020" TargetMode="External"/><Relationship Id="rId246" Type="http://schemas.openxmlformats.org/officeDocument/2006/relationships/hyperlink" Target="https://stirioficiale.ro/informatii/buletin-de-presa-13-aprilie-2020-ora-13-85" TargetMode="External"/><Relationship Id="rId453" Type="http://schemas.openxmlformats.org/officeDocument/2006/relationships/hyperlink" Target="https://stirioficiale.ro/informatii/buletin-de-presa-20-aprilie-2020-ora-13-00" TargetMode="External"/><Relationship Id="rId660" Type="http://schemas.openxmlformats.org/officeDocument/2006/relationships/hyperlink" Target="https://stirioficiale.ro/informatii/buletin-de-presa-23-aprilie-2020-ora-13-00" TargetMode="External"/><Relationship Id="rId1083" Type="http://schemas.openxmlformats.org/officeDocument/2006/relationships/hyperlink" Target="http://www.ms.ro/2020/05/23/buletin-informativ-23-05-2020/" TargetMode="External"/><Relationship Id="rId1290" Type="http://schemas.openxmlformats.org/officeDocument/2006/relationships/hyperlink" Target="https://stirioficiale.ro/informatii/buletin-de-presa-11-iunie-2020-ora-13-00" TargetMode="External"/><Relationship Id="rId2134" Type="http://schemas.openxmlformats.org/officeDocument/2006/relationships/hyperlink" Target="http://www.ms.ro/2020/08/05/buletin-informativ-05-08-2020/" TargetMode="External"/><Relationship Id="rId2341" Type="http://schemas.openxmlformats.org/officeDocument/2006/relationships/hyperlink" Target="https://www.ebihoreanul.ro/stiri/a-patra-zi-la-rand-cu-decese-covid-in-bihor-si-53-noi-imbolnaviri-in-ultimele-24-de-ore-158087.html" TargetMode="External"/><Relationship Id="rId106" Type="http://schemas.openxmlformats.org/officeDocument/2006/relationships/hyperlink" Target="http://www.ms.ro/2020/05/06/decese-855-858/" TargetMode="External"/><Relationship Id="rId313" Type="http://schemas.openxmlformats.org/officeDocument/2006/relationships/hyperlink" Target="http://www.ms.ro/2020/04/13/buletin-informativ-13-04-2020/" TargetMode="External"/><Relationship Id="rId1150" Type="http://schemas.openxmlformats.org/officeDocument/2006/relationships/hyperlink" Target="http://www.ms.ro/2020/05/29/buletin-informativ-29-05-2020/" TargetMode="External"/><Relationship Id="rId4099" Type="http://schemas.openxmlformats.org/officeDocument/2006/relationships/hyperlink" Target="https://www.ebihoreanul.ro/stiri/inca-trei-decese-ale-unor-pacienti-infectati-cu-covid-19-in-bihor-cazuri-noi-de-imbolnavire-dar-si-multe-vindecari-158365.html" TargetMode="External"/><Relationship Id="rId520" Type="http://schemas.openxmlformats.org/officeDocument/2006/relationships/hyperlink" Target="http://www.ms.ro/2020/04/21/buletin-informativ-21-04-2020/" TargetMode="External"/><Relationship Id="rId2201" Type="http://schemas.openxmlformats.org/officeDocument/2006/relationships/hyperlink" Target="https://www.ebihoreanul.ro/stiri/record-dupa-record-in-bihor-intr-o-singura-zi-3-morti-si-59-noi-imbolnaviri-cu-covid-158047.html" TargetMode="External"/><Relationship Id="rId1010" Type="http://schemas.openxmlformats.org/officeDocument/2006/relationships/hyperlink" Target="https://www.fanatik.ro/mai-multi-medici-reintorsi-din-republica-moldova-depistati-cu-noul-coronavirus-19201115" TargetMode="External"/><Relationship Id="rId1967" Type="http://schemas.openxmlformats.org/officeDocument/2006/relationships/hyperlink" Target="http://www.ms.ro/2020/08/03/buletin-informativ-03-08-2020/" TargetMode="External"/><Relationship Id="rId4166" Type="http://schemas.openxmlformats.org/officeDocument/2006/relationships/hyperlink" Target="http://www.ms.ro/2020/08/25/buletin-informativ-25-08-2020" TargetMode="External"/><Relationship Id="rId4026" Type="http://schemas.openxmlformats.org/officeDocument/2006/relationships/hyperlink" Target="http://www.ms.ro/2020/08/23/buletin-informativ-23-08-2020" TargetMode="External"/><Relationship Id="rId3042" Type="http://schemas.openxmlformats.org/officeDocument/2006/relationships/hyperlink" Target="http://www.ms.ro/2020/08/14/buletin-informativ-14-08-2020" TargetMode="External"/><Relationship Id="rId3859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2875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3926" Type="http://schemas.openxmlformats.org/officeDocument/2006/relationships/hyperlink" Target="http://www.ms.ro/2020/08/22/buletin-informativ-22-08-2020" TargetMode="External"/><Relationship Id="rId847" Type="http://schemas.openxmlformats.org/officeDocument/2006/relationships/hyperlink" Target="http://www.ms.ro/2020/04/29/buletin-informativ-29-04-2020/" TargetMode="External"/><Relationship Id="rId1477" Type="http://schemas.openxmlformats.org/officeDocument/2006/relationships/hyperlink" Target="http://www.ms.ro/2020/07/23/buletin-informativ-23-07-2020/" TargetMode="External"/><Relationship Id="rId1891" Type="http://schemas.openxmlformats.org/officeDocument/2006/relationships/hyperlink" Target="http://www.ms.ro/2020/08/01/buletin-informativ-01-08-2020/" TargetMode="External"/><Relationship Id="rId2528" Type="http://schemas.openxmlformats.org/officeDocument/2006/relationships/hyperlink" Target="http://www.ms.ro/2020/08/09/buletin-informativ-09-08-2020" TargetMode="External"/><Relationship Id="rId2942" Type="http://schemas.openxmlformats.org/officeDocument/2006/relationships/hyperlink" Target="http://www.ms.ro/2020/08/13/buletin-informativ-13-08-2020" TargetMode="External"/><Relationship Id="rId914" Type="http://schemas.openxmlformats.org/officeDocument/2006/relationships/hyperlink" Target="http://www.ms.ro/2020/05/01/buletin-informativ-01-05-2020/" TargetMode="External"/><Relationship Id="rId1544" Type="http://schemas.openxmlformats.org/officeDocument/2006/relationships/hyperlink" Target="https://stirioficiale.ro/informatii/buletin-de-presa-25-iulie-2020-ora-13-00" TargetMode="External"/><Relationship Id="rId1611" Type="http://schemas.openxmlformats.org/officeDocument/2006/relationships/hyperlink" Target="http://www.ms.ro/2020/07/27/buletin-informativ-27-07-2020/" TargetMode="External"/><Relationship Id="rId3369" Type="http://schemas.openxmlformats.org/officeDocument/2006/relationships/hyperlink" Target="https://www.ebihoreanul.ro/stiri/dupa-doua-saptamani-numarul-imbolnavirilor-covid-scade-in-bihor-31-noi-infectari-dar-si-un-deces-158256.html" TargetMode="External"/><Relationship Id="rId2385" Type="http://schemas.openxmlformats.org/officeDocument/2006/relationships/hyperlink" Target="https://www.ebihoreanul.ro/stiri/a-patra-zi-la-rand-cu-decese-covid-in-bihor-si-53-noi-imbolnaviri-in-ultimele-24-de-ore-158087.html" TargetMode="External"/><Relationship Id="rId3783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357" Type="http://schemas.openxmlformats.org/officeDocument/2006/relationships/hyperlink" Target="https://stirioficiale.ro/informatii/buletin-de-presa-15-aprilie-2020-ora-13-59" TargetMode="External"/><Relationship Id="rId2038" Type="http://schemas.openxmlformats.org/officeDocument/2006/relationships/hyperlink" Target="http://www.ms.ro/2020/08/03/buletin-informativ-03-08-2020/" TargetMode="External"/><Relationship Id="rId3436" Type="http://schemas.openxmlformats.org/officeDocument/2006/relationships/hyperlink" Target="http://www.ms.ro/2020/08/18/buletin-informativ-18-08-2020" TargetMode="External"/><Relationship Id="rId3850" Type="http://schemas.openxmlformats.org/officeDocument/2006/relationships/hyperlink" Target="http://www.ms.ro/2020/08/21/buletin-informativ-21-08-2020" TargetMode="External"/><Relationship Id="rId771" Type="http://schemas.openxmlformats.org/officeDocument/2006/relationships/hyperlink" Target="http://www.ms.ro/2020/04/27/buletin-informativ-27-04-2020/" TargetMode="External"/><Relationship Id="rId2452" Type="http://schemas.openxmlformats.org/officeDocument/2006/relationships/hyperlink" Target="http://www.ms.ro/2020/08/08/buletin-informativ-08-08-2020" TargetMode="External"/><Relationship Id="rId3503" Type="http://schemas.openxmlformats.org/officeDocument/2006/relationships/hyperlink" Target="https://www.ebihoreanul.ro/stiri/covid-nu-iarta-inca-doi-bihoreni-cu-coronavirus-au-murit-iar-alti-54-au-fost-depistati-pozitiv-inclusiv-cadre-medicale-158296.html" TargetMode="External"/><Relationship Id="rId424" Type="http://schemas.openxmlformats.org/officeDocument/2006/relationships/hyperlink" Target="http://www.ms.ro/2020/04/18/buletin-informativ-18-04-2020/" TargetMode="External"/><Relationship Id="rId1054" Type="http://schemas.openxmlformats.org/officeDocument/2006/relationships/hyperlink" Target="https://stirioficiale.ro/informatii/buletin-de-presa-22-mai-2020-ora-13-00" TargetMode="External"/><Relationship Id="rId2105" Type="http://schemas.openxmlformats.org/officeDocument/2006/relationships/hyperlink" Target="https://www.ebihoreanul.ro/stiri/record-dupa-record-in-bihor-intr-o-singura-zi-3-morti-si-59-noi-imbolnaviri-cu-covid-158047.html" TargetMode="External"/><Relationship Id="rId1121" Type="http://schemas.openxmlformats.org/officeDocument/2006/relationships/hyperlink" Target="https://stirioficiale.ro/informatii/buletin-de-presa-28-mai-2020-ora-13-00" TargetMode="External"/><Relationship Id="rId3293" Type="http://schemas.openxmlformats.org/officeDocument/2006/relationships/hyperlink" Target="https://www.ebihoreanul.ro/stiri/coronavirus-in-bihor-inca-trei-decese-inregistrate-50-de-cazuri-noi-diagnosticate-nicio-persoana-vindecata-158239.html" TargetMode="External"/><Relationship Id="rId1938" Type="http://schemas.openxmlformats.org/officeDocument/2006/relationships/hyperlink" Target="https://stirioficiale.ro/informatii/buletin-de-presa-2-august-2020-ora-13-00" TargetMode="External"/><Relationship Id="rId3360" Type="http://schemas.openxmlformats.org/officeDocument/2006/relationships/hyperlink" Target="http://www.ms.ro/2020/08/17/buletin-informativ-17-08-2020" TargetMode="External"/><Relationship Id="rId281" Type="http://schemas.openxmlformats.org/officeDocument/2006/relationships/hyperlink" Target="http://www.ms.ro/2020/04/13/buletin-informativ-13-04-2020/" TargetMode="External"/><Relationship Id="rId3013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2779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Relationship Id="rId1795" Type="http://schemas.openxmlformats.org/officeDocument/2006/relationships/hyperlink" Target="http://www.ms.ro/2020/07/31/buletin-informativ-31-07-2020/" TargetMode="External"/><Relationship Id="rId2846" Type="http://schemas.openxmlformats.org/officeDocument/2006/relationships/hyperlink" Target="http://www.ms.ro/2020/08/12/buletin-informativ-12-08-2020" TargetMode="External"/><Relationship Id="rId87" Type="http://schemas.openxmlformats.org/officeDocument/2006/relationships/hyperlink" Target="http://www.ms.ro/2020/04/09/buletin-informativ-09-04-2020/" TargetMode="External"/><Relationship Id="rId818" Type="http://schemas.openxmlformats.org/officeDocument/2006/relationships/hyperlink" Target="https://stirioficiale.ro/informatii/buletin-de-presa-28-aprilie-2020-ora-13-00" TargetMode="External"/><Relationship Id="rId1448" Type="http://schemas.openxmlformats.org/officeDocument/2006/relationships/hyperlink" Target="https://stirioficiale.ro/informatii/buletin-de-presa-21-iulie-2020-ora-13-00" TargetMode="External"/><Relationship Id="rId1862" Type="http://schemas.openxmlformats.org/officeDocument/2006/relationships/hyperlink" Target="https://stirioficiale.ro/informatii/informare-de-presa-01-august-2020" TargetMode="External"/><Relationship Id="rId2913" Type="http://schemas.openxmlformats.org/officeDocument/2006/relationships/hyperlink" Target="https://www.ebihoreanul.ro/stiri/3-noi-decese-covid-in-bihor-si-un-nou-record-de-imbolnaviri-66-campion-judetean-este-orasul-nucet-cu-14-cazuri-noi-158195.html" TargetMode="External"/><Relationship Id="rId1515" Type="http://schemas.openxmlformats.org/officeDocument/2006/relationships/hyperlink" Target="http://www.ms.ro/2020/07/24/buletin-informativ-24-07-2020/" TargetMode="External"/><Relationship Id="rId3687" Type="http://schemas.openxmlformats.org/officeDocument/2006/relationships/hyperlink" Target="https://www.ebihoreanul.ro/stiri/record-alarmant-in-bihor-inca-85-de-cazuri-noi-de-covid-si-inca-doua-decese-158311.html" TargetMode="External"/><Relationship Id="rId2289" Type="http://schemas.openxmlformats.org/officeDocument/2006/relationships/hyperlink" Target="https://www.ebihoreanul.ro/stiri/a-treia-zi-consecutiva-cu-decese-covid-in-bihor-si-inca-35-noi-imbolnaviri-raportate-oficial-pentru-ultimele-24-de-ore-158069.html" TargetMode="External"/><Relationship Id="rId3754" Type="http://schemas.openxmlformats.org/officeDocument/2006/relationships/hyperlink" Target="http://www.ms.ro/2020/08/20/buletin-informativ-20-08-2020" TargetMode="External"/><Relationship Id="rId675" Type="http://schemas.openxmlformats.org/officeDocument/2006/relationships/hyperlink" Target="http://www.ms.ro/2020/04/24/buletin-informativ-24-04-2020/" TargetMode="External"/><Relationship Id="rId2356" Type="http://schemas.openxmlformats.org/officeDocument/2006/relationships/hyperlink" Target="http://www.ms.ro/2020/08/07/buletin-informativ-07-08-2020/" TargetMode="External"/><Relationship Id="rId2770" Type="http://schemas.openxmlformats.org/officeDocument/2006/relationships/hyperlink" Target="http://www.ms.ro/2020/08/11/buletin-informativ-11-08-2020" TargetMode="External"/><Relationship Id="rId3407" Type="http://schemas.openxmlformats.org/officeDocument/2006/relationships/hyperlink" Target="https://www.ebihoreanul.ro/stiri/dupa-doua-saptamani-numarul-imbolnavirilor-covid-scade-in-bihor-31-noi-infectari-dar-si-un-deces-158256.html" TargetMode="External"/><Relationship Id="rId3821" Type="http://schemas.openxmlformats.org/officeDocument/2006/relationships/hyperlink" Target="https://www.ebihoreanul.ro/stiri/record-negru-in-bihor-cu-6-morti-si-67-noi-imbolnaviri-de-covid-ne-apropiem-de-2000-cazuri-in-total-si-peste-1000-cazuri-active-158328.html" TargetMode="External"/><Relationship Id="rId328" Type="http://schemas.openxmlformats.org/officeDocument/2006/relationships/hyperlink" Target="http://www.ms.ro/2020/04/14/buletin-informativ-14-04-2020/" TargetMode="External"/><Relationship Id="rId742" Type="http://schemas.openxmlformats.org/officeDocument/2006/relationships/hyperlink" Target="https://stirioficiale.ro/informatii/buletin-de-presa-27-aprilie-2020-ora-13-00" TargetMode="External"/><Relationship Id="rId1372" Type="http://schemas.openxmlformats.org/officeDocument/2006/relationships/hyperlink" Target="https://stirioficiale.ro/informatii/buletin-de-presa-5-iulie-2020-ora-13-00" TargetMode="External"/><Relationship Id="rId2009" Type="http://schemas.openxmlformats.org/officeDocument/2006/relationships/hyperlink" Target="http://www.ms.ro/2020/08/03/buletin-informativ-03-08-2020/" TargetMode="External"/><Relationship Id="rId2423" Type="http://schemas.openxmlformats.org/officeDocument/2006/relationships/hyperlink" Target="https://stirioficiale.ro/informatii/buletin-de-presa-8-august-2020-ora-13-00" TargetMode="External"/><Relationship Id="rId1025" Type="http://schemas.openxmlformats.org/officeDocument/2006/relationships/hyperlink" Target="https://stirioficiale.ro/informatii/buletin-de-presa-19-mai-2020-ora-13-00" TargetMode="External"/><Relationship Id="rId3197" Type="http://schemas.openxmlformats.org/officeDocument/2006/relationships/hyperlink" Target="https://www.ebihoreanul.ro/stiri/coronavirus-in-bihor-inca-doua-decese-inregistrate-58-de-noi-cazuri-diagnosticate-73-de-persoane-vindecate-158232.html" TargetMode="External"/><Relationship Id="rId185" Type="http://schemas.openxmlformats.org/officeDocument/2006/relationships/hyperlink" Target="http://www.ms.ro/2020/04/13/buletin-informativ-13-04-2020/" TargetMode="External"/><Relationship Id="rId1909" Type="http://schemas.openxmlformats.org/officeDocument/2006/relationships/hyperlink" Target="http://www.ms.ro/2020/08/01/buletin-informativ-01-08-2020/" TargetMode="External"/><Relationship Id="rId3264" Type="http://schemas.openxmlformats.org/officeDocument/2006/relationships/hyperlink" Target="http://www.ms.ro/2020/08/16/buletin-informativ-16-08-2020" TargetMode="External"/><Relationship Id="rId2280" Type="http://schemas.openxmlformats.org/officeDocument/2006/relationships/hyperlink" Target="http://www.ms.ro/2020/08/06/buletin-informativ-06-08-2020/" TargetMode="External"/><Relationship Id="rId3331" Type="http://schemas.openxmlformats.org/officeDocument/2006/relationships/hyperlink" Target="https://www.ebihoreanul.ro/stiri/coronavirus-in-bihor-inca-trei-decese-inregistrate-50-de-cazuri-noi-diagnosticate-nicio-persoana-vindecata-158239.html" TargetMode="External"/><Relationship Id="rId252" Type="http://schemas.openxmlformats.org/officeDocument/2006/relationships/hyperlink" Target="https://stirioficiale.ro/informatii/buletin-de-presa-13-aprilie-2020-ora-13-88" TargetMode="External"/><Relationship Id="rId1699" Type="http://schemas.openxmlformats.org/officeDocument/2006/relationships/hyperlink" Target="http://www.ms.ro/2020/07/30/buletin-informativ-30-07-2020/" TargetMode="External"/><Relationship Id="rId2000" Type="http://schemas.openxmlformats.org/officeDocument/2006/relationships/hyperlink" Target="http://www.ms.ro/2020/08/03/buletin-informativ-03-08-2020/" TargetMode="External"/><Relationship Id="rId4172" Type="http://schemas.openxmlformats.org/officeDocument/2006/relationships/hyperlink" Target="http://www.ms.ro/2020/08/25/buletin-informativ-25-08-2020" TargetMode="External"/><Relationship Id="rId1766" Type="http://schemas.openxmlformats.org/officeDocument/2006/relationships/hyperlink" Target="https://stirioficiale.ro/informatii/buletin-de-presa-30-iulie-2020-ora-13-00" TargetMode="External"/><Relationship Id="rId2817" Type="http://schemas.openxmlformats.org/officeDocument/2006/relationships/hyperlink" Target="https://www.ebihoreanul.ro/stiri/ziua-si-decesul-inca-un-bihorean-infectat-cu-covid-19-a-murit-55-de-noi-imbolnaviri-inclusiv-in-randul-angajatilor-spitalului-privat-pelican-15817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2116"/>
  <sheetViews>
    <sheetView tabSelected="1" topLeftCell="A1011" workbookViewId="0">
      <selection activeCell="D917" sqref="D917:D1033"/>
    </sheetView>
  </sheetViews>
  <sheetFormatPr defaultColWidth="14.453125" defaultRowHeight="15.75" customHeight="1"/>
  <cols>
    <col min="1" max="1" width="8.453125" customWidth="1"/>
    <col min="4" max="4" width="20.7265625" style="14" customWidth="1"/>
    <col min="12" max="12" width="22.26953125" customWidth="1"/>
  </cols>
  <sheetData>
    <row r="1" spans="1:35">
      <c r="A1" s="1" t="str">
        <f ca="1">IFERROR(__xludf.DUMMYFUNCTION("QUERY(IMPORTRANGE(""1EprVqIotFV0BRNCxZTACChVSpWxqqXdOpKiSdWaX8XU"", ""bh!A1:AC20000""), ""Select *"")"),"ID")</f>
        <v>ID</v>
      </c>
      <c r="B1" s="2" t="str">
        <f ca="1">IFERROR(__xludf.DUMMYFUNCTION("""COMPUTED_VALUE"""),"Sursa")</f>
        <v>Sursa</v>
      </c>
      <c r="C1" s="2" t="str">
        <f ca="1">IFERROR(__xludf.DUMMYFUNCTION("""COMPUTED_VALUE"""),"Județ")</f>
        <v>Județ</v>
      </c>
      <c r="D1" s="12" t="str">
        <f ca="1">IFERROR(__xludf.DUMMYFUNCTION("""COMPUTED_VALUE"""),"Dată diagnostic")</f>
        <v>Dată diagnostic</v>
      </c>
      <c r="E1" s="2" t="str">
        <f ca="1">IFERROR(__xludf.DUMMYFUNCTION("""COMPUTED_VALUE"""),"Dată certă")</f>
        <v>Dată certă</v>
      </c>
      <c r="F1" s="2" t="str">
        <f ca="1">IFERROR(__xludf.DUMMYFUNCTION("""COMPUTED_VALUE"""),"Vindecat")</f>
        <v>Vindecat</v>
      </c>
      <c r="G1" s="2" t="str">
        <f ca="1">IFERROR(__xludf.DUMMYFUNCTION("""COMPUTED_VALUE"""),"Dată vindecare")</f>
        <v>Dată vindecare</v>
      </c>
      <c r="H1" s="2" t="str">
        <f ca="1">IFERROR(__xludf.DUMMYFUNCTION("""COMPUTED_VALUE"""),"Dată deces")</f>
        <v>Dată deces</v>
      </c>
      <c r="I1" s="2" t="str">
        <f ca="1">IFERROR(__xludf.DUMMYFUNCTION("""COMPUTED_VALUE"""),"Gen")</f>
        <v>Gen</v>
      </c>
      <c r="J1" s="2" t="str">
        <f ca="1">IFERROR(__xludf.DUMMYFUNCTION("""COMPUTED_VALUE"""),"Vârsta")</f>
        <v>Vârsta</v>
      </c>
      <c r="K1" s="3" t="str">
        <f ca="1">IFERROR(__xludf.DUMMYFUNCTION("""COMPUTED_VALUE"""),"Referință confirmare caz")</f>
        <v>Referință confirmare caz</v>
      </c>
      <c r="L1" s="3" t="str">
        <f ca="1">IFERROR(__xludf.DUMMYFUNCTION("""COMPUTED_VALUE"""),"Referință vindecare/deces")</f>
        <v>Referință vindecare/deces</v>
      </c>
      <c r="M1" s="3" t="str">
        <f ca="1">IFERROR(__xludf.DUMMYFUNCTION("""COMPUTED_VALUE"""),"Localitatea")</f>
        <v>Localitatea</v>
      </c>
      <c r="N1" s="3" t="str">
        <f ca="1">IFERROR(__xludf.DUMMYFUNCTION("""COMPUTED_VALUE"""),"Asimptomatic")</f>
        <v>Asimptomatic</v>
      </c>
      <c r="O1" s="3" t="str">
        <f ca="1">IFERROR(__xludf.DUMMYFUNCTION("""COMPUTED_VALUE"""),"Afectiuni preexistente")</f>
        <v>Afectiuni preexistente</v>
      </c>
      <c r="P1" s="3" t="str">
        <f ca="1">IFERROR(__xludf.DUMMYFUNCTION("""COMPUTED_VALUE"""),"Alte informații")</f>
        <v>Alte informații</v>
      </c>
      <c r="Q1" s="3" t="str">
        <f ca="1">IFERROR(__xludf.DUMMYFUNCTION("""COMPUTED_VALUE"""),"Transmisie ")</f>
        <v xml:space="preserve">Transmisie </v>
      </c>
      <c r="R1" s="3" t="str">
        <f ca="1">IFERROR(__xludf.DUMMYFUNCTION("""COMPUTED_VALUE"""),"Țara probabilă de infectare")</f>
        <v>Țara probabilă de infectare</v>
      </c>
      <c r="S1" s="2" t="str">
        <f ca="1">IFERROR(__xludf.DUMMYFUNCTION("""COMPUTED_VALUE"""),"Voluntar")</f>
        <v>Voluntar</v>
      </c>
      <c r="T1" s="4" t="str">
        <f ca="1">IFERROR(__xludf.DUMMYFUNCTION("""COMPUTED_VALUE"""),"Comunicat MS")</f>
        <v>Comunicat MS</v>
      </c>
      <c r="U1" s="4" t="str">
        <f ca="1">IFERROR(__xludf.DUMMYFUNCTION("""COMPUTED_VALUE"""),"Deces nr")</f>
        <v>Deces nr</v>
      </c>
      <c r="V1" s="4" t="str">
        <f ca="1">IFERROR(__xludf.DUMMYFUNCTION("""COMPUTED_VALUE"""),"Data comunicat
Ministerul sănătății:")</f>
        <v>Data comunicat
Ministerul sănătății:</v>
      </c>
      <c r="W1" s="4" t="str">
        <f ca="1">IFERROR(__xludf.DUMMYFUNCTION("""COMPUTED_VALUE"""),"Recoltat probe biologice pentru COVID 19 la data :")</f>
        <v>Recoltat probe biologice pentru COVID 19 la data :</v>
      </c>
      <c r="X1" s="4" t="str">
        <f ca="1">IFERROR(__xludf.DUMMYFUNCTION("""COMPUTED_VALUE"""),"Confirmat Covid19 la data:")</f>
        <v>Confirmat Covid19 la data:</v>
      </c>
      <c r="Y1" s="4" t="str">
        <f ca="1">IFERROR(__xludf.DUMMYFUNCTION("""COMPUTED_VALUE"""),"Confirmat 
post-mortem")</f>
        <v>Confirmat 
post-mortem</v>
      </c>
      <c r="Z1" s="4" t="str">
        <f ca="1">IFERROR(__xludf.DUMMYFUNCTION("""COMPUTED_VALUE"""),"Internat spital/
Neinternat")</f>
        <v>Internat spital/
Neinternat</v>
      </c>
      <c r="AA1" s="4" t="str">
        <f ca="1">IFERROR(__xludf.DUMMYFUNCTION("""COMPUTED_VALUE"""),"Contact 
epidemiologic 
valid
(Da/Nu)
")</f>
        <v xml:space="preserve">Contact 
epidemiologic 
valid
(Da/Nu)
</v>
      </c>
      <c r="AB1" s="4" t="str">
        <f ca="1">IFERROR(__xludf.DUMMYFUNCTION("""COMPUTED_VALUE"""),"Internat 1st time in:")</f>
        <v>Internat 1st time in:</v>
      </c>
      <c r="AC1" s="4" t="str">
        <f ca="1">IFERROR(__xludf.DUMMYFUNCTION("""COMPUTED_VALUE"""),"Check")</f>
        <v>Check</v>
      </c>
      <c r="AD1" s="4"/>
      <c r="AE1" s="4"/>
      <c r="AF1" s="4"/>
      <c r="AG1" s="4"/>
      <c r="AH1" s="4"/>
      <c r="AI1" s="4"/>
    </row>
    <row r="2" spans="1:35" ht="15.75" customHeight="1">
      <c r="A2" s="5">
        <f ca="1">IFERROR(__xludf.DUMMYFUNCTION("""COMPUTED_VALUE"""),89)</f>
        <v>89</v>
      </c>
      <c r="B2" s="5"/>
      <c r="C2" s="5" t="str">
        <f ca="1">IFERROR(__xludf.DUMMYFUNCTION("""COMPUTED_VALUE"""),"Bihor")</f>
        <v>Bihor</v>
      </c>
      <c r="D2" s="13">
        <f ca="1">IFERROR(__xludf.DUMMYFUNCTION("""COMPUTED_VALUE"""),43903)</f>
        <v>43903</v>
      </c>
      <c r="E2" s="5" t="str">
        <f ca="1">IFERROR(__xludf.DUMMYFUNCTION("""COMPUTED_VALUE"""),"Da")</f>
        <v>Da</v>
      </c>
      <c r="F2" s="5"/>
      <c r="G2" s="5"/>
      <c r="H2" s="6"/>
      <c r="I2" s="5" t="str">
        <f ca="1">IFERROR(__xludf.DUMMYFUNCTION("""COMPUTED_VALUE"""),"Feminin")</f>
        <v>Feminin</v>
      </c>
      <c r="J2" s="5">
        <f ca="1">IFERROR(__xludf.DUMMYFUNCTION("""COMPUTED_VALUE"""),49)</f>
        <v>49</v>
      </c>
      <c r="K2" s="7" t="str">
        <f ca="1">IFERROR(__xludf.DUMMYFUNCTION("""COMPUTED_VALUE"""),"https://www.biziday.ro/situatia-infectiilor-cu-coronavirus-din-romania/")</f>
        <v>https://www.biziday.ro/situatia-infectiilor-cu-coronavirus-din-romania/</v>
      </c>
      <c r="L2" s="5"/>
      <c r="M2" s="5"/>
      <c r="N2" s="5"/>
      <c r="O2" s="5"/>
      <c r="P2" s="5" t="str">
        <f ca="1">IFERROR(__xludf.DUMMYFUNCTION("""COMPUTED_VALUE"""),"Autoizolare, dosar penal conform declarației poliției județene Bihor")</f>
        <v>Autoizolare, dosar penal conform declarației poliției județene Bihor</v>
      </c>
      <c r="Q2" s="5" t="str">
        <f ca="1">IFERROR(__xludf.DUMMYFUNCTION("""COMPUTED_VALUE"""),"Strainatate")</f>
        <v>Strainatate</v>
      </c>
      <c r="R2" s="5" t="str">
        <f ca="1">IFERROR(__xludf.DUMMYFUNCTION("""COMPUTED_VALUE"""),"Italia")</f>
        <v>Italia</v>
      </c>
      <c r="S2" s="5" t="str">
        <f ca="1">IFERROR(__xludf.DUMMYFUNCTION("""COMPUTED_VALUE"""),"Cristina")</f>
        <v>Cristina</v>
      </c>
      <c r="T2" s="5" t="str">
        <f ca="1">IFERROR(__xludf.DUMMYFUNCTION("""COMPUTED_VALUE"""),"Caz 89.")</f>
        <v>Caz 89.</v>
      </c>
      <c r="U2" s="5"/>
      <c r="V2" s="5"/>
      <c r="W2" s="5"/>
      <c r="X2" s="5"/>
      <c r="Y2" s="5"/>
      <c r="Z2" s="5"/>
      <c r="AA2" s="5"/>
      <c r="AB2" s="5"/>
      <c r="AC2" s="5"/>
    </row>
    <row r="3" spans="1:35" ht="15.75" customHeight="1">
      <c r="A3" s="5">
        <f ca="1">IFERROR(__xludf.DUMMYFUNCTION("""COMPUTED_VALUE"""),243)</f>
        <v>243</v>
      </c>
      <c r="B3" s="5"/>
      <c r="C3" s="5" t="str">
        <f ca="1">IFERROR(__xludf.DUMMYFUNCTION("""COMPUTED_VALUE"""),"Bihor")</f>
        <v>Bihor</v>
      </c>
      <c r="D3" s="13">
        <f ca="1">IFERROR(__xludf.DUMMYFUNCTION("""COMPUTED_VALUE"""),43908)</f>
        <v>43908</v>
      </c>
      <c r="E3" s="5" t="str">
        <f ca="1">IFERROR(__xludf.DUMMYFUNCTION("""COMPUTED_VALUE"""),"Da")</f>
        <v>Da</v>
      </c>
      <c r="F3" s="5"/>
      <c r="G3" s="5"/>
      <c r="H3" s="6"/>
      <c r="I3" s="5" t="str">
        <f ca="1">IFERROR(__xludf.DUMMYFUNCTION("""COMPUTED_VALUE"""),"Feminin")</f>
        <v>Feminin</v>
      </c>
      <c r="J3" s="5">
        <f ca="1">IFERROR(__xludf.DUMMYFUNCTION("""COMPUTED_VALUE"""),53)</f>
        <v>53</v>
      </c>
      <c r="K3" s="7" t="str">
        <f ca="1">IFERROR(__xludf.DUMMYFUNCTION("""COMPUTED_VALUE"""),"https://www.ebihoreanul.ro/stiri/ultima-or-31-1/dsp-bihor-confirma-a-doua-bolnava-de-coronavirus-din-bihor-este-o-femeie-de-53-de-ani-care-s-a-intors-din-italiasi-se-afla-in-carantina-155255.html")</f>
        <v>https://www.ebihoreanul.ro/stiri/ultima-or-31-1/dsp-bihor-confirma-a-doua-bolnava-de-coronavirus-din-bihor-este-o-femeie-de-53-de-ani-care-s-a-intors-din-italiasi-se-afla-in-carantina-155255.html</v>
      </c>
      <c r="L3" s="5"/>
      <c r="M3" s="5" t="str">
        <f ca="1">IFERROR(__xludf.DUMMYFUNCTION("""COMPUTED_VALUE"""),"Oradea")</f>
        <v>Oradea</v>
      </c>
      <c r="N3" s="5"/>
      <c r="O3" s="5"/>
      <c r="P3" s="5" t="str">
        <f ca="1">IFERROR(__xludf.DUMMYFUNCTION("""COMPUTED_VALUE"""),"Carantină din 12.03")</f>
        <v>Carantină din 12.03</v>
      </c>
      <c r="Q3" s="5" t="str">
        <f ca="1">IFERROR(__xludf.DUMMYFUNCTION("""COMPUTED_VALUE"""),"Strainatate")</f>
        <v>Strainatate</v>
      </c>
      <c r="R3" s="5" t="str">
        <f ca="1">IFERROR(__xludf.DUMMYFUNCTION("""COMPUTED_VALUE"""),"Italia")</f>
        <v>Italia</v>
      </c>
      <c r="S3" s="5" t="str">
        <f ca="1">IFERROR(__xludf.DUMMYFUNCTION("""COMPUTED_VALUE"""),"Octavian")</f>
        <v>Octavian</v>
      </c>
      <c r="T3" s="7" t="str">
        <f ca="1">IFERROR(__xludf.DUMMYFUNCTION("""COMPUTED_VALUE"""),"http://www.ms.ro/2020/03/18/buletin-informativ-18-03-2020-ora-1000/")</f>
        <v>http://www.ms.ro/2020/03/18/buletin-informativ-18-03-2020-ora-1000/</v>
      </c>
      <c r="U3" s="5"/>
      <c r="V3" s="5"/>
      <c r="W3" s="5"/>
      <c r="X3" s="5"/>
      <c r="Y3" s="5"/>
      <c r="Z3" s="5"/>
      <c r="AA3" s="5"/>
      <c r="AB3" s="5"/>
      <c r="AC3" s="5"/>
    </row>
    <row r="4" spans="1:35" ht="15.75" customHeight="1">
      <c r="A4" s="5">
        <f ca="1">IFERROR(__xludf.DUMMYFUNCTION("""COMPUTED_VALUE"""),292)</f>
        <v>292</v>
      </c>
      <c r="B4" s="5"/>
      <c r="C4" s="5" t="str">
        <f ca="1">IFERROR(__xludf.DUMMYFUNCTION("""COMPUTED_VALUE"""),"Bihor")</f>
        <v>Bihor</v>
      </c>
      <c r="D4" s="13">
        <f ca="1">IFERROR(__xludf.DUMMYFUNCTION("""COMPUTED_VALUE"""),43910)</f>
        <v>43910</v>
      </c>
      <c r="E4" s="5" t="str">
        <f ca="1">IFERROR(__xludf.DUMMYFUNCTION("""COMPUTED_VALUE"""),"Da")</f>
        <v>Da</v>
      </c>
      <c r="F4" s="5"/>
      <c r="G4" s="5"/>
      <c r="H4" s="6"/>
      <c r="I4" s="5" t="str">
        <f ca="1">IFERROR(__xludf.DUMMYFUNCTION("""COMPUTED_VALUE"""),"Feminin")</f>
        <v>Feminin</v>
      </c>
      <c r="J4" s="5"/>
      <c r="K4" s="7" t="str">
        <f ca="1">IFERROR(__xludf.DUMMYFUNCTION("""COMPUTED_VALUE"""),"https://www.ebihoreanul.ro/stiri/ultima-or-31-1/inca-trei-diagnosticati-cu-coronavirus-in-bihor-familia-primei-oradence-infectate-este-sanatoasa-155330.html")</f>
        <v>https://www.ebihoreanul.ro/stiri/ultima-or-31-1/inca-trei-diagnosticati-cu-coronavirus-in-bihor-familia-primei-oradence-infectate-este-sanatoasa-155330.html</v>
      </c>
      <c r="L4" s="5"/>
      <c r="M4" s="5"/>
      <c r="N4" s="5"/>
      <c r="O4" s="5"/>
      <c r="P4" s="5" t="str">
        <f ca="1">IFERROR(__xludf.DUMMYFUNCTION("""COMPUTED_VALUE"""),"Carantină 13.03")</f>
        <v>Carantină 13.03</v>
      </c>
      <c r="Q4" s="5" t="str">
        <f ca="1">IFERROR(__xludf.DUMMYFUNCTION("""COMPUTED_VALUE"""),"Strainatate")</f>
        <v>Strainatate</v>
      </c>
      <c r="R4" s="5" t="str">
        <f ca="1">IFERROR(__xludf.DUMMYFUNCTION("""COMPUTED_VALUE"""),"Italia")</f>
        <v>Italia</v>
      </c>
      <c r="S4" s="5" t="str">
        <f ca="1">IFERROR(__xludf.DUMMYFUNCTION("""COMPUTED_VALUE"""),"Octavian")</f>
        <v>Octavian</v>
      </c>
      <c r="T4" s="7" t="str">
        <f ca="1">IFERROR(__xludf.DUMMYFUNCTION("""COMPUTED_VALUE"""),"http://www.ms.ro/2020/03/20/buletin-informativ-20-03-2020/")</f>
        <v>http://www.ms.ro/2020/03/20/buletin-informativ-20-03-2020/</v>
      </c>
      <c r="U4" s="5"/>
      <c r="V4" s="5"/>
      <c r="W4" s="5"/>
      <c r="X4" s="5"/>
      <c r="Y4" s="5"/>
      <c r="Z4" s="5"/>
      <c r="AA4" s="5"/>
      <c r="AB4" s="5"/>
      <c r="AC4" s="5"/>
    </row>
    <row r="5" spans="1:35" ht="15.75" customHeight="1">
      <c r="A5" s="5">
        <f ca="1">IFERROR(__xludf.DUMMYFUNCTION("""COMPUTED_VALUE"""),293)</f>
        <v>293</v>
      </c>
      <c r="B5" s="5"/>
      <c r="C5" s="5" t="str">
        <f ca="1">IFERROR(__xludf.DUMMYFUNCTION("""COMPUTED_VALUE"""),"Bihor")</f>
        <v>Bihor</v>
      </c>
      <c r="D5" s="13">
        <f ca="1">IFERROR(__xludf.DUMMYFUNCTION("""COMPUTED_VALUE"""),43910)</f>
        <v>43910</v>
      </c>
      <c r="E5" s="5" t="str">
        <f ca="1">IFERROR(__xludf.DUMMYFUNCTION("""COMPUTED_VALUE"""),"Da")</f>
        <v>Da</v>
      </c>
      <c r="F5" s="5"/>
      <c r="G5" s="5"/>
      <c r="H5" s="6"/>
      <c r="I5" s="5" t="str">
        <f ca="1">IFERROR(__xludf.DUMMYFUNCTION("""COMPUTED_VALUE"""),"Masculin")</f>
        <v>Masculin</v>
      </c>
      <c r="J5" s="5"/>
      <c r="K5" s="7" t="str">
        <f ca="1">IFERROR(__xludf.DUMMYFUNCTION("""COMPUTED_VALUE"""),"https://www.ebihoreanul.ro/stiri/ultima-or-31-1/inca-trei-diagnosticati-cu-coronavirus-in-bihor-familia-primei-oradence-infectate-este-sanatoasa-155330.html")</f>
        <v>https://www.ebihoreanul.ro/stiri/ultima-or-31-1/inca-trei-diagnosticati-cu-coronavirus-in-bihor-familia-primei-oradence-infectate-este-sanatoasa-155330.html</v>
      </c>
      <c r="L5" s="5"/>
      <c r="M5" s="5"/>
      <c r="N5" s="5"/>
      <c r="O5" s="5"/>
      <c r="P5" s="5" t="str">
        <f ca="1">IFERROR(__xludf.DUMMYFUNCTION("""COMPUTED_VALUE"""),"Carantină 13.03")</f>
        <v>Carantină 13.03</v>
      </c>
      <c r="Q5" s="5" t="str">
        <f ca="1">IFERROR(__xludf.DUMMYFUNCTION("""COMPUTED_VALUE"""),"Strainatate")</f>
        <v>Strainatate</v>
      </c>
      <c r="R5" s="5" t="str">
        <f ca="1">IFERROR(__xludf.DUMMYFUNCTION("""COMPUTED_VALUE"""),"Italia")</f>
        <v>Italia</v>
      </c>
      <c r="S5" s="5" t="str">
        <f ca="1">IFERROR(__xludf.DUMMYFUNCTION("""COMPUTED_VALUE"""),"Octavian")</f>
        <v>Octavian</v>
      </c>
      <c r="T5" s="7" t="str">
        <f ca="1">IFERROR(__xludf.DUMMYFUNCTION("""COMPUTED_VALUE"""),"http://www.ms.ro/2020/03/20/buletin-informativ-20-03-2020/")</f>
        <v>http://www.ms.ro/2020/03/20/buletin-informativ-20-03-2020/</v>
      </c>
      <c r="U5" s="5"/>
      <c r="V5" s="5"/>
      <c r="W5" s="5"/>
      <c r="X5" s="5"/>
      <c r="Y5" s="5"/>
      <c r="Z5" s="5"/>
      <c r="AA5" s="5"/>
      <c r="AB5" s="5"/>
      <c r="AC5" s="5"/>
    </row>
    <row r="6" spans="1:35" ht="15.75" customHeight="1">
      <c r="A6" s="5">
        <f ca="1">IFERROR(__xludf.DUMMYFUNCTION("""COMPUTED_VALUE"""),294)</f>
        <v>294</v>
      </c>
      <c r="B6" s="5"/>
      <c r="C6" s="5" t="str">
        <f ca="1">IFERROR(__xludf.DUMMYFUNCTION("""COMPUTED_VALUE"""),"Bihor")</f>
        <v>Bihor</v>
      </c>
      <c r="D6" s="13">
        <f ca="1">IFERROR(__xludf.DUMMYFUNCTION("""COMPUTED_VALUE"""),43910)</f>
        <v>43910</v>
      </c>
      <c r="E6" s="5" t="str">
        <f ca="1">IFERROR(__xludf.DUMMYFUNCTION("""COMPUTED_VALUE"""),"Da")</f>
        <v>Da</v>
      </c>
      <c r="F6" s="5"/>
      <c r="G6" s="5"/>
      <c r="H6" s="6"/>
      <c r="I6" s="5" t="str">
        <f ca="1">IFERROR(__xludf.DUMMYFUNCTION("""COMPUTED_VALUE"""),"Masculin")</f>
        <v>Masculin</v>
      </c>
      <c r="J6" s="5"/>
      <c r="K6" s="7" t="str">
        <f ca="1">IFERROR(__xludf.DUMMYFUNCTION("""COMPUTED_VALUE"""),"https://www.ebihoreanul.ro/stiri/ultima-or-31-1/inca-trei-diagnosticati-cu-coronavirus-in-bihor-familia-primei-oradence-infectate-este-sanatoasa-155330.html")</f>
        <v>https://www.ebihoreanul.ro/stiri/ultima-or-31-1/inca-trei-diagnosticati-cu-coronavirus-in-bihor-familia-primei-oradence-infectate-este-sanatoasa-155330.html</v>
      </c>
      <c r="L6" s="5"/>
      <c r="M6" s="5"/>
      <c r="N6" s="5"/>
      <c r="O6" s="5"/>
      <c r="P6" s="5" t="str">
        <f ca="1">IFERROR(__xludf.DUMMYFUNCTION("""COMPUTED_VALUE"""),"Carantină 14.03")</f>
        <v>Carantină 14.03</v>
      </c>
      <c r="Q6" s="5" t="str">
        <f ca="1">IFERROR(__xludf.DUMMYFUNCTION("""COMPUTED_VALUE"""),"Strainatate")</f>
        <v>Strainatate</v>
      </c>
      <c r="R6" s="5" t="str">
        <f ca="1">IFERROR(__xludf.DUMMYFUNCTION("""COMPUTED_VALUE"""),"Italia")</f>
        <v>Italia</v>
      </c>
      <c r="S6" s="5" t="str">
        <f ca="1">IFERROR(__xludf.DUMMYFUNCTION("""COMPUTED_VALUE"""),"Octavian")</f>
        <v>Octavian</v>
      </c>
      <c r="T6" s="7" t="str">
        <f ca="1">IFERROR(__xludf.DUMMYFUNCTION("""COMPUTED_VALUE"""),"http://www.ms.ro/2020/03/20/buletin-informativ-20-03-2020/")</f>
        <v>http://www.ms.ro/2020/03/20/buletin-informativ-20-03-2020/</v>
      </c>
      <c r="U6" s="5"/>
      <c r="V6" s="5"/>
      <c r="W6" s="5"/>
      <c r="X6" s="5"/>
      <c r="Y6" s="5"/>
      <c r="Z6" s="5"/>
      <c r="AA6" s="5"/>
      <c r="AB6" s="5"/>
      <c r="AC6" s="5"/>
    </row>
    <row r="7" spans="1:35" ht="15.75" customHeight="1">
      <c r="A7" s="5">
        <f ca="1">IFERROR(__xludf.DUMMYFUNCTION("""COMPUTED_VALUE"""),1299)</f>
        <v>1299</v>
      </c>
      <c r="B7" s="5"/>
      <c r="C7" s="5" t="str">
        <f ca="1">IFERROR(__xludf.DUMMYFUNCTION("""COMPUTED_VALUE"""),"Bihor")</f>
        <v>Bihor</v>
      </c>
      <c r="D7" s="13">
        <f ca="1">IFERROR(__xludf.DUMMYFUNCTION("""COMPUTED_VALUE"""),43918)</f>
        <v>43918</v>
      </c>
      <c r="E7" s="5" t="str">
        <f ca="1">IFERROR(__xludf.DUMMYFUNCTION("""COMPUTED_VALUE"""),"Da")</f>
        <v>Da</v>
      </c>
      <c r="F7" s="5"/>
      <c r="G7" s="5"/>
      <c r="H7" s="6"/>
      <c r="I7" s="5" t="str">
        <f ca="1">IFERROR(__xludf.DUMMYFUNCTION("""COMPUTED_VALUE"""),"Masculin")</f>
        <v>Masculin</v>
      </c>
      <c r="J7" s="5"/>
      <c r="K7" s="7" t="str">
        <f ca="1">IFERROR(__xludf.DUMMYFUNCTION("""COMPUTED_VALUE"""),"https://www.ebihoreanul.ro/stiri/ultima-or-31-1/surse-inca-trei-bihoreni-diagnosticati-cu-coronavirus-primele-cazuri-care-provin-din-autoizolare-155513.html")</f>
        <v>https://www.ebihoreanul.ro/stiri/ultima-or-31-1/surse-inca-trei-bihoreni-diagnosticati-cu-coronavirus-primele-cazuri-care-provin-din-autoizolare-155513.html</v>
      </c>
      <c r="L7" s="5"/>
      <c r="M7" s="5"/>
      <c r="N7" s="5"/>
      <c r="O7" s="5"/>
      <c r="P7" s="5" t="str">
        <f ca="1">IFERROR(__xludf.DUMMYFUNCTION("""COMPUTED_VALUE"""),"Familie")</f>
        <v>Familie</v>
      </c>
      <c r="Q7" s="5" t="str">
        <f ca="1">IFERROR(__xludf.DUMMYFUNCTION("""COMPUTED_VALUE"""),"Comunitar")</f>
        <v>Comunitar</v>
      </c>
      <c r="R7" s="5"/>
      <c r="S7" s="5" t="str">
        <f ca="1">IFERROR(__xludf.DUMMYFUNCTION("""COMPUTED_VALUE"""),"Ruxandra")</f>
        <v>Ruxandra</v>
      </c>
      <c r="T7" s="7" t="str">
        <f ca="1">IFERROR(__xludf.DUMMYFUNCTION("""COMPUTED_VALUE"""),"http://www.ms.ro/2020/03/28/buletin-informativ-28-03-2020/")</f>
        <v>http://www.ms.ro/2020/03/28/buletin-informativ-28-03-2020/</v>
      </c>
      <c r="U7" s="5"/>
      <c r="V7" s="5"/>
      <c r="W7" s="5"/>
      <c r="X7" s="5"/>
      <c r="Y7" s="5"/>
      <c r="Z7" s="5"/>
      <c r="AA7" s="5"/>
      <c r="AB7" s="5"/>
      <c r="AC7" s="5"/>
    </row>
    <row r="8" spans="1:35" ht="15.75" customHeight="1">
      <c r="A8" s="5">
        <f ca="1">IFERROR(__xludf.DUMMYFUNCTION("""COMPUTED_VALUE"""),1300)</f>
        <v>1300</v>
      </c>
      <c r="B8" s="5">
        <f ca="1">IFERROR(__xludf.DUMMYFUNCTION("""COMPUTED_VALUE"""),1299)</f>
        <v>1299</v>
      </c>
      <c r="C8" s="5" t="str">
        <f ca="1">IFERROR(__xludf.DUMMYFUNCTION("""COMPUTED_VALUE"""),"Bihor")</f>
        <v>Bihor</v>
      </c>
      <c r="D8" s="13">
        <f ca="1">IFERROR(__xludf.DUMMYFUNCTION("""COMPUTED_VALUE"""),43918)</f>
        <v>43918</v>
      </c>
      <c r="E8" s="5" t="str">
        <f ca="1">IFERROR(__xludf.DUMMYFUNCTION("""COMPUTED_VALUE"""),"Da")</f>
        <v>Da</v>
      </c>
      <c r="F8" s="5"/>
      <c r="G8" s="5"/>
      <c r="H8" s="6"/>
      <c r="I8" s="5" t="str">
        <f ca="1">IFERROR(__xludf.DUMMYFUNCTION("""COMPUTED_VALUE"""),"Feminin")</f>
        <v>Feminin</v>
      </c>
      <c r="J8" s="5"/>
      <c r="K8" s="7" t="str">
        <f ca="1">IFERROR(__xludf.DUMMYFUNCTION("""COMPUTED_VALUE"""),"https://www.ebihoreanul.ro/stiri/ultima-or-31-1/surse-inca-trei-bihoreni-diagnosticati-cu-coronavirus-primele-cazuri-care-provin-din-autoizolare-155513.html")</f>
        <v>https://www.ebihoreanul.ro/stiri/ultima-or-31-1/surse-inca-trei-bihoreni-diagnosticati-cu-coronavirus-primele-cazuri-care-provin-din-autoizolare-155513.html</v>
      </c>
      <c r="L8" s="5"/>
      <c r="M8" s="5"/>
      <c r="N8" s="5"/>
      <c r="O8" s="5"/>
      <c r="P8" s="5" t="str">
        <f ca="1">IFERROR(__xludf.DUMMYFUNCTION("""COMPUTED_VALUE"""),"Familie")</f>
        <v>Familie</v>
      </c>
      <c r="Q8" s="5" t="str">
        <f ca="1">IFERROR(__xludf.DUMMYFUNCTION("""COMPUTED_VALUE"""),"Comunitar")</f>
        <v>Comunitar</v>
      </c>
      <c r="R8" s="5"/>
      <c r="S8" s="5" t="str">
        <f ca="1">IFERROR(__xludf.DUMMYFUNCTION("""COMPUTED_VALUE"""),"Ruxandra")</f>
        <v>Ruxandra</v>
      </c>
      <c r="T8" s="7" t="str">
        <f ca="1">IFERROR(__xludf.DUMMYFUNCTION("""COMPUTED_VALUE"""),"http://www.ms.ro/2020/03/28/buletin-informativ-28-03-2020/")</f>
        <v>http://www.ms.ro/2020/03/28/buletin-informativ-28-03-2020/</v>
      </c>
      <c r="U8" s="5"/>
      <c r="V8" s="5"/>
      <c r="W8" s="5"/>
      <c r="X8" s="5"/>
      <c r="Y8" s="5"/>
      <c r="Z8" s="5"/>
      <c r="AA8" s="5"/>
      <c r="AB8" s="5"/>
      <c r="AC8" s="5"/>
    </row>
    <row r="9" spans="1:35" ht="15.75" customHeight="1">
      <c r="A9" s="5">
        <f ca="1">IFERROR(__xludf.DUMMYFUNCTION("""COMPUTED_VALUE"""),1301)</f>
        <v>1301</v>
      </c>
      <c r="B9" s="5">
        <f ca="1">IFERROR(__xludf.DUMMYFUNCTION("""COMPUTED_VALUE"""),1299)</f>
        <v>1299</v>
      </c>
      <c r="C9" s="5" t="str">
        <f ca="1">IFERROR(__xludf.DUMMYFUNCTION("""COMPUTED_VALUE"""),"Bihor")</f>
        <v>Bihor</v>
      </c>
      <c r="D9" s="13">
        <f ca="1">IFERROR(__xludf.DUMMYFUNCTION("""COMPUTED_VALUE"""),43918)</f>
        <v>43918</v>
      </c>
      <c r="E9" s="5" t="str">
        <f ca="1">IFERROR(__xludf.DUMMYFUNCTION("""COMPUTED_VALUE"""),"Da")</f>
        <v>Da</v>
      </c>
      <c r="F9" s="5"/>
      <c r="G9" s="5"/>
      <c r="H9" s="6"/>
      <c r="I9" s="5" t="str">
        <f ca="1">IFERROR(__xludf.DUMMYFUNCTION("""COMPUTED_VALUE"""),"Feminin")</f>
        <v>Feminin</v>
      </c>
      <c r="J9" s="5"/>
      <c r="K9" s="7" t="str">
        <f ca="1">IFERROR(__xludf.DUMMYFUNCTION("""COMPUTED_VALUE"""),"https://www.ebihoreanul.ro/stiri/ultima-or-31-1/surse-inca-trei-bihoreni-diagnosticati-cu-coronavirus-primele-cazuri-care-provin-din-autoizolare-155513.html")</f>
        <v>https://www.ebihoreanul.ro/stiri/ultima-or-31-1/surse-inca-trei-bihoreni-diagnosticati-cu-coronavirus-primele-cazuri-care-provin-din-autoizolare-155513.html</v>
      </c>
      <c r="L9" s="5"/>
      <c r="M9" s="5"/>
      <c r="N9" s="5"/>
      <c r="O9" s="5"/>
      <c r="P9" s="5" t="str">
        <f ca="1">IFERROR(__xludf.DUMMYFUNCTION("""COMPUTED_VALUE"""),"Familie")</f>
        <v>Familie</v>
      </c>
      <c r="Q9" s="5" t="str">
        <f ca="1">IFERROR(__xludf.DUMMYFUNCTION("""COMPUTED_VALUE"""),"Comunitar")</f>
        <v>Comunitar</v>
      </c>
      <c r="R9" s="5"/>
      <c r="S9" s="5" t="str">
        <f ca="1">IFERROR(__xludf.DUMMYFUNCTION("""COMPUTED_VALUE"""),"Octavian")</f>
        <v>Octavian</v>
      </c>
      <c r="T9" s="7" t="str">
        <f ca="1">IFERROR(__xludf.DUMMYFUNCTION("""COMPUTED_VALUE"""),"http://www.ms.ro/2020/03/28/buletin-informativ-28-03-2020/")</f>
        <v>http://www.ms.ro/2020/03/28/buletin-informativ-28-03-2020/</v>
      </c>
      <c r="U9" s="5"/>
      <c r="V9" s="5"/>
      <c r="W9" s="5"/>
      <c r="X9" s="5"/>
      <c r="Y9" s="5"/>
      <c r="Z9" s="5"/>
      <c r="AA9" s="5"/>
      <c r="AB9" s="5"/>
      <c r="AC9" s="5"/>
    </row>
    <row r="10" spans="1:35" ht="15.75" customHeight="1">
      <c r="A10" s="5">
        <f ca="1">IFERROR(__xludf.DUMMYFUNCTION("""COMPUTED_VALUE"""),1354)</f>
        <v>1354</v>
      </c>
      <c r="B10" s="5"/>
      <c r="C10" s="5" t="str">
        <f ca="1">IFERROR(__xludf.DUMMYFUNCTION("""COMPUTED_VALUE"""),"Bihor")</f>
        <v>Bihor</v>
      </c>
      <c r="D10" s="13">
        <f ca="1">IFERROR(__xludf.DUMMYFUNCTION("""COMPUTED_VALUE"""),43918)</f>
        <v>43918</v>
      </c>
      <c r="E10" s="5" t="str">
        <f ca="1">IFERROR(__xludf.DUMMYFUNCTION("""COMPUTED_VALUE"""),"Da")</f>
        <v>Da</v>
      </c>
      <c r="F10" s="5" t="str">
        <f ca="1">IFERROR(__xludf.DUMMYFUNCTION("""COMPUTED_VALUE"""),"Nu")</f>
        <v>Nu</v>
      </c>
      <c r="G10" s="5"/>
      <c r="H10" s="6">
        <f ca="1">IFERROR(__xludf.DUMMYFUNCTION("""COMPUTED_VALUE"""),43926)</f>
        <v>43926</v>
      </c>
      <c r="I10" s="5" t="str">
        <f ca="1">IFERROR(__xludf.DUMMYFUNCTION("""COMPUTED_VALUE"""),"Masculin")</f>
        <v>Masculin</v>
      </c>
      <c r="J10" s="5">
        <f ca="1">IFERROR(__xludf.DUMMYFUNCTION("""COMPUTED_VALUE"""),70)</f>
        <v>70</v>
      </c>
      <c r="K10" s="7" t="str">
        <f ca="1">IFERROR(__xludf.DUMMYFUNCTION("""COMPUTED_VALUE"""),"https://www.hotnews.ro/stiri-coronavirus-23759368-coronavirus-romania-28-martie.htm")</f>
        <v>https://www.hotnews.ro/stiri-coronavirus-23759368-coronavirus-romania-28-martie.htm</v>
      </c>
      <c r="L10" s="7" t="str">
        <f ca="1">IFERROR(__xludf.DUMMYFUNCTION("""COMPUTED_VALUE"""),"http://www.ms.ro/2020/04/06/deces-152-156/")</f>
        <v>http://www.ms.ro/2020/04/06/deces-152-156/</v>
      </c>
      <c r="M10" s="5"/>
      <c r="N10" s="5" t="str">
        <f ca="1">IFERROR(__xludf.DUMMYFUNCTION("""COMPUTED_VALUE"""),"Nu")</f>
        <v>Nu</v>
      </c>
      <c r="O10" s="5"/>
      <c r="P10" s="5" t="str">
        <f ca="1">IFERROR(__xludf.DUMMYFUNCTION("""COMPUTED_VALUE"""),"Deces 156. Internată în secția pneumologie a Spitalului Orășenesc Aleșd în 26.03; transferat în ATI Spitalul Municipal de Urgență Oradea în 27.03.")</f>
        <v>Deces 156. Internată în secția pneumologie a Spitalului Orășenesc Aleșd în 26.03; transferat în ATI Spitalul Municipal de Urgență Oradea în 27.03.</v>
      </c>
      <c r="Q10" s="5" t="str">
        <f ca="1">IFERROR(__xludf.DUMMYFUNCTION("""COMPUTED_VALUE"""),"Comunitar")</f>
        <v>Comunitar</v>
      </c>
      <c r="R10" s="5" t="str">
        <f ca="1">IFERROR(__xludf.DUMMYFUNCTION("""COMPUTED_VALUE"""),"România")</f>
        <v>România</v>
      </c>
      <c r="S10" s="5" t="str">
        <f ca="1">IFERROR(__xludf.DUMMYFUNCTION("""COMPUTED_VALUE"""),"Octavian")</f>
        <v>Octavian</v>
      </c>
      <c r="T10" s="7" t="str">
        <f ca="1">IFERROR(__xludf.DUMMYFUNCTION("""COMPUTED_VALUE"""),"http://www.ms.ro/2020/03/28/buletin-informativ-28-03-2020/")</f>
        <v>http://www.ms.ro/2020/03/28/buletin-informativ-28-03-2020/</v>
      </c>
      <c r="U10" s="5"/>
      <c r="V10" s="5"/>
      <c r="W10" s="5"/>
      <c r="X10" s="5"/>
      <c r="Y10" s="5"/>
      <c r="Z10" s="5"/>
      <c r="AA10" s="5"/>
      <c r="AB10" s="5"/>
      <c r="AC10" s="5"/>
    </row>
    <row r="11" spans="1:35" ht="15.75" customHeight="1">
      <c r="A11" s="5">
        <f ca="1">IFERROR(__xludf.DUMMYFUNCTION("""COMPUTED_VALUE"""),1543)</f>
        <v>1543</v>
      </c>
      <c r="B11" s="5"/>
      <c r="C11" s="5" t="str">
        <f ca="1">IFERROR(__xludf.DUMMYFUNCTION("""COMPUTED_VALUE"""),"Bihor")</f>
        <v>Bihor</v>
      </c>
      <c r="D11" s="13">
        <f ca="1">IFERROR(__xludf.DUMMYFUNCTION("""COMPUTED_VALUE"""),43919)</f>
        <v>43919</v>
      </c>
      <c r="E11" s="5" t="str">
        <f ca="1">IFERROR(__xludf.DUMMYFUNCTION("""COMPUTED_VALUE"""),"Da")</f>
        <v>Da</v>
      </c>
      <c r="F11" s="5"/>
      <c r="G11" s="5"/>
      <c r="H11" s="6"/>
      <c r="I11" s="5" t="str">
        <f ca="1">IFERROR(__xludf.DUMMYFUNCTION("""COMPUTED_VALUE"""),"Masculin")</f>
        <v>Masculin</v>
      </c>
      <c r="J11" s="5">
        <f ca="1">IFERROR(__xludf.DUMMYFUNCTION("""COMPUTED_VALUE"""),70)</f>
        <v>70</v>
      </c>
      <c r="K11" s="5"/>
      <c r="L11" s="5"/>
      <c r="M11" s="5" t="str">
        <f ca="1">IFERROR(__xludf.DUMMYFUNCTION("""COMPUTED_VALUE"""),"Aleșd")</f>
        <v>Aleșd</v>
      </c>
      <c r="N11" s="5"/>
      <c r="O11" s="5" t="str">
        <f ca="1">IFERROR(__xludf.DUMMYFUNCTION("""COMPUTED_VALUE"""),"Pneumonie")</f>
        <v>Pneumonie</v>
      </c>
      <c r="P11" s="5"/>
      <c r="Q11" s="5"/>
      <c r="R11" s="5"/>
      <c r="S11" s="5" t="str">
        <f ca="1">IFERROR(__xludf.DUMMYFUNCTION("""COMPUTED_VALUE"""),"Ruxandra")</f>
        <v>Ruxandra</v>
      </c>
      <c r="T11" s="7" t="str">
        <f ca="1">IFERROR(__xludf.DUMMYFUNCTION("""COMPUTED_VALUE"""),"http://www.ms.ro/2020/03/29/buletin-informativ-29-03-2020/")</f>
        <v>http://www.ms.ro/2020/03/29/buletin-informativ-29-03-2020/</v>
      </c>
      <c r="U11" s="5"/>
      <c r="V11" s="5"/>
      <c r="W11" s="5"/>
      <c r="X11" s="5"/>
      <c r="Y11" s="5"/>
      <c r="Z11" s="5"/>
      <c r="AA11" s="5"/>
      <c r="AB11" s="5"/>
      <c r="AC11" s="5"/>
    </row>
    <row r="12" spans="1:35" ht="15.75" customHeight="1">
      <c r="A12" s="5">
        <f ca="1">IFERROR(__xludf.DUMMYFUNCTION("""COMPUTED_VALUE"""),2293)</f>
        <v>2293</v>
      </c>
      <c r="B12" s="5"/>
      <c r="C12" s="5" t="str">
        <f ca="1">IFERROR(__xludf.DUMMYFUNCTION("""COMPUTED_VALUE"""),"Bihor")</f>
        <v>Bihor</v>
      </c>
      <c r="D12" s="13">
        <f ca="1">IFERROR(__xludf.DUMMYFUNCTION("""COMPUTED_VALUE"""),43922)</f>
        <v>43922</v>
      </c>
      <c r="E12" s="5" t="str">
        <f ca="1">IFERROR(__xludf.DUMMYFUNCTION("""COMPUTED_VALUE"""),"Da")</f>
        <v>Da</v>
      </c>
      <c r="F12" s="5" t="str">
        <f ca="1">IFERROR(__xludf.DUMMYFUNCTION("""COMPUTED_VALUE"""),"Nu")</f>
        <v>Nu</v>
      </c>
      <c r="G12" s="5"/>
      <c r="H12" s="6">
        <f ca="1">IFERROR(__xludf.DUMMYFUNCTION("""COMPUTED_VALUE"""),43936)</f>
        <v>43936</v>
      </c>
      <c r="I12" s="5" t="str">
        <f ca="1">IFERROR(__xludf.DUMMYFUNCTION("""COMPUTED_VALUE"""),"Masculin")</f>
        <v>Masculin</v>
      </c>
      <c r="J12" s="5">
        <f ca="1">IFERROR(__xludf.DUMMYFUNCTION("""COMPUTED_VALUE"""),76)</f>
        <v>76</v>
      </c>
      <c r="K12" s="7" t="str">
        <f ca="1">IFERROR(__xludf.DUMMYFUNCTION("""COMPUTED_VALUE"""),"https://www.g4media.ro/breaking-2460-de-cazuri-de-coronavirus-confirmate-in-romania-din-care-215-in-ultimele-24-de-ore-85-de-oameni-au-murit.html")</f>
        <v>https://www.g4media.ro/breaking-2460-de-cazuri-de-coronavirus-confirmate-in-romania-din-care-215-in-ultimele-24-de-ore-85-de-oameni-au-murit.html</v>
      </c>
      <c r="L12" s="7" t="str">
        <f ca="1">IFERROR(__xludf.DUMMYFUNCTION("""COMPUTED_VALUE"""),"http://www.ms.ro/2020/04/16/decese-373-387/")</f>
        <v>http://www.ms.ro/2020/04/16/decese-373-387/</v>
      </c>
      <c r="M12" s="5"/>
      <c r="N12" s="5" t="str">
        <f ca="1">IFERROR(__xludf.DUMMYFUNCTION("""COMPUTED_VALUE"""),"Nu")</f>
        <v>Nu</v>
      </c>
      <c r="O12" s="5" t="str">
        <f ca="1">IFERROR(__xludf.DUMMYFUNCTION("""COMPUTED_VALUE"""),"HTA, fibrilație atrială, diabet zaharat tip II, insuficiență multiplă de organe")</f>
        <v>HTA, fibrilație atrială, diabet zaharat tip II, insuficiență multiplă de organe</v>
      </c>
      <c r="P12" s="5" t="str">
        <f ca="1">IFERROR(__xludf.DUMMYFUNCTION("""COMPUTED_VALUE"""),"Deces 380. Debut pe 28.03.2020, contact caz confirmat. Internat pe 01.04.2020 în Spitalul Clinic Municipal Oradea, direct în ATI. Probe recoltate pe 01.04.2020, confirmat pe 01.04.2020.")</f>
        <v>Deces 380. Debut pe 28.03.2020, contact caz confirmat. Internat pe 01.04.2020 în Spitalul Clinic Municipal Oradea, direct în ATI. Probe recoltate pe 01.04.2020, confirmat pe 01.04.2020.</v>
      </c>
      <c r="Q12" s="5" t="str">
        <f ca="1">IFERROR(__xludf.DUMMYFUNCTION("""COMPUTED_VALUE"""),"Comunitar")</f>
        <v>Comunitar</v>
      </c>
      <c r="R12" s="5" t="str">
        <f ca="1">IFERROR(__xludf.DUMMYFUNCTION("""COMPUTED_VALUE"""),"România")</f>
        <v>România</v>
      </c>
      <c r="S12" s="5" t="str">
        <f ca="1">IFERROR(__xludf.DUMMYFUNCTION("""COMPUTED_VALUE"""),"Ruxandra/Octavian")</f>
        <v>Ruxandra/Octavian</v>
      </c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35" ht="15.75" customHeight="1">
      <c r="A13" s="5">
        <f ca="1">IFERROR(__xludf.DUMMYFUNCTION("""COMPUTED_VALUE"""),2364)</f>
        <v>2364</v>
      </c>
      <c r="B13" s="5"/>
      <c r="C13" s="5" t="str">
        <f ca="1">IFERROR(__xludf.DUMMYFUNCTION("""COMPUTED_VALUE"""),"Bihor")</f>
        <v>Bihor</v>
      </c>
      <c r="D13" s="13">
        <f ca="1">IFERROR(__xludf.DUMMYFUNCTION("""COMPUTED_VALUE"""),43922)</f>
        <v>43922</v>
      </c>
      <c r="E13" s="5" t="str">
        <f ca="1">IFERROR(__xludf.DUMMYFUNCTION("""COMPUTED_VALUE"""),"Da")</f>
        <v>Da</v>
      </c>
      <c r="F13" s="5" t="str">
        <f ca="1">IFERROR(__xludf.DUMMYFUNCTION("""COMPUTED_VALUE"""),"Nu")</f>
        <v>Nu</v>
      </c>
      <c r="G13" s="5"/>
      <c r="H13" s="6">
        <f ca="1">IFERROR(__xludf.DUMMYFUNCTION("""COMPUTED_VALUE"""),43927)</f>
        <v>43927</v>
      </c>
      <c r="I13" s="5" t="str">
        <f ca="1">IFERROR(__xludf.DUMMYFUNCTION("""COMPUTED_VALUE"""),"Masculin")</f>
        <v>Masculin</v>
      </c>
      <c r="J13" s="5">
        <f ca="1">IFERROR(__xludf.DUMMYFUNCTION("""COMPUTED_VALUE"""),82)</f>
        <v>82</v>
      </c>
      <c r="K13" s="7" t="str">
        <f ca="1">IFERROR(__xludf.DUMMYFUNCTION("""COMPUTED_VALUE"""),"https://www.g4media.ro/breaking-2460-de-cazuri-de-coronavirus-confirmate-in-romania-din-care-215-in-ultimele-24-de-ore-85-de-oameni-au-murit.html")</f>
        <v>https://www.g4media.ro/breaking-2460-de-cazuri-de-coronavirus-confirmate-in-romania-din-care-215-in-ultimele-24-de-ore-85-de-oameni-au-murit.html</v>
      </c>
      <c r="L13" s="7" t="str">
        <f ca="1">IFERROR(__xludf.DUMMYFUNCTION("""COMPUTED_VALUE"""),"https://stirioficiale.ro/informatii/informare-de-presa-6-aprilie-2020-ora-3-24pm")</f>
        <v>https://stirioficiale.ro/informatii/informare-de-presa-6-aprilie-2020-ora-3-24pm</v>
      </c>
      <c r="M13" s="5"/>
      <c r="N13" s="5" t="str">
        <f ca="1">IFERROR(__xludf.DUMMYFUNCTION("""COMPUTED_VALUE"""),"Nu")</f>
        <v>Nu</v>
      </c>
      <c r="O13" s="5" t="str">
        <f ca="1">IFERROR(__xludf.DUMMYFUNCTION("""COMPUTED_VALUE"""),"HTA, Diabet zaharat, Boala neurologica, Boala cardiovasculara")</f>
        <v>HTA, Diabet zaharat, Boala neurologica, Boala cardiovasculara</v>
      </c>
      <c r="P13" s="5" t="str">
        <f ca="1">IFERROR(__xludf.DUMMYFUNCTION("""COMPUTED_VALUE"""),"Deces 162. Internat in SCJU Oradea- ATI în 1.04. Contact cazuri confirmate COVID-19. Confirmat COVID-19 în 1.04.")</f>
        <v>Deces 162. Internat in SCJU Oradea- ATI în 1.04. Contact cazuri confirmate COVID-19. Confirmat COVID-19 în 1.04.</v>
      </c>
      <c r="Q13" s="5" t="str">
        <f ca="1">IFERROR(__xludf.DUMMYFUNCTION("""COMPUTED_VALUE"""),"Comunitar")</f>
        <v>Comunitar</v>
      </c>
      <c r="R13" s="5" t="str">
        <f ca="1">IFERROR(__xludf.DUMMYFUNCTION("""COMPUTED_VALUE"""),"România")</f>
        <v>România</v>
      </c>
      <c r="S13" s="5" t="str">
        <f ca="1">IFERROR(__xludf.DUMMYFUNCTION("""COMPUTED_VALUE"""),"Octavian")</f>
        <v>Octavian</v>
      </c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35" ht="15.75" customHeight="1">
      <c r="A14" s="5">
        <f ca="1">IFERROR(__xludf.DUMMYFUNCTION("""COMPUTED_VALUE"""),2476)</f>
        <v>2476</v>
      </c>
      <c r="B14" s="5"/>
      <c r="C14" s="5" t="str">
        <f ca="1">IFERROR(__xludf.DUMMYFUNCTION("""COMPUTED_VALUE"""),"Bihor")</f>
        <v>Bihor</v>
      </c>
      <c r="D14" s="13">
        <f ca="1">IFERROR(__xludf.DUMMYFUNCTION("""COMPUTED_VALUE"""),43923)</f>
        <v>43923</v>
      </c>
      <c r="E14" s="5" t="str">
        <f ca="1">IFERROR(__xludf.DUMMYFUNCTION("""COMPUTED_VALUE"""),"Da")</f>
        <v>Da</v>
      </c>
      <c r="F14" s="5" t="str">
        <f ca="1">IFERROR(__xludf.DUMMYFUNCTION("""COMPUTED_VALUE"""),"Nu")</f>
        <v>Nu</v>
      </c>
      <c r="G14" s="5"/>
      <c r="H14" s="6">
        <f ca="1">IFERROR(__xludf.DUMMYFUNCTION("""COMPUTED_VALUE"""),43936)</f>
        <v>43936</v>
      </c>
      <c r="I14" s="5" t="str">
        <f ca="1">IFERROR(__xludf.DUMMYFUNCTION("""COMPUTED_VALUE"""),"Masculin")</f>
        <v>Masculin</v>
      </c>
      <c r="J14" s="5">
        <f ca="1">IFERROR(__xludf.DUMMYFUNCTION("""COMPUTED_VALUE"""),49)</f>
        <v>49</v>
      </c>
      <c r="K14" s="7" t="str">
        <f ca="1">IFERROR(__xludf.DUMMYFUNCTION("""COMPUTED_VALUE"""),"https://stirioficiale.ro/informatii/buletin-de-presa-2-aprilie-2020-ora-13-01")</f>
        <v>https://stirioficiale.ro/informatii/buletin-de-presa-2-aprilie-2020-ora-13-01</v>
      </c>
      <c r="L14" s="7" t="str">
        <f ca="1">IFERROR(__xludf.DUMMYFUNCTION("""COMPUTED_VALUE"""),"http://www.ms.ro/2020/04/16/decese-373-387/")</f>
        <v>http://www.ms.ro/2020/04/16/decese-373-387/</v>
      </c>
      <c r="M14" s="5"/>
      <c r="N14" s="5" t="str">
        <f ca="1">IFERROR(__xludf.DUMMYFUNCTION("""COMPUTED_VALUE"""),"Nu")</f>
        <v>Nu</v>
      </c>
      <c r="O14" s="5" t="str">
        <f ca="1">IFERROR(__xludf.DUMMYFUNCTION("""COMPUTED_VALUE"""),"Insuficiență respiratorie cronică acutizată, BPOC st.IV, fibroză pulmonară post-TB")</f>
        <v>Insuficiență respiratorie cronică acutizată, BPOC st.IV, fibroză pulmonară post-TB</v>
      </c>
      <c r="P14" s="5" t="str">
        <f ca="1">IFERROR(__xludf.DUMMYFUNCTION("""COMPUTED_VALUE"""),"Deces 379. Debut pe 30.03.2020. Internat pe 02.04.2020 în Spitalul Clinic Municipal Oradea-Secția ATI, apoi transferat la Spitalul Orășenesc Aleșd. Probe recoltate pe 02.04.2020, confirmat pe 02.04.2020. A avut contact cu un caz confirmat.(diferenta rapor"&amp;"tare 01.04 (ora 18)-02.04)")</f>
        <v>Deces 379. Debut pe 30.03.2020. Internat pe 02.04.2020 în Spitalul Clinic Municipal Oradea-Secția ATI, apoi transferat la Spitalul Orășenesc Aleșd. Probe recoltate pe 02.04.2020, confirmat pe 02.04.2020. A avut contact cu un caz confirmat.(diferenta raportare 01.04 (ora 18)-02.04)</v>
      </c>
      <c r="Q14" s="5"/>
      <c r="R14" s="5" t="str">
        <f ca="1">IFERROR(__xludf.DUMMYFUNCTION("""COMPUTED_VALUE"""),"România")</f>
        <v>România</v>
      </c>
      <c r="S14" s="5" t="str">
        <f ca="1">IFERROR(__xludf.DUMMYFUNCTION("""COMPUTED_VALUE"""),"Daniel/Octavian")</f>
        <v>Daniel/Octavian</v>
      </c>
      <c r="T14" s="7" t="str">
        <f ca="1">IFERROR(__xludf.DUMMYFUNCTION("""COMPUTED_VALUE"""),"http://www.ms.ro/2020/04/02/buletin-informativ-02-04-2020/")</f>
        <v>http://www.ms.ro/2020/04/02/buletin-informativ-02-04-2020/</v>
      </c>
      <c r="U14" s="5"/>
      <c r="V14" s="5"/>
      <c r="W14" s="5"/>
      <c r="X14" s="5"/>
      <c r="Y14" s="5"/>
      <c r="Z14" s="5"/>
      <c r="AA14" s="5"/>
      <c r="AB14" s="5"/>
      <c r="AC14" s="5"/>
    </row>
    <row r="15" spans="1:35" ht="15.75" customHeight="1">
      <c r="A15" s="5">
        <f ca="1">IFERROR(__xludf.DUMMYFUNCTION("""COMPUTED_VALUE"""),2477)</f>
        <v>2477</v>
      </c>
      <c r="B15" s="5"/>
      <c r="C15" s="5" t="str">
        <f ca="1">IFERROR(__xludf.DUMMYFUNCTION("""COMPUTED_VALUE"""),"Bihor")</f>
        <v>Bihor</v>
      </c>
      <c r="D15" s="13">
        <f ca="1">IFERROR(__xludf.DUMMYFUNCTION("""COMPUTED_VALUE"""),43923)</f>
        <v>43923</v>
      </c>
      <c r="E15" s="5" t="str">
        <f ca="1">IFERROR(__xludf.DUMMYFUNCTION("""COMPUTED_VALUE"""),"Da")</f>
        <v>Da</v>
      </c>
      <c r="F15" s="5" t="str">
        <f ca="1">IFERROR(__xludf.DUMMYFUNCTION("""COMPUTED_VALUE"""),"Nu")</f>
        <v>Nu</v>
      </c>
      <c r="G15" s="5"/>
      <c r="H15" s="6">
        <f ca="1">IFERROR(__xludf.DUMMYFUNCTION("""COMPUTED_VALUE"""),43954)</f>
        <v>43954</v>
      </c>
      <c r="I15" s="5" t="str">
        <f ca="1">IFERROR(__xludf.DUMMYFUNCTION("""COMPUTED_VALUE"""),"Masculin")</f>
        <v>Masculin</v>
      </c>
      <c r="J15" s="5">
        <f ca="1">IFERROR(__xludf.DUMMYFUNCTION("""COMPUTED_VALUE"""),70)</f>
        <v>70</v>
      </c>
      <c r="K15" s="7" t="str">
        <f ca="1">IFERROR(__xludf.DUMMYFUNCTION("""COMPUTED_VALUE"""),"https://stirioficiale.ro/informatii/buletin-de-presa-2-aprilie-2020-ora-13-01")</f>
        <v>https://stirioficiale.ro/informatii/buletin-de-presa-2-aprilie-2020-ora-13-01</v>
      </c>
      <c r="L15" s="7" t="str">
        <f ca="1">IFERROR(__xludf.DUMMYFUNCTION("""COMPUTED_VALUE"""),"https://stirioficiale.ro/informatii/informare-de-presa-4-mai-2020-ora-10-00am")</f>
        <v>https://stirioficiale.ro/informatii/informare-de-presa-4-mai-2020-ora-10-00am</v>
      </c>
      <c r="M15" s="5"/>
      <c r="N15" s="5" t="str">
        <f ca="1">IFERROR(__xludf.DUMMYFUNCTION("""COMPUTED_VALUE"""),"Nu")</f>
        <v>Nu</v>
      </c>
      <c r="O15" s="5" t="str">
        <f ca="1">IFERROR(__xludf.DUMMYFUNCTION("""COMPUTED_VALUE"""),"BPOC, tumoră bronhopulmonară")</f>
        <v>BPOC, tumoră bronhopulmonară</v>
      </c>
      <c r="P15" s="5" t="str">
        <f ca="1">IFERROR(__xludf.DUMMYFUNCTION("""COMPUTED_VALUE"""),"Deces 802. Data internării: 17.03.2020- Spital Aleșd, se transferă în data de 02.04.2020 la Spitalul Clinic Municipal de Urgență Oradea. Data recoltării: 02.04.2020. Data confirmării: 02.04.2020.(diferenta raportare 01.04 (ora 18)-02.04)")</f>
        <v>Deces 802. Data internării: 17.03.2020- Spital Aleșd, se transferă în data de 02.04.2020 la Spitalul Clinic Municipal de Urgență Oradea. Data recoltării: 02.04.2020. Data confirmării: 02.04.2020.(diferenta raportare 01.04 (ora 18)-02.04)</v>
      </c>
      <c r="Q15" s="5"/>
      <c r="R15" s="5" t="str">
        <f ca="1">IFERROR(__xludf.DUMMYFUNCTION("""COMPUTED_VALUE"""),"România")</f>
        <v>România</v>
      </c>
      <c r="S15" s="5" t="str">
        <f ca="1">IFERROR(__xludf.DUMMYFUNCTION("""COMPUTED_VALUE"""),"Daniel/Octavian")</f>
        <v>Daniel/Octavian</v>
      </c>
      <c r="T15" s="7" t="str">
        <f ca="1">IFERROR(__xludf.DUMMYFUNCTION("""COMPUTED_VALUE"""),"http://www.ms.ro/2020/04/02/buletin-informativ-02-04-2020/")</f>
        <v>http://www.ms.ro/2020/04/02/buletin-informativ-02-04-2020/</v>
      </c>
      <c r="U15" s="5"/>
      <c r="V15" s="5"/>
      <c r="W15" s="5"/>
      <c r="X15" s="5"/>
      <c r="Y15" s="5"/>
      <c r="Z15" s="5"/>
      <c r="AA15" s="5"/>
      <c r="AB15" s="5"/>
      <c r="AC15" s="5"/>
    </row>
    <row r="16" spans="1:35" ht="15.75" customHeight="1">
      <c r="A16" s="5">
        <f ca="1">IFERROR(__xludf.DUMMYFUNCTION("""COMPUTED_VALUE"""),2478)</f>
        <v>2478</v>
      </c>
      <c r="B16" s="5"/>
      <c r="C16" s="5" t="str">
        <f ca="1">IFERROR(__xludf.DUMMYFUNCTION("""COMPUTED_VALUE"""),"Bihor")</f>
        <v>Bihor</v>
      </c>
      <c r="D16" s="13">
        <f ca="1">IFERROR(__xludf.DUMMYFUNCTION("""COMPUTED_VALUE"""),43923)</f>
        <v>43923</v>
      </c>
      <c r="E16" s="5" t="str">
        <f ca="1">IFERROR(__xludf.DUMMYFUNCTION("""COMPUTED_VALUE"""),"Da")</f>
        <v>Da</v>
      </c>
      <c r="F16" s="5"/>
      <c r="G16" s="5"/>
      <c r="H16" s="6"/>
      <c r="I16" s="5"/>
      <c r="J16" s="5"/>
      <c r="K16" s="7" t="str">
        <f ca="1">IFERROR(__xludf.DUMMYFUNCTION("""COMPUTED_VALUE"""),"https://stirioficiale.ro/informatii/buletin-de-presa-2-aprilie-2020-ora-13-01")</f>
        <v>https://stirioficiale.ro/informatii/buletin-de-presa-2-aprilie-2020-ora-13-01</v>
      </c>
      <c r="L16" s="5"/>
      <c r="M16" s="5"/>
      <c r="N16" s="5"/>
      <c r="O16" s="5"/>
      <c r="P16" s="5" t="str">
        <f ca="1">IFERROR(__xludf.DUMMYFUNCTION("""COMPUTED_VALUE"""),"diferenta raportare 01.04 (ora 18)-02.04")</f>
        <v>diferenta raportare 01.04 (ora 18)-02.04</v>
      </c>
      <c r="Q16" s="5"/>
      <c r="R16" s="5"/>
      <c r="S16" s="5" t="str">
        <f ca="1">IFERROR(__xludf.DUMMYFUNCTION("""COMPUTED_VALUE"""),"Daniel")</f>
        <v>Daniel</v>
      </c>
      <c r="T16" s="7" t="str">
        <f ca="1">IFERROR(__xludf.DUMMYFUNCTION("""COMPUTED_VALUE"""),"http://www.ms.ro/2020/04/02/buletin-informativ-02-04-2020/")</f>
        <v>http://www.ms.ro/2020/04/02/buletin-informativ-02-04-2020/</v>
      </c>
      <c r="U16" s="5"/>
      <c r="V16" s="5"/>
      <c r="W16" s="5"/>
      <c r="X16" s="5"/>
      <c r="Y16" s="5"/>
      <c r="Z16" s="5"/>
      <c r="AA16" s="5"/>
      <c r="AB16" s="5"/>
      <c r="AC16" s="5"/>
    </row>
    <row r="17" spans="1:29" ht="15.75" customHeight="1">
      <c r="A17" s="5">
        <f ca="1">IFERROR(__xludf.DUMMYFUNCTION("""COMPUTED_VALUE"""),2479)</f>
        <v>2479</v>
      </c>
      <c r="B17" s="5"/>
      <c r="C17" s="5" t="str">
        <f ca="1">IFERROR(__xludf.DUMMYFUNCTION("""COMPUTED_VALUE"""),"Bihor")</f>
        <v>Bihor</v>
      </c>
      <c r="D17" s="13">
        <f ca="1">IFERROR(__xludf.DUMMYFUNCTION("""COMPUTED_VALUE"""),43923)</f>
        <v>43923</v>
      </c>
      <c r="E17" s="5" t="str">
        <f ca="1">IFERROR(__xludf.DUMMYFUNCTION("""COMPUTED_VALUE"""),"Da")</f>
        <v>Da</v>
      </c>
      <c r="F17" s="5"/>
      <c r="G17" s="5"/>
      <c r="H17" s="6"/>
      <c r="I17" s="5"/>
      <c r="J17" s="5"/>
      <c r="K17" s="7" t="str">
        <f ca="1">IFERROR(__xludf.DUMMYFUNCTION("""COMPUTED_VALUE"""),"https://stirioficiale.ro/informatii/buletin-de-presa-2-aprilie-2020-ora-13-01")</f>
        <v>https://stirioficiale.ro/informatii/buletin-de-presa-2-aprilie-2020-ora-13-01</v>
      </c>
      <c r="L17" s="5"/>
      <c r="M17" s="5"/>
      <c r="N17" s="5"/>
      <c r="O17" s="5"/>
      <c r="P17" s="5" t="str">
        <f ca="1">IFERROR(__xludf.DUMMYFUNCTION("""COMPUTED_VALUE"""),"diferenta raportare 01.04 (ora 18)-02.04")</f>
        <v>diferenta raportare 01.04 (ora 18)-02.04</v>
      </c>
      <c r="Q17" s="5"/>
      <c r="R17" s="5"/>
      <c r="S17" s="5" t="str">
        <f ca="1">IFERROR(__xludf.DUMMYFUNCTION("""COMPUTED_VALUE"""),"Daniel")</f>
        <v>Daniel</v>
      </c>
      <c r="T17" s="7" t="str">
        <f ca="1">IFERROR(__xludf.DUMMYFUNCTION("""COMPUTED_VALUE"""),"http://www.ms.ro/2020/04/02/buletin-informativ-02-04-2020/")</f>
        <v>http://www.ms.ro/2020/04/02/buletin-informativ-02-04-2020/</v>
      </c>
      <c r="U17" s="5"/>
      <c r="V17" s="5"/>
      <c r="W17" s="5"/>
      <c r="X17" s="5"/>
      <c r="Y17" s="5"/>
      <c r="Z17" s="5"/>
      <c r="AA17" s="5"/>
      <c r="AB17" s="5"/>
      <c r="AC17" s="5"/>
    </row>
    <row r="18" spans="1:29" ht="15.75" customHeight="1">
      <c r="A18" s="5">
        <f ca="1">IFERROR(__xludf.DUMMYFUNCTION("""COMPUTED_VALUE"""),2480)</f>
        <v>2480</v>
      </c>
      <c r="B18" s="5"/>
      <c r="C18" s="5" t="str">
        <f ca="1">IFERROR(__xludf.DUMMYFUNCTION("""COMPUTED_VALUE"""),"Bihor")</f>
        <v>Bihor</v>
      </c>
      <c r="D18" s="13">
        <f ca="1">IFERROR(__xludf.DUMMYFUNCTION("""COMPUTED_VALUE"""),43923)</f>
        <v>43923</v>
      </c>
      <c r="E18" s="5" t="str">
        <f ca="1">IFERROR(__xludf.DUMMYFUNCTION("""COMPUTED_VALUE"""),"Da")</f>
        <v>Da</v>
      </c>
      <c r="F18" s="5"/>
      <c r="G18" s="5"/>
      <c r="H18" s="6"/>
      <c r="I18" s="5"/>
      <c r="J18" s="5"/>
      <c r="K18" s="7" t="str">
        <f ca="1">IFERROR(__xludf.DUMMYFUNCTION("""COMPUTED_VALUE"""),"https://stirioficiale.ro/informatii/buletin-de-presa-2-aprilie-2020-ora-13-01")</f>
        <v>https://stirioficiale.ro/informatii/buletin-de-presa-2-aprilie-2020-ora-13-01</v>
      </c>
      <c r="L18" s="5"/>
      <c r="M18" s="5"/>
      <c r="N18" s="5"/>
      <c r="O18" s="5"/>
      <c r="P18" s="5" t="str">
        <f ca="1">IFERROR(__xludf.DUMMYFUNCTION("""COMPUTED_VALUE"""),"diferenta raportare 01.04 (ora 18)-02.04")</f>
        <v>diferenta raportare 01.04 (ora 18)-02.04</v>
      </c>
      <c r="Q18" s="5"/>
      <c r="R18" s="5"/>
      <c r="S18" s="5" t="str">
        <f ca="1">IFERROR(__xludf.DUMMYFUNCTION("""COMPUTED_VALUE"""),"Daniel")</f>
        <v>Daniel</v>
      </c>
      <c r="T18" s="7" t="str">
        <f ca="1">IFERROR(__xludf.DUMMYFUNCTION("""COMPUTED_VALUE"""),"http://www.ms.ro/2020/04/02/buletin-informativ-02-04-2020/")</f>
        <v>http://www.ms.ro/2020/04/02/buletin-informativ-02-04-2020/</v>
      </c>
      <c r="U18" s="5"/>
      <c r="V18" s="5"/>
      <c r="W18" s="5"/>
      <c r="X18" s="5"/>
      <c r="Y18" s="5"/>
      <c r="Z18" s="5"/>
      <c r="AA18" s="5"/>
      <c r="AB18" s="5"/>
      <c r="AC18" s="5"/>
    </row>
    <row r="19" spans="1:29" ht="15.75" customHeight="1">
      <c r="A19" s="5">
        <f ca="1">IFERROR(__xludf.DUMMYFUNCTION("""COMPUTED_VALUE"""),2481)</f>
        <v>2481</v>
      </c>
      <c r="B19" s="5"/>
      <c r="C19" s="5" t="str">
        <f ca="1">IFERROR(__xludf.DUMMYFUNCTION("""COMPUTED_VALUE"""),"Bihor")</f>
        <v>Bihor</v>
      </c>
      <c r="D19" s="13">
        <f ca="1">IFERROR(__xludf.DUMMYFUNCTION("""COMPUTED_VALUE"""),43923)</f>
        <v>43923</v>
      </c>
      <c r="E19" s="5" t="str">
        <f ca="1">IFERROR(__xludf.DUMMYFUNCTION("""COMPUTED_VALUE"""),"Da")</f>
        <v>Da</v>
      </c>
      <c r="F19" s="5"/>
      <c r="G19" s="5"/>
      <c r="H19" s="6"/>
      <c r="I19" s="5"/>
      <c r="J19" s="5"/>
      <c r="K19" s="7" t="str">
        <f ca="1">IFERROR(__xludf.DUMMYFUNCTION("""COMPUTED_VALUE"""),"https://stirioficiale.ro/informatii/buletin-de-presa-2-aprilie-2020-ora-13-01")</f>
        <v>https://stirioficiale.ro/informatii/buletin-de-presa-2-aprilie-2020-ora-13-01</v>
      </c>
      <c r="L19" s="5"/>
      <c r="M19" s="5"/>
      <c r="N19" s="5"/>
      <c r="O19" s="5"/>
      <c r="P19" s="5" t="str">
        <f ca="1">IFERROR(__xludf.DUMMYFUNCTION("""COMPUTED_VALUE"""),"diferenta raportare 01.04 (ora 18)-02.04")</f>
        <v>diferenta raportare 01.04 (ora 18)-02.04</v>
      </c>
      <c r="Q19" s="5"/>
      <c r="R19" s="5"/>
      <c r="S19" s="5" t="str">
        <f ca="1">IFERROR(__xludf.DUMMYFUNCTION("""COMPUTED_VALUE"""),"Daniel")</f>
        <v>Daniel</v>
      </c>
      <c r="T19" s="7" t="str">
        <f ca="1">IFERROR(__xludf.DUMMYFUNCTION("""COMPUTED_VALUE"""),"http://www.ms.ro/2020/04/02/buletin-informativ-02-04-2020/")</f>
        <v>http://www.ms.ro/2020/04/02/buletin-informativ-02-04-2020/</v>
      </c>
      <c r="U19" s="5"/>
      <c r="V19" s="5"/>
      <c r="W19" s="5"/>
      <c r="X19" s="5"/>
      <c r="Y19" s="5"/>
      <c r="Z19" s="5"/>
      <c r="AA19" s="5"/>
      <c r="AB19" s="5"/>
      <c r="AC19" s="5"/>
    </row>
    <row r="20" spans="1:29" ht="15.75" customHeight="1">
      <c r="A20" s="5">
        <f ca="1">IFERROR(__xludf.DUMMYFUNCTION("""COMPUTED_VALUE"""),2482)</f>
        <v>2482</v>
      </c>
      <c r="B20" s="5"/>
      <c r="C20" s="5" t="str">
        <f ca="1">IFERROR(__xludf.DUMMYFUNCTION("""COMPUTED_VALUE"""),"Bihor")</f>
        <v>Bihor</v>
      </c>
      <c r="D20" s="13">
        <f ca="1">IFERROR(__xludf.DUMMYFUNCTION("""COMPUTED_VALUE"""),43923)</f>
        <v>43923</v>
      </c>
      <c r="E20" s="5" t="str">
        <f ca="1">IFERROR(__xludf.DUMMYFUNCTION("""COMPUTED_VALUE"""),"Da")</f>
        <v>Da</v>
      </c>
      <c r="F20" s="5"/>
      <c r="G20" s="5"/>
      <c r="H20" s="6"/>
      <c r="I20" s="5"/>
      <c r="J20" s="5"/>
      <c r="K20" s="7" t="str">
        <f ca="1">IFERROR(__xludf.DUMMYFUNCTION("""COMPUTED_VALUE"""),"https://stirioficiale.ro/informatii/buletin-de-presa-2-aprilie-2020-ora-13-01")</f>
        <v>https://stirioficiale.ro/informatii/buletin-de-presa-2-aprilie-2020-ora-13-01</v>
      </c>
      <c r="L20" s="5"/>
      <c r="M20" s="5"/>
      <c r="N20" s="5"/>
      <c r="O20" s="5"/>
      <c r="P20" s="5" t="str">
        <f ca="1">IFERROR(__xludf.DUMMYFUNCTION("""COMPUTED_VALUE"""),"diferenta raportare 01.04 (ora 18)-02.04")</f>
        <v>diferenta raportare 01.04 (ora 18)-02.04</v>
      </c>
      <c r="Q20" s="5"/>
      <c r="R20" s="5"/>
      <c r="S20" s="5" t="str">
        <f ca="1">IFERROR(__xludf.DUMMYFUNCTION("""COMPUTED_VALUE"""),"Daniel")</f>
        <v>Daniel</v>
      </c>
      <c r="T20" s="7" t="str">
        <f ca="1">IFERROR(__xludf.DUMMYFUNCTION("""COMPUTED_VALUE"""),"http://www.ms.ro/2020/04/02/buletin-informativ-02-04-2020/")</f>
        <v>http://www.ms.ro/2020/04/02/buletin-informativ-02-04-2020/</v>
      </c>
      <c r="U20" s="5"/>
      <c r="V20" s="5"/>
      <c r="W20" s="5"/>
      <c r="X20" s="5"/>
      <c r="Y20" s="5"/>
      <c r="Z20" s="5"/>
      <c r="AA20" s="5"/>
      <c r="AB20" s="5"/>
      <c r="AC20" s="5"/>
    </row>
    <row r="21" spans="1:29" ht="15.75" customHeight="1">
      <c r="A21" s="5">
        <f ca="1">IFERROR(__xludf.DUMMYFUNCTION("""COMPUTED_VALUE"""),2750)</f>
        <v>2750</v>
      </c>
      <c r="B21" s="5"/>
      <c r="C21" s="5" t="str">
        <f ca="1">IFERROR(__xludf.DUMMYFUNCTION("""COMPUTED_VALUE"""),"Bihor")</f>
        <v>Bihor</v>
      </c>
      <c r="D21" s="13">
        <f ca="1">IFERROR(__xludf.DUMMYFUNCTION("""COMPUTED_VALUE"""),43924)</f>
        <v>43924</v>
      </c>
      <c r="E21" s="5" t="str">
        <f ca="1">IFERROR(__xludf.DUMMYFUNCTION("""COMPUTED_VALUE"""),"Da")</f>
        <v>Da</v>
      </c>
      <c r="F21" s="5"/>
      <c r="G21" s="5"/>
      <c r="H21" s="6"/>
      <c r="I21" s="5"/>
      <c r="J21" s="5"/>
      <c r="K21" s="7" t="str">
        <f ca="1">IFERROR(__xludf.DUMMYFUNCTION("""COMPUTED_VALUE"""),"https://stirioficiale.ro/informatii/buletin-de-presa-3-aprilie-2020-ora-13-00")</f>
        <v>https://stirioficiale.ro/informatii/buletin-de-presa-3-aprilie-2020-ora-13-00</v>
      </c>
      <c r="L21" s="5"/>
      <c r="M21" s="5"/>
      <c r="N21" s="5"/>
      <c r="O21" s="5"/>
      <c r="P21" s="5"/>
      <c r="Q21" s="5"/>
      <c r="R21" s="5"/>
      <c r="S21" s="5" t="str">
        <f ca="1">IFERROR(__xludf.DUMMYFUNCTION("""COMPUTED_VALUE"""),"Octavian")</f>
        <v>Octavian</v>
      </c>
      <c r="T21" s="7" t="str">
        <f ca="1">IFERROR(__xludf.DUMMYFUNCTION("""COMPUTED_VALUE"""),"http://www.ms.ro/2020/04/03/buletin-informativ-03-04-2020/")</f>
        <v>http://www.ms.ro/2020/04/03/buletin-informativ-03-04-2020/</v>
      </c>
      <c r="U21" s="5"/>
      <c r="V21" s="5"/>
      <c r="W21" s="5"/>
      <c r="X21" s="5"/>
      <c r="Y21" s="5"/>
      <c r="Z21" s="5"/>
      <c r="AA21" s="5"/>
      <c r="AB21" s="5"/>
      <c r="AC21" s="5"/>
    </row>
    <row r="22" spans="1:29" ht="15.75" customHeight="1">
      <c r="A22" s="5">
        <f ca="1">IFERROR(__xludf.DUMMYFUNCTION("""COMPUTED_VALUE"""),2751)</f>
        <v>2751</v>
      </c>
      <c r="B22" s="5"/>
      <c r="C22" s="5" t="str">
        <f ca="1">IFERROR(__xludf.DUMMYFUNCTION("""COMPUTED_VALUE"""),"Bihor")</f>
        <v>Bihor</v>
      </c>
      <c r="D22" s="13">
        <f ca="1">IFERROR(__xludf.DUMMYFUNCTION("""COMPUTED_VALUE"""),43924)</f>
        <v>43924</v>
      </c>
      <c r="E22" s="5" t="str">
        <f ca="1">IFERROR(__xludf.DUMMYFUNCTION("""COMPUTED_VALUE"""),"Da")</f>
        <v>Da</v>
      </c>
      <c r="F22" s="5"/>
      <c r="G22" s="5"/>
      <c r="H22" s="6"/>
      <c r="I22" s="5"/>
      <c r="J22" s="5"/>
      <c r="K22" s="7" t="str">
        <f ca="1">IFERROR(__xludf.DUMMYFUNCTION("""COMPUTED_VALUE"""),"https://stirioficiale.ro/informatii/buletin-de-presa-3-aprilie-2020-ora-13-00")</f>
        <v>https://stirioficiale.ro/informatii/buletin-de-presa-3-aprilie-2020-ora-13-00</v>
      </c>
      <c r="L22" s="5"/>
      <c r="M22" s="5"/>
      <c r="N22" s="5"/>
      <c r="O22" s="5"/>
      <c r="P22" s="5"/>
      <c r="Q22" s="5"/>
      <c r="R22" s="5"/>
      <c r="S22" s="5" t="str">
        <f ca="1">IFERROR(__xludf.DUMMYFUNCTION("""COMPUTED_VALUE"""),"Octavian")</f>
        <v>Octavian</v>
      </c>
      <c r="T22" s="7" t="str">
        <f ca="1">IFERROR(__xludf.DUMMYFUNCTION("""COMPUTED_VALUE"""),"http://www.ms.ro/2020/04/03/buletin-informativ-03-04-2020/")</f>
        <v>http://www.ms.ro/2020/04/03/buletin-informativ-03-04-2020/</v>
      </c>
      <c r="U22" s="5"/>
      <c r="V22" s="5"/>
      <c r="W22" s="5"/>
      <c r="X22" s="5"/>
      <c r="Y22" s="5"/>
      <c r="Z22" s="5"/>
      <c r="AA22" s="5"/>
      <c r="AB22" s="5"/>
      <c r="AC22" s="5"/>
    </row>
    <row r="23" spans="1:29" ht="15.75" customHeight="1">
      <c r="A23" s="5">
        <f ca="1">IFERROR(__xludf.DUMMYFUNCTION("""COMPUTED_VALUE"""),2752)</f>
        <v>2752</v>
      </c>
      <c r="B23" s="5"/>
      <c r="C23" s="5" t="str">
        <f ca="1">IFERROR(__xludf.DUMMYFUNCTION("""COMPUTED_VALUE"""),"Bihor")</f>
        <v>Bihor</v>
      </c>
      <c r="D23" s="13">
        <f ca="1">IFERROR(__xludf.DUMMYFUNCTION("""COMPUTED_VALUE"""),43924)</f>
        <v>43924</v>
      </c>
      <c r="E23" s="5" t="str">
        <f ca="1">IFERROR(__xludf.DUMMYFUNCTION("""COMPUTED_VALUE"""),"Da")</f>
        <v>Da</v>
      </c>
      <c r="F23" s="5"/>
      <c r="G23" s="5"/>
      <c r="H23" s="6"/>
      <c r="I23" s="5"/>
      <c r="J23" s="5"/>
      <c r="K23" s="7" t="str">
        <f ca="1">IFERROR(__xludf.DUMMYFUNCTION("""COMPUTED_VALUE"""),"https://stirioficiale.ro/informatii/buletin-de-presa-3-aprilie-2020-ora-13-00")</f>
        <v>https://stirioficiale.ro/informatii/buletin-de-presa-3-aprilie-2020-ora-13-00</v>
      </c>
      <c r="L23" s="5"/>
      <c r="M23" s="5"/>
      <c r="N23" s="5"/>
      <c r="O23" s="5"/>
      <c r="P23" s="5"/>
      <c r="Q23" s="5"/>
      <c r="R23" s="5"/>
      <c r="S23" s="5" t="str">
        <f ca="1">IFERROR(__xludf.DUMMYFUNCTION("""COMPUTED_VALUE"""),"Octavian")</f>
        <v>Octavian</v>
      </c>
      <c r="T23" s="7" t="str">
        <f ca="1">IFERROR(__xludf.DUMMYFUNCTION("""COMPUTED_VALUE"""),"http://www.ms.ro/2020/04/03/buletin-informativ-03-04-2020/")</f>
        <v>http://www.ms.ro/2020/04/03/buletin-informativ-03-04-2020/</v>
      </c>
      <c r="U23" s="5"/>
      <c r="V23" s="5"/>
      <c r="W23" s="5"/>
      <c r="X23" s="5"/>
      <c r="Y23" s="5"/>
      <c r="Z23" s="5"/>
      <c r="AA23" s="5"/>
      <c r="AB23" s="5"/>
      <c r="AC23" s="5"/>
    </row>
    <row r="24" spans="1:29" ht="15.75" customHeight="1">
      <c r="A24" s="5">
        <f ca="1">IFERROR(__xludf.DUMMYFUNCTION("""COMPUTED_VALUE"""),2753)</f>
        <v>2753</v>
      </c>
      <c r="B24" s="5"/>
      <c r="C24" s="5" t="str">
        <f ca="1">IFERROR(__xludf.DUMMYFUNCTION("""COMPUTED_VALUE"""),"Bihor")</f>
        <v>Bihor</v>
      </c>
      <c r="D24" s="13">
        <f ca="1">IFERROR(__xludf.DUMMYFUNCTION("""COMPUTED_VALUE"""),43924)</f>
        <v>43924</v>
      </c>
      <c r="E24" s="5" t="str">
        <f ca="1">IFERROR(__xludf.DUMMYFUNCTION("""COMPUTED_VALUE"""),"Da")</f>
        <v>Da</v>
      </c>
      <c r="F24" s="5"/>
      <c r="G24" s="5"/>
      <c r="H24" s="6"/>
      <c r="I24" s="5"/>
      <c r="J24" s="5"/>
      <c r="K24" s="7" t="str">
        <f ca="1">IFERROR(__xludf.DUMMYFUNCTION("""COMPUTED_VALUE"""),"https://stirioficiale.ro/informatii/buletin-de-presa-3-aprilie-2020-ora-13-00")</f>
        <v>https://stirioficiale.ro/informatii/buletin-de-presa-3-aprilie-2020-ora-13-00</v>
      </c>
      <c r="L24" s="5"/>
      <c r="M24" s="5"/>
      <c r="N24" s="5"/>
      <c r="O24" s="5"/>
      <c r="P24" s="5"/>
      <c r="Q24" s="5"/>
      <c r="R24" s="5"/>
      <c r="S24" s="5" t="str">
        <f ca="1">IFERROR(__xludf.DUMMYFUNCTION("""COMPUTED_VALUE"""),"Octavian")</f>
        <v>Octavian</v>
      </c>
      <c r="T24" s="7" t="str">
        <f ca="1">IFERROR(__xludf.DUMMYFUNCTION("""COMPUTED_VALUE"""),"http://www.ms.ro/2020/04/03/buletin-informativ-03-04-2020/")</f>
        <v>http://www.ms.ro/2020/04/03/buletin-informativ-03-04-2020/</v>
      </c>
      <c r="U24" s="5"/>
      <c r="V24" s="5"/>
      <c r="W24" s="5"/>
      <c r="X24" s="5"/>
      <c r="Y24" s="5"/>
      <c r="Z24" s="5"/>
      <c r="AA24" s="5"/>
      <c r="AB24" s="5"/>
      <c r="AC24" s="5"/>
    </row>
    <row r="25" spans="1:29" ht="15.75" customHeight="1">
      <c r="A25" s="5">
        <f ca="1">IFERROR(__xludf.DUMMYFUNCTION("""COMPUTED_VALUE"""),2754)</f>
        <v>2754</v>
      </c>
      <c r="B25" s="5"/>
      <c r="C25" s="5" t="str">
        <f ca="1">IFERROR(__xludf.DUMMYFUNCTION("""COMPUTED_VALUE"""),"Bihor")</f>
        <v>Bihor</v>
      </c>
      <c r="D25" s="13">
        <f ca="1">IFERROR(__xludf.DUMMYFUNCTION("""COMPUTED_VALUE"""),43924)</f>
        <v>43924</v>
      </c>
      <c r="E25" s="5" t="str">
        <f ca="1">IFERROR(__xludf.DUMMYFUNCTION("""COMPUTED_VALUE"""),"Da")</f>
        <v>Da</v>
      </c>
      <c r="F25" s="5"/>
      <c r="G25" s="5"/>
      <c r="H25" s="6"/>
      <c r="I25" s="5"/>
      <c r="J25" s="5"/>
      <c r="K25" s="7" t="str">
        <f ca="1">IFERROR(__xludf.DUMMYFUNCTION("""COMPUTED_VALUE"""),"https://stirioficiale.ro/informatii/buletin-de-presa-3-aprilie-2020-ora-13-00")</f>
        <v>https://stirioficiale.ro/informatii/buletin-de-presa-3-aprilie-2020-ora-13-00</v>
      </c>
      <c r="L25" s="5"/>
      <c r="M25" s="5"/>
      <c r="N25" s="5"/>
      <c r="O25" s="5"/>
      <c r="P25" s="5"/>
      <c r="Q25" s="5"/>
      <c r="R25" s="5"/>
      <c r="S25" s="5" t="str">
        <f ca="1">IFERROR(__xludf.DUMMYFUNCTION("""COMPUTED_VALUE"""),"Octavian")</f>
        <v>Octavian</v>
      </c>
      <c r="T25" s="7" t="str">
        <f ca="1">IFERROR(__xludf.DUMMYFUNCTION("""COMPUTED_VALUE"""),"http://www.ms.ro/2020/04/03/buletin-informativ-03-04-2020/")</f>
        <v>http://www.ms.ro/2020/04/03/buletin-informativ-03-04-2020/</v>
      </c>
      <c r="U25" s="5"/>
      <c r="V25" s="5"/>
      <c r="W25" s="5"/>
      <c r="X25" s="5"/>
      <c r="Y25" s="5"/>
      <c r="Z25" s="5"/>
      <c r="AA25" s="5"/>
      <c r="AB25" s="5"/>
      <c r="AC25" s="5"/>
    </row>
    <row r="26" spans="1:29" ht="15.75" customHeight="1">
      <c r="A26" s="5">
        <f ca="1">IFERROR(__xludf.DUMMYFUNCTION("""COMPUTED_VALUE"""),3209)</f>
        <v>3209</v>
      </c>
      <c r="B26" s="5"/>
      <c r="C26" s="5" t="str">
        <f ca="1">IFERROR(__xludf.DUMMYFUNCTION("""COMPUTED_VALUE"""),"Bihor")</f>
        <v>Bihor</v>
      </c>
      <c r="D26" s="13">
        <f ca="1">IFERROR(__xludf.DUMMYFUNCTION("""COMPUTED_VALUE"""),43925)</f>
        <v>43925</v>
      </c>
      <c r="E26" s="5" t="str">
        <f ca="1">IFERROR(__xludf.DUMMYFUNCTION("""COMPUTED_VALUE"""),"Da")</f>
        <v>Da</v>
      </c>
      <c r="F26" s="5"/>
      <c r="G26" s="5"/>
      <c r="H26" s="6"/>
      <c r="I26" s="5"/>
      <c r="J26" s="5"/>
      <c r="K26" s="7" t="str">
        <f ca="1">IFERROR(__xludf.DUMMYFUNCTION("""COMPUTED_VALUE"""),"https://stirioficiale.ro/informatii/buletin-de-presa-4-aprilie-2020-ora-13-24")</f>
        <v>https://stirioficiale.ro/informatii/buletin-de-presa-4-aprilie-2020-ora-13-24</v>
      </c>
      <c r="L26" s="5"/>
      <c r="M26" s="5"/>
      <c r="N26" s="5"/>
      <c r="O26" s="5"/>
      <c r="P26" s="5"/>
      <c r="Q26" s="5"/>
      <c r="R26" s="5"/>
      <c r="S26" s="5" t="str">
        <f ca="1">IFERROR(__xludf.DUMMYFUNCTION("""COMPUTED_VALUE"""),"Octavian")</f>
        <v>Octavian</v>
      </c>
      <c r="T26" s="7" t="str">
        <f ca="1">IFERROR(__xludf.DUMMYFUNCTION("""COMPUTED_VALUE"""),"http://www.ms.ro/2020/04/04/buletin-informativ-05-04-2020/")</f>
        <v>http://www.ms.ro/2020/04/04/buletin-informativ-05-04-2020/</v>
      </c>
      <c r="U26" s="5"/>
      <c r="V26" s="5"/>
      <c r="W26" s="5"/>
      <c r="X26" s="5"/>
      <c r="Y26" s="5"/>
      <c r="Z26" s="5"/>
      <c r="AA26" s="5"/>
      <c r="AB26" s="5"/>
      <c r="AC26" s="5"/>
    </row>
    <row r="27" spans="1:29" ht="15.75" customHeight="1">
      <c r="A27" s="5">
        <f ca="1">IFERROR(__xludf.DUMMYFUNCTION("""COMPUTED_VALUE"""),3210)</f>
        <v>3210</v>
      </c>
      <c r="B27" s="5"/>
      <c r="C27" s="5" t="str">
        <f ca="1">IFERROR(__xludf.DUMMYFUNCTION("""COMPUTED_VALUE"""),"Bihor")</f>
        <v>Bihor</v>
      </c>
      <c r="D27" s="13">
        <f ca="1">IFERROR(__xludf.DUMMYFUNCTION("""COMPUTED_VALUE"""),43925)</f>
        <v>43925</v>
      </c>
      <c r="E27" s="5" t="str">
        <f ca="1">IFERROR(__xludf.DUMMYFUNCTION("""COMPUTED_VALUE"""),"Da")</f>
        <v>Da</v>
      </c>
      <c r="F27" s="5"/>
      <c r="G27" s="5"/>
      <c r="H27" s="6"/>
      <c r="I27" s="5"/>
      <c r="J27" s="5"/>
      <c r="K27" s="7" t="str">
        <f ca="1">IFERROR(__xludf.DUMMYFUNCTION("""COMPUTED_VALUE"""),"https://stirioficiale.ro/informatii/buletin-de-presa-4-aprilie-2020-ora-13-25")</f>
        <v>https://stirioficiale.ro/informatii/buletin-de-presa-4-aprilie-2020-ora-13-25</v>
      </c>
      <c r="L27" s="5"/>
      <c r="M27" s="5"/>
      <c r="N27" s="5"/>
      <c r="O27" s="5"/>
      <c r="P27" s="5"/>
      <c r="Q27" s="5"/>
      <c r="R27" s="5"/>
      <c r="S27" s="5" t="str">
        <f ca="1">IFERROR(__xludf.DUMMYFUNCTION("""COMPUTED_VALUE"""),"Octavian")</f>
        <v>Octavian</v>
      </c>
      <c r="T27" s="7" t="str">
        <f ca="1">IFERROR(__xludf.DUMMYFUNCTION("""COMPUTED_VALUE"""),"http://www.ms.ro/2020/04/04/buletin-informativ-05-04-2020/")</f>
        <v>http://www.ms.ro/2020/04/04/buletin-informativ-05-04-2020/</v>
      </c>
      <c r="U27" s="5"/>
      <c r="V27" s="5"/>
      <c r="W27" s="5"/>
      <c r="X27" s="5"/>
      <c r="Y27" s="5"/>
      <c r="Z27" s="5"/>
      <c r="AA27" s="5"/>
      <c r="AB27" s="5"/>
      <c r="AC27" s="5"/>
    </row>
    <row r="28" spans="1:29" ht="15.75" customHeight="1">
      <c r="A28" s="5">
        <f ca="1">IFERROR(__xludf.DUMMYFUNCTION("""COMPUTED_VALUE"""),3876)</f>
        <v>3876</v>
      </c>
      <c r="B28" s="5"/>
      <c r="C28" s="5" t="str">
        <f ca="1">IFERROR(__xludf.DUMMYFUNCTION("""COMPUTED_VALUE"""),"Bihor")</f>
        <v>Bihor</v>
      </c>
      <c r="D28" s="13">
        <f ca="1">IFERROR(__xludf.DUMMYFUNCTION("""COMPUTED_VALUE"""),43927)</f>
        <v>43927</v>
      </c>
      <c r="E28" s="5" t="str">
        <f ca="1">IFERROR(__xludf.DUMMYFUNCTION("""COMPUTED_VALUE"""),"Da")</f>
        <v>Da</v>
      </c>
      <c r="F28" s="5"/>
      <c r="G28" s="5"/>
      <c r="H28" s="6"/>
      <c r="I28" s="5"/>
      <c r="J28" s="5"/>
      <c r="K28" s="7" t="str">
        <f ca="1">IFERROR(__xludf.DUMMYFUNCTION("""COMPUTED_VALUE"""),"https://stirioficiale.ro/informatii/buletin-de-presa-6-aprilie-2020-ora-13-00")</f>
        <v>https://stirioficiale.ro/informatii/buletin-de-presa-6-aprilie-2020-ora-13-00</v>
      </c>
      <c r="L28" s="5"/>
      <c r="M28" s="5"/>
      <c r="N28" s="5"/>
      <c r="O28" s="5"/>
      <c r="P28" s="5" t="str">
        <f ca="1">IFERROR(__xludf.DUMMYFUNCTION("""COMPUTED_VALUE"""),"diferenta raportare anterioara")</f>
        <v>diferenta raportare anterioara</v>
      </c>
      <c r="Q28" s="5"/>
      <c r="R28" s="5" t="str">
        <f ca="1">IFERROR(__xludf.DUMMYFUNCTION("""COMPUTED_VALUE"""),"România")</f>
        <v>România</v>
      </c>
      <c r="S28" s="5" t="str">
        <f ca="1">IFERROR(__xludf.DUMMYFUNCTION("""COMPUTED_VALUE"""),"Daniel")</f>
        <v>Daniel</v>
      </c>
      <c r="T28" s="7" t="str">
        <f ca="1">IFERROR(__xludf.DUMMYFUNCTION("""COMPUTED_VALUE"""),"https://stirioficiale.ro/informatii/buletin-de-presa-6-aprilie-2020-ora-13-00")</f>
        <v>https://stirioficiale.ro/informatii/buletin-de-presa-6-aprilie-2020-ora-13-00</v>
      </c>
      <c r="U28" s="5"/>
      <c r="V28" s="5"/>
      <c r="W28" s="5"/>
      <c r="X28" s="5"/>
      <c r="Y28" s="5"/>
      <c r="Z28" s="5"/>
      <c r="AA28" s="5"/>
      <c r="AB28" s="5"/>
      <c r="AC28" s="5"/>
    </row>
    <row r="29" spans="1:29" ht="15.75" customHeight="1">
      <c r="A29" s="5">
        <f ca="1">IFERROR(__xludf.DUMMYFUNCTION("""COMPUTED_VALUE"""),3877)</f>
        <v>3877</v>
      </c>
      <c r="B29" s="5"/>
      <c r="C29" s="5" t="str">
        <f ca="1">IFERROR(__xludf.DUMMYFUNCTION("""COMPUTED_VALUE"""),"Bihor")</f>
        <v>Bihor</v>
      </c>
      <c r="D29" s="13">
        <f ca="1">IFERROR(__xludf.DUMMYFUNCTION("""COMPUTED_VALUE"""),43927)</f>
        <v>43927</v>
      </c>
      <c r="E29" s="5" t="str">
        <f ca="1">IFERROR(__xludf.DUMMYFUNCTION("""COMPUTED_VALUE"""),"Da")</f>
        <v>Da</v>
      </c>
      <c r="F29" s="5"/>
      <c r="G29" s="5"/>
      <c r="H29" s="6"/>
      <c r="I29" s="5"/>
      <c r="J29" s="5"/>
      <c r="K29" s="7" t="str">
        <f ca="1">IFERROR(__xludf.DUMMYFUNCTION("""COMPUTED_VALUE"""),"https://stirioficiale.ro/informatii/buletin-de-presa-6-aprilie-2020-ora-13-00")</f>
        <v>https://stirioficiale.ro/informatii/buletin-de-presa-6-aprilie-2020-ora-13-00</v>
      </c>
      <c r="L29" s="5"/>
      <c r="M29" s="5"/>
      <c r="N29" s="5"/>
      <c r="O29" s="5"/>
      <c r="P29" s="5" t="str">
        <f ca="1">IFERROR(__xludf.DUMMYFUNCTION("""COMPUTED_VALUE"""),"diferenta raportare anterioara")</f>
        <v>diferenta raportare anterioara</v>
      </c>
      <c r="Q29" s="5"/>
      <c r="R29" s="5" t="str">
        <f ca="1">IFERROR(__xludf.DUMMYFUNCTION("""COMPUTED_VALUE"""),"România")</f>
        <v>România</v>
      </c>
      <c r="S29" s="5" t="str">
        <f ca="1">IFERROR(__xludf.DUMMYFUNCTION("""COMPUTED_VALUE"""),"Daniel")</f>
        <v>Daniel</v>
      </c>
      <c r="T29" s="7" t="str">
        <f ca="1">IFERROR(__xludf.DUMMYFUNCTION("""COMPUTED_VALUE"""),"https://stirioficiale.ro/informatii/buletin-de-presa-6-aprilie-2020-ora-13-00")</f>
        <v>https://stirioficiale.ro/informatii/buletin-de-presa-6-aprilie-2020-ora-13-00</v>
      </c>
      <c r="U29" s="5"/>
      <c r="V29" s="5"/>
      <c r="W29" s="5"/>
      <c r="X29" s="5"/>
      <c r="Y29" s="5"/>
      <c r="Z29" s="5"/>
      <c r="AA29" s="5"/>
      <c r="AB29" s="5"/>
      <c r="AC29" s="5"/>
    </row>
    <row r="30" spans="1:29" ht="15.75" customHeight="1">
      <c r="A30" s="5">
        <f ca="1">IFERROR(__xludf.DUMMYFUNCTION("""COMPUTED_VALUE"""),3878)</f>
        <v>3878</v>
      </c>
      <c r="B30" s="5"/>
      <c r="C30" s="5" t="str">
        <f ca="1">IFERROR(__xludf.DUMMYFUNCTION("""COMPUTED_VALUE"""),"Bihor")</f>
        <v>Bihor</v>
      </c>
      <c r="D30" s="13">
        <f ca="1">IFERROR(__xludf.DUMMYFUNCTION("""COMPUTED_VALUE"""),43927)</f>
        <v>43927</v>
      </c>
      <c r="E30" s="5" t="str">
        <f ca="1">IFERROR(__xludf.DUMMYFUNCTION("""COMPUTED_VALUE"""),"Da")</f>
        <v>Da</v>
      </c>
      <c r="F30" s="5"/>
      <c r="G30" s="5"/>
      <c r="H30" s="6"/>
      <c r="I30" s="5"/>
      <c r="J30" s="5"/>
      <c r="K30" s="7" t="str">
        <f ca="1">IFERROR(__xludf.DUMMYFUNCTION("""COMPUTED_VALUE"""),"https://stirioficiale.ro/informatii/buletin-de-presa-6-aprilie-2020-ora-13-00")</f>
        <v>https://stirioficiale.ro/informatii/buletin-de-presa-6-aprilie-2020-ora-13-00</v>
      </c>
      <c r="L30" s="5"/>
      <c r="M30" s="5"/>
      <c r="N30" s="5"/>
      <c r="O30" s="5"/>
      <c r="P30" s="5" t="str">
        <f ca="1">IFERROR(__xludf.DUMMYFUNCTION("""COMPUTED_VALUE"""),"diferenta raportare anterioara")</f>
        <v>diferenta raportare anterioara</v>
      </c>
      <c r="Q30" s="5"/>
      <c r="R30" s="5" t="str">
        <f ca="1">IFERROR(__xludf.DUMMYFUNCTION("""COMPUTED_VALUE"""),"România")</f>
        <v>România</v>
      </c>
      <c r="S30" s="5" t="str">
        <f ca="1">IFERROR(__xludf.DUMMYFUNCTION("""COMPUTED_VALUE"""),"Daniel")</f>
        <v>Daniel</v>
      </c>
      <c r="T30" s="7" t="str">
        <f ca="1">IFERROR(__xludf.DUMMYFUNCTION("""COMPUTED_VALUE"""),"https://stirioficiale.ro/informatii/buletin-de-presa-6-aprilie-2020-ora-13-00")</f>
        <v>https://stirioficiale.ro/informatii/buletin-de-presa-6-aprilie-2020-ora-13-00</v>
      </c>
      <c r="U30" s="5"/>
      <c r="V30" s="5"/>
      <c r="W30" s="5"/>
      <c r="X30" s="5"/>
      <c r="Y30" s="5"/>
      <c r="Z30" s="5"/>
      <c r="AA30" s="5"/>
      <c r="AB30" s="5"/>
      <c r="AC30" s="5"/>
    </row>
    <row r="31" spans="1:29" ht="15.75" customHeight="1">
      <c r="A31" s="5">
        <f ca="1">IFERROR(__xludf.DUMMYFUNCTION("""COMPUTED_VALUE"""),3879)</f>
        <v>3879</v>
      </c>
      <c r="B31" s="5"/>
      <c r="C31" s="5" t="str">
        <f ca="1">IFERROR(__xludf.DUMMYFUNCTION("""COMPUTED_VALUE"""),"Bihor")</f>
        <v>Bihor</v>
      </c>
      <c r="D31" s="13">
        <f ca="1">IFERROR(__xludf.DUMMYFUNCTION("""COMPUTED_VALUE"""),43927)</f>
        <v>43927</v>
      </c>
      <c r="E31" s="5" t="str">
        <f ca="1">IFERROR(__xludf.DUMMYFUNCTION("""COMPUTED_VALUE"""),"Da")</f>
        <v>Da</v>
      </c>
      <c r="F31" s="5"/>
      <c r="G31" s="5"/>
      <c r="H31" s="6"/>
      <c r="I31" s="5"/>
      <c r="J31" s="5"/>
      <c r="K31" s="7" t="str">
        <f ca="1">IFERROR(__xludf.DUMMYFUNCTION("""COMPUTED_VALUE"""),"https://stirioficiale.ro/informatii/buletin-de-presa-6-aprilie-2020-ora-13-00")</f>
        <v>https://stirioficiale.ro/informatii/buletin-de-presa-6-aprilie-2020-ora-13-00</v>
      </c>
      <c r="L31" s="5"/>
      <c r="M31" s="5"/>
      <c r="N31" s="5"/>
      <c r="O31" s="5"/>
      <c r="P31" s="5" t="str">
        <f ca="1">IFERROR(__xludf.DUMMYFUNCTION("""COMPUTED_VALUE"""),"diferenta raportare anterioara")</f>
        <v>diferenta raportare anterioara</v>
      </c>
      <c r="Q31" s="5"/>
      <c r="R31" s="5" t="str">
        <f ca="1">IFERROR(__xludf.DUMMYFUNCTION("""COMPUTED_VALUE"""),"România")</f>
        <v>România</v>
      </c>
      <c r="S31" s="5" t="str">
        <f ca="1">IFERROR(__xludf.DUMMYFUNCTION("""COMPUTED_VALUE"""),"Daniel")</f>
        <v>Daniel</v>
      </c>
      <c r="T31" s="7" t="str">
        <f ca="1">IFERROR(__xludf.DUMMYFUNCTION("""COMPUTED_VALUE"""),"https://stirioficiale.ro/informatii/buletin-de-presa-6-aprilie-2020-ora-13-00")</f>
        <v>https://stirioficiale.ro/informatii/buletin-de-presa-6-aprilie-2020-ora-13-00</v>
      </c>
      <c r="U31" s="5"/>
      <c r="V31" s="5"/>
      <c r="W31" s="5"/>
      <c r="X31" s="5"/>
      <c r="Y31" s="5"/>
      <c r="Z31" s="5"/>
      <c r="AA31" s="5"/>
      <c r="AB31" s="5"/>
      <c r="AC31" s="5"/>
    </row>
    <row r="32" spans="1:29" ht="15.75" customHeight="1">
      <c r="A32" s="5">
        <f ca="1">IFERROR(__xludf.DUMMYFUNCTION("""COMPUTED_VALUE"""),3880)</f>
        <v>3880</v>
      </c>
      <c r="B32" s="5"/>
      <c r="C32" s="5" t="str">
        <f ca="1">IFERROR(__xludf.DUMMYFUNCTION("""COMPUTED_VALUE"""),"Bihor")</f>
        <v>Bihor</v>
      </c>
      <c r="D32" s="13">
        <f ca="1">IFERROR(__xludf.DUMMYFUNCTION("""COMPUTED_VALUE"""),43927)</f>
        <v>43927</v>
      </c>
      <c r="E32" s="5" t="str">
        <f ca="1">IFERROR(__xludf.DUMMYFUNCTION("""COMPUTED_VALUE"""),"Da")</f>
        <v>Da</v>
      </c>
      <c r="F32" s="5"/>
      <c r="G32" s="5"/>
      <c r="H32" s="6"/>
      <c r="I32" s="5"/>
      <c r="J32" s="5"/>
      <c r="K32" s="7" t="str">
        <f ca="1">IFERROR(__xludf.DUMMYFUNCTION("""COMPUTED_VALUE"""),"https://stirioficiale.ro/informatii/buletin-de-presa-6-aprilie-2020-ora-13-00")</f>
        <v>https://stirioficiale.ro/informatii/buletin-de-presa-6-aprilie-2020-ora-13-00</v>
      </c>
      <c r="L32" s="5"/>
      <c r="M32" s="5"/>
      <c r="N32" s="5"/>
      <c r="O32" s="5"/>
      <c r="P32" s="5" t="str">
        <f ca="1">IFERROR(__xludf.DUMMYFUNCTION("""COMPUTED_VALUE"""),"diferenta raportare anterioara")</f>
        <v>diferenta raportare anterioara</v>
      </c>
      <c r="Q32" s="5"/>
      <c r="R32" s="5" t="str">
        <f ca="1">IFERROR(__xludf.DUMMYFUNCTION("""COMPUTED_VALUE"""),"România")</f>
        <v>România</v>
      </c>
      <c r="S32" s="5" t="str">
        <f ca="1">IFERROR(__xludf.DUMMYFUNCTION("""COMPUTED_VALUE"""),"Daniel")</f>
        <v>Daniel</v>
      </c>
      <c r="T32" s="7" t="str">
        <f ca="1">IFERROR(__xludf.DUMMYFUNCTION("""COMPUTED_VALUE"""),"https://stirioficiale.ro/informatii/buletin-de-presa-6-aprilie-2020-ora-13-00")</f>
        <v>https://stirioficiale.ro/informatii/buletin-de-presa-6-aprilie-2020-ora-13-00</v>
      </c>
      <c r="U32" s="5"/>
      <c r="V32" s="5"/>
      <c r="W32" s="5"/>
      <c r="X32" s="5"/>
      <c r="Y32" s="5"/>
      <c r="Z32" s="5"/>
      <c r="AA32" s="5"/>
      <c r="AB32" s="5"/>
      <c r="AC32" s="5"/>
    </row>
    <row r="33" spans="1:29" ht="15.75" customHeight="1">
      <c r="A33" s="5">
        <f ca="1">IFERROR(__xludf.DUMMYFUNCTION("""COMPUTED_VALUE"""),3881)</f>
        <v>3881</v>
      </c>
      <c r="B33" s="5"/>
      <c r="C33" s="5" t="str">
        <f ca="1">IFERROR(__xludf.DUMMYFUNCTION("""COMPUTED_VALUE"""),"Bihor")</f>
        <v>Bihor</v>
      </c>
      <c r="D33" s="13">
        <f ca="1">IFERROR(__xludf.DUMMYFUNCTION("""COMPUTED_VALUE"""),43927)</f>
        <v>43927</v>
      </c>
      <c r="E33" s="5" t="str">
        <f ca="1">IFERROR(__xludf.DUMMYFUNCTION("""COMPUTED_VALUE"""),"Da")</f>
        <v>Da</v>
      </c>
      <c r="F33" s="5" t="str">
        <f ca="1">IFERROR(__xludf.DUMMYFUNCTION("""COMPUTED_VALUE"""),"Nu")</f>
        <v>Nu</v>
      </c>
      <c r="G33" s="5"/>
      <c r="H33" s="6">
        <f ca="1">IFERROR(__xludf.DUMMYFUNCTION("""COMPUTED_VALUE"""),43951)</f>
        <v>43951</v>
      </c>
      <c r="I33" s="5" t="str">
        <f ca="1">IFERROR(__xludf.DUMMYFUNCTION("""COMPUTED_VALUE"""),"Feminin")</f>
        <v>Feminin</v>
      </c>
      <c r="J33" s="5">
        <f ca="1">IFERROR(__xludf.DUMMYFUNCTION("""COMPUTED_VALUE"""),78)</f>
        <v>78</v>
      </c>
      <c r="K33" s="7" t="str">
        <f ca="1">IFERROR(__xludf.DUMMYFUNCTION("""COMPUTED_VALUE"""),"https://stirioficiale.ro/informatii/buletin-de-presa-6-aprilie-2020-ora-13-00")</f>
        <v>https://stirioficiale.ro/informatii/buletin-de-presa-6-aprilie-2020-ora-13-00</v>
      </c>
      <c r="L33" s="7" t="str">
        <f ca="1">IFERROR(__xludf.DUMMYFUNCTION("""COMPUTED_VALUE"""),"https://stirioficiale.ro/informatii/informare-de-presa-30-aprilie-2020-ora-18-08")</f>
        <v>https://stirioficiale.ro/informatii/informare-de-presa-30-aprilie-2020-ora-18-08</v>
      </c>
      <c r="M33" s="5"/>
      <c r="N33" s="5" t="str">
        <f ca="1">IFERROR(__xludf.DUMMYFUNCTION("""COMPUTED_VALUE"""),"Nu")</f>
        <v>Nu</v>
      </c>
      <c r="O33" s="5" t="str">
        <f ca="1">IFERROR(__xludf.DUMMYFUNCTION("""COMPUTED_VALUE"""),"Cardiopatie ischemica, HTA")</f>
        <v>Cardiopatie ischemica, HTA</v>
      </c>
      <c r="P33" s="5" t="str">
        <f ca="1">IFERROR(__xludf.DUMMYFUNCTION("""COMPUTED_VALUE"""),"Deces 698. Dată internare: 05.04.2020 în Spitalul Clinic Municipal Oradea, secția COVID, 10.04.2020 – secția ATI. Dată recoltare: 05.04.2020.Dată rezultat: 06.04.2020(diferenta raportare anterioara).")</f>
        <v>Deces 698. Dată internare: 05.04.2020 în Spitalul Clinic Municipal Oradea, secția COVID, 10.04.2020 – secția ATI. Dată recoltare: 05.04.2020.Dată rezultat: 06.04.2020(diferenta raportare anterioara).</v>
      </c>
      <c r="Q33" s="5"/>
      <c r="R33" s="5" t="str">
        <f ca="1">IFERROR(__xludf.DUMMYFUNCTION("""COMPUTED_VALUE"""),"România")</f>
        <v>România</v>
      </c>
      <c r="S33" s="5" t="str">
        <f ca="1">IFERROR(__xludf.DUMMYFUNCTION("""COMPUTED_VALUE"""),"Daniel/Octavian")</f>
        <v>Daniel/Octavian</v>
      </c>
      <c r="T33" s="7" t="str">
        <f ca="1">IFERROR(__xludf.DUMMYFUNCTION("""COMPUTED_VALUE"""),"https://stirioficiale.ro/informatii/buletin-de-presa-6-aprilie-2020-ora-13-00")</f>
        <v>https://stirioficiale.ro/informatii/buletin-de-presa-6-aprilie-2020-ora-13-00</v>
      </c>
      <c r="U33" s="5"/>
      <c r="V33" s="5"/>
      <c r="W33" s="5"/>
      <c r="X33" s="5"/>
      <c r="Y33" s="5"/>
      <c r="Z33" s="5"/>
      <c r="AA33" s="5"/>
      <c r="AB33" s="5"/>
      <c r="AC33" s="5"/>
    </row>
    <row r="34" spans="1:29" ht="15.75" customHeight="1">
      <c r="A34" s="5">
        <f ca="1">IFERROR(__xludf.DUMMYFUNCTION("""COMPUTED_VALUE"""),4090)</f>
        <v>4090</v>
      </c>
      <c r="B34" s="5"/>
      <c r="C34" s="5" t="str">
        <f ca="1">IFERROR(__xludf.DUMMYFUNCTION("""COMPUTED_VALUE"""),"Bihor")</f>
        <v>Bihor</v>
      </c>
      <c r="D34" s="13">
        <f ca="1">IFERROR(__xludf.DUMMYFUNCTION("""COMPUTED_VALUE"""),43928)</f>
        <v>43928</v>
      </c>
      <c r="E34" s="5" t="str">
        <f ca="1">IFERROR(__xludf.DUMMYFUNCTION("""COMPUTED_VALUE"""),"Da")</f>
        <v>Da</v>
      </c>
      <c r="F34" s="5"/>
      <c r="G34" s="5"/>
      <c r="H34" s="6"/>
      <c r="I34" s="5"/>
      <c r="J34" s="5"/>
      <c r="K34" s="7" t="str">
        <f ca="1">IFERROR(__xludf.DUMMYFUNCTION("""COMPUTED_VALUE"""),"https://stirioficiale.ro/informatii/buletin-de-presa-7-aprilie-2020-ora-13-32")</f>
        <v>https://stirioficiale.ro/informatii/buletin-de-presa-7-aprilie-2020-ora-13-32</v>
      </c>
      <c r="L34" s="5"/>
      <c r="M34" s="5"/>
      <c r="N34" s="5"/>
      <c r="O34" s="5"/>
      <c r="P34" s="5"/>
      <c r="Q34" s="5"/>
      <c r="R34" s="5" t="str">
        <f ca="1">IFERROR(__xludf.DUMMYFUNCTION("""COMPUTED_VALUE"""),"România")</f>
        <v>România</v>
      </c>
      <c r="S34" s="5" t="str">
        <f ca="1">IFERROR(__xludf.DUMMYFUNCTION("""COMPUTED_VALUE"""),"Ruxandra")</f>
        <v>Ruxandra</v>
      </c>
      <c r="T34" s="7" t="str">
        <f ca="1">IFERROR(__xludf.DUMMYFUNCTION("""COMPUTED_VALUE"""),"http://www.ms.ro/2020/04/07/buletin-informativ-07-04-2020/")</f>
        <v>http://www.ms.ro/2020/04/07/buletin-informativ-07-04-2020/</v>
      </c>
      <c r="U34" s="5"/>
      <c r="V34" s="5"/>
      <c r="W34" s="5"/>
      <c r="X34" s="5"/>
      <c r="Y34" s="5"/>
      <c r="Z34" s="5"/>
      <c r="AA34" s="5"/>
      <c r="AB34" s="5"/>
      <c r="AC34" s="5"/>
    </row>
    <row r="35" spans="1:29" ht="15.75" customHeight="1">
      <c r="A35" s="5">
        <f ca="1">IFERROR(__xludf.DUMMYFUNCTION("""COMPUTED_VALUE"""),4091)</f>
        <v>4091</v>
      </c>
      <c r="B35" s="5"/>
      <c r="C35" s="5" t="str">
        <f ca="1">IFERROR(__xludf.DUMMYFUNCTION("""COMPUTED_VALUE"""),"Bihor")</f>
        <v>Bihor</v>
      </c>
      <c r="D35" s="13">
        <f ca="1">IFERROR(__xludf.DUMMYFUNCTION("""COMPUTED_VALUE"""),43928)</f>
        <v>43928</v>
      </c>
      <c r="E35" s="5" t="str">
        <f ca="1">IFERROR(__xludf.DUMMYFUNCTION("""COMPUTED_VALUE"""),"Da")</f>
        <v>Da</v>
      </c>
      <c r="F35" s="5"/>
      <c r="G35" s="5"/>
      <c r="H35" s="6"/>
      <c r="I35" s="5"/>
      <c r="J35" s="5"/>
      <c r="K35" s="7" t="str">
        <f ca="1">IFERROR(__xludf.DUMMYFUNCTION("""COMPUTED_VALUE"""),"https://stirioficiale.ro/informatii/buletin-de-presa-7-aprilie-2020-ora-13-33")</f>
        <v>https://stirioficiale.ro/informatii/buletin-de-presa-7-aprilie-2020-ora-13-33</v>
      </c>
      <c r="L35" s="5"/>
      <c r="M35" s="5"/>
      <c r="N35" s="5"/>
      <c r="O35" s="5"/>
      <c r="P35" s="5"/>
      <c r="Q35" s="5"/>
      <c r="R35" s="5" t="str">
        <f ca="1">IFERROR(__xludf.DUMMYFUNCTION("""COMPUTED_VALUE"""),"România")</f>
        <v>România</v>
      </c>
      <c r="S35" s="5" t="str">
        <f ca="1">IFERROR(__xludf.DUMMYFUNCTION("""COMPUTED_VALUE"""),"Ruxandra")</f>
        <v>Ruxandra</v>
      </c>
      <c r="T35" s="7" t="str">
        <f ca="1">IFERROR(__xludf.DUMMYFUNCTION("""COMPUTED_VALUE"""),"http://www.ms.ro/2020/04/07/buletin-informativ-07-04-2020/")</f>
        <v>http://www.ms.ro/2020/04/07/buletin-informativ-07-04-2020/</v>
      </c>
      <c r="U35" s="5"/>
      <c r="V35" s="5"/>
      <c r="W35" s="5"/>
      <c r="X35" s="5"/>
      <c r="Y35" s="5"/>
      <c r="Z35" s="5"/>
      <c r="AA35" s="5"/>
      <c r="AB35" s="5"/>
      <c r="AC35" s="5"/>
    </row>
    <row r="36" spans="1:29" ht="15.75" customHeight="1">
      <c r="A36" s="5">
        <f ca="1">IFERROR(__xludf.DUMMYFUNCTION("""COMPUTED_VALUE"""),4092)</f>
        <v>4092</v>
      </c>
      <c r="B36" s="5"/>
      <c r="C36" s="5" t="str">
        <f ca="1">IFERROR(__xludf.DUMMYFUNCTION("""COMPUTED_VALUE"""),"Bihor")</f>
        <v>Bihor</v>
      </c>
      <c r="D36" s="13">
        <f ca="1">IFERROR(__xludf.DUMMYFUNCTION("""COMPUTED_VALUE"""),43928)</f>
        <v>43928</v>
      </c>
      <c r="E36" s="5" t="str">
        <f ca="1">IFERROR(__xludf.DUMMYFUNCTION("""COMPUTED_VALUE"""),"Da")</f>
        <v>Da</v>
      </c>
      <c r="F36" s="5"/>
      <c r="G36" s="5"/>
      <c r="H36" s="6"/>
      <c r="I36" s="5"/>
      <c r="J36" s="5"/>
      <c r="K36" s="7" t="str">
        <f ca="1">IFERROR(__xludf.DUMMYFUNCTION("""COMPUTED_VALUE"""),"https://stirioficiale.ro/informatii/buletin-de-presa-7-aprilie-2020-ora-13-34")</f>
        <v>https://stirioficiale.ro/informatii/buletin-de-presa-7-aprilie-2020-ora-13-34</v>
      </c>
      <c r="L36" s="5"/>
      <c r="M36" s="5"/>
      <c r="N36" s="5"/>
      <c r="O36" s="5"/>
      <c r="P36" s="5"/>
      <c r="Q36" s="5"/>
      <c r="R36" s="5" t="str">
        <f ca="1">IFERROR(__xludf.DUMMYFUNCTION("""COMPUTED_VALUE"""),"România")</f>
        <v>România</v>
      </c>
      <c r="S36" s="5" t="str">
        <f ca="1">IFERROR(__xludf.DUMMYFUNCTION("""COMPUTED_VALUE"""),"Ruxandra")</f>
        <v>Ruxandra</v>
      </c>
      <c r="T36" s="7" t="str">
        <f ca="1">IFERROR(__xludf.DUMMYFUNCTION("""COMPUTED_VALUE"""),"http://www.ms.ro/2020/04/07/buletin-informativ-07-04-2020/")</f>
        <v>http://www.ms.ro/2020/04/07/buletin-informativ-07-04-2020/</v>
      </c>
      <c r="U36" s="5"/>
      <c r="V36" s="5"/>
      <c r="W36" s="5"/>
      <c r="X36" s="5"/>
      <c r="Y36" s="5"/>
      <c r="Z36" s="5"/>
      <c r="AA36" s="5"/>
      <c r="AB36" s="5"/>
      <c r="AC36" s="5"/>
    </row>
    <row r="37" spans="1:29" ht="15.75" customHeight="1">
      <c r="A37" s="5">
        <f ca="1">IFERROR(__xludf.DUMMYFUNCTION("""COMPUTED_VALUE"""),4457)</f>
        <v>4457</v>
      </c>
      <c r="B37" s="5"/>
      <c r="C37" s="5" t="str">
        <f ca="1">IFERROR(__xludf.DUMMYFUNCTION("""COMPUTED_VALUE"""),"Bihor")</f>
        <v>Bihor</v>
      </c>
      <c r="D37" s="13">
        <f ca="1">IFERROR(__xludf.DUMMYFUNCTION("""COMPUTED_VALUE"""),43929)</f>
        <v>43929</v>
      </c>
      <c r="E37" s="5" t="str">
        <f ca="1">IFERROR(__xludf.DUMMYFUNCTION("""COMPUTED_VALUE"""),"Da")</f>
        <v>Da</v>
      </c>
      <c r="F37" s="5" t="str">
        <f ca="1">IFERROR(__xludf.DUMMYFUNCTION("""COMPUTED_VALUE"""),"Nu")</f>
        <v>Nu</v>
      </c>
      <c r="G37" s="5"/>
      <c r="H37" s="6">
        <f ca="1">IFERROR(__xludf.DUMMYFUNCTION("""COMPUTED_VALUE"""),43936)</f>
        <v>43936</v>
      </c>
      <c r="I37" s="5" t="str">
        <f ca="1">IFERROR(__xludf.DUMMYFUNCTION("""COMPUTED_VALUE"""),"Masculin")</f>
        <v>Masculin</v>
      </c>
      <c r="J37" s="5">
        <f ca="1">IFERROR(__xludf.DUMMYFUNCTION("""COMPUTED_VALUE"""),66)</f>
        <v>66</v>
      </c>
      <c r="K37" s="7" t="str">
        <f ca="1">IFERROR(__xludf.DUMMYFUNCTION("""COMPUTED_VALUE"""),"https://stirioficiale.ro/informatii/buletin-de-presa-8-aprilie-2020-ora-13-39")</f>
        <v>https://stirioficiale.ro/informatii/buletin-de-presa-8-aprilie-2020-ora-13-39</v>
      </c>
      <c r="L37" s="7" t="str">
        <f ca="1">IFERROR(__xludf.DUMMYFUNCTION("""COMPUTED_VALUE"""),"http://www.ms.ro/2020/04/16/decese-373-387/")</f>
        <v>http://www.ms.ro/2020/04/16/decese-373-387/</v>
      </c>
      <c r="M37" s="5"/>
      <c r="N37" s="5" t="str">
        <f ca="1">IFERROR(__xludf.DUMMYFUNCTION("""COMPUTED_VALUE"""),"Nu")</f>
        <v>Nu</v>
      </c>
      <c r="O37" s="5" t="str">
        <f ca="1">IFERROR(__xludf.DUMMYFUNCTION("""COMPUTED_VALUE"""),"HTA, BPOC, gută")</f>
        <v>HTA, BPOC, gută</v>
      </c>
      <c r="P37" s="5" t="str">
        <f ca="1">IFERROR(__xludf.DUMMYFUNCTION("""COMPUTED_VALUE"""),"Deces 381. Debut pe 03.04.2020, contact cu două cazuri confirmate. Internat pe 07.04.2020 în Spitalul Clinic Municipal Oradea, direct în ATI. Probe recoltate pe 07.04.2020, confirmat pe 08.04.2020.")</f>
        <v>Deces 381. Debut pe 03.04.2020, contact cu două cazuri confirmate. Internat pe 07.04.2020 în Spitalul Clinic Municipal Oradea, direct în ATI. Probe recoltate pe 07.04.2020, confirmat pe 08.04.2020.</v>
      </c>
      <c r="Q37" s="5" t="str">
        <f ca="1">IFERROR(__xludf.DUMMYFUNCTION("""COMPUTED_VALUE"""),"Comunitar")</f>
        <v>Comunitar</v>
      </c>
      <c r="R37" s="5" t="str">
        <f ca="1">IFERROR(__xludf.DUMMYFUNCTION("""COMPUTED_VALUE"""),"România")</f>
        <v>România</v>
      </c>
      <c r="S37" s="5" t="str">
        <f ca="1">IFERROR(__xludf.DUMMYFUNCTION("""COMPUTED_VALUE"""),"Octavian")</f>
        <v>Octavian</v>
      </c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t="15.75" customHeight="1">
      <c r="A38" s="5">
        <f ca="1">IFERROR(__xludf.DUMMYFUNCTION("""COMPUTED_VALUE"""),4458)</f>
        <v>4458</v>
      </c>
      <c r="B38" s="5"/>
      <c r="C38" s="5" t="str">
        <f ca="1">IFERROR(__xludf.DUMMYFUNCTION("""COMPUTED_VALUE"""),"Bihor")</f>
        <v>Bihor</v>
      </c>
      <c r="D38" s="13">
        <f ca="1">IFERROR(__xludf.DUMMYFUNCTION("""COMPUTED_VALUE"""),43929)</f>
        <v>43929</v>
      </c>
      <c r="E38" s="5" t="str">
        <f ca="1">IFERROR(__xludf.DUMMYFUNCTION("""COMPUTED_VALUE"""),"Da")</f>
        <v>Da</v>
      </c>
      <c r="F38" s="5"/>
      <c r="G38" s="5"/>
      <c r="H38" s="6"/>
      <c r="I38" s="5"/>
      <c r="J38" s="5"/>
      <c r="K38" s="7" t="str">
        <f ca="1">IFERROR(__xludf.DUMMYFUNCTION("""COMPUTED_VALUE"""),"https://stirioficiale.ro/informatii/buletin-de-presa-8-aprilie-2020-ora-13-40")</f>
        <v>https://stirioficiale.ro/informatii/buletin-de-presa-8-aprilie-2020-ora-13-40</v>
      </c>
      <c r="L38" s="5"/>
      <c r="M38" s="5"/>
      <c r="N38" s="5"/>
      <c r="O38" s="5"/>
      <c r="P38" s="5"/>
      <c r="Q38" s="5"/>
      <c r="R38" s="5" t="str">
        <f ca="1">IFERROR(__xludf.DUMMYFUNCTION("""COMPUTED_VALUE"""),"România")</f>
        <v>România</v>
      </c>
      <c r="S38" s="5" t="str">
        <f ca="1">IFERROR(__xludf.DUMMYFUNCTION("""COMPUTED_VALUE"""),"Octavian")</f>
        <v>Octavian</v>
      </c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15.75" customHeight="1">
      <c r="A39" s="5">
        <f ca="1">IFERROR(__xludf.DUMMYFUNCTION("""COMPUTED_VALUE"""),4459)</f>
        <v>4459</v>
      </c>
      <c r="B39" s="5"/>
      <c r="C39" s="5" t="str">
        <f ca="1">IFERROR(__xludf.DUMMYFUNCTION("""COMPUTED_VALUE"""),"Bihor")</f>
        <v>Bihor</v>
      </c>
      <c r="D39" s="13">
        <f ca="1">IFERROR(__xludf.DUMMYFUNCTION("""COMPUTED_VALUE"""),43929)</f>
        <v>43929</v>
      </c>
      <c r="E39" s="5" t="str">
        <f ca="1">IFERROR(__xludf.DUMMYFUNCTION("""COMPUTED_VALUE"""),"Da")</f>
        <v>Da</v>
      </c>
      <c r="F39" s="5"/>
      <c r="G39" s="5"/>
      <c r="H39" s="6"/>
      <c r="I39" s="5"/>
      <c r="J39" s="5"/>
      <c r="K39" s="7" t="str">
        <f ca="1">IFERROR(__xludf.DUMMYFUNCTION("""COMPUTED_VALUE"""),"https://stirioficiale.ro/informatii/buletin-de-presa-8-aprilie-2020-ora-13-41")</f>
        <v>https://stirioficiale.ro/informatii/buletin-de-presa-8-aprilie-2020-ora-13-41</v>
      </c>
      <c r="L39" s="5"/>
      <c r="M39" s="5"/>
      <c r="N39" s="5"/>
      <c r="O39" s="5"/>
      <c r="P39" s="5"/>
      <c r="Q39" s="5"/>
      <c r="R39" s="5" t="str">
        <f ca="1">IFERROR(__xludf.DUMMYFUNCTION("""COMPUTED_VALUE"""),"România")</f>
        <v>România</v>
      </c>
      <c r="S39" s="5" t="str">
        <f ca="1">IFERROR(__xludf.DUMMYFUNCTION("""COMPUTED_VALUE"""),"Octavian")</f>
        <v>Octavian</v>
      </c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15.75" customHeight="1">
      <c r="A40" s="5">
        <f ca="1">IFERROR(__xludf.DUMMYFUNCTION("""COMPUTED_VALUE"""),4775)</f>
        <v>4775</v>
      </c>
      <c r="B40" s="5"/>
      <c r="C40" s="5" t="str">
        <f ca="1">IFERROR(__xludf.DUMMYFUNCTION("""COMPUTED_VALUE"""),"Bihor")</f>
        <v>Bihor</v>
      </c>
      <c r="D40" s="13">
        <f ca="1">IFERROR(__xludf.DUMMYFUNCTION("""COMPUTED_VALUE"""),43930)</f>
        <v>43930</v>
      </c>
      <c r="E40" s="5" t="str">
        <f ca="1">IFERROR(__xludf.DUMMYFUNCTION("""COMPUTED_VALUE"""),"Da")</f>
        <v>Da</v>
      </c>
      <c r="F40" s="5" t="str">
        <f ca="1">IFERROR(__xludf.DUMMYFUNCTION("""COMPUTED_VALUE"""),"Nu")</f>
        <v>Nu</v>
      </c>
      <c r="G40" s="5"/>
      <c r="H40" s="6">
        <f ca="1">IFERROR(__xludf.DUMMYFUNCTION("""COMPUTED_VALUE"""),43930)</f>
        <v>43930</v>
      </c>
      <c r="I40" s="5" t="str">
        <f ca="1">IFERROR(__xludf.DUMMYFUNCTION("""COMPUTED_VALUE"""),"Feminin")</f>
        <v>Feminin</v>
      </c>
      <c r="J40" s="5">
        <f ca="1">IFERROR(__xludf.DUMMYFUNCTION("""COMPUTED_VALUE"""),47)</f>
        <v>47</v>
      </c>
      <c r="K40" s="7" t="str">
        <f ca="1">IFERROR(__xludf.DUMMYFUNCTION("""COMPUTED_VALUE"""),"https://stirioficiale.ro/informatii/buletin-de-presa-9-aprilie-2020-ora-13-00")</f>
        <v>https://stirioficiale.ro/informatii/buletin-de-presa-9-aprilie-2020-ora-13-00</v>
      </c>
      <c r="L40" s="7" t="str">
        <f ca="1">IFERROR(__xludf.DUMMYFUNCTION("""COMPUTED_VALUE"""),"http://www.ms.ro/2020/04/10/decese-258-265/")</f>
        <v>http://www.ms.ro/2020/04/10/decese-258-265/</v>
      </c>
      <c r="M40" s="5"/>
      <c r="N40" s="5" t="str">
        <f ca="1">IFERROR(__xludf.DUMMYFUNCTION("""COMPUTED_VALUE"""),"Nu")</f>
        <v>Nu</v>
      </c>
      <c r="O40" s="5"/>
      <c r="P40" s="5" t="str">
        <f ca="1">IFERROR(__xludf.DUMMYFUNCTION("""COMPUTED_VALUE"""),"Deces 261. Internată pe 09.04 în SCM Oradea-Secția Boli Infecțioase, in stare gravă. Recoltat pe 09.04, confirmată pe 09.04 în SCM Oradea.")</f>
        <v>Deces 261. Internată pe 09.04 în SCM Oradea-Secția Boli Infecțioase, in stare gravă. Recoltat pe 09.04, confirmată pe 09.04 în SCM Oradea.</v>
      </c>
      <c r="Q40" s="5"/>
      <c r="R40" s="5" t="str">
        <f ca="1">IFERROR(__xludf.DUMMYFUNCTION("""COMPUTED_VALUE"""),"România")</f>
        <v>România</v>
      </c>
      <c r="S40" s="5" t="str">
        <f ca="1">IFERROR(__xludf.DUMMYFUNCTION("""COMPUTED_VALUE"""),"Ruxandra/Octavian")</f>
        <v>Ruxandra/Octavian</v>
      </c>
      <c r="T40" s="7" t="str">
        <f ca="1">IFERROR(__xludf.DUMMYFUNCTION("""COMPUTED_VALUE"""),"http://www.ms.ro/2020/04/09/buletin-informativ-09-04-2020/")</f>
        <v>http://www.ms.ro/2020/04/09/buletin-informativ-09-04-2020/</v>
      </c>
      <c r="U40" s="5"/>
      <c r="V40" s="5"/>
      <c r="W40" s="5"/>
      <c r="X40" s="5"/>
      <c r="Y40" s="5"/>
      <c r="Z40" s="5"/>
      <c r="AA40" s="5"/>
      <c r="AB40" s="5"/>
      <c r="AC40" s="5"/>
    </row>
    <row r="41" spans="1:29" ht="12.5">
      <c r="A41" s="5">
        <f ca="1">IFERROR(__xludf.DUMMYFUNCTION("""COMPUTED_VALUE"""),4776)</f>
        <v>4776</v>
      </c>
      <c r="B41" s="5"/>
      <c r="C41" s="5" t="str">
        <f ca="1">IFERROR(__xludf.DUMMYFUNCTION("""COMPUTED_VALUE"""),"Bihor")</f>
        <v>Bihor</v>
      </c>
      <c r="D41" s="13">
        <f ca="1">IFERROR(__xludf.DUMMYFUNCTION("""COMPUTED_VALUE"""),43930)</f>
        <v>43930</v>
      </c>
      <c r="E41" s="5" t="str">
        <f ca="1">IFERROR(__xludf.DUMMYFUNCTION("""COMPUTED_VALUE"""),"Da")</f>
        <v>Da</v>
      </c>
      <c r="F41" s="5"/>
      <c r="G41" s="5"/>
      <c r="H41" s="6"/>
      <c r="I41" s="5"/>
      <c r="J41" s="5"/>
      <c r="K41" s="7" t="str">
        <f ca="1">IFERROR(__xludf.DUMMYFUNCTION("""COMPUTED_VALUE"""),"https://stirioficiale.ro/informatii/buletin-de-presa-9-aprilie-2020-ora-13-00")</f>
        <v>https://stirioficiale.ro/informatii/buletin-de-presa-9-aprilie-2020-ora-13-00</v>
      </c>
      <c r="L41" s="5"/>
      <c r="M41" s="5"/>
      <c r="N41" s="5"/>
      <c r="O41" s="5"/>
      <c r="P41" s="5"/>
      <c r="Q41" s="5"/>
      <c r="R41" s="5" t="str">
        <f ca="1">IFERROR(__xludf.DUMMYFUNCTION("""COMPUTED_VALUE"""),"România")</f>
        <v>România</v>
      </c>
      <c r="S41" s="5" t="str">
        <f ca="1">IFERROR(__xludf.DUMMYFUNCTION("""COMPUTED_VALUE"""),"Ruxandra")</f>
        <v>Ruxandra</v>
      </c>
      <c r="T41" s="7" t="str">
        <f ca="1">IFERROR(__xludf.DUMMYFUNCTION("""COMPUTED_VALUE"""),"http://www.ms.ro/2020/04/09/buletin-informativ-09-04-2020/")</f>
        <v>http://www.ms.ro/2020/04/09/buletin-informativ-09-04-2020/</v>
      </c>
      <c r="U41" s="5"/>
      <c r="V41" s="5"/>
      <c r="W41" s="5"/>
      <c r="X41" s="5"/>
      <c r="Y41" s="5"/>
      <c r="Z41" s="5"/>
      <c r="AA41" s="5"/>
      <c r="AB41" s="5"/>
      <c r="AC41" s="5"/>
    </row>
    <row r="42" spans="1:29" ht="12.5">
      <c r="A42" s="5">
        <f ca="1">IFERROR(__xludf.DUMMYFUNCTION("""COMPUTED_VALUE"""),4777)</f>
        <v>4777</v>
      </c>
      <c r="B42" s="5"/>
      <c r="C42" s="5" t="str">
        <f ca="1">IFERROR(__xludf.DUMMYFUNCTION("""COMPUTED_VALUE"""),"Bihor")</f>
        <v>Bihor</v>
      </c>
      <c r="D42" s="13">
        <f ca="1">IFERROR(__xludf.DUMMYFUNCTION("""COMPUTED_VALUE"""),43930)</f>
        <v>43930</v>
      </c>
      <c r="E42" s="5" t="str">
        <f ca="1">IFERROR(__xludf.DUMMYFUNCTION("""COMPUTED_VALUE"""),"Da")</f>
        <v>Da</v>
      </c>
      <c r="F42" s="5"/>
      <c r="G42" s="5"/>
      <c r="H42" s="6"/>
      <c r="I42" s="5"/>
      <c r="J42" s="5"/>
      <c r="K42" s="7" t="str">
        <f ca="1">IFERROR(__xludf.DUMMYFUNCTION("""COMPUTED_VALUE"""),"https://stirioficiale.ro/informatii/buletin-de-presa-9-aprilie-2020-ora-13-00")</f>
        <v>https://stirioficiale.ro/informatii/buletin-de-presa-9-aprilie-2020-ora-13-00</v>
      </c>
      <c r="L42" s="5"/>
      <c r="M42" s="5"/>
      <c r="N42" s="5"/>
      <c r="O42" s="5"/>
      <c r="P42" s="5"/>
      <c r="Q42" s="5"/>
      <c r="R42" s="5" t="str">
        <f ca="1">IFERROR(__xludf.DUMMYFUNCTION("""COMPUTED_VALUE"""),"România")</f>
        <v>România</v>
      </c>
      <c r="S42" s="5" t="str">
        <f ca="1">IFERROR(__xludf.DUMMYFUNCTION("""COMPUTED_VALUE"""),"Ruxandra")</f>
        <v>Ruxandra</v>
      </c>
      <c r="T42" s="7" t="str">
        <f ca="1">IFERROR(__xludf.DUMMYFUNCTION("""COMPUTED_VALUE"""),"http://www.ms.ro/2020/04/09/buletin-informativ-09-04-2020/")</f>
        <v>http://www.ms.ro/2020/04/09/buletin-informativ-09-04-2020/</v>
      </c>
      <c r="U42" s="5"/>
      <c r="V42" s="5"/>
      <c r="W42" s="5"/>
      <c r="X42" s="5"/>
      <c r="Y42" s="5"/>
      <c r="Z42" s="5"/>
      <c r="AA42" s="5"/>
      <c r="AB42" s="5"/>
      <c r="AC42" s="5"/>
    </row>
    <row r="43" spans="1:29" ht="12.5">
      <c r="A43" s="5">
        <f ca="1">IFERROR(__xludf.DUMMYFUNCTION("""COMPUTED_VALUE"""),4778)</f>
        <v>4778</v>
      </c>
      <c r="B43" s="5"/>
      <c r="C43" s="5" t="str">
        <f ca="1">IFERROR(__xludf.DUMMYFUNCTION("""COMPUTED_VALUE"""),"Bihor")</f>
        <v>Bihor</v>
      </c>
      <c r="D43" s="13">
        <f ca="1">IFERROR(__xludf.DUMMYFUNCTION("""COMPUTED_VALUE"""),43930)</f>
        <v>43930</v>
      </c>
      <c r="E43" s="5" t="str">
        <f ca="1">IFERROR(__xludf.DUMMYFUNCTION("""COMPUTED_VALUE"""),"Da")</f>
        <v>Da</v>
      </c>
      <c r="F43" s="5"/>
      <c r="G43" s="5"/>
      <c r="H43" s="6"/>
      <c r="I43" s="5"/>
      <c r="J43" s="5"/>
      <c r="K43" s="7" t="str">
        <f ca="1">IFERROR(__xludf.DUMMYFUNCTION("""COMPUTED_VALUE"""),"https://stirioficiale.ro/informatii/buletin-de-presa-9-aprilie-2020-ora-13-00")</f>
        <v>https://stirioficiale.ro/informatii/buletin-de-presa-9-aprilie-2020-ora-13-00</v>
      </c>
      <c r="L43" s="5"/>
      <c r="M43" s="5"/>
      <c r="N43" s="5"/>
      <c r="O43" s="5"/>
      <c r="P43" s="5"/>
      <c r="Q43" s="5"/>
      <c r="R43" s="5" t="str">
        <f ca="1">IFERROR(__xludf.DUMMYFUNCTION("""COMPUTED_VALUE"""),"România")</f>
        <v>România</v>
      </c>
      <c r="S43" s="5" t="str">
        <f ca="1">IFERROR(__xludf.DUMMYFUNCTION("""COMPUTED_VALUE"""),"Ruxandra")</f>
        <v>Ruxandra</v>
      </c>
      <c r="T43" s="7" t="str">
        <f ca="1">IFERROR(__xludf.DUMMYFUNCTION("""COMPUTED_VALUE"""),"http://www.ms.ro/2020/04/09/buletin-informativ-09-04-2020/")</f>
        <v>http://www.ms.ro/2020/04/09/buletin-informativ-09-04-2020/</v>
      </c>
      <c r="U43" s="5"/>
      <c r="V43" s="5"/>
      <c r="W43" s="5"/>
      <c r="X43" s="5"/>
      <c r="Y43" s="5"/>
      <c r="Z43" s="5"/>
      <c r="AA43" s="5"/>
      <c r="AB43" s="5"/>
      <c r="AC43" s="5"/>
    </row>
    <row r="44" spans="1:29" ht="12.5">
      <c r="A44" s="5">
        <f ca="1">IFERROR(__xludf.DUMMYFUNCTION("""COMPUTED_VALUE"""),4779)</f>
        <v>4779</v>
      </c>
      <c r="B44" s="5"/>
      <c r="C44" s="5" t="str">
        <f ca="1">IFERROR(__xludf.DUMMYFUNCTION("""COMPUTED_VALUE"""),"Bihor")</f>
        <v>Bihor</v>
      </c>
      <c r="D44" s="13">
        <f ca="1">IFERROR(__xludf.DUMMYFUNCTION("""COMPUTED_VALUE"""),43930)</f>
        <v>43930</v>
      </c>
      <c r="E44" s="5" t="str">
        <f ca="1">IFERROR(__xludf.DUMMYFUNCTION("""COMPUTED_VALUE"""),"Da")</f>
        <v>Da</v>
      </c>
      <c r="F44" s="5"/>
      <c r="G44" s="5"/>
      <c r="H44" s="6"/>
      <c r="I44" s="5"/>
      <c r="J44" s="5"/>
      <c r="K44" s="7" t="str">
        <f ca="1">IFERROR(__xludf.DUMMYFUNCTION("""COMPUTED_VALUE"""),"https://stirioficiale.ro/informatii/buletin-de-presa-9-aprilie-2020-ora-13-00")</f>
        <v>https://stirioficiale.ro/informatii/buletin-de-presa-9-aprilie-2020-ora-13-00</v>
      </c>
      <c r="L44" s="5"/>
      <c r="M44" s="5"/>
      <c r="N44" s="5"/>
      <c r="O44" s="5"/>
      <c r="P44" s="5"/>
      <c r="Q44" s="5"/>
      <c r="R44" s="5" t="str">
        <f ca="1">IFERROR(__xludf.DUMMYFUNCTION("""COMPUTED_VALUE"""),"România")</f>
        <v>România</v>
      </c>
      <c r="S44" s="5" t="str">
        <f ca="1">IFERROR(__xludf.DUMMYFUNCTION("""COMPUTED_VALUE"""),"Ruxandra")</f>
        <v>Ruxandra</v>
      </c>
      <c r="T44" s="7" t="str">
        <f ca="1">IFERROR(__xludf.DUMMYFUNCTION("""COMPUTED_VALUE"""),"http://www.ms.ro/2020/04/09/buletin-informativ-09-04-2020/")</f>
        <v>http://www.ms.ro/2020/04/09/buletin-informativ-09-04-2020/</v>
      </c>
      <c r="U44" s="5"/>
      <c r="V44" s="5"/>
      <c r="W44" s="5"/>
      <c r="X44" s="5"/>
      <c r="Y44" s="5"/>
      <c r="Z44" s="5"/>
      <c r="AA44" s="5"/>
      <c r="AB44" s="5"/>
      <c r="AC44" s="5"/>
    </row>
    <row r="45" spans="1:29" ht="12.5">
      <c r="A45" s="5">
        <f ca="1">IFERROR(__xludf.DUMMYFUNCTION("""COMPUTED_VALUE"""),4780)</f>
        <v>4780</v>
      </c>
      <c r="B45" s="5"/>
      <c r="C45" s="5" t="str">
        <f ca="1">IFERROR(__xludf.DUMMYFUNCTION("""COMPUTED_VALUE"""),"Bihor")</f>
        <v>Bihor</v>
      </c>
      <c r="D45" s="13">
        <f ca="1">IFERROR(__xludf.DUMMYFUNCTION("""COMPUTED_VALUE"""),43930)</f>
        <v>43930</v>
      </c>
      <c r="E45" s="5" t="str">
        <f ca="1">IFERROR(__xludf.DUMMYFUNCTION("""COMPUTED_VALUE"""),"Da")</f>
        <v>Da</v>
      </c>
      <c r="F45" s="5"/>
      <c r="G45" s="5"/>
      <c r="H45" s="6"/>
      <c r="I45" s="5"/>
      <c r="J45" s="5"/>
      <c r="K45" s="7" t="str">
        <f ca="1">IFERROR(__xludf.DUMMYFUNCTION("""COMPUTED_VALUE"""),"https://stirioficiale.ro/informatii/buletin-de-presa-9-aprilie-2020-ora-13-00")</f>
        <v>https://stirioficiale.ro/informatii/buletin-de-presa-9-aprilie-2020-ora-13-00</v>
      </c>
      <c r="L45" s="5"/>
      <c r="M45" s="5"/>
      <c r="N45" s="5"/>
      <c r="O45" s="5"/>
      <c r="P45" s="5"/>
      <c r="Q45" s="5"/>
      <c r="R45" s="5" t="str">
        <f ca="1">IFERROR(__xludf.DUMMYFUNCTION("""COMPUTED_VALUE"""),"România")</f>
        <v>România</v>
      </c>
      <c r="S45" s="5" t="str">
        <f ca="1">IFERROR(__xludf.DUMMYFUNCTION("""COMPUTED_VALUE"""),"Ruxandra")</f>
        <v>Ruxandra</v>
      </c>
      <c r="T45" s="7" t="str">
        <f ca="1">IFERROR(__xludf.DUMMYFUNCTION("""COMPUTED_VALUE"""),"http://www.ms.ro/2020/04/09/buletin-informativ-09-04-2020/")</f>
        <v>http://www.ms.ro/2020/04/09/buletin-informativ-09-04-2020/</v>
      </c>
      <c r="U45" s="5"/>
      <c r="V45" s="5"/>
      <c r="W45" s="5"/>
      <c r="X45" s="5"/>
      <c r="Y45" s="5"/>
      <c r="Z45" s="5"/>
      <c r="AA45" s="5"/>
      <c r="AB45" s="5"/>
      <c r="AC45" s="5"/>
    </row>
    <row r="46" spans="1:29" ht="12.5">
      <c r="A46" s="5">
        <f ca="1">IFERROR(__xludf.DUMMYFUNCTION("""COMPUTED_VALUE"""),4781)</f>
        <v>4781</v>
      </c>
      <c r="B46" s="5"/>
      <c r="C46" s="5" t="str">
        <f ca="1">IFERROR(__xludf.DUMMYFUNCTION("""COMPUTED_VALUE"""),"Bihor")</f>
        <v>Bihor</v>
      </c>
      <c r="D46" s="13">
        <f ca="1">IFERROR(__xludf.DUMMYFUNCTION("""COMPUTED_VALUE"""),43930)</f>
        <v>43930</v>
      </c>
      <c r="E46" s="5" t="str">
        <f ca="1">IFERROR(__xludf.DUMMYFUNCTION("""COMPUTED_VALUE"""),"Da")</f>
        <v>Da</v>
      </c>
      <c r="F46" s="5"/>
      <c r="G46" s="5"/>
      <c r="H46" s="6"/>
      <c r="I46" s="5"/>
      <c r="J46" s="5"/>
      <c r="K46" s="7" t="str">
        <f ca="1">IFERROR(__xludf.DUMMYFUNCTION("""COMPUTED_VALUE"""),"https://stirioficiale.ro/informatii/buletin-de-presa-9-aprilie-2020-ora-13-00")</f>
        <v>https://stirioficiale.ro/informatii/buletin-de-presa-9-aprilie-2020-ora-13-00</v>
      </c>
      <c r="L46" s="5"/>
      <c r="M46" s="5"/>
      <c r="N46" s="5"/>
      <c r="O46" s="5"/>
      <c r="P46" s="5"/>
      <c r="Q46" s="5"/>
      <c r="R46" s="5" t="str">
        <f ca="1">IFERROR(__xludf.DUMMYFUNCTION("""COMPUTED_VALUE"""),"România")</f>
        <v>România</v>
      </c>
      <c r="S46" s="5" t="str">
        <f ca="1">IFERROR(__xludf.DUMMYFUNCTION("""COMPUTED_VALUE"""),"Ruxandra")</f>
        <v>Ruxandra</v>
      </c>
      <c r="T46" s="7" t="str">
        <f ca="1">IFERROR(__xludf.DUMMYFUNCTION("""COMPUTED_VALUE"""),"http://www.ms.ro/2020/04/09/buletin-informativ-09-04-2020/")</f>
        <v>http://www.ms.ro/2020/04/09/buletin-informativ-09-04-2020/</v>
      </c>
      <c r="U46" s="5"/>
      <c r="V46" s="5"/>
      <c r="W46" s="5"/>
      <c r="X46" s="5"/>
      <c r="Y46" s="5"/>
      <c r="Z46" s="5"/>
      <c r="AA46" s="5"/>
      <c r="AB46" s="5"/>
      <c r="AC46" s="5"/>
    </row>
    <row r="47" spans="1:29" ht="12.5">
      <c r="A47" s="5">
        <f ca="1">IFERROR(__xludf.DUMMYFUNCTION("""COMPUTED_VALUE"""),4782)</f>
        <v>4782</v>
      </c>
      <c r="B47" s="5"/>
      <c r="C47" s="5" t="str">
        <f ca="1">IFERROR(__xludf.DUMMYFUNCTION("""COMPUTED_VALUE"""),"Bihor")</f>
        <v>Bihor</v>
      </c>
      <c r="D47" s="13">
        <f ca="1">IFERROR(__xludf.DUMMYFUNCTION("""COMPUTED_VALUE"""),43930)</f>
        <v>43930</v>
      </c>
      <c r="E47" s="5" t="str">
        <f ca="1">IFERROR(__xludf.DUMMYFUNCTION("""COMPUTED_VALUE"""),"Da")</f>
        <v>Da</v>
      </c>
      <c r="F47" s="5"/>
      <c r="G47" s="5"/>
      <c r="H47" s="6"/>
      <c r="I47" s="5"/>
      <c r="J47" s="5"/>
      <c r="K47" s="7" t="str">
        <f ca="1">IFERROR(__xludf.DUMMYFUNCTION("""COMPUTED_VALUE"""),"https://stirioficiale.ro/informatii/buletin-de-presa-9-aprilie-2020-ora-13-00")</f>
        <v>https://stirioficiale.ro/informatii/buletin-de-presa-9-aprilie-2020-ora-13-00</v>
      </c>
      <c r="L47" s="5"/>
      <c r="M47" s="5"/>
      <c r="N47" s="5"/>
      <c r="O47" s="5"/>
      <c r="P47" s="5"/>
      <c r="Q47" s="5"/>
      <c r="R47" s="5" t="str">
        <f ca="1">IFERROR(__xludf.DUMMYFUNCTION("""COMPUTED_VALUE"""),"România")</f>
        <v>România</v>
      </c>
      <c r="S47" s="5" t="str">
        <f ca="1">IFERROR(__xludf.DUMMYFUNCTION("""COMPUTED_VALUE"""),"Ruxandra")</f>
        <v>Ruxandra</v>
      </c>
      <c r="T47" s="7" t="str">
        <f ca="1">IFERROR(__xludf.DUMMYFUNCTION("""COMPUTED_VALUE"""),"http://www.ms.ro/2020/04/09/buletin-informativ-09-04-2020/")</f>
        <v>http://www.ms.ro/2020/04/09/buletin-informativ-09-04-2020/</v>
      </c>
      <c r="U47" s="5"/>
      <c r="V47" s="5"/>
      <c r="W47" s="5"/>
      <c r="X47" s="5"/>
      <c r="Y47" s="5"/>
      <c r="Z47" s="5"/>
      <c r="AA47" s="5"/>
      <c r="AB47" s="5"/>
      <c r="AC47" s="5"/>
    </row>
    <row r="48" spans="1:29" ht="12.5">
      <c r="A48" s="5">
        <f ca="1">IFERROR(__xludf.DUMMYFUNCTION("""COMPUTED_VALUE"""),5253)</f>
        <v>5253</v>
      </c>
      <c r="B48" s="5"/>
      <c r="C48" s="5" t="str">
        <f ca="1">IFERROR(__xludf.DUMMYFUNCTION("""COMPUTED_VALUE"""),"Bihor")</f>
        <v>Bihor</v>
      </c>
      <c r="D48" s="13">
        <f ca="1">IFERROR(__xludf.DUMMYFUNCTION("""COMPUTED_VALUE"""),43931)</f>
        <v>43931</v>
      </c>
      <c r="E48" s="5" t="str">
        <f ca="1">IFERROR(__xludf.DUMMYFUNCTION("""COMPUTED_VALUE"""),"Da")</f>
        <v>Da</v>
      </c>
      <c r="F48" s="5" t="str">
        <f ca="1">IFERROR(__xludf.DUMMYFUNCTION("""COMPUTED_VALUE"""),"Nu")</f>
        <v>Nu</v>
      </c>
      <c r="G48" s="5"/>
      <c r="H48" s="6">
        <f ca="1">IFERROR(__xludf.DUMMYFUNCTION("""COMPUTED_VALUE"""),43943)</f>
        <v>43943</v>
      </c>
      <c r="I48" s="5" t="str">
        <f ca="1">IFERROR(__xludf.DUMMYFUNCTION("""COMPUTED_VALUE"""),"Masculin")</f>
        <v>Masculin</v>
      </c>
      <c r="J48" s="5">
        <f ca="1">IFERROR(__xludf.DUMMYFUNCTION("""COMPUTED_VALUE"""),52)</f>
        <v>52</v>
      </c>
      <c r="K48" s="7" t="str">
        <f ca="1">IFERROR(__xludf.DUMMYFUNCTION("""COMPUTED_VALUE"""),"https://stirioficiale.ro/informatii/buletin-de-presa-10-aprilie-2020-ora-13-49")</f>
        <v>https://stirioficiale.ro/informatii/buletin-de-presa-10-aprilie-2020-ora-13-49</v>
      </c>
      <c r="L48" s="7" t="str">
        <f ca="1">IFERROR(__xludf.DUMMYFUNCTION("""COMPUTED_VALUE"""),"http://www.ms.ro/2020/04/22/decese-508-512/")</f>
        <v>http://www.ms.ro/2020/04/22/decese-508-512/</v>
      </c>
      <c r="M48" s="5"/>
      <c r="N48" s="5" t="str">
        <f ca="1">IFERROR(__xludf.DUMMYFUNCTION("""COMPUTED_VALUE"""),"Nu")</f>
        <v>Nu</v>
      </c>
      <c r="O48" s="5" t="str">
        <f ca="1">IFERROR(__xludf.DUMMYFUNCTION("""COMPUTED_VALUE"""),"Diabet zaharat, cardiopatie ischemică, etilism cronic.")</f>
        <v>Diabet zaharat, cardiopatie ischemică, etilism cronic.</v>
      </c>
      <c r="P48" s="5" t="str">
        <f ca="1">IFERROR(__xludf.DUMMYFUNCTION("""COMPUTED_VALUE"""),"Deces 509. Data internării: 10.04.2020 Spitalul Clinic Municipal Oradea – Secția ATI. Dată recoltare probă: 10.04.2020. Data confirmării: 10.04.2020.")</f>
        <v>Deces 509. Data internării: 10.04.2020 Spitalul Clinic Municipal Oradea – Secția ATI. Dată recoltare probă: 10.04.2020. Data confirmării: 10.04.2020.</v>
      </c>
      <c r="Q48" s="5"/>
      <c r="R48" s="5" t="str">
        <f ca="1">IFERROR(__xludf.DUMMYFUNCTION("""COMPUTED_VALUE"""),"România")</f>
        <v>România</v>
      </c>
      <c r="S48" s="5" t="str">
        <f ca="1">IFERROR(__xludf.DUMMYFUNCTION("""COMPUTED_VALUE"""),"Vasile/Octavian")</f>
        <v>Vasile/Octavian</v>
      </c>
      <c r="T48" s="7" t="str">
        <f ca="1">IFERROR(__xludf.DUMMYFUNCTION("""COMPUTED_VALUE"""),"http://www.ms.ro/2020/04/10/buletin-informativ-10-04-2020/")</f>
        <v>http://www.ms.ro/2020/04/10/buletin-informativ-10-04-2020/</v>
      </c>
      <c r="U48" s="5"/>
      <c r="V48" s="5"/>
      <c r="W48" s="5"/>
      <c r="X48" s="5"/>
      <c r="Y48" s="5"/>
      <c r="Z48" s="5"/>
      <c r="AA48" s="5"/>
      <c r="AB48" s="5"/>
      <c r="AC48" s="5"/>
    </row>
    <row r="49" spans="1:29" ht="12.5">
      <c r="A49" s="5">
        <f ca="1">IFERROR(__xludf.DUMMYFUNCTION("""COMPUTED_VALUE"""),5254)</f>
        <v>5254</v>
      </c>
      <c r="B49" s="5"/>
      <c r="C49" s="5" t="str">
        <f ca="1">IFERROR(__xludf.DUMMYFUNCTION("""COMPUTED_VALUE"""),"Bihor")</f>
        <v>Bihor</v>
      </c>
      <c r="D49" s="13">
        <f ca="1">IFERROR(__xludf.DUMMYFUNCTION("""COMPUTED_VALUE"""),43931)</f>
        <v>43931</v>
      </c>
      <c r="E49" s="5" t="str">
        <f ca="1">IFERROR(__xludf.DUMMYFUNCTION("""COMPUTED_VALUE"""),"Da")</f>
        <v>Da</v>
      </c>
      <c r="F49" s="5" t="str">
        <f ca="1">IFERROR(__xludf.DUMMYFUNCTION("""COMPUTED_VALUE"""),"Nu")</f>
        <v>Nu</v>
      </c>
      <c r="G49" s="5"/>
      <c r="H49" s="6">
        <f ca="1">IFERROR(__xludf.DUMMYFUNCTION("""COMPUTED_VALUE"""),43944)</f>
        <v>43944</v>
      </c>
      <c r="I49" s="5" t="str">
        <f ca="1">IFERROR(__xludf.DUMMYFUNCTION("""COMPUTED_VALUE"""),"Masculin")</f>
        <v>Masculin</v>
      </c>
      <c r="J49" s="5">
        <f ca="1">IFERROR(__xludf.DUMMYFUNCTION("""COMPUTED_VALUE"""),30)</f>
        <v>30</v>
      </c>
      <c r="K49" s="7" t="str">
        <f ca="1">IFERROR(__xludf.DUMMYFUNCTION("""COMPUTED_VALUE"""),"https://stirioficiale.ro/informatii/buletin-de-presa-10-aprilie-2020-ora-13-50")</f>
        <v>https://stirioficiale.ro/informatii/buletin-de-presa-10-aprilie-2020-ora-13-50</v>
      </c>
      <c r="L49" s="7" t="str">
        <f ca="1">IFERROR(__xludf.DUMMYFUNCTION("""COMPUTED_VALUE"""),"https://stirioficiale.ro/informatii/informare-de-presa-24-aprilie-2020-ora-11-13am")</f>
        <v>https://stirioficiale.ro/informatii/informare-de-presa-24-aprilie-2020-ora-11-13am</v>
      </c>
      <c r="M49" s="5"/>
      <c r="N49" s="5" t="str">
        <f ca="1">IFERROR(__xludf.DUMMYFUNCTION("""COMPUTED_VALUE"""),"Nu")</f>
        <v>Nu</v>
      </c>
      <c r="O49" s="5" t="str">
        <f ca="1">IFERROR(__xludf.DUMMYFUNCTION("""COMPUTED_VALUE"""),"Astm bronșic")</f>
        <v>Astm bronșic</v>
      </c>
      <c r="P49" s="5" t="str">
        <f ca="1">IFERROR(__xludf.DUMMYFUNCTION("""COMPUTED_VALUE"""),"Deces 546. Data internării: 10.04.2020 Spitalul Clinic Municipal Oradea- Boli Infecțioase, iar în 17.04.2020 estetransferat pe secția ATI. Data recoltării probelor pentru COVID-19: 09.04.2020. Data confirmării: 10.04.2020. ")</f>
        <v xml:space="preserve">Deces 546. Data internării: 10.04.2020 Spitalul Clinic Municipal Oradea- Boli Infecțioase, iar în 17.04.2020 estetransferat pe secția ATI. Data recoltării probelor pentru COVID-19: 09.04.2020. Data confirmării: 10.04.2020. </v>
      </c>
      <c r="Q49" s="5"/>
      <c r="R49" s="5" t="str">
        <f ca="1">IFERROR(__xludf.DUMMYFUNCTION("""COMPUTED_VALUE"""),"România")</f>
        <v>România</v>
      </c>
      <c r="S49" s="5" t="str">
        <f ca="1">IFERROR(__xludf.DUMMYFUNCTION("""COMPUTED_VALUE"""),"Vasile/Octavian")</f>
        <v>Vasile/Octavian</v>
      </c>
      <c r="T49" s="7" t="str">
        <f ca="1">IFERROR(__xludf.DUMMYFUNCTION("""COMPUTED_VALUE"""),"http://www.ms.ro/2020/04/10/buletin-informativ-10-04-2020/")</f>
        <v>http://www.ms.ro/2020/04/10/buletin-informativ-10-04-2020/</v>
      </c>
      <c r="U49" s="5"/>
      <c r="V49" s="5"/>
      <c r="W49" s="5"/>
      <c r="X49" s="5"/>
      <c r="Y49" s="5"/>
      <c r="Z49" s="5"/>
      <c r="AA49" s="5"/>
      <c r="AB49" s="5"/>
      <c r="AC49" s="5"/>
    </row>
    <row r="50" spans="1:29" ht="12.5">
      <c r="A50" s="5">
        <f ca="1">IFERROR(__xludf.DUMMYFUNCTION("""COMPUTED_VALUE"""),5255)</f>
        <v>5255</v>
      </c>
      <c r="B50" s="5"/>
      <c r="C50" s="5" t="str">
        <f ca="1">IFERROR(__xludf.DUMMYFUNCTION("""COMPUTED_VALUE"""),"Bihor")</f>
        <v>Bihor</v>
      </c>
      <c r="D50" s="13">
        <f ca="1">IFERROR(__xludf.DUMMYFUNCTION("""COMPUTED_VALUE"""),43931)</f>
        <v>43931</v>
      </c>
      <c r="E50" s="5" t="str">
        <f ca="1">IFERROR(__xludf.DUMMYFUNCTION("""COMPUTED_VALUE"""),"Da")</f>
        <v>Da</v>
      </c>
      <c r="F50" s="5" t="str">
        <f ca="1">IFERROR(__xludf.DUMMYFUNCTION("""COMPUTED_VALUE"""),"Nu")</f>
        <v>Nu</v>
      </c>
      <c r="G50" s="5"/>
      <c r="H50" s="6">
        <f ca="1">IFERROR(__xludf.DUMMYFUNCTION("""COMPUTED_VALUE"""),43953)</f>
        <v>43953</v>
      </c>
      <c r="I50" s="5" t="str">
        <f ca="1">IFERROR(__xludf.DUMMYFUNCTION("""COMPUTED_VALUE"""),"Feminin")</f>
        <v>Feminin</v>
      </c>
      <c r="J50" s="5">
        <f ca="1">IFERROR(__xludf.DUMMYFUNCTION("""COMPUTED_VALUE"""),69)</f>
        <v>69</v>
      </c>
      <c r="K50" s="7" t="str">
        <f ca="1">IFERROR(__xludf.DUMMYFUNCTION("""COMPUTED_VALUE"""),"https://stirioficiale.ro/informatii/buletin-de-presa-10-aprilie-2020-ora-13-51")</f>
        <v>https://stirioficiale.ro/informatii/buletin-de-presa-10-aprilie-2020-ora-13-51</v>
      </c>
      <c r="L50" s="7" t="str">
        <f ca="1">IFERROR(__xludf.DUMMYFUNCTION("""COMPUTED_VALUE"""),"http://www.ms.ro/2020/05/02/decese-756-771/")</f>
        <v>http://www.ms.ro/2020/05/02/decese-756-771/</v>
      </c>
      <c r="M50" s="5"/>
      <c r="N50" s="5" t="str">
        <f ca="1">IFERROR(__xludf.DUMMYFUNCTION("""COMPUTED_VALUE"""),"Nu")</f>
        <v>Nu</v>
      </c>
      <c r="O50" s="5" t="str">
        <f ca="1">IFERROR(__xludf.DUMMYFUNCTION("""COMPUTED_VALUE"""),"Boală cardiovasculară, HTA")</f>
        <v>Boală cardiovasculară, HTA</v>
      </c>
      <c r="P50" s="5" t="str">
        <f ca="1">IFERROR(__xludf.DUMMYFUNCTION("""COMPUTED_VALUE"""),"Deces 762. Internată în data de 09.04.2020 în Spitalul Clinic Județean de Urgență Oradea – Boli Infecțioase, transferată în Spitalul Județean de Urgență Oradea – ATI în data de 11.04.2020 intubată și ventilată mecanic.Recoltat pentru COVID-19 în data de 0"&amp;"9.04.2020. Rezultat pozitiv în data de 10.04.2020.")</f>
        <v>Deces 762. Internată în data de 09.04.2020 în Spitalul Clinic Județean de Urgență Oradea – Boli Infecțioase, transferată în Spitalul Județean de Urgență Oradea – ATI în data de 11.04.2020 intubată și ventilată mecanic.Recoltat pentru COVID-19 în data de 09.04.2020. Rezultat pozitiv în data de 10.04.2020.</v>
      </c>
      <c r="Q50" s="5"/>
      <c r="R50" s="5" t="str">
        <f ca="1">IFERROR(__xludf.DUMMYFUNCTION("""COMPUTED_VALUE"""),"România")</f>
        <v>România</v>
      </c>
      <c r="S50" s="5" t="str">
        <f ca="1">IFERROR(__xludf.DUMMYFUNCTION("""COMPUTED_VALUE"""),"Vasile/Octavian")</f>
        <v>Vasile/Octavian</v>
      </c>
      <c r="T50" s="7" t="str">
        <f ca="1">IFERROR(__xludf.DUMMYFUNCTION("""COMPUTED_VALUE"""),"http://www.ms.ro/2020/04/10/buletin-informativ-10-04-2020/")</f>
        <v>http://www.ms.ro/2020/04/10/buletin-informativ-10-04-2020/</v>
      </c>
      <c r="U50" s="5"/>
      <c r="V50" s="5"/>
      <c r="W50" s="5"/>
      <c r="X50" s="5"/>
      <c r="Y50" s="5"/>
      <c r="Z50" s="5"/>
      <c r="AA50" s="5"/>
      <c r="AB50" s="5"/>
      <c r="AC50" s="5"/>
    </row>
    <row r="51" spans="1:29" ht="12.5">
      <c r="A51" s="5">
        <f ca="1">IFERROR(__xludf.DUMMYFUNCTION("""COMPUTED_VALUE"""),5256)</f>
        <v>5256</v>
      </c>
      <c r="B51" s="5"/>
      <c r="C51" s="5" t="str">
        <f ca="1">IFERROR(__xludf.DUMMYFUNCTION("""COMPUTED_VALUE"""),"Bihor")</f>
        <v>Bihor</v>
      </c>
      <c r="D51" s="13">
        <f ca="1">IFERROR(__xludf.DUMMYFUNCTION("""COMPUTED_VALUE"""),43931)</f>
        <v>43931</v>
      </c>
      <c r="E51" s="5" t="str">
        <f ca="1">IFERROR(__xludf.DUMMYFUNCTION("""COMPUTED_VALUE"""),"Nu")</f>
        <v>Nu</v>
      </c>
      <c r="F51" s="5"/>
      <c r="G51" s="5"/>
      <c r="H51" s="6"/>
      <c r="I51" s="5"/>
      <c r="J51" s="5"/>
      <c r="K51" s="7" t="str">
        <f ca="1">IFERROR(__xludf.DUMMYFUNCTION("""COMPUTED_VALUE"""),"https://stirioficiale.ro/informatii/buletin-de-presa-10-aprilie-2020-ora-13-52")</f>
        <v>https://stirioficiale.ro/informatii/buletin-de-presa-10-aprilie-2020-ora-13-52</v>
      </c>
      <c r="L51" s="5"/>
      <c r="M51" s="5"/>
      <c r="N51" s="5"/>
      <c r="O51" s="5"/>
      <c r="P51" s="5"/>
      <c r="Q51" s="5"/>
      <c r="R51" s="5" t="str">
        <f ca="1">IFERROR(__xludf.DUMMYFUNCTION("""COMPUTED_VALUE"""),"România")</f>
        <v>România</v>
      </c>
      <c r="S51" s="5" t="str">
        <f ca="1">IFERROR(__xludf.DUMMYFUNCTION("""COMPUTED_VALUE"""),"Vasile")</f>
        <v>Vasile</v>
      </c>
      <c r="T51" s="7" t="str">
        <f ca="1">IFERROR(__xludf.DUMMYFUNCTION("""COMPUTED_VALUE"""),"http://www.ms.ro/2020/04/10/buletin-informativ-10-04-2020/")</f>
        <v>http://www.ms.ro/2020/04/10/buletin-informativ-10-04-2020/</v>
      </c>
      <c r="U51" s="5"/>
      <c r="V51" s="5"/>
      <c r="W51" s="5"/>
      <c r="X51" s="5"/>
      <c r="Y51" s="5"/>
      <c r="Z51" s="5"/>
      <c r="AA51" s="5"/>
      <c r="AB51" s="5"/>
      <c r="AC51" s="5"/>
    </row>
    <row r="52" spans="1:29" ht="12.5">
      <c r="A52" s="5">
        <f ca="1">IFERROR(__xludf.DUMMYFUNCTION("""COMPUTED_VALUE"""),5529)</f>
        <v>5529</v>
      </c>
      <c r="B52" s="5"/>
      <c r="C52" s="5" t="str">
        <f ca="1">IFERROR(__xludf.DUMMYFUNCTION("""COMPUTED_VALUE"""),"Bihor")</f>
        <v>Bihor</v>
      </c>
      <c r="D52" s="13">
        <f ca="1">IFERROR(__xludf.DUMMYFUNCTION("""COMPUTED_VALUE"""),43932)</f>
        <v>43932</v>
      </c>
      <c r="E52" s="5" t="str">
        <f ca="1">IFERROR(__xludf.DUMMYFUNCTION("""COMPUTED_VALUE"""),"Da")</f>
        <v>Da</v>
      </c>
      <c r="F52" s="5" t="str">
        <f ca="1">IFERROR(__xludf.DUMMYFUNCTION("""COMPUTED_VALUE"""),"Nu")</f>
        <v>Nu</v>
      </c>
      <c r="G52" s="5"/>
      <c r="H52" s="6">
        <f ca="1">IFERROR(__xludf.DUMMYFUNCTION("""COMPUTED_VALUE"""),43957)</f>
        <v>43957</v>
      </c>
      <c r="I52" s="5" t="str">
        <f ca="1">IFERROR(__xludf.DUMMYFUNCTION("""COMPUTED_VALUE"""),"Feminin")</f>
        <v>Feminin</v>
      </c>
      <c r="J52" s="5">
        <f ca="1">IFERROR(__xludf.DUMMYFUNCTION("""COMPUTED_VALUE"""),73)</f>
        <v>73</v>
      </c>
      <c r="K52" s="7" t="str">
        <f ca="1">IFERROR(__xludf.DUMMYFUNCTION("""COMPUTED_VALUE"""),"https://stirioficiale.ro/informatii/buletin-de-presa-11-aprilie-2020-ora-13-60")</f>
        <v>https://stirioficiale.ro/informatii/buletin-de-presa-11-aprilie-2020-ora-13-60</v>
      </c>
      <c r="L52" s="7" t="str">
        <f ca="1">IFERROR(__xludf.DUMMYFUNCTION("""COMPUTED_VALUE"""),"http://www.ms.ro/2020/05/06/decese-855-858/")</f>
        <v>http://www.ms.ro/2020/05/06/decese-855-858/</v>
      </c>
      <c r="M52" s="5"/>
      <c r="N52" s="5" t="str">
        <f ca="1">IFERROR(__xludf.DUMMYFUNCTION("""COMPUTED_VALUE"""),"Nu")</f>
        <v>Nu</v>
      </c>
      <c r="O52" s="5" t="str">
        <f ca="1">IFERROR(__xludf.DUMMYFUNCTION("""COMPUTED_VALUE"""),"Obezitate, insuficiență mitrală severă, stenoză aortică grad 3")</f>
        <v>Obezitate, insuficiență mitrală severă, stenoză aortică grad 3</v>
      </c>
      <c r="P52" s="5" t="str">
        <f ca="1">IFERROR(__xludf.DUMMYFUNCTION("""COMPUTED_VALUE"""),"Deces 855. Data recoltării: 10.04.2020. Data confirmării: 11.04.2020. Data internării: 10.04.2020 în Spitalul Clinic Municipal de Urgență Oradea, transferată în 11.04.2020 în ATI, intubată și ventilată mecanic.")</f>
        <v>Deces 855. Data recoltării: 10.04.2020. Data confirmării: 11.04.2020. Data internării: 10.04.2020 în Spitalul Clinic Municipal de Urgență Oradea, transferată în 11.04.2020 în ATI, intubată și ventilată mecanic.</v>
      </c>
      <c r="Q52" s="5"/>
      <c r="R52" s="5" t="str">
        <f ca="1">IFERROR(__xludf.DUMMYFUNCTION("""COMPUTED_VALUE"""),"România")</f>
        <v>România</v>
      </c>
      <c r="S52" s="5" t="str">
        <f ca="1">IFERROR(__xludf.DUMMYFUNCTION("""COMPUTED_VALUE"""),"Octavian")</f>
        <v>Octavian</v>
      </c>
      <c r="T52" s="7" t="str">
        <f ca="1">IFERROR(__xludf.DUMMYFUNCTION("""COMPUTED_VALUE"""),"http://www.ms.ro/2020/04/11/buletin-informativ-11-04-2020/")</f>
        <v>http://www.ms.ro/2020/04/11/buletin-informativ-11-04-2020/</v>
      </c>
      <c r="U52" s="5"/>
      <c r="V52" s="5"/>
      <c r="W52" s="5"/>
      <c r="X52" s="5"/>
      <c r="Y52" s="5"/>
      <c r="Z52" s="5"/>
      <c r="AA52" s="5"/>
      <c r="AB52" s="5"/>
      <c r="AC52" s="5"/>
    </row>
    <row r="53" spans="1:29" ht="12.5">
      <c r="A53" s="5">
        <f ca="1">IFERROR(__xludf.DUMMYFUNCTION("""COMPUTED_VALUE"""),5530)</f>
        <v>5530</v>
      </c>
      <c r="B53" s="5"/>
      <c r="C53" s="5" t="str">
        <f ca="1">IFERROR(__xludf.DUMMYFUNCTION("""COMPUTED_VALUE"""),"Bihor")</f>
        <v>Bihor</v>
      </c>
      <c r="D53" s="13">
        <f ca="1">IFERROR(__xludf.DUMMYFUNCTION("""COMPUTED_VALUE"""),43932)</f>
        <v>43932</v>
      </c>
      <c r="E53" s="5" t="str">
        <f ca="1">IFERROR(__xludf.DUMMYFUNCTION("""COMPUTED_VALUE"""),"Nu")</f>
        <v>Nu</v>
      </c>
      <c r="F53" s="5"/>
      <c r="G53" s="5"/>
      <c r="H53" s="6"/>
      <c r="I53" s="5"/>
      <c r="J53" s="5"/>
      <c r="K53" s="7" t="str">
        <f ca="1">IFERROR(__xludf.DUMMYFUNCTION("""COMPUTED_VALUE"""),"https://stirioficiale.ro/informatii/buletin-de-presa-11-aprilie-2020-ora-13-61")</f>
        <v>https://stirioficiale.ro/informatii/buletin-de-presa-11-aprilie-2020-ora-13-61</v>
      </c>
      <c r="L53" s="5"/>
      <c r="M53" s="5"/>
      <c r="N53" s="5"/>
      <c r="O53" s="5"/>
      <c r="P53" s="5"/>
      <c r="Q53" s="5"/>
      <c r="R53" s="5" t="str">
        <f ca="1">IFERROR(__xludf.DUMMYFUNCTION("""COMPUTED_VALUE"""),"România")</f>
        <v>România</v>
      </c>
      <c r="S53" s="5" t="str">
        <f ca="1">IFERROR(__xludf.DUMMYFUNCTION("""COMPUTED_VALUE"""),"Octavian")</f>
        <v>Octavian</v>
      </c>
      <c r="T53" s="7" t="str">
        <f ca="1">IFERROR(__xludf.DUMMYFUNCTION("""COMPUTED_VALUE"""),"http://www.ms.ro/2020/04/11/buletin-informativ-11-04-2020/")</f>
        <v>http://www.ms.ro/2020/04/11/buletin-informativ-11-04-2020/</v>
      </c>
      <c r="U53" s="5"/>
      <c r="V53" s="5"/>
      <c r="W53" s="5"/>
      <c r="X53" s="5"/>
      <c r="Y53" s="5"/>
      <c r="Z53" s="5"/>
      <c r="AA53" s="5"/>
      <c r="AB53" s="5"/>
      <c r="AC53" s="5"/>
    </row>
    <row r="54" spans="1:29" ht="12.5">
      <c r="A54" s="5">
        <f ca="1">IFERROR(__xludf.DUMMYFUNCTION("""COMPUTED_VALUE"""),5531)</f>
        <v>5531</v>
      </c>
      <c r="B54" s="5"/>
      <c r="C54" s="5" t="str">
        <f ca="1">IFERROR(__xludf.DUMMYFUNCTION("""COMPUTED_VALUE"""),"Bihor")</f>
        <v>Bihor</v>
      </c>
      <c r="D54" s="13">
        <f ca="1">IFERROR(__xludf.DUMMYFUNCTION("""COMPUTED_VALUE"""),43932)</f>
        <v>43932</v>
      </c>
      <c r="E54" s="5" t="str">
        <f ca="1">IFERROR(__xludf.DUMMYFUNCTION("""COMPUTED_VALUE"""),"Nu")</f>
        <v>Nu</v>
      </c>
      <c r="F54" s="5"/>
      <c r="G54" s="5"/>
      <c r="H54" s="6"/>
      <c r="I54" s="5"/>
      <c r="J54" s="5"/>
      <c r="K54" s="7" t="str">
        <f ca="1">IFERROR(__xludf.DUMMYFUNCTION("""COMPUTED_VALUE"""),"https://stirioficiale.ro/informatii/buletin-de-presa-11-aprilie-2020-ora-13-62")</f>
        <v>https://stirioficiale.ro/informatii/buletin-de-presa-11-aprilie-2020-ora-13-62</v>
      </c>
      <c r="L54" s="5"/>
      <c r="M54" s="5"/>
      <c r="N54" s="5"/>
      <c r="O54" s="5"/>
      <c r="P54" s="5"/>
      <c r="Q54" s="5"/>
      <c r="R54" s="5" t="str">
        <f ca="1">IFERROR(__xludf.DUMMYFUNCTION("""COMPUTED_VALUE"""),"România")</f>
        <v>România</v>
      </c>
      <c r="S54" s="5" t="str">
        <f ca="1">IFERROR(__xludf.DUMMYFUNCTION("""COMPUTED_VALUE"""),"Octavian")</f>
        <v>Octavian</v>
      </c>
      <c r="T54" s="7" t="str">
        <f ca="1">IFERROR(__xludf.DUMMYFUNCTION("""COMPUTED_VALUE"""),"http://www.ms.ro/2020/04/11/buletin-informativ-11-04-2020/")</f>
        <v>http://www.ms.ro/2020/04/11/buletin-informativ-11-04-2020/</v>
      </c>
      <c r="U54" s="5"/>
      <c r="V54" s="5"/>
      <c r="W54" s="5"/>
      <c r="X54" s="5"/>
      <c r="Y54" s="5"/>
      <c r="Z54" s="5"/>
      <c r="AA54" s="5"/>
      <c r="AB54" s="5"/>
      <c r="AC54" s="5"/>
    </row>
    <row r="55" spans="1:29" ht="12.5">
      <c r="A55" s="5">
        <f ca="1">IFERROR(__xludf.DUMMYFUNCTION("""COMPUTED_VALUE"""),5532)</f>
        <v>5532</v>
      </c>
      <c r="B55" s="5"/>
      <c r="C55" s="5" t="str">
        <f ca="1">IFERROR(__xludf.DUMMYFUNCTION("""COMPUTED_VALUE"""),"Bihor")</f>
        <v>Bihor</v>
      </c>
      <c r="D55" s="13">
        <f ca="1">IFERROR(__xludf.DUMMYFUNCTION("""COMPUTED_VALUE"""),43932)</f>
        <v>43932</v>
      </c>
      <c r="E55" s="5" t="str">
        <f ca="1">IFERROR(__xludf.DUMMYFUNCTION("""COMPUTED_VALUE"""),"Nu")</f>
        <v>Nu</v>
      </c>
      <c r="F55" s="5"/>
      <c r="G55" s="5"/>
      <c r="H55" s="6"/>
      <c r="I55" s="5"/>
      <c r="J55" s="5"/>
      <c r="K55" s="7" t="str">
        <f ca="1">IFERROR(__xludf.DUMMYFUNCTION("""COMPUTED_VALUE"""),"https://stirioficiale.ro/informatii/buletin-de-presa-11-aprilie-2020-ora-13-63")</f>
        <v>https://stirioficiale.ro/informatii/buletin-de-presa-11-aprilie-2020-ora-13-63</v>
      </c>
      <c r="L55" s="5"/>
      <c r="M55" s="5"/>
      <c r="N55" s="5"/>
      <c r="O55" s="5"/>
      <c r="P55" s="5"/>
      <c r="Q55" s="5"/>
      <c r="R55" s="5" t="str">
        <f ca="1">IFERROR(__xludf.DUMMYFUNCTION("""COMPUTED_VALUE"""),"România")</f>
        <v>România</v>
      </c>
      <c r="S55" s="5" t="str">
        <f ca="1">IFERROR(__xludf.DUMMYFUNCTION("""COMPUTED_VALUE"""),"Octavian")</f>
        <v>Octavian</v>
      </c>
      <c r="T55" s="7" t="str">
        <f ca="1">IFERROR(__xludf.DUMMYFUNCTION("""COMPUTED_VALUE"""),"http://www.ms.ro/2020/04/11/buletin-informativ-11-04-2020/")</f>
        <v>http://www.ms.ro/2020/04/11/buletin-informativ-11-04-2020/</v>
      </c>
      <c r="U55" s="5"/>
      <c r="V55" s="5"/>
      <c r="W55" s="5"/>
      <c r="X55" s="5"/>
      <c r="Y55" s="5"/>
      <c r="Z55" s="5"/>
      <c r="AA55" s="5"/>
      <c r="AB55" s="5"/>
      <c r="AC55" s="5"/>
    </row>
    <row r="56" spans="1:29" ht="12.5">
      <c r="A56" s="5">
        <f ca="1">IFERROR(__xludf.DUMMYFUNCTION("""COMPUTED_VALUE"""),5533)</f>
        <v>5533</v>
      </c>
      <c r="B56" s="5"/>
      <c r="C56" s="5" t="str">
        <f ca="1">IFERROR(__xludf.DUMMYFUNCTION("""COMPUTED_VALUE"""),"Bihor")</f>
        <v>Bihor</v>
      </c>
      <c r="D56" s="13">
        <f ca="1">IFERROR(__xludf.DUMMYFUNCTION("""COMPUTED_VALUE"""),43932)</f>
        <v>43932</v>
      </c>
      <c r="E56" s="5" t="str">
        <f ca="1">IFERROR(__xludf.DUMMYFUNCTION("""COMPUTED_VALUE"""),"Nu")</f>
        <v>Nu</v>
      </c>
      <c r="F56" s="5"/>
      <c r="G56" s="5"/>
      <c r="H56" s="6"/>
      <c r="I56" s="5"/>
      <c r="J56" s="5"/>
      <c r="K56" s="7" t="str">
        <f ca="1">IFERROR(__xludf.DUMMYFUNCTION("""COMPUTED_VALUE"""),"https://stirioficiale.ro/informatii/buletin-de-presa-11-aprilie-2020-ora-13-64")</f>
        <v>https://stirioficiale.ro/informatii/buletin-de-presa-11-aprilie-2020-ora-13-64</v>
      </c>
      <c r="L56" s="5"/>
      <c r="M56" s="5"/>
      <c r="N56" s="5"/>
      <c r="O56" s="5"/>
      <c r="P56" s="5"/>
      <c r="Q56" s="5"/>
      <c r="R56" s="5" t="str">
        <f ca="1">IFERROR(__xludf.DUMMYFUNCTION("""COMPUTED_VALUE"""),"România")</f>
        <v>România</v>
      </c>
      <c r="S56" s="5" t="str">
        <f ca="1">IFERROR(__xludf.DUMMYFUNCTION("""COMPUTED_VALUE"""),"Octavian")</f>
        <v>Octavian</v>
      </c>
      <c r="T56" s="7" t="str">
        <f ca="1">IFERROR(__xludf.DUMMYFUNCTION("""COMPUTED_VALUE"""),"http://www.ms.ro/2020/04/11/buletin-informativ-11-04-2020/")</f>
        <v>http://www.ms.ro/2020/04/11/buletin-informativ-11-04-2020/</v>
      </c>
      <c r="U56" s="5"/>
      <c r="V56" s="5"/>
      <c r="W56" s="5"/>
      <c r="X56" s="5"/>
      <c r="Y56" s="5"/>
      <c r="Z56" s="5"/>
      <c r="AA56" s="5"/>
      <c r="AB56" s="5"/>
      <c r="AC56" s="5"/>
    </row>
    <row r="57" spans="1:29" ht="12.5">
      <c r="A57" s="5">
        <f ca="1">IFERROR(__xludf.DUMMYFUNCTION("""COMPUTED_VALUE"""),5534)</f>
        <v>5534</v>
      </c>
      <c r="B57" s="5"/>
      <c r="C57" s="5" t="str">
        <f ca="1">IFERROR(__xludf.DUMMYFUNCTION("""COMPUTED_VALUE"""),"Bihor")</f>
        <v>Bihor</v>
      </c>
      <c r="D57" s="13">
        <f ca="1">IFERROR(__xludf.DUMMYFUNCTION("""COMPUTED_VALUE"""),43932)</f>
        <v>43932</v>
      </c>
      <c r="E57" s="5" t="str">
        <f ca="1">IFERROR(__xludf.DUMMYFUNCTION("""COMPUTED_VALUE"""),"Nu")</f>
        <v>Nu</v>
      </c>
      <c r="F57" s="5"/>
      <c r="G57" s="5"/>
      <c r="H57" s="6"/>
      <c r="I57" s="5"/>
      <c r="J57" s="5"/>
      <c r="K57" s="7" t="str">
        <f ca="1">IFERROR(__xludf.DUMMYFUNCTION("""COMPUTED_VALUE"""),"https://stirioficiale.ro/informatii/buletin-de-presa-11-aprilie-2020-ora-13-65")</f>
        <v>https://stirioficiale.ro/informatii/buletin-de-presa-11-aprilie-2020-ora-13-65</v>
      </c>
      <c r="L57" s="5"/>
      <c r="M57" s="5"/>
      <c r="N57" s="5"/>
      <c r="O57" s="5"/>
      <c r="P57" s="5"/>
      <c r="Q57" s="5"/>
      <c r="R57" s="5" t="str">
        <f ca="1">IFERROR(__xludf.DUMMYFUNCTION("""COMPUTED_VALUE"""),"România")</f>
        <v>România</v>
      </c>
      <c r="S57" s="5" t="str">
        <f ca="1">IFERROR(__xludf.DUMMYFUNCTION("""COMPUTED_VALUE"""),"Octavian")</f>
        <v>Octavian</v>
      </c>
      <c r="T57" s="7" t="str">
        <f ca="1">IFERROR(__xludf.DUMMYFUNCTION("""COMPUTED_VALUE"""),"http://www.ms.ro/2020/04/11/buletin-informativ-11-04-2020/")</f>
        <v>http://www.ms.ro/2020/04/11/buletin-informativ-11-04-2020/</v>
      </c>
      <c r="U57" s="5"/>
      <c r="V57" s="5"/>
      <c r="W57" s="5"/>
      <c r="X57" s="5"/>
      <c r="Y57" s="5"/>
      <c r="Z57" s="5"/>
      <c r="AA57" s="5"/>
      <c r="AB57" s="5"/>
      <c r="AC57" s="5"/>
    </row>
    <row r="58" spans="1:29" ht="12.5">
      <c r="A58" s="5">
        <f ca="1">IFERROR(__xludf.DUMMYFUNCTION("""COMPUTED_VALUE"""),5535)</f>
        <v>5535</v>
      </c>
      <c r="B58" s="5"/>
      <c r="C58" s="5" t="str">
        <f ca="1">IFERROR(__xludf.DUMMYFUNCTION("""COMPUTED_VALUE"""),"Bihor")</f>
        <v>Bihor</v>
      </c>
      <c r="D58" s="13">
        <f ca="1">IFERROR(__xludf.DUMMYFUNCTION("""COMPUTED_VALUE"""),43932)</f>
        <v>43932</v>
      </c>
      <c r="E58" s="5" t="str">
        <f ca="1">IFERROR(__xludf.DUMMYFUNCTION("""COMPUTED_VALUE"""),"Nu")</f>
        <v>Nu</v>
      </c>
      <c r="F58" s="5"/>
      <c r="G58" s="5"/>
      <c r="H58" s="6"/>
      <c r="I58" s="5"/>
      <c r="J58" s="5"/>
      <c r="K58" s="7" t="str">
        <f ca="1">IFERROR(__xludf.DUMMYFUNCTION("""COMPUTED_VALUE"""),"https://stirioficiale.ro/informatii/buletin-de-presa-11-aprilie-2020-ora-13-66")</f>
        <v>https://stirioficiale.ro/informatii/buletin-de-presa-11-aprilie-2020-ora-13-66</v>
      </c>
      <c r="L58" s="5"/>
      <c r="M58" s="5"/>
      <c r="N58" s="5"/>
      <c r="O58" s="5"/>
      <c r="P58" s="5"/>
      <c r="Q58" s="5"/>
      <c r="R58" s="5" t="str">
        <f ca="1">IFERROR(__xludf.DUMMYFUNCTION("""COMPUTED_VALUE"""),"România")</f>
        <v>România</v>
      </c>
      <c r="S58" s="5" t="str">
        <f ca="1">IFERROR(__xludf.DUMMYFUNCTION("""COMPUTED_VALUE"""),"Octavian")</f>
        <v>Octavian</v>
      </c>
      <c r="T58" s="7" t="str">
        <f ca="1">IFERROR(__xludf.DUMMYFUNCTION("""COMPUTED_VALUE"""),"http://www.ms.ro/2020/04/11/buletin-informativ-11-04-2020/")</f>
        <v>http://www.ms.ro/2020/04/11/buletin-informativ-11-04-2020/</v>
      </c>
      <c r="U58" s="5"/>
      <c r="V58" s="5"/>
      <c r="W58" s="5"/>
      <c r="X58" s="5"/>
      <c r="Y58" s="5"/>
      <c r="Z58" s="5"/>
      <c r="AA58" s="5"/>
      <c r="AB58" s="5"/>
      <c r="AC58" s="5"/>
    </row>
    <row r="59" spans="1:29" ht="12.5">
      <c r="A59" s="5">
        <f ca="1">IFERROR(__xludf.DUMMYFUNCTION("""COMPUTED_VALUE"""),5536)</f>
        <v>5536</v>
      </c>
      <c r="B59" s="5"/>
      <c r="C59" s="5" t="str">
        <f ca="1">IFERROR(__xludf.DUMMYFUNCTION("""COMPUTED_VALUE"""),"Bihor")</f>
        <v>Bihor</v>
      </c>
      <c r="D59" s="13">
        <f ca="1">IFERROR(__xludf.DUMMYFUNCTION("""COMPUTED_VALUE"""),43932)</f>
        <v>43932</v>
      </c>
      <c r="E59" s="5" t="str">
        <f ca="1">IFERROR(__xludf.DUMMYFUNCTION("""COMPUTED_VALUE"""),"Nu")</f>
        <v>Nu</v>
      </c>
      <c r="F59" s="5"/>
      <c r="G59" s="5"/>
      <c r="H59" s="6"/>
      <c r="I59" s="5"/>
      <c r="J59" s="5"/>
      <c r="K59" s="7" t="str">
        <f ca="1">IFERROR(__xludf.DUMMYFUNCTION("""COMPUTED_VALUE"""),"https://stirioficiale.ro/informatii/buletin-de-presa-11-aprilie-2020-ora-13-67")</f>
        <v>https://stirioficiale.ro/informatii/buletin-de-presa-11-aprilie-2020-ora-13-67</v>
      </c>
      <c r="L59" s="5"/>
      <c r="M59" s="5"/>
      <c r="N59" s="5"/>
      <c r="O59" s="5"/>
      <c r="P59" s="5"/>
      <c r="Q59" s="5"/>
      <c r="R59" s="5" t="str">
        <f ca="1">IFERROR(__xludf.DUMMYFUNCTION("""COMPUTED_VALUE"""),"România")</f>
        <v>România</v>
      </c>
      <c r="S59" s="5" t="str">
        <f ca="1">IFERROR(__xludf.DUMMYFUNCTION("""COMPUTED_VALUE"""),"Octavian")</f>
        <v>Octavian</v>
      </c>
      <c r="T59" s="7" t="str">
        <f ca="1">IFERROR(__xludf.DUMMYFUNCTION("""COMPUTED_VALUE"""),"http://www.ms.ro/2020/04/11/buletin-informativ-11-04-2020/")</f>
        <v>http://www.ms.ro/2020/04/11/buletin-informativ-11-04-2020/</v>
      </c>
      <c r="U59" s="5"/>
      <c r="V59" s="5"/>
      <c r="W59" s="5"/>
      <c r="X59" s="5"/>
      <c r="Y59" s="5"/>
      <c r="Z59" s="5"/>
      <c r="AA59" s="5"/>
      <c r="AB59" s="5"/>
      <c r="AC59" s="5"/>
    </row>
    <row r="60" spans="1:29" ht="12.5">
      <c r="A60" s="5">
        <f ca="1">IFERROR(__xludf.DUMMYFUNCTION("""COMPUTED_VALUE"""),5537)</f>
        <v>5537</v>
      </c>
      <c r="B60" s="5"/>
      <c r="C60" s="5" t="str">
        <f ca="1">IFERROR(__xludf.DUMMYFUNCTION("""COMPUTED_VALUE"""),"Bihor")</f>
        <v>Bihor</v>
      </c>
      <c r="D60" s="13">
        <f ca="1">IFERROR(__xludf.DUMMYFUNCTION("""COMPUTED_VALUE"""),43932)</f>
        <v>43932</v>
      </c>
      <c r="E60" s="5" t="str">
        <f ca="1">IFERROR(__xludf.DUMMYFUNCTION("""COMPUTED_VALUE"""),"Nu")</f>
        <v>Nu</v>
      </c>
      <c r="F60" s="5"/>
      <c r="G60" s="5"/>
      <c r="H60" s="6"/>
      <c r="I60" s="5"/>
      <c r="J60" s="5"/>
      <c r="K60" s="7" t="str">
        <f ca="1">IFERROR(__xludf.DUMMYFUNCTION("""COMPUTED_VALUE"""),"https://stirioficiale.ro/informatii/buletin-de-presa-11-aprilie-2020-ora-13-68")</f>
        <v>https://stirioficiale.ro/informatii/buletin-de-presa-11-aprilie-2020-ora-13-68</v>
      </c>
      <c r="L60" s="5"/>
      <c r="M60" s="5"/>
      <c r="N60" s="5"/>
      <c r="O60" s="5"/>
      <c r="P60" s="5"/>
      <c r="Q60" s="5"/>
      <c r="R60" s="5" t="str">
        <f ca="1">IFERROR(__xludf.DUMMYFUNCTION("""COMPUTED_VALUE"""),"România")</f>
        <v>România</v>
      </c>
      <c r="S60" s="5" t="str">
        <f ca="1">IFERROR(__xludf.DUMMYFUNCTION("""COMPUTED_VALUE"""),"Octavian")</f>
        <v>Octavian</v>
      </c>
      <c r="T60" s="7" t="str">
        <f ca="1">IFERROR(__xludf.DUMMYFUNCTION("""COMPUTED_VALUE"""),"http://www.ms.ro/2020/04/11/buletin-informativ-11-04-2020/")</f>
        <v>http://www.ms.ro/2020/04/11/buletin-informativ-11-04-2020/</v>
      </c>
      <c r="U60" s="5"/>
      <c r="V60" s="5"/>
      <c r="W60" s="5"/>
      <c r="X60" s="5"/>
      <c r="Y60" s="5"/>
      <c r="Z60" s="5"/>
      <c r="AA60" s="5"/>
      <c r="AB60" s="5"/>
      <c r="AC60" s="5"/>
    </row>
    <row r="61" spans="1:29" ht="12.5">
      <c r="A61" s="5">
        <f ca="1">IFERROR(__xludf.DUMMYFUNCTION("""COMPUTED_VALUE"""),5538)</f>
        <v>5538</v>
      </c>
      <c r="B61" s="5"/>
      <c r="C61" s="5" t="str">
        <f ca="1">IFERROR(__xludf.DUMMYFUNCTION("""COMPUTED_VALUE"""),"Bihor")</f>
        <v>Bihor</v>
      </c>
      <c r="D61" s="13">
        <f ca="1">IFERROR(__xludf.DUMMYFUNCTION("""COMPUTED_VALUE"""),43932)</f>
        <v>43932</v>
      </c>
      <c r="E61" s="5" t="str">
        <f ca="1">IFERROR(__xludf.DUMMYFUNCTION("""COMPUTED_VALUE"""),"Nu")</f>
        <v>Nu</v>
      </c>
      <c r="F61" s="5"/>
      <c r="G61" s="5"/>
      <c r="H61" s="6"/>
      <c r="I61" s="5"/>
      <c r="J61" s="5"/>
      <c r="K61" s="7" t="str">
        <f ca="1">IFERROR(__xludf.DUMMYFUNCTION("""COMPUTED_VALUE"""),"https://stirioficiale.ro/informatii/buletin-de-presa-11-aprilie-2020-ora-13-69")</f>
        <v>https://stirioficiale.ro/informatii/buletin-de-presa-11-aprilie-2020-ora-13-69</v>
      </c>
      <c r="L61" s="5"/>
      <c r="M61" s="5"/>
      <c r="N61" s="5"/>
      <c r="O61" s="5"/>
      <c r="P61" s="5"/>
      <c r="Q61" s="5"/>
      <c r="R61" s="5" t="str">
        <f ca="1">IFERROR(__xludf.DUMMYFUNCTION("""COMPUTED_VALUE"""),"România")</f>
        <v>România</v>
      </c>
      <c r="S61" s="5" t="str">
        <f ca="1">IFERROR(__xludf.DUMMYFUNCTION("""COMPUTED_VALUE"""),"Octavian")</f>
        <v>Octavian</v>
      </c>
      <c r="T61" s="7" t="str">
        <f ca="1">IFERROR(__xludf.DUMMYFUNCTION("""COMPUTED_VALUE"""),"http://www.ms.ro/2020/04/11/buletin-informativ-11-04-2020/")</f>
        <v>http://www.ms.ro/2020/04/11/buletin-informativ-11-04-2020/</v>
      </c>
      <c r="U61" s="5"/>
      <c r="V61" s="5"/>
      <c r="W61" s="5"/>
      <c r="X61" s="5"/>
      <c r="Y61" s="5"/>
      <c r="Z61" s="5"/>
      <c r="AA61" s="5"/>
      <c r="AB61" s="5"/>
      <c r="AC61" s="5"/>
    </row>
    <row r="62" spans="1:29" ht="12.5">
      <c r="A62" s="5">
        <f ca="1">IFERROR(__xludf.DUMMYFUNCTION("""COMPUTED_VALUE"""),5539)</f>
        <v>5539</v>
      </c>
      <c r="B62" s="5"/>
      <c r="C62" s="5" t="str">
        <f ca="1">IFERROR(__xludf.DUMMYFUNCTION("""COMPUTED_VALUE"""),"Bihor")</f>
        <v>Bihor</v>
      </c>
      <c r="D62" s="13">
        <f ca="1">IFERROR(__xludf.DUMMYFUNCTION("""COMPUTED_VALUE"""),43932)</f>
        <v>43932</v>
      </c>
      <c r="E62" s="5" t="str">
        <f ca="1">IFERROR(__xludf.DUMMYFUNCTION("""COMPUTED_VALUE"""),"Nu")</f>
        <v>Nu</v>
      </c>
      <c r="F62" s="5"/>
      <c r="G62" s="5"/>
      <c r="H62" s="6"/>
      <c r="I62" s="5"/>
      <c r="J62" s="5"/>
      <c r="K62" s="7" t="str">
        <f ca="1">IFERROR(__xludf.DUMMYFUNCTION("""COMPUTED_VALUE"""),"https://stirioficiale.ro/informatii/buletin-de-presa-11-aprilie-2020-ora-13-70")</f>
        <v>https://stirioficiale.ro/informatii/buletin-de-presa-11-aprilie-2020-ora-13-70</v>
      </c>
      <c r="L62" s="5"/>
      <c r="M62" s="5"/>
      <c r="N62" s="5"/>
      <c r="O62" s="5"/>
      <c r="P62" s="5"/>
      <c r="Q62" s="5"/>
      <c r="R62" s="5" t="str">
        <f ca="1">IFERROR(__xludf.DUMMYFUNCTION("""COMPUTED_VALUE"""),"România")</f>
        <v>România</v>
      </c>
      <c r="S62" s="5" t="str">
        <f ca="1">IFERROR(__xludf.DUMMYFUNCTION("""COMPUTED_VALUE"""),"Octavian")</f>
        <v>Octavian</v>
      </c>
      <c r="T62" s="7" t="str">
        <f ca="1">IFERROR(__xludf.DUMMYFUNCTION("""COMPUTED_VALUE"""),"http://www.ms.ro/2020/04/11/buletin-informativ-11-04-2020/")</f>
        <v>http://www.ms.ro/2020/04/11/buletin-informativ-11-04-2020/</v>
      </c>
      <c r="U62" s="5"/>
      <c r="V62" s="5"/>
      <c r="W62" s="5"/>
      <c r="X62" s="5"/>
      <c r="Y62" s="5"/>
      <c r="Z62" s="5"/>
      <c r="AA62" s="5"/>
      <c r="AB62" s="5"/>
      <c r="AC62" s="5"/>
    </row>
    <row r="63" spans="1:29" ht="12.5">
      <c r="A63" s="5">
        <f ca="1">IFERROR(__xludf.DUMMYFUNCTION("""COMPUTED_VALUE"""),5540)</f>
        <v>5540</v>
      </c>
      <c r="B63" s="5"/>
      <c r="C63" s="5" t="str">
        <f ca="1">IFERROR(__xludf.DUMMYFUNCTION("""COMPUTED_VALUE"""),"Bihor")</f>
        <v>Bihor</v>
      </c>
      <c r="D63" s="13">
        <f ca="1">IFERROR(__xludf.DUMMYFUNCTION("""COMPUTED_VALUE"""),43932)</f>
        <v>43932</v>
      </c>
      <c r="E63" s="5" t="str">
        <f ca="1">IFERROR(__xludf.DUMMYFUNCTION("""COMPUTED_VALUE"""),"Nu")</f>
        <v>Nu</v>
      </c>
      <c r="F63" s="5"/>
      <c r="G63" s="5"/>
      <c r="H63" s="6"/>
      <c r="I63" s="5"/>
      <c r="J63" s="5"/>
      <c r="K63" s="7" t="str">
        <f ca="1">IFERROR(__xludf.DUMMYFUNCTION("""COMPUTED_VALUE"""),"https://stirioficiale.ro/informatii/buletin-de-presa-11-aprilie-2020-ora-13-71")</f>
        <v>https://stirioficiale.ro/informatii/buletin-de-presa-11-aprilie-2020-ora-13-71</v>
      </c>
      <c r="L63" s="5"/>
      <c r="M63" s="5"/>
      <c r="N63" s="5"/>
      <c r="O63" s="5"/>
      <c r="P63" s="5"/>
      <c r="Q63" s="5"/>
      <c r="R63" s="5" t="str">
        <f ca="1">IFERROR(__xludf.DUMMYFUNCTION("""COMPUTED_VALUE"""),"România")</f>
        <v>România</v>
      </c>
      <c r="S63" s="5" t="str">
        <f ca="1">IFERROR(__xludf.DUMMYFUNCTION("""COMPUTED_VALUE"""),"Octavian")</f>
        <v>Octavian</v>
      </c>
      <c r="T63" s="7" t="str">
        <f ca="1">IFERROR(__xludf.DUMMYFUNCTION("""COMPUTED_VALUE"""),"http://www.ms.ro/2020/04/11/buletin-informativ-11-04-2020/")</f>
        <v>http://www.ms.ro/2020/04/11/buletin-informativ-11-04-2020/</v>
      </c>
      <c r="U63" s="5"/>
      <c r="V63" s="5"/>
      <c r="W63" s="5"/>
      <c r="X63" s="5"/>
      <c r="Y63" s="5"/>
      <c r="Z63" s="5"/>
      <c r="AA63" s="5"/>
      <c r="AB63" s="5"/>
      <c r="AC63" s="5"/>
    </row>
    <row r="64" spans="1:29" ht="12.5">
      <c r="A64" s="5">
        <f ca="1">IFERROR(__xludf.DUMMYFUNCTION("""COMPUTED_VALUE"""),5541)</f>
        <v>5541</v>
      </c>
      <c r="B64" s="5"/>
      <c r="C64" s="5" t="str">
        <f ca="1">IFERROR(__xludf.DUMMYFUNCTION("""COMPUTED_VALUE"""),"Bihor")</f>
        <v>Bihor</v>
      </c>
      <c r="D64" s="13">
        <f ca="1">IFERROR(__xludf.DUMMYFUNCTION("""COMPUTED_VALUE"""),43932)</f>
        <v>43932</v>
      </c>
      <c r="E64" s="5" t="str">
        <f ca="1">IFERROR(__xludf.DUMMYFUNCTION("""COMPUTED_VALUE"""),"Nu")</f>
        <v>Nu</v>
      </c>
      <c r="F64" s="5"/>
      <c r="G64" s="5"/>
      <c r="H64" s="6"/>
      <c r="I64" s="5"/>
      <c r="J64" s="5"/>
      <c r="K64" s="7" t="str">
        <f ca="1">IFERROR(__xludf.DUMMYFUNCTION("""COMPUTED_VALUE"""),"https://stirioficiale.ro/informatii/buletin-de-presa-11-aprilie-2020-ora-13-72")</f>
        <v>https://stirioficiale.ro/informatii/buletin-de-presa-11-aprilie-2020-ora-13-72</v>
      </c>
      <c r="L64" s="5"/>
      <c r="M64" s="5"/>
      <c r="N64" s="5"/>
      <c r="O64" s="5"/>
      <c r="P64" s="5"/>
      <c r="Q64" s="5"/>
      <c r="R64" s="5" t="str">
        <f ca="1">IFERROR(__xludf.DUMMYFUNCTION("""COMPUTED_VALUE"""),"România")</f>
        <v>România</v>
      </c>
      <c r="S64" s="5" t="str">
        <f ca="1">IFERROR(__xludf.DUMMYFUNCTION("""COMPUTED_VALUE"""),"Octavian")</f>
        <v>Octavian</v>
      </c>
      <c r="T64" s="7" t="str">
        <f ca="1">IFERROR(__xludf.DUMMYFUNCTION("""COMPUTED_VALUE"""),"http://www.ms.ro/2020/04/11/buletin-informativ-11-04-2020/")</f>
        <v>http://www.ms.ro/2020/04/11/buletin-informativ-11-04-2020/</v>
      </c>
      <c r="U64" s="5"/>
      <c r="V64" s="5"/>
      <c r="W64" s="5"/>
      <c r="X64" s="5"/>
      <c r="Y64" s="5"/>
      <c r="Z64" s="5"/>
      <c r="AA64" s="5"/>
      <c r="AB64" s="5"/>
      <c r="AC64" s="5"/>
    </row>
    <row r="65" spans="1:29" ht="12.5">
      <c r="A65" s="5">
        <f ca="1">IFERROR(__xludf.DUMMYFUNCTION("""COMPUTED_VALUE"""),6330)</f>
        <v>6330</v>
      </c>
      <c r="B65" s="5"/>
      <c r="C65" s="5" t="str">
        <f ca="1">IFERROR(__xludf.DUMMYFUNCTION("""COMPUTED_VALUE"""),"Bihor")</f>
        <v>Bihor</v>
      </c>
      <c r="D65" s="13">
        <f ca="1">IFERROR(__xludf.DUMMYFUNCTION("""COMPUTED_VALUE"""),43934)</f>
        <v>43934</v>
      </c>
      <c r="E65" s="5" t="str">
        <f ca="1">IFERROR(__xludf.DUMMYFUNCTION("""COMPUTED_VALUE"""),"Nu")</f>
        <v>Nu</v>
      </c>
      <c r="F65" s="5"/>
      <c r="G65" s="5"/>
      <c r="H65" s="6"/>
      <c r="I65" s="5"/>
      <c r="J65" s="5"/>
      <c r="K65" s="7" t="str">
        <f ca="1">IFERROR(__xludf.DUMMYFUNCTION("""COMPUTED_VALUE"""),"https://stirioficiale.ro/informatii/buletin-de-presa-13-aprilie-2020-ora-13-28")</f>
        <v>https://stirioficiale.ro/informatii/buletin-de-presa-13-aprilie-2020-ora-13-28</v>
      </c>
      <c r="L65" s="5"/>
      <c r="M65" s="5"/>
      <c r="N65" s="5"/>
      <c r="O65" s="5"/>
      <c r="P65" s="5"/>
      <c r="Q65" s="5"/>
      <c r="R65" s="5" t="str">
        <f ca="1">IFERROR(__xludf.DUMMYFUNCTION("""COMPUTED_VALUE"""),"România")</f>
        <v>România</v>
      </c>
      <c r="S65" s="5" t="str">
        <f ca="1">IFERROR(__xludf.DUMMYFUNCTION("""COMPUTED_VALUE"""),"Octavian")</f>
        <v>Octavian</v>
      </c>
      <c r="T65" s="7" t="str">
        <f ca="1">IFERROR(__xludf.DUMMYFUNCTION("""COMPUTED_VALUE"""),"http://www.ms.ro/2020/04/13/buletin-informativ-13-04-2020/")</f>
        <v>http://www.ms.ro/2020/04/13/buletin-informativ-13-04-2020/</v>
      </c>
      <c r="U65" s="5"/>
      <c r="V65" s="5"/>
      <c r="W65" s="5"/>
      <c r="X65" s="5"/>
      <c r="Y65" s="5"/>
      <c r="Z65" s="5"/>
      <c r="AA65" s="5"/>
      <c r="AB65" s="5"/>
      <c r="AC65" s="5"/>
    </row>
    <row r="66" spans="1:29" ht="12.5">
      <c r="A66" s="5">
        <f ca="1">IFERROR(__xludf.DUMMYFUNCTION("""COMPUTED_VALUE"""),6331)</f>
        <v>6331</v>
      </c>
      <c r="B66" s="5"/>
      <c r="C66" s="5" t="str">
        <f ca="1">IFERROR(__xludf.DUMMYFUNCTION("""COMPUTED_VALUE"""),"Bihor")</f>
        <v>Bihor</v>
      </c>
      <c r="D66" s="13">
        <f ca="1">IFERROR(__xludf.DUMMYFUNCTION("""COMPUTED_VALUE"""),43934)</f>
        <v>43934</v>
      </c>
      <c r="E66" s="5" t="str">
        <f ca="1">IFERROR(__xludf.DUMMYFUNCTION("""COMPUTED_VALUE"""),"Nu")</f>
        <v>Nu</v>
      </c>
      <c r="F66" s="5"/>
      <c r="G66" s="5"/>
      <c r="H66" s="6"/>
      <c r="I66" s="5"/>
      <c r="J66" s="5"/>
      <c r="K66" s="7" t="str">
        <f ca="1">IFERROR(__xludf.DUMMYFUNCTION("""COMPUTED_VALUE"""),"https://stirioficiale.ro/informatii/buletin-de-presa-13-aprilie-2020-ora-13-29")</f>
        <v>https://stirioficiale.ro/informatii/buletin-de-presa-13-aprilie-2020-ora-13-29</v>
      </c>
      <c r="L66" s="5"/>
      <c r="M66" s="5"/>
      <c r="N66" s="5"/>
      <c r="O66" s="5"/>
      <c r="P66" s="5"/>
      <c r="Q66" s="5"/>
      <c r="R66" s="5" t="str">
        <f ca="1">IFERROR(__xludf.DUMMYFUNCTION("""COMPUTED_VALUE"""),"România")</f>
        <v>România</v>
      </c>
      <c r="S66" s="5" t="str">
        <f ca="1">IFERROR(__xludf.DUMMYFUNCTION("""COMPUTED_VALUE"""),"Octavian")</f>
        <v>Octavian</v>
      </c>
      <c r="T66" s="7" t="str">
        <f ca="1">IFERROR(__xludf.DUMMYFUNCTION("""COMPUTED_VALUE"""),"http://www.ms.ro/2020/04/13/buletin-informativ-13-04-2020/")</f>
        <v>http://www.ms.ro/2020/04/13/buletin-informativ-13-04-2020/</v>
      </c>
      <c r="U66" s="5"/>
      <c r="V66" s="5"/>
      <c r="W66" s="5"/>
      <c r="X66" s="5"/>
      <c r="Y66" s="5"/>
      <c r="Z66" s="5"/>
      <c r="AA66" s="5"/>
      <c r="AB66" s="5"/>
      <c r="AC66" s="5"/>
    </row>
    <row r="67" spans="1:29" ht="12.5">
      <c r="A67" s="5">
        <f ca="1">IFERROR(__xludf.DUMMYFUNCTION("""COMPUTED_VALUE"""),6332)</f>
        <v>6332</v>
      </c>
      <c r="B67" s="5"/>
      <c r="C67" s="5" t="str">
        <f ca="1">IFERROR(__xludf.DUMMYFUNCTION("""COMPUTED_VALUE"""),"Bihor")</f>
        <v>Bihor</v>
      </c>
      <c r="D67" s="13">
        <f ca="1">IFERROR(__xludf.DUMMYFUNCTION("""COMPUTED_VALUE"""),43934)</f>
        <v>43934</v>
      </c>
      <c r="E67" s="5" t="str">
        <f ca="1">IFERROR(__xludf.DUMMYFUNCTION("""COMPUTED_VALUE"""),"Nu")</f>
        <v>Nu</v>
      </c>
      <c r="F67" s="5"/>
      <c r="G67" s="5"/>
      <c r="H67" s="6"/>
      <c r="I67" s="5"/>
      <c r="J67" s="5"/>
      <c r="K67" s="7" t="str">
        <f ca="1">IFERROR(__xludf.DUMMYFUNCTION("""COMPUTED_VALUE"""),"https://stirioficiale.ro/informatii/buletin-de-presa-13-aprilie-2020-ora-13-30")</f>
        <v>https://stirioficiale.ro/informatii/buletin-de-presa-13-aprilie-2020-ora-13-30</v>
      </c>
      <c r="L67" s="5"/>
      <c r="M67" s="5"/>
      <c r="N67" s="5"/>
      <c r="O67" s="5"/>
      <c r="P67" s="5"/>
      <c r="Q67" s="5"/>
      <c r="R67" s="5" t="str">
        <f ca="1">IFERROR(__xludf.DUMMYFUNCTION("""COMPUTED_VALUE"""),"România")</f>
        <v>România</v>
      </c>
      <c r="S67" s="5" t="str">
        <f ca="1">IFERROR(__xludf.DUMMYFUNCTION("""COMPUTED_VALUE"""),"Octavian")</f>
        <v>Octavian</v>
      </c>
      <c r="T67" s="7" t="str">
        <f ca="1">IFERROR(__xludf.DUMMYFUNCTION("""COMPUTED_VALUE"""),"http://www.ms.ro/2020/04/13/buletin-informativ-13-04-2020/")</f>
        <v>http://www.ms.ro/2020/04/13/buletin-informativ-13-04-2020/</v>
      </c>
      <c r="U67" s="5"/>
      <c r="V67" s="5"/>
      <c r="W67" s="5"/>
      <c r="X67" s="5"/>
      <c r="Y67" s="5"/>
      <c r="Z67" s="5"/>
      <c r="AA67" s="5"/>
      <c r="AB67" s="5"/>
      <c r="AC67" s="5"/>
    </row>
    <row r="68" spans="1:29" ht="12.5">
      <c r="A68" s="5">
        <f ca="1">IFERROR(__xludf.DUMMYFUNCTION("""COMPUTED_VALUE"""),6333)</f>
        <v>6333</v>
      </c>
      <c r="B68" s="5"/>
      <c r="C68" s="5" t="str">
        <f ca="1">IFERROR(__xludf.DUMMYFUNCTION("""COMPUTED_VALUE"""),"Bihor")</f>
        <v>Bihor</v>
      </c>
      <c r="D68" s="13">
        <f ca="1">IFERROR(__xludf.DUMMYFUNCTION("""COMPUTED_VALUE"""),43934)</f>
        <v>43934</v>
      </c>
      <c r="E68" s="5" t="str">
        <f ca="1">IFERROR(__xludf.DUMMYFUNCTION("""COMPUTED_VALUE"""),"Nu")</f>
        <v>Nu</v>
      </c>
      <c r="F68" s="5"/>
      <c r="G68" s="5"/>
      <c r="H68" s="6"/>
      <c r="I68" s="5"/>
      <c r="J68" s="5"/>
      <c r="K68" s="7" t="str">
        <f ca="1">IFERROR(__xludf.DUMMYFUNCTION("""COMPUTED_VALUE"""),"https://stirioficiale.ro/informatii/buletin-de-presa-13-aprilie-2020-ora-13-31")</f>
        <v>https://stirioficiale.ro/informatii/buletin-de-presa-13-aprilie-2020-ora-13-31</v>
      </c>
      <c r="L68" s="5"/>
      <c r="M68" s="5"/>
      <c r="N68" s="5"/>
      <c r="O68" s="5"/>
      <c r="P68" s="5"/>
      <c r="Q68" s="5"/>
      <c r="R68" s="5" t="str">
        <f ca="1">IFERROR(__xludf.DUMMYFUNCTION("""COMPUTED_VALUE"""),"România")</f>
        <v>România</v>
      </c>
      <c r="S68" s="5" t="str">
        <f ca="1">IFERROR(__xludf.DUMMYFUNCTION("""COMPUTED_VALUE"""),"Octavian")</f>
        <v>Octavian</v>
      </c>
      <c r="T68" s="7" t="str">
        <f ca="1">IFERROR(__xludf.DUMMYFUNCTION("""COMPUTED_VALUE"""),"http://www.ms.ro/2020/04/13/buletin-informativ-13-04-2020/")</f>
        <v>http://www.ms.ro/2020/04/13/buletin-informativ-13-04-2020/</v>
      </c>
      <c r="U68" s="5"/>
      <c r="V68" s="5"/>
      <c r="W68" s="5"/>
      <c r="X68" s="5"/>
      <c r="Y68" s="5"/>
      <c r="Z68" s="5"/>
      <c r="AA68" s="5"/>
      <c r="AB68" s="5"/>
      <c r="AC68" s="5"/>
    </row>
    <row r="69" spans="1:29" ht="12.5">
      <c r="A69" s="5">
        <f ca="1">IFERROR(__xludf.DUMMYFUNCTION("""COMPUTED_VALUE"""),6334)</f>
        <v>6334</v>
      </c>
      <c r="B69" s="5"/>
      <c r="C69" s="5" t="str">
        <f ca="1">IFERROR(__xludf.DUMMYFUNCTION("""COMPUTED_VALUE"""),"Bihor")</f>
        <v>Bihor</v>
      </c>
      <c r="D69" s="13">
        <f ca="1">IFERROR(__xludf.DUMMYFUNCTION("""COMPUTED_VALUE"""),43934)</f>
        <v>43934</v>
      </c>
      <c r="E69" s="5" t="str">
        <f ca="1">IFERROR(__xludf.DUMMYFUNCTION("""COMPUTED_VALUE"""),"Nu")</f>
        <v>Nu</v>
      </c>
      <c r="F69" s="5"/>
      <c r="G69" s="5"/>
      <c r="H69" s="6"/>
      <c r="I69" s="5"/>
      <c r="J69" s="5"/>
      <c r="K69" s="7" t="str">
        <f ca="1">IFERROR(__xludf.DUMMYFUNCTION("""COMPUTED_VALUE"""),"https://stirioficiale.ro/informatii/buletin-de-presa-13-aprilie-2020-ora-13-32")</f>
        <v>https://stirioficiale.ro/informatii/buletin-de-presa-13-aprilie-2020-ora-13-32</v>
      </c>
      <c r="L69" s="5"/>
      <c r="M69" s="5"/>
      <c r="N69" s="5"/>
      <c r="O69" s="5"/>
      <c r="P69" s="5"/>
      <c r="Q69" s="5"/>
      <c r="R69" s="5" t="str">
        <f ca="1">IFERROR(__xludf.DUMMYFUNCTION("""COMPUTED_VALUE"""),"România")</f>
        <v>România</v>
      </c>
      <c r="S69" s="5" t="str">
        <f ca="1">IFERROR(__xludf.DUMMYFUNCTION("""COMPUTED_VALUE"""),"Octavian")</f>
        <v>Octavian</v>
      </c>
      <c r="T69" s="7" t="str">
        <f ca="1">IFERROR(__xludf.DUMMYFUNCTION("""COMPUTED_VALUE"""),"http://www.ms.ro/2020/04/13/buletin-informativ-13-04-2020/")</f>
        <v>http://www.ms.ro/2020/04/13/buletin-informativ-13-04-2020/</v>
      </c>
      <c r="U69" s="5"/>
      <c r="V69" s="5"/>
      <c r="W69" s="5"/>
      <c r="X69" s="5"/>
      <c r="Y69" s="5"/>
      <c r="Z69" s="5"/>
      <c r="AA69" s="5"/>
      <c r="AB69" s="5"/>
      <c r="AC69" s="5"/>
    </row>
    <row r="70" spans="1:29" ht="12.5">
      <c r="A70" s="5">
        <f ca="1">IFERROR(__xludf.DUMMYFUNCTION("""COMPUTED_VALUE"""),6335)</f>
        <v>6335</v>
      </c>
      <c r="B70" s="5"/>
      <c r="C70" s="5" t="str">
        <f ca="1">IFERROR(__xludf.DUMMYFUNCTION("""COMPUTED_VALUE"""),"Bihor")</f>
        <v>Bihor</v>
      </c>
      <c r="D70" s="13">
        <f ca="1">IFERROR(__xludf.DUMMYFUNCTION("""COMPUTED_VALUE"""),43934)</f>
        <v>43934</v>
      </c>
      <c r="E70" s="5" t="str">
        <f ca="1">IFERROR(__xludf.DUMMYFUNCTION("""COMPUTED_VALUE"""),"Nu")</f>
        <v>Nu</v>
      </c>
      <c r="F70" s="5"/>
      <c r="G70" s="5"/>
      <c r="H70" s="6"/>
      <c r="I70" s="5"/>
      <c r="J70" s="5"/>
      <c r="K70" s="7" t="str">
        <f ca="1">IFERROR(__xludf.DUMMYFUNCTION("""COMPUTED_VALUE"""),"https://stirioficiale.ro/informatii/buletin-de-presa-13-aprilie-2020-ora-13-33")</f>
        <v>https://stirioficiale.ro/informatii/buletin-de-presa-13-aprilie-2020-ora-13-33</v>
      </c>
      <c r="L70" s="5"/>
      <c r="M70" s="5"/>
      <c r="N70" s="5"/>
      <c r="O70" s="5"/>
      <c r="P70" s="5"/>
      <c r="Q70" s="5"/>
      <c r="R70" s="5" t="str">
        <f ca="1">IFERROR(__xludf.DUMMYFUNCTION("""COMPUTED_VALUE"""),"România")</f>
        <v>România</v>
      </c>
      <c r="S70" s="5" t="str">
        <f ca="1">IFERROR(__xludf.DUMMYFUNCTION("""COMPUTED_VALUE"""),"Octavian")</f>
        <v>Octavian</v>
      </c>
      <c r="T70" s="7" t="str">
        <f ca="1">IFERROR(__xludf.DUMMYFUNCTION("""COMPUTED_VALUE"""),"http://www.ms.ro/2020/04/13/buletin-informativ-13-04-2020/")</f>
        <v>http://www.ms.ro/2020/04/13/buletin-informativ-13-04-2020/</v>
      </c>
      <c r="U70" s="5"/>
      <c r="V70" s="5"/>
      <c r="W70" s="5"/>
      <c r="X70" s="5"/>
      <c r="Y70" s="5"/>
      <c r="Z70" s="5"/>
      <c r="AA70" s="5"/>
      <c r="AB70" s="5"/>
      <c r="AC70" s="5"/>
    </row>
    <row r="71" spans="1:29" ht="12.5">
      <c r="A71" s="5">
        <f ca="1">IFERROR(__xludf.DUMMYFUNCTION("""COMPUTED_VALUE"""),6336)</f>
        <v>6336</v>
      </c>
      <c r="B71" s="5"/>
      <c r="C71" s="5" t="str">
        <f ca="1">IFERROR(__xludf.DUMMYFUNCTION("""COMPUTED_VALUE"""),"Bihor")</f>
        <v>Bihor</v>
      </c>
      <c r="D71" s="13">
        <f ca="1">IFERROR(__xludf.DUMMYFUNCTION("""COMPUTED_VALUE"""),43934)</f>
        <v>43934</v>
      </c>
      <c r="E71" s="5" t="str">
        <f ca="1">IFERROR(__xludf.DUMMYFUNCTION("""COMPUTED_VALUE"""),"Nu")</f>
        <v>Nu</v>
      </c>
      <c r="F71" s="5"/>
      <c r="G71" s="5"/>
      <c r="H71" s="6"/>
      <c r="I71" s="5"/>
      <c r="J71" s="5"/>
      <c r="K71" s="7" t="str">
        <f ca="1">IFERROR(__xludf.DUMMYFUNCTION("""COMPUTED_VALUE"""),"https://stirioficiale.ro/informatii/buletin-de-presa-13-aprilie-2020-ora-13-34")</f>
        <v>https://stirioficiale.ro/informatii/buletin-de-presa-13-aprilie-2020-ora-13-34</v>
      </c>
      <c r="L71" s="5"/>
      <c r="M71" s="5"/>
      <c r="N71" s="5"/>
      <c r="O71" s="5"/>
      <c r="P71" s="5"/>
      <c r="Q71" s="5"/>
      <c r="R71" s="5" t="str">
        <f ca="1">IFERROR(__xludf.DUMMYFUNCTION("""COMPUTED_VALUE"""),"România")</f>
        <v>România</v>
      </c>
      <c r="S71" s="5" t="str">
        <f ca="1">IFERROR(__xludf.DUMMYFUNCTION("""COMPUTED_VALUE"""),"Octavian")</f>
        <v>Octavian</v>
      </c>
      <c r="T71" s="7" t="str">
        <f ca="1">IFERROR(__xludf.DUMMYFUNCTION("""COMPUTED_VALUE"""),"http://www.ms.ro/2020/04/13/buletin-informativ-13-04-2020/")</f>
        <v>http://www.ms.ro/2020/04/13/buletin-informativ-13-04-2020/</v>
      </c>
      <c r="U71" s="5"/>
      <c r="V71" s="5"/>
      <c r="W71" s="5"/>
      <c r="X71" s="5"/>
      <c r="Y71" s="5"/>
      <c r="Z71" s="5"/>
      <c r="AA71" s="5"/>
      <c r="AB71" s="5"/>
      <c r="AC71" s="5"/>
    </row>
    <row r="72" spans="1:29" ht="12.5">
      <c r="A72" s="5">
        <f ca="1">IFERROR(__xludf.DUMMYFUNCTION("""COMPUTED_VALUE"""),6337)</f>
        <v>6337</v>
      </c>
      <c r="B72" s="5"/>
      <c r="C72" s="5" t="str">
        <f ca="1">IFERROR(__xludf.DUMMYFUNCTION("""COMPUTED_VALUE"""),"Bihor")</f>
        <v>Bihor</v>
      </c>
      <c r="D72" s="13">
        <f ca="1">IFERROR(__xludf.DUMMYFUNCTION("""COMPUTED_VALUE"""),43934)</f>
        <v>43934</v>
      </c>
      <c r="E72" s="5" t="str">
        <f ca="1">IFERROR(__xludf.DUMMYFUNCTION("""COMPUTED_VALUE"""),"Nu")</f>
        <v>Nu</v>
      </c>
      <c r="F72" s="5"/>
      <c r="G72" s="5"/>
      <c r="H72" s="6"/>
      <c r="I72" s="5"/>
      <c r="J72" s="5"/>
      <c r="K72" s="7" t="str">
        <f ca="1">IFERROR(__xludf.DUMMYFUNCTION("""COMPUTED_VALUE"""),"https://stirioficiale.ro/informatii/buletin-de-presa-13-aprilie-2020-ora-13-35")</f>
        <v>https://stirioficiale.ro/informatii/buletin-de-presa-13-aprilie-2020-ora-13-35</v>
      </c>
      <c r="L72" s="5"/>
      <c r="M72" s="5"/>
      <c r="N72" s="5"/>
      <c r="O72" s="5"/>
      <c r="P72" s="5"/>
      <c r="Q72" s="5"/>
      <c r="R72" s="5" t="str">
        <f ca="1">IFERROR(__xludf.DUMMYFUNCTION("""COMPUTED_VALUE"""),"România")</f>
        <v>România</v>
      </c>
      <c r="S72" s="5" t="str">
        <f ca="1">IFERROR(__xludf.DUMMYFUNCTION("""COMPUTED_VALUE"""),"Octavian")</f>
        <v>Octavian</v>
      </c>
      <c r="T72" s="7" t="str">
        <f ca="1">IFERROR(__xludf.DUMMYFUNCTION("""COMPUTED_VALUE"""),"http://www.ms.ro/2020/04/13/buletin-informativ-13-04-2020/")</f>
        <v>http://www.ms.ro/2020/04/13/buletin-informativ-13-04-2020/</v>
      </c>
      <c r="U72" s="5"/>
      <c r="V72" s="5"/>
      <c r="W72" s="5"/>
      <c r="X72" s="5"/>
      <c r="Y72" s="5"/>
      <c r="Z72" s="5"/>
      <c r="AA72" s="5"/>
      <c r="AB72" s="5"/>
      <c r="AC72" s="5"/>
    </row>
    <row r="73" spans="1:29" ht="12.5">
      <c r="A73" s="5">
        <f ca="1">IFERROR(__xludf.DUMMYFUNCTION("""COMPUTED_VALUE"""),6338)</f>
        <v>6338</v>
      </c>
      <c r="B73" s="5"/>
      <c r="C73" s="5" t="str">
        <f ca="1">IFERROR(__xludf.DUMMYFUNCTION("""COMPUTED_VALUE"""),"Bihor")</f>
        <v>Bihor</v>
      </c>
      <c r="D73" s="13">
        <f ca="1">IFERROR(__xludf.DUMMYFUNCTION("""COMPUTED_VALUE"""),43934)</f>
        <v>43934</v>
      </c>
      <c r="E73" s="5" t="str">
        <f ca="1">IFERROR(__xludf.DUMMYFUNCTION("""COMPUTED_VALUE"""),"Nu")</f>
        <v>Nu</v>
      </c>
      <c r="F73" s="5"/>
      <c r="G73" s="5"/>
      <c r="H73" s="6"/>
      <c r="I73" s="5"/>
      <c r="J73" s="5"/>
      <c r="K73" s="7" t="str">
        <f ca="1">IFERROR(__xludf.DUMMYFUNCTION("""COMPUTED_VALUE"""),"https://stirioficiale.ro/informatii/buletin-de-presa-13-aprilie-2020-ora-13-36")</f>
        <v>https://stirioficiale.ro/informatii/buletin-de-presa-13-aprilie-2020-ora-13-36</v>
      </c>
      <c r="L73" s="5"/>
      <c r="M73" s="5"/>
      <c r="N73" s="5"/>
      <c r="O73" s="5"/>
      <c r="P73" s="5"/>
      <c r="Q73" s="5"/>
      <c r="R73" s="5" t="str">
        <f ca="1">IFERROR(__xludf.DUMMYFUNCTION("""COMPUTED_VALUE"""),"România")</f>
        <v>România</v>
      </c>
      <c r="S73" s="5" t="str">
        <f ca="1">IFERROR(__xludf.DUMMYFUNCTION("""COMPUTED_VALUE"""),"Octavian")</f>
        <v>Octavian</v>
      </c>
      <c r="T73" s="7" t="str">
        <f ca="1">IFERROR(__xludf.DUMMYFUNCTION("""COMPUTED_VALUE"""),"http://www.ms.ro/2020/04/13/buletin-informativ-13-04-2020/")</f>
        <v>http://www.ms.ro/2020/04/13/buletin-informativ-13-04-2020/</v>
      </c>
      <c r="U73" s="5"/>
      <c r="V73" s="5"/>
      <c r="W73" s="5"/>
      <c r="X73" s="5"/>
      <c r="Y73" s="5"/>
      <c r="Z73" s="5"/>
      <c r="AA73" s="5"/>
      <c r="AB73" s="5"/>
      <c r="AC73" s="5"/>
    </row>
    <row r="74" spans="1:29" ht="12.5">
      <c r="A74" s="5">
        <f ca="1">IFERROR(__xludf.DUMMYFUNCTION("""COMPUTED_VALUE"""),6339)</f>
        <v>6339</v>
      </c>
      <c r="B74" s="5"/>
      <c r="C74" s="5" t="str">
        <f ca="1">IFERROR(__xludf.DUMMYFUNCTION("""COMPUTED_VALUE"""),"Bihor")</f>
        <v>Bihor</v>
      </c>
      <c r="D74" s="13">
        <f ca="1">IFERROR(__xludf.DUMMYFUNCTION("""COMPUTED_VALUE"""),43934)</f>
        <v>43934</v>
      </c>
      <c r="E74" s="5" t="str">
        <f ca="1">IFERROR(__xludf.DUMMYFUNCTION("""COMPUTED_VALUE"""),"Nu")</f>
        <v>Nu</v>
      </c>
      <c r="F74" s="5"/>
      <c r="G74" s="5"/>
      <c r="H74" s="6"/>
      <c r="I74" s="5"/>
      <c r="J74" s="5"/>
      <c r="K74" s="7" t="str">
        <f ca="1">IFERROR(__xludf.DUMMYFUNCTION("""COMPUTED_VALUE"""),"https://stirioficiale.ro/informatii/buletin-de-presa-13-aprilie-2020-ora-13-37")</f>
        <v>https://stirioficiale.ro/informatii/buletin-de-presa-13-aprilie-2020-ora-13-37</v>
      </c>
      <c r="L74" s="5"/>
      <c r="M74" s="5"/>
      <c r="N74" s="5"/>
      <c r="O74" s="5"/>
      <c r="P74" s="5"/>
      <c r="Q74" s="5"/>
      <c r="R74" s="5" t="str">
        <f ca="1">IFERROR(__xludf.DUMMYFUNCTION("""COMPUTED_VALUE"""),"România")</f>
        <v>România</v>
      </c>
      <c r="S74" s="5" t="str">
        <f ca="1">IFERROR(__xludf.DUMMYFUNCTION("""COMPUTED_VALUE"""),"Octavian")</f>
        <v>Octavian</v>
      </c>
      <c r="T74" s="7" t="str">
        <f ca="1">IFERROR(__xludf.DUMMYFUNCTION("""COMPUTED_VALUE"""),"http://www.ms.ro/2020/04/13/buletin-informativ-13-04-2020/")</f>
        <v>http://www.ms.ro/2020/04/13/buletin-informativ-13-04-2020/</v>
      </c>
      <c r="U74" s="5"/>
      <c r="V74" s="5"/>
      <c r="W74" s="5"/>
      <c r="X74" s="5"/>
      <c r="Y74" s="5"/>
      <c r="Z74" s="5"/>
      <c r="AA74" s="5"/>
      <c r="AB74" s="5"/>
      <c r="AC74" s="5"/>
    </row>
    <row r="75" spans="1:29" ht="12.5">
      <c r="A75" s="5">
        <f ca="1">IFERROR(__xludf.DUMMYFUNCTION("""COMPUTED_VALUE"""),6340)</f>
        <v>6340</v>
      </c>
      <c r="B75" s="5"/>
      <c r="C75" s="5" t="str">
        <f ca="1">IFERROR(__xludf.DUMMYFUNCTION("""COMPUTED_VALUE"""),"Bihor")</f>
        <v>Bihor</v>
      </c>
      <c r="D75" s="13">
        <f ca="1">IFERROR(__xludf.DUMMYFUNCTION("""COMPUTED_VALUE"""),43934)</f>
        <v>43934</v>
      </c>
      <c r="E75" s="5" t="str">
        <f ca="1">IFERROR(__xludf.DUMMYFUNCTION("""COMPUTED_VALUE"""),"Nu")</f>
        <v>Nu</v>
      </c>
      <c r="F75" s="5"/>
      <c r="G75" s="5"/>
      <c r="H75" s="6"/>
      <c r="I75" s="5"/>
      <c r="J75" s="5"/>
      <c r="K75" s="7" t="str">
        <f ca="1">IFERROR(__xludf.DUMMYFUNCTION("""COMPUTED_VALUE"""),"https://stirioficiale.ro/informatii/buletin-de-presa-13-aprilie-2020-ora-13-38")</f>
        <v>https://stirioficiale.ro/informatii/buletin-de-presa-13-aprilie-2020-ora-13-38</v>
      </c>
      <c r="L75" s="5"/>
      <c r="M75" s="5"/>
      <c r="N75" s="5"/>
      <c r="O75" s="5"/>
      <c r="P75" s="5"/>
      <c r="Q75" s="5"/>
      <c r="R75" s="5" t="str">
        <f ca="1">IFERROR(__xludf.DUMMYFUNCTION("""COMPUTED_VALUE"""),"România")</f>
        <v>România</v>
      </c>
      <c r="S75" s="5" t="str">
        <f ca="1">IFERROR(__xludf.DUMMYFUNCTION("""COMPUTED_VALUE"""),"Octavian")</f>
        <v>Octavian</v>
      </c>
      <c r="T75" s="7" t="str">
        <f ca="1">IFERROR(__xludf.DUMMYFUNCTION("""COMPUTED_VALUE"""),"http://www.ms.ro/2020/04/13/buletin-informativ-13-04-2020/")</f>
        <v>http://www.ms.ro/2020/04/13/buletin-informativ-13-04-2020/</v>
      </c>
      <c r="U75" s="5"/>
      <c r="V75" s="5"/>
      <c r="W75" s="5"/>
      <c r="X75" s="5"/>
      <c r="Y75" s="5"/>
      <c r="Z75" s="5"/>
      <c r="AA75" s="5"/>
      <c r="AB75" s="5"/>
      <c r="AC75" s="5"/>
    </row>
    <row r="76" spans="1:29" ht="12.5">
      <c r="A76" s="5">
        <f ca="1">IFERROR(__xludf.DUMMYFUNCTION("""COMPUTED_VALUE"""),6341)</f>
        <v>6341</v>
      </c>
      <c r="B76" s="5"/>
      <c r="C76" s="5" t="str">
        <f ca="1">IFERROR(__xludf.DUMMYFUNCTION("""COMPUTED_VALUE"""),"Bihor")</f>
        <v>Bihor</v>
      </c>
      <c r="D76" s="13">
        <f ca="1">IFERROR(__xludf.DUMMYFUNCTION("""COMPUTED_VALUE"""),43934)</f>
        <v>43934</v>
      </c>
      <c r="E76" s="5" t="str">
        <f ca="1">IFERROR(__xludf.DUMMYFUNCTION("""COMPUTED_VALUE"""),"Nu")</f>
        <v>Nu</v>
      </c>
      <c r="F76" s="5"/>
      <c r="G76" s="5"/>
      <c r="H76" s="6"/>
      <c r="I76" s="5"/>
      <c r="J76" s="5"/>
      <c r="K76" s="7" t="str">
        <f ca="1">IFERROR(__xludf.DUMMYFUNCTION("""COMPUTED_VALUE"""),"https://stirioficiale.ro/informatii/buletin-de-presa-13-aprilie-2020-ora-13-39")</f>
        <v>https://stirioficiale.ro/informatii/buletin-de-presa-13-aprilie-2020-ora-13-39</v>
      </c>
      <c r="L76" s="5"/>
      <c r="M76" s="5"/>
      <c r="N76" s="5"/>
      <c r="O76" s="5"/>
      <c r="P76" s="5"/>
      <c r="Q76" s="5"/>
      <c r="R76" s="5" t="str">
        <f ca="1">IFERROR(__xludf.DUMMYFUNCTION("""COMPUTED_VALUE"""),"România")</f>
        <v>România</v>
      </c>
      <c r="S76" s="5" t="str">
        <f ca="1">IFERROR(__xludf.DUMMYFUNCTION("""COMPUTED_VALUE"""),"Octavian")</f>
        <v>Octavian</v>
      </c>
      <c r="T76" s="7" t="str">
        <f ca="1">IFERROR(__xludf.DUMMYFUNCTION("""COMPUTED_VALUE"""),"http://www.ms.ro/2020/04/13/buletin-informativ-13-04-2020/")</f>
        <v>http://www.ms.ro/2020/04/13/buletin-informativ-13-04-2020/</v>
      </c>
      <c r="U76" s="5"/>
      <c r="V76" s="5"/>
      <c r="W76" s="5"/>
      <c r="X76" s="5"/>
      <c r="Y76" s="5"/>
      <c r="Z76" s="5"/>
      <c r="AA76" s="5"/>
      <c r="AB76" s="5"/>
      <c r="AC76" s="5"/>
    </row>
    <row r="77" spans="1:29" ht="12.5">
      <c r="A77" s="5">
        <f ca="1">IFERROR(__xludf.DUMMYFUNCTION("""COMPUTED_VALUE"""),6342)</f>
        <v>6342</v>
      </c>
      <c r="B77" s="5"/>
      <c r="C77" s="5" t="str">
        <f ca="1">IFERROR(__xludf.DUMMYFUNCTION("""COMPUTED_VALUE"""),"Bihor")</f>
        <v>Bihor</v>
      </c>
      <c r="D77" s="13">
        <f ca="1">IFERROR(__xludf.DUMMYFUNCTION("""COMPUTED_VALUE"""),43934)</f>
        <v>43934</v>
      </c>
      <c r="E77" s="5" t="str">
        <f ca="1">IFERROR(__xludf.DUMMYFUNCTION("""COMPUTED_VALUE"""),"Nu")</f>
        <v>Nu</v>
      </c>
      <c r="F77" s="5"/>
      <c r="G77" s="5"/>
      <c r="H77" s="6"/>
      <c r="I77" s="5"/>
      <c r="J77" s="5"/>
      <c r="K77" s="7" t="str">
        <f ca="1">IFERROR(__xludf.DUMMYFUNCTION("""COMPUTED_VALUE"""),"https://stirioficiale.ro/informatii/buletin-de-presa-13-aprilie-2020-ora-13-40")</f>
        <v>https://stirioficiale.ro/informatii/buletin-de-presa-13-aprilie-2020-ora-13-40</v>
      </c>
      <c r="L77" s="5"/>
      <c r="M77" s="5"/>
      <c r="N77" s="5"/>
      <c r="O77" s="5"/>
      <c r="P77" s="5"/>
      <c r="Q77" s="5"/>
      <c r="R77" s="5" t="str">
        <f ca="1">IFERROR(__xludf.DUMMYFUNCTION("""COMPUTED_VALUE"""),"România")</f>
        <v>România</v>
      </c>
      <c r="S77" s="5" t="str">
        <f ca="1">IFERROR(__xludf.DUMMYFUNCTION("""COMPUTED_VALUE"""),"Octavian")</f>
        <v>Octavian</v>
      </c>
      <c r="T77" s="7" t="str">
        <f ca="1">IFERROR(__xludf.DUMMYFUNCTION("""COMPUTED_VALUE"""),"http://www.ms.ro/2020/04/13/buletin-informativ-13-04-2020/")</f>
        <v>http://www.ms.ro/2020/04/13/buletin-informativ-13-04-2020/</v>
      </c>
      <c r="U77" s="5"/>
      <c r="V77" s="5"/>
      <c r="W77" s="5"/>
      <c r="X77" s="5"/>
      <c r="Y77" s="5"/>
      <c r="Z77" s="5"/>
      <c r="AA77" s="5"/>
      <c r="AB77" s="5"/>
      <c r="AC77" s="5"/>
    </row>
    <row r="78" spans="1:29" ht="12.5">
      <c r="A78" s="5">
        <f ca="1">IFERROR(__xludf.DUMMYFUNCTION("""COMPUTED_VALUE"""),6343)</f>
        <v>6343</v>
      </c>
      <c r="B78" s="5"/>
      <c r="C78" s="5" t="str">
        <f ca="1">IFERROR(__xludf.DUMMYFUNCTION("""COMPUTED_VALUE"""),"Bihor")</f>
        <v>Bihor</v>
      </c>
      <c r="D78" s="13">
        <f ca="1">IFERROR(__xludf.DUMMYFUNCTION("""COMPUTED_VALUE"""),43934)</f>
        <v>43934</v>
      </c>
      <c r="E78" s="5" t="str">
        <f ca="1">IFERROR(__xludf.DUMMYFUNCTION("""COMPUTED_VALUE"""),"Nu")</f>
        <v>Nu</v>
      </c>
      <c r="F78" s="5"/>
      <c r="G78" s="5"/>
      <c r="H78" s="6"/>
      <c r="I78" s="5"/>
      <c r="J78" s="5"/>
      <c r="K78" s="7" t="str">
        <f ca="1">IFERROR(__xludf.DUMMYFUNCTION("""COMPUTED_VALUE"""),"https://stirioficiale.ro/informatii/buletin-de-presa-13-aprilie-2020-ora-13-41")</f>
        <v>https://stirioficiale.ro/informatii/buletin-de-presa-13-aprilie-2020-ora-13-41</v>
      </c>
      <c r="L78" s="5"/>
      <c r="M78" s="5"/>
      <c r="N78" s="5"/>
      <c r="O78" s="5"/>
      <c r="P78" s="5"/>
      <c r="Q78" s="5"/>
      <c r="R78" s="5" t="str">
        <f ca="1">IFERROR(__xludf.DUMMYFUNCTION("""COMPUTED_VALUE"""),"România")</f>
        <v>România</v>
      </c>
      <c r="S78" s="5" t="str">
        <f ca="1">IFERROR(__xludf.DUMMYFUNCTION("""COMPUTED_VALUE"""),"Octavian")</f>
        <v>Octavian</v>
      </c>
      <c r="T78" s="7" t="str">
        <f ca="1">IFERROR(__xludf.DUMMYFUNCTION("""COMPUTED_VALUE"""),"http://www.ms.ro/2020/04/13/buletin-informativ-13-04-2020/")</f>
        <v>http://www.ms.ro/2020/04/13/buletin-informativ-13-04-2020/</v>
      </c>
      <c r="U78" s="5"/>
      <c r="V78" s="5"/>
      <c r="W78" s="5"/>
      <c r="X78" s="5"/>
      <c r="Y78" s="5"/>
      <c r="Z78" s="5"/>
      <c r="AA78" s="5"/>
      <c r="AB78" s="5"/>
      <c r="AC78" s="5"/>
    </row>
    <row r="79" spans="1:29" ht="12.5">
      <c r="A79" s="5">
        <f ca="1">IFERROR(__xludf.DUMMYFUNCTION("""COMPUTED_VALUE"""),6344)</f>
        <v>6344</v>
      </c>
      <c r="B79" s="5"/>
      <c r="C79" s="5" t="str">
        <f ca="1">IFERROR(__xludf.DUMMYFUNCTION("""COMPUTED_VALUE"""),"Bihor")</f>
        <v>Bihor</v>
      </c>
      <c r="D79" s="13">
        <f ca="1">IFERROR(__xludf.DUMMYFUNCTION("""COMPUTED_VALUE"""),43934)</f>
        <v>43934</v>
      </c>
      <c r="E79" s="5" t="str">
        <f ca="1">IFERROR(__xludf.DUMMYFUNCTION("""COMPUTED_VALUE"""),"Nu")</f>
        <v>Nu</v>
      </c>
      <c r="F79" s="5"/>
      <c r="G79" s="5"/>
      <c r="H79" s="6"/>
      <c r="I79" s="5"/>
      <c r="J79" s="5"/>
      <c r="K79" s="7" t="str">
        <f ca="1">IFERROR(__xludf.DUMMYFUNCTION("""COMPUTED_VALUE"""),"https://stirioficiale.ro/informatii/buletin-de-presa-13-aprilie-2020-ora-13-42")</f>
        <v>https://stirioficiale.ro/informatii/buletin-de-presa-13-aprilie-2020-ora-13-42</v>
      </c>
      <c r="L79" s="5"/>
      <c r="M79" s="5"/>
      <c r="N79" s="5"/>
      <c r="O79" s="5"/>
      <c r="P79" s="5"/>
      <c r="Q79" s="5"/>
      <c r="R79" s="5" t="str">
        <f ca="1">IFERROR(__xludf.DUMMYFUNCTION("""COMPUTED_VALUE"""),"România")</f>
        <v>România</v>
      </c>
      <c r="S79" s="5" t="str">
        <f ca="1">IFERROR(__xludf.DUMMYFUNCTION("""COMPUTED_VALUE"""),"Octavian")</f>
        <v>Octavian</v>
      </c>
      <c r="T79" s="7" t="str">
        <f ca="1">IFERROR(__xludf.DUMMYFUNCTION("""COMPUTED_VALUE"""),"http://www.ms.ro/2020/04/13/buletin-informativ-13-04-2020/")</f>
        <v>http://www.ms.ro/2020/04/13/buletin-informativ-13-04-2020/</v>
      </c>
      <c r="U79" s="5"/>
      <c r="V79" s="5"/>
      <c r="W79" s="5"/>
      <c r="X79" s="5"/>
      <c r="Y79" s="5"/>
      <c r="Z79" s="5"/>
      <c r="AA79" s="5"/>
      <c r="AB79" s="5"/>
      <c r="AC79" s="5"/>
    </row>
    <row r="80" spans="1:29" ht="12.5">
      <c r="A80" s="5">
        <f ca="1">IFERROR(__xludf.DUMMYFUNCTION("""COMPUTED_VALUE"""),6345)</f>
        <v>6345</v>
      </c>
      <c r="B80" s="5"/>
      <c r="C80" s="5" t="str">
        <f ca="1">IFERROR(__xludf.DUMMYFUNCTION("""COMPUTED_VALUE"""),"Bihor")</f>
        <v>Bihor</v>
      </c>
      <c r="D80" s="13">
        <f ca="1">IFERROR(__xludf.DUMMYFUNCTION("""COMPUTED_VALUE"""),43934)</f>
        <v>43934</v>
      </c>
      <c r="E80" s="5" t="str">
        <f ca="1">IFERROR(__xludf.DUMMYFUNCTION("""COMPUTED_VALUE"""),"Nu")</f>
        <v>Nu</v>
      </c>
      <c r="F80" s="5"/>
      <c r="G80" s="5"/>
      <c r="H80" s="6"/>
      <c r="I80" s="5"/>
      <c r="J80" s="5"/>
      <c r="K80" s="7" t="str">
        <f ca="1">IFERROR(__xludf.DUMMYFUNCTION("""COMPUTED_VALUE"""),"https://stirioficiale.ro/informatii/buletin-de-presa-13-aprilie-2020-ora-13-43")</f>
        <v>https://stirioficiale.ro/informatii/buletin-de-presa-13-aprilie-2020-ora-13-43</v>
      </c>
      <c r="L80" s="5"/>
      <c r="M80" s="5"/>
      <c r="N80" s="5"/>
      <c r="O80" s="5"/>
      <c r="P80" s="5"/>
      <c r="Q80" s="5"/>
      <c r="R80" s="5" t="str">
        <f ca="1">IFERROR(__xludf.DUMMYFUNCTION("""COMPUTED_VALUE"""),"România")</f>
        <v>România</v>
      </c>
      <c r="S80" s="5" t="str">
        <f ca="1">IFERROR(__xludf.DUMMYFUNCTION("""COMPUTED_VALUE"""),"Octavian")</f>
        <v>Octavian</v>
      </c>
      <c r="T80" s="7" t="str">
        <f ca="1">IFERROR(__xludf.DUMMYFUNCTION("""COMPUTED_VALUE"""),"http://www.ms.ro/2020/04/13/buletin-informativ-13-04-2020/")</f>
        <v>http://www.ms.ro/2020/04/13/buletin-informativ-13-04-2020/</v>
      </c>
      <c r="U80" s="5"/>
      <c r="V80" s="5"/>
      <c r="W80" s="5"/>
      <c r="X80" s="5"/>
      <c r="Y80" s="5"/>
      <c r="Z80" s="5"/>
      <c r="AA80" s="5"/>
      <c r="AB80" s="5"/>
      <c r="AC80" s="5"/>
    </row>
    <row r="81" spans="1:29" ht="12.5">
      <c r="A81" s="5">
        <f ca="1">IFERROR(__xludf.DUMMYFUNCTION("""COMPUTED_VALUE"""),6346)</f>
        <v>6346</v>
      </c>
      <c r="B81" s="5"/>
      <c r="C81" s="5" t="str">
        <f ca="1">IFERROR(__xludf.DUMMYFUNCTION("""COMPUTED_VALUE"""),"Bihor")</f>
        <v>Bihor</v>
      </c>
      <c r="D81" s="13">
        <f ca="1">IFERROR(__xludf.DUMMYFUNCTION("""COMPUTED_VALUE"""),43934)</f>
        <v>43934</v>
      </c>
      <c r="E81" s="5" t="str">
        <f ca="1">IFERROR(__xludf.DUMMYFUNCTION("""COMPUTED_VALUE"""),"Nu")</f>
        <v>Nu</v>
      </c>
      <c r="F81" s="5"/>
      <c r="G81" s="5"/>
      <c r="H81" s="6"/>
      <c r="I81" s="5"/>
      <c r="J81" s="5"/>
      <c r="K81" s="7" t="str">
        <f ca="1">IFERROR(__xludf.DUMMYFUNCTION("""COMPUTED_VALUE"""),"https://stirioficiale.ro/informatii/buletin-de-presa-13-aprilie-2020-ora-13-44")</f>
        <v>https://stirioficiale.ro/informatii/buletin-de-presa-13-aprilie-2020-ora-13-44</v>
      </c>
      <c r="L81" s="5"/>
      <c r="M81" s="5"/>
      <c r="N81" s="5"/>
      <c r="O81" s="5"/>
      <c r="P81" s="5"/>
      <c r="Q81" s="5"/>
      <c r="R81" s="5" t="str">
        <f ca="1">IFERROR(__xludf.DUMMYFUNCTION("""COMPUTED_VALUE"""),"România")</f>
        <v>România</v>
      </c>
      <c r="S81" s="5" t="str">
        <f ca="1">IFERROR(__xludf.DUMMYFUNCTION("""COMPUTED_VALUE"""),"Octavian")</f>
        <v>Octavian</v>
      </c>
      <c r="T81" s="7" t="str">
        <f ca="1">IFERROR(__xludf.DUMMYFUNCTION("""COMPUTED_VALUE"""),"http://www.ms.ro/2020/04/13/buletin-informativ-13-04-2020/")</f>
        <v>http://www.ms.ro/2020/04/13/buletin-informativ-13-04-2020/</v>
      </c>
      <c r="U81" s="5"/>
      <c r="V81" s="5"/>
      <c r="W81" s="5"/>
      <c r="X81" s="5"/>
      <c r="Y81" s="5"/>
      <c r="Z81" s="5"/>
      <c r="AA81" s="5"/>
      <c r="AB81" s="5"/>
      <c r="AC81" s="5"/>
    </row>
    <row r="82" spans="1:29" ht="12.5">
      <c r="A82" s="5">
        <f ca="1">IFERROR(__xludf.DUMMYFUNCTION("""COMPUTED_VALUE"""),6347)</f>
        <v>6347</v>
      </c>
      <c r="B82" s="5"/>
      <c r="C82" s="5" t="str">
        <f ca="1">IFERROR(__xludf.DUMMYFUNCTION("""COMPUTED_VALUE"""),"Bihor")</f>
        <v>Bihor</v>
      </c>
      <c r="D82" s="13">
        <f ca="1">IFERROR(__xludf.DUMMYFUNCTION("""COMPUTED_VALUE"""),43934)</f>
        <v>43934</v>
      </c>
      <c r="E82" s="5" t="str">
        <f ca="1">IFERROR(__xludf.DUMMYFUNCTION("""COMPUTED_VALUE"""),"Nu")</f>
        <v>Nu</v>
      </c>
      <c r="F82" s="5"/>
      <c r="G82" s="5"/>
      <c r="H82" s="6"/>
      <c r="I82" s="5"/>
      <c r="J82" s="5"/>
      <c r="K82" s="7" t="str">
        <f ca="1">IFERROR(__xludf.DUMMYFUNCTION("""COMPUTED_VALUE"""),"https://stirioficiale.ro/informatii/buletin-de-presa-13-aprilie-2020-ora-13-45")</f>
        <v>https://stirioficiale.ro/informatii/buletin-de-presa-13-aprilie-2020-ora-13-45</v>
      </c>
      <c r="L82" s="5"/>
      <c r="M82" s="5"/>
      <c r="N82" s="5"/>
      <c r="O82" s="5"/>
      <c r="P82" s="5"/>
      <c r="Q82" s="5"/>
      <c r="R82" s="5" t="str">
        <f ca="1">IFERROR(__xludf.DUMMYFUNCTION("""COMPUTED_VALUE"""),"România")</f>
        <v>România</v>
      </c>
      <c r="S82" s="5" t="str">
        <f ca="1">IFERROR(__xludf.DUMMYFUNCTION("""COMPUTED_VALUE"""),"Octavian")</f>
        <v>Octavian</v>
      </c>
      <c r="T82" s="7" t="str">
        <f ca="1">IFERROR(__xludf.DUMMYFUNCTION("""COMPUTED_VALUE"""),"http://www.ms.ro/2020/04/13/buletin-informativ-13-04-2020/")</f>
        <v>http://www.ms.ro/2020/04/13/buletin-informativ-13-04-2020/</v>
      </c>
      <c r="U82" s="5"/>
      <c r="V82" s="5"/>
      <c r="W82" s="5"/>
      <c r="X82" s="5"/>
      <c r="Y82" s="5"/>
      <c r="Z82" s="5"/>
      <c r="AA82" s="5"/>
      <c r="AB82" s="5"/>
      <c r="AC82" s="5"/>
    </row>
    <row r="83" spans="1:29" ht="12.5">
      <c r="A83" s="5">
        <f ca="1">IFERROR(__xludf.DUMMYFUNCTION("""COMPUTED_VALUE"""),6348)</f>
        <v>6348</v>
      </c>
      <c r="B83" s="5"/>
      <c r="C83" s="5" t="str">
        <f ca="1">IFERROR(__xludf.DUMMYFUNCTION("""COMPUTED_VALUE"""),"Bihor")</f>
        <v>Bihor</v>
      </c>
      <c r="D83" s="13">
        <f ca="1">IFERROR(__xludf.DUMMYFUNCTION("""COMPUTED_VALUE"""),43934)</f>
        <v>43934</v>
      </c>
      <c r="E83" s="5" t="str">
        <f ca="1">IFERROR(__xludf.DUMMYFUNCTION("""COMPUTED_VALUE"""),"Nu")</f>
        <v>Nu</v>
      </c>
      <c r="F83" s="5"/>
      <c r="G83" s="5"/>
      <c r="H83" s="6"/>
      <c r="I83" s="5"/>
      <c r="J83" s="5"/>
      <c r="K83" s="7" t="str">
        <f ca="1">IFERROR(__xludf.DUMMYFUNCTION("""COMPUTED_VALUE"""),"https://stirioficiale.ro/informatii/buletin-de-presa-13-aprilie-2020-ora-13-46")</f>
        <v>https://stirioficiale.ro/informatii/buletin-de-presa-13-aprilie-2020-ora-13-46</v>
      </c>
      <c r="L83" s="5"/>
      <c r="M83" s="5"/>
      <c r="N83" s="5"/>
      <c r="O83" s="5"/>
      <c r="P83" s="5"/>
      <c r="Q83" s="5"/>
      <c r="R83" s="5" t="str">
        <f ca="1">IFERROR(__xludf.DUMMYFUNCTION("""COMPUTED_VALUE"""),"România")</f>
        <v>România</v>
      </c>
      <c r="S83" s="5" t="str">
        <f ca="1">IFERROR(__xludf.DUMMYFUNCTION("""COMPUTED_VALUE"""),"Octavian")</f>
        <v>Octavian</v>
      </c>
      <c r="T83" s="7" t="str">
        <f ca="1">IFERROR(__xludf.DUMMYFUNCTION("""COMPUTED_VALUE"""),"http://www.ms.ro/2020/04/13/buletin-informativ-13-04-2020/")</f>
        <v>http://www.ms.ro/2020/04/13/buletin-informativ-13-04-2020/</v>
      </c>
      <c r="U83" s="5"/>
      <c r="V83" s="5"/>
      <c r="W83" s="5"/>
      <c r="X83" s="5"/>
      <c r="Y83" s="5"/>
      <c r="Z83" s="5"/>
      <c r="AA83" s="5"/>
      <c r="AB83" s="5"/>
      <c r="AC83" s="5"/>
    </row>
    <row r="84" spans="1:29" ht="12.5">
      <c r="A84" s="5">
        <f ca="1">IFERROR(__xludf.DUMMYFUNCTION("""COMPUTED_VALUE"""),6349)</f>
        <v>6349</v>
      </c>
      <c r="B84" s="5"/>
      <c r="C84" s="5" t="str">
        <f ca="1">IFERROR(__xludf.DUMMYFUNCTION("""COMPUTED_VALUE"""),"Bihor")</f>
        <v>Bihor</v>
      </c>
      <c r="D84" s="13">
        <f ca="1">IFERROR(__xludf.DUMMYFUNCTION("""COMPUTED_VALUE"""),43934)</f>
        <v>43934</v>
      </c>
      <c r="E84" s="5" t="str">
        <f ca="1">IFERROR(__xludf.DUMMYFUNCTION("""COMPUTED_VALUE"""),"Nu")</f>
        <v>Nu</v>
      </c>
      <c r="F84" s="5"/>
      <c r="G84" s="5"/>
      <c r="H84" s="6"/>
      <c r="I84" s="5"/>
      <c r="J84" s="5"/>
      <c r="K84" s="7" t="str">
        <f ca="1">IFERROR(__xludf.DUMMYFUNCTION("""COMPUTED_VALUE"""),"https://stirioficiale.ro/informatii/buletin-de-presa-13-aprilie-2020-ora-13-47")</f>
        <v>https://stirioficiale.ro/informatii/buletin-de-presa-13-aprilie-2020-ora-13-47</v>
      </c>
      <c r="L84" s="5"/>
      <c r="M84" s="5"/>
      <c r="N84" s="5"/>
      <c r="O84" s="5"/>
      <c r="P84" s="5"/>
      <c r="Q84" s="5"/>
      <c r="R84" s="5" t="str">
        <f ca="1">IFERROR(__xludf.DUMMYFUNCTION("""COMPUTED_VALUE"""),"România")</f>
        <v>România</v>
      </c>
      <c r="S84" s="5" t="str">
        <f ca="1">IFERROR(__xludf.DUMMYFUNCTION("""COMPUTED_VALUE"""),"Octavian")</f>
        <v>Octavian</v>
      </c>
      <c r="T84" s="7" t="str">
        <f ca="1">IFERROR(__xludf.DUMMYFUNCTION("""COMPUTED_VALUE"""),"http://www.ms.ro/2020/04/13/buletin-informativ-13-04-2020/")</f>
        <v>http://www.ms.ro/2020/04/13/buletin-informativ-13-04-2020/</v>
      </c>
      <c r="U84" s="5"/>
      <c r="V84" s="5"/>
      <c r="W84" s="5"/>
      <c r="X84" s="5"/>
      <c r="Y84" s="5"/>
      <c r="Z84" s="5"/>
      <c r="AA84" s="5"/>
      <c r="AB84" s="5"/>
      <c r="AC84" s="5"/>
    </row>
    <row r="85" spans="1:29" ht="12.5">
      <c r="A85" s="5">
        <f ca="1">IFERROR(__xludf.DUMMYFUNCTION("""COMPUTED_VALUE"""),6350)</f>
        <v>6350</v>
      </c>
      <c r="B85" s="5"/>
      <c r="C85" s="5" t="str">
        <f ca="1">IFERROR(__xludf.DUMMYFUNCTION("""COMPUTED_VALUE"""),"Bihor")</f>
        <v>Bihor</v>
      </c>
      <c r="D85" s="13">
        <f ca="1">IFERROR(__xludf.DUMMYFUNCTION("""COMPUTED_VALUE"""),43934)</f>
        <v>43934</v>
      </c>
      <c r="E85" s="5" t="str">
        <f ca="1">IFERROR(__xludf.DUMMYFUNCTION("""COMPUTED_VALUE"""),"Nu")</f>
        <v>Nu</v>
      </c>
      <c r="F85" s="5"/>
      <c r="G85" s="5"/>
      <c r="H85" s="6"/>
      <c r="I85" s="5"/>
      <c r="J85" s="5"/>
      <c r="K85" s="7" t="str">
        <f ca="1">IFERROR(__xludf.DUMMYFUNCTION("""COMPUTED_VALUE"""),"https://stirioficiale.ro/informatii/buletin-de-presa-13-aprilie-2020-ora-13-48")</f>
        <v>https://stirioficiale.ro/informatii/buletin-de-presa-13-aprilie-2020-ora-13-48</v>
      </c>
      <c r="L85" s="5"/>
      <c r="M85" s="5"/>
      <c r="N85" s="5"/>
      <c r="O85" s="5"/>
      <c r="P85" s="5"/>
      <c r="Q85" s="5"/>
      <c r="R85" s="5" t="str">
        <f ca="1">IFERROR(__xludf.DUMMYFUNCTION("""COMPUTED_VALUE"""),"România")</f>
        <v>România</v>
      </c>
      <c r="S85" s="5" t="str">
        <f ca="1">IFERROR(__xludf.DUMMYFUNCTION("""COMPUTED_VALUE"""),"Octavian")</f>
        <v>Octavian</v>
      </c>
      <c r="T85" s="7" t="str">
        <f ca="1">IFERROR(__xludf.DUMMYFUNCTION("""COMPUTED_VALUE"""),"http://www.ms.ro/2020/04/13/buletin-informativ-13-04-2020/")</f>
        <v>http://www.ms.ro/2020/04/13/buletin-informativ-13-04-2020/</v>
      </c>
      <c r="U85" s="5"/>
      <c r="V85" s="5"/>
      <c r="W85" s="5"/>
      <c r="X85" s="5"/>
      <c r="Y85" s="5"/>
      <c r="Z85" s="5"/>
      <c r="AA85" s="5"/>
      <c r="AB85" s="5"/>
      <c r="AC85" s="5"/>
    </row>
    <row r="86" spans="1:29" ht="12.5">
      <c r="A86" s="5">
        <f ca="1">IFERROR(__xludf.DUMMYFUNCTION("""COMPUTED_VALUE"""),6351)</f>
        <v>6351</v>
      </c>
      <c r="B86" s="5"/>
      <c r="C86" s="5" t="str">
        <f ca="1">IFERROR(__xludf.DUMMYFUNCTION("""COMPUTED_VALUE"""),"Bihor")</f>
        <v>Bihor</v>
      </c>
      <c r="D86" s="13">
        <f ca="1">IFERROR(__xludf.DUMMYFUNCTION("""COMPUTED_VALUE"""),43934)</f>
        <v>43934</v>
      </c>
      <c r="E86" s="5" t="str">
        <f ca="1">IFERROR(__xludf.DUMMYFUNCTION("""COMPUTED_VALUE"""),"Nu")</f>
        <v>Nu</v>
      </c>
      <c r="F86" s="5"/>
      <c r="G86" s="5"/>
      <c r="H86" s="6"/>
      <c r="I86" s="5"/>
      <c r="J86" s="5"/>
      <c r="K86" s="7" t="str">
        <f ca="1">IFERROR(__xludf.DUMMYFUNCTION("""COMPUTED_VALUE"""),"https://stirioficiale.ro/informatii/buletin-de-presa-13-aprilie-2020-ora-13-49")</f>
        <v>https://stirioficiale.ro/informatii/buletin-de-presa-13-aprilie-2020-ora-13-49</v>
      </c>
      <c r="L86" s="5"/>
      <c r="M86" s="5"/>
      <c r="N86" s="5"/>
      <c r="O86" s="5"/>
      <c r="P86" s="5"/>
      <c r="Q86" s="5"/>
      <c r="R86" s="5" t="str">
        <f ca="1">IFERROR(__xludf.DUMMYFUNCTION("""COMPUTED_VALUE"""),"România")</f>
        <v>România</v>
      </c>
      <c r="S86" s="5" t="str">
        <f ca="1">IFERROR(__xludf.DUMMYFUNCTION("""COMPUTED_VALUE"""),"Octavian")</f>
        <v>Octavian</v>
      </c>
      <c r="T86" s="7" t="str">
        <f ca="1">IFERROR(__xludf.DUMMYFUNCTION("""COMPUTED_VALUE"""),"http://www.ms.ro/2020/04/13/buletin-informativ-13-04-2020/")</f>
        <v>http://www.ms.ro/2020/04/13/buletin-informativ-13-04-2020/</v>
      </c>
      <c r="U86" s="5"/>
      <c r="V86" s="5"/>
      <c r="W86" s="5"/>
      <c r="X86" s="5"/>
      <c r="Y86" s="5"/>
      <c r="Z86" s="5"/>
      <c r="AA86" s="5"/>
      <c r="AB86" s="5"/>
      <c r="AC86" s="5"/>
    </row>
    <row r="87" spans="1:29" ht="12.5">
      <c r="A87" s="5">
        <f ca="1">IFERROR(__xludf.DUMMYFUNCTION("""COMPUTED_VALUE"""),6352)</f>
        <v>6352</v>
      </c>
      <c r="B87" s="5"/>
      <c r="C87" s="5" t="str">
        <f ca="1">IFERROR(__xludf.DUMMYFUNCTION("""COMPUTED_VALUE"""),"Bihor")</f>
        <v>Bihor</v>
      </c>
      <c r="D87" s="13">
        <f ca="1">IFERROR(__xludf.DUMMYFUNCTION("""COMPUTED_VALUE"""),43934)</f>
        <v>43934</v>
      </c>
      <c r="E87" s="5" t="str">
        <f ca="1">IFERROR(__xludf.DUMMYFUNCTION("""COMPUTED_VALUE"""),"Nu")</f>
        <v>Nu</v>
      </c>
      <c r="F87" s="5"/>
      <c r="G87" s="5"/>
      <c r="H87" s="6"/>
      <c r="I87" s="5"/>
      <c r="J87" s="5"/>
      <c r="K87" s="7" t="str">
        <f ca="1">IFERROR(__xludf.DUMMYFUNCTION("""COMPUTED_VALUE"""),"https://stirioficiale.ro/informatii/buletin-de-presa-13-aprilie-2020-ora-13-50")</f>
        <v>https://stirioficiale.ro/informatii/buletin-de-presa-13-aprilie-2020-ora-13-50</v>
      </c>
      <c r="L87" s="5"/>
      <c r="M87" s="5"/>
      <c r="N87" s="5"/>
      <c r="O87" s="5"/>
      <c r="P87" s="5"/>
      <c r="Q87" s="5"/>
      <c r="R87" s="5" t="str">
        <f ca="1">IFERROR(__xludf.DUMMYFUNCTION("""COMPUTED_VALUE"""),"România")</f>
        <v>România</v>
      </c>
      <c r="S87" s="5" t="str">
        <f ca="1">IFERROR(__xludf.DUMMYFUNCTION("""COMPUTED_VALUE"""),"Octavian")</f>
        <v>Octavian</v>
      </c>
      <c r="T87" s="7" t="str">
        <f ca="1">IFERROR(__xludf.DUMMYFUNCTION("""COMPUTED_VALUE"""),"http://www.ms.ro/2020/04/13/buletin-informativ-13-04-2020/")</f>
        <v>http://www.ms.ro/2020/04/13/buletin-informativ-13-04-2020/</v>
      </c>
      <c r="U87" s="5"/>
      <c r="V87" s="5"/>
      <c r="W87" s="5"/>
      <c r="X87" s="5"/>
      <c r="Y87" s="5"/>
      <c r="Z87" s="5"/>
      <c r="AA87" s="5"/>
      <c r="AB87" s="5"/>
      <c r="AC87" s="5"/>
    </row>
    <row r="88" spans="1:29" ht="12.5">
      <c r="A88" s="5">
        <f ca="1">IFERROR(__xludf.DUMMYFUNCTION("""COMPUTED_VALUE"""),6353)</f>
        <v>6353</v>
      </c>
      <c r="B88" s="5"/>
      <c r="C88" s="5" t="str">
        <f ca="1">IFERROR(__xludf.DUMMYFUNCTION("""COMPUTED_VALUE"""),"Bihor")</f>
        <v>Bihor</v>
      </c>
      <c r="D88" s="13">
        <f ca="1">IFERROR(__xludf.DUMMYFUNCTION("""COMPUTED_VALUE"""),43934)</f>
        <v>43934</v>
      </c>
      <c r="E88" s="5" t="str">
        <f ca="1">IFERROR(__xludf.DUMMYFUNCTION("""COMPUTED_VALUE"""),"Nu")</f>
        <v>Nu</v>
      </c>
      <c r="F88" s="5"/>
      <c r="G88" s="5"/>
      <c r="H88" s="6"/>
      <c r="I88" s="5"/>
      <c r="J88" s="5"/>
      <c r="K88" s="7" t="str">
        <f ca="1">IFERROR(__xludf.DUMMYFUNCTION("""COMPUTED_VALUE"""),"https://stirioficiale.ro/informatii/buletin-de-presa-13-aprilie-2020-ora-13-51")</f>
        <v>https://stirioficiale.ro/informatii/buletin-de-presa-13-aprilie-2020-ora-13-51</v>
      </c>
      <c r="L88" s="5"/>
      <c r="M88" s="5"/>
      <c r="N88" s="5"/>
      <c r="O88" s="5"/>
      <c r="P88" s="5"/>
      <c r="Q88" s="5"/>
      <c r="R88" s="5" t="str">
        <f ca="1">IFERROR(__xludf.DUMMYFUNCTION("""COMPUTED_VALUE"""),"România")</f>
        <v>România</v>
      </c>
      <c r="S88" s="5" t="str">
        <f ca="1">IFERROR(__xludf.DUMMYFUNCTION("""COMPUTED_VALUE"""),"Octavian")</f>
        <v>Octavian</v>
      </c>
      <c r="T88" s="7" t="str">
        <f ca="1">IFERROR(__xludf.DUMMYFUNCTION("""COMPUTED_VALUE"""),"http://www.ms.ro/2020/04/13/buletin-informativ-13-04-2020/")</f>
        <v>http://www.ms.ro/2020/04/13/buletin-informativ-13-04-2020/</v>
      </c>
      <c r="U88" s="5"/>
      <c r="V88" s="5"/>
      <c r="W88" s="5"/>
      <c r="X88" s="5"/>
      <c r="Y88" s="5"/>
      <c r="Z88" s="5"/>
      <c r="AA88" s="5"/>
      <c r="AB88" s="5"/>
      <c r="AC88" s="5"/>
    </row>
    <row r="89" spans="1:29" ht="12.5">
      <c r="A89" s="5">
        <f ca="1">IFERROR(__xludf.DUMMYFUNCTION("""COMPUTED_VALUE"""),6354)</f>
        <v>6354</v>
      </c>
      <c r="B89" s="5"/>
      <c r="C89" s="5" t="str">
        <f ca="1">IFERROR(__xludf.DUMMYFUNCTION("""COMPUTED_VALUE"""),"Bihor")</f>
        <v>Bihor</v>
      </c>
      <c r="D89" s="13">
        <f ca="1">IFERROR(__xludf.DUMMYFUNCTION("""COMPUTED_VALUE"""),43934)</f>
        <v>43934</v>
      </c>
      <c r="E89" s="5" t="str">
        <f ca="1">IFERROR(__xludf.DUMMYFUNCTION("""COMPUTED_VALUE"""),"Nu")</f>
        <v>Nu</v>
      </c>
      <c r="F89" s="5"/>
      <c r="G89" s="5"/>
      <c r="H89" s="6"/>
      <c r="I89" s="5"/>
      <c r="J89" s="5"/>
      <c r="K89" s="7" t="str">
        <f ca="1">IFERROR(__xludf.DUMMYFUNCTION("""COMPUTED_VALUE"""),"https://stirioficiale.ro/informatii/buletin-de-presa-13-aprilie-2020-ora-13-52")</f>
        <v>https://stirioficiale.ro/informatii/buletin-de-presa-13-aprilie-2020-ora-13-52</v>
      </c>
      <c r="L89" s="5"/>
      <c r="M89" s="5"/>
      <c r="N89" s="5"/>
      <c r="O89" s="5"/>
      <c r="P89" s="5"/>
      <c r="Q89" s="5"/>
      <c r="R89" s="5" t="str">
        <f ca="1">IFERROR(__xludf.DUMMYFUNCTION("""COMPUTED_VALUE"""),"România")</f>
        <v>România</v>
      </c>
      <c r="S89" s="5" t="str">
        <f ca="1">IFERROR(__xludf.DUMMYFUNCTION("""COMPUTED_VALUE"""),"Octavian")</f>
        <v>Octavian</v>
      </c>
      <c r="T89" s="7" t="str">
        <f ca="1">IFERROR(__xludf.DUMMYFUNCTION("""COMPUTED_VALUE"""),"http://www.ms.ro/2020/04/13/buletin-informativ-13-04-2020/")</f>
        <v>http://www.ms.ro/2020/04/13/buletin-informativ-13-04-2020/</v>
      </c>
      <c r="U89" s="5"/>
      <c r="V89" s="5"/>
      <c r="W89" s="5"/>
      <c r="X89" s="5"/>
      <c r="Y89" s="5"/>
      <c r="Z89" s="5"/>
      <c r="AA89" s="5"/>
      <c r="AB89" s="5"/>
      <c r="AC89" s="5"/>
    </row>
    <row r="90" spans="1:29" ht="12.5">
      <c r="A90" s="5">
        <f ca="1">IFERROR(__xludf.DUMMYFUNCTION("""COMPUTED_VALUE"""),6355)</f>
        <v>6355</v>
      </c>
      <c r="B90" s="5"/>
      <c r="C90" s="5" t="str">
        <f ca="1">IFERROR(__xludf.DUMMYFUNCTION("""COMPUTED_VALUE"""),"Bihor")</f>
        <v>Bihor</v>
      </c>
      <c r="D90" s="13">
        <f ca="1">IFERROR(__xludf.DUMMYFUNCTION("""COMPUTED_VALUE"""),43934)</f>
        <v>43934</v>
      </c>
      <c r="E90" s="5" t="str">
        <f ca="1">IFERROR(__xludf.DUMMYFUNCTION("""COMPUTED_VALUE"""),"Nu")</f>
        <v>Nu</v>
      </c>
      <c r="F90" s="5"/>
      <c r="G90" s="5"/>
      <c r="H90" s="6"/>
      <c r="I90" s="5"/>
      <c r="J90" s="5"/>
      <c r="K90" s="7" t="str">
        <f ca="1">IFERROR(__xludf.DUMMYFUNCTION("""COMPUTED_VALUE"""),"https://stirioficiale.ro/informatii/buletin-de-presa-13-aprilie-2020-ora-13-53")</f>
        <v>https://stirioficiale.ro/informatii/buletin-de-presa-13-aprilie-2020-ora-13-53</v>
      </c>
      <c r="L90" s="5"/>
      <c r="M90" s="5"/>
      <c r="N90" s="5"/>
      <c r="O90" s="5"/>
      <c r="P90" s="5"/>
      <c r="Q90" s="5"/>
      <c r="R90" s="5" t="str">
        <f ca="1">IFERROR(__xludf.DUMMYFUNCTION("""COMPUTED_VALUE"""),"România")</f>
        <v>România</v>
      </c>
      <c r="S90" s="5" t="str">
        <f ca="1">IFERROR(__xludf.DUMMYFUNCTION("""COMPUTED_VALUE"""),"Octavian")</f>
        <v>Octavian</v>
      </c>
      <c r="T90" s="7" t="str">
        <f ca="1">IFERROR(__xludf.DUMMYFUNCTION("""COMPUTED_VALUE"""),"http://www.ms.ro/2020/04/13/buletin-informativ-13-04-2020/")</f>
        <v>http://www.ms.ro/2020/04/13/buletin-informativ-13-04-2020/</v>
      </c>
      <c r="U90" s="5"/>
      <c r="V90" s="5"/>
      <c r="W90" s="5"/>
      <c r="X90" s="5"/>
      <c r="Y90" s="5"/>
      <c r="Z90" s="5"/>
      <c r="AA90" s="5"/>
      <c r="AB90" s="5"/>
      <c r="AC90" s="5"/>
    </row>
    <row r="91" spans="1:29" ht="12.5">
      <c r="A91" s="5">
        <f ca="1">IFERROR(__xludf.DUMMYFUNCTION("""COMPUTED_VALUE"""),6356)</f>
        <v>6356</v>
      </c>
      <c r="B91" s="5"/>
      <c r="C91" s="5" t="str">
        <f ca="1">IFERROR(__xludf.DUMMYFUNCTION("""COMPUTED_VALUE"""),"Bihor")</f>
        <v>Bihor</v>
      </c>
      <c r="D91" s="13">
        <f ca="1">IFERROR(__xludf.DUMMYFUNCTION("""COMPUTED_VALUE"""),43934)</f>
        <v>43934</v>
      </c>
      <c r="E91" s="5" t="str">
        <f ca="1">IFERROR(__xludf.DUMMYFUNCTION("""COMPUTED_VALUE"""),"Nu")</f>
        <v>Nu</v>
      </c>
      <c r="F91" s="5"/>
      <c r="G91" s="5"/>
      <c r="H91" s="6"/>
      <c r="I91" s="5"/>
      <c r="J91" s="5"/>
      <c r="K91" s="7" t="str">
        <f ca="1">IFERROR(__xludf.DUMMYFUNCTION("""COMPUTED_VALUE"""),"https://stirioficiale.ro/informatii/buletin-de-presa-13-aprilie-2020-ora-13-54")</f>
        <v>https://stirioficiale.ro/informatii/buletin-de-presa-13-aprilie-2020-ora-13-54</v>
      </c>
      <c r="L91" s="5"/>
      <c r="M91" s="5"/>
      <c r="N91" s="5"/>
      <c r="O91" s="5"/>
      <c r="P91" s="5"/>
      <c r="Q91" s="5"/>
      <c r="R91" s="5" t="str">
        <f ca="1">IFERROR(__xludf.DUMMYFUNCTION("""COMPUTED_VALUE"""),"România")</f>
        <v>România</v>
      </c>
      <c r="S91" s="5" t="str">
        <f ca="1">IFERROR(__xludf.DUMMYFUNCTION("""COMPUTED_VALUE"""),"Octavian")</f>
        <v>Octavian</v>
      </c>
      <c r="T91" s="7" t="str">
        <f ca="1">IFERROR(__xludf.DUMMYFUNCTION("""COMPUTED_VALUE"""),"http://www.ms.ro/2020/04/13/buletin-informativ-13-04-2020/")</f>
        <v>http://www.ms.ro/2020/04/13/buletin-informativ-13-04-2020/</v>
      </c>
      <c r="U91" s="5"/>
      <c r="V91" s="5"/>
      <c r="W91" s="5"/>
      <c r="X91" s="5"/>
      <c r="Y91" s="5"/>
      <c r="Z91" s="5"/>
      <c r="AA91" s="5"/>
      <c r="AB91" s="5"/>
      <c r="AC91" s="5"/>
    </row>
    <row r="92" spans="1:29" ht="12.5">
      <c r="A92" s="5">
        <f ca="1">IFERROR(__xludf.DUMMYFUNCTION("""COMPUTED_VALUE"""),6357)</f>
        <v>6357</v>
      </c>
      <c r="B92" s="5"/>
      <c r="C92" s="5" t="str">
        <f ca="1">IFERROR(__xludf.DUMMYFUNCTION("""COMPUTED_VALUE"""),"Bihor")</f>
        <v>Bihor</v>
      </c>
      <c r="D92" s="13">
        <f ca="1">IFERROR(__xludf.DUMMYFUNCTION("""COMPUTED_VALUE"""),43934)</f>
        <v>43934</v>
      </c>
      <c r="E92" s="5" t="str">
        <f ca="1">IFERROR(__xludf.DUMMYFUNCTION("""COMPUTED_VALUE"""),"Nu")</f>
        <v>Nu</v>
      </c>
      <c r="F92" s="5"/>
      <c r="G92" s="5"/>
      <c r="H92" s="6"/>
      <c r="I92" s="5"/>
      <c r="J92" s="5"/>
      <c r="K92" s="7" t="str">
        <f ca="1">IFERROR(__xludf.DUMMYFUNCTION("""COMPUTED_VALUE"""),"https://stirioficiale.ro/informatii/buletin-de-presa-13-aprilie-2020-ora-13-55")</f>
        <v>https://stirioficiale.ro/informatii/buletin-de-presa-13-aprilie-2020-ora-13-55</v>
      </c>
      <c r="L92" s="5"/>
      <c r="M92" s="5"/>
      <c r="N92" s="5"/>
      <c r="O92" s="5"/>
      <c r="P92" s="5"/>
      <c r="Q92" s="5"/>
      <c r="R92" s="5" t="str">
        <f ca="1">IFERROR(__xludf.DUMMYFUNCTION("""COMPUTED_VALUE"""),"România")</f>
        <v>România</v>
      </c>
      <c r="S92" s="5" t="str">
        <f ca="1">IFERROR(__xludf.DUMMYFUNCTION("""COMPUTED_VALUE"""),"Octavian")</f>
        <v>Octavian</v>
      </c>
      <c r="T92" s="7" t="str">
        <f ca="1">IFERROR(__xludf.DUMMYFUNCTION("""COMPUTED_VALUE"""),"http://www.ms.ro/2020/04/13/buletin-informativ-13-04-2020/")</f>
        <v>http://www.ms.ro/2020/04/13/buletin-informativ-13-04-2020/</v>
      </c>
      <c r="U92" s="5"/>
      <c r="V92" s="5"/>
      <c r="W92" s="5"/>
      <c r="X92" s="5"/>
      <c r="Y92" s="5"/>
      <c r="Z92" s="5"/>
      <c r="AA92" s="5"/>
      <c r="AB92" s="5"/>
      <c r="AC92" s="5"/>
    </row>
    <row r="93" spans="1:29" ht="12.5">
      <c r="A93" s="5">
        <f ca="1">IFERROR(__xludf.DUMMYFUNCTION("""COMPUTED_VALUE"""),6358)</f>
        <v>6358</v>
      </c>
      <c r="B93" s="5"/>
      <c r="C93" s="5" t="str">
        <f ca="1">IFERROR(__xludf.DUMMYFUNCTION("""COMPUTED_VALUE"""),"Bihor")</f>
        <v>Bihor</v>
      </c>
      <c r="D93" s="13">
        <f ca="1">IFERROR(__xludf.DUMMYFUNCTION("""COMPUTED_VALUE"""),43934)</f>
        <v>43934</v>
      </c>
      <c r="E93" s="5" t="str">
        <f ca="1">IFERROR(__xludf.DUMMYFUNCTION("""COMPUTED_VALUE"""),"Nu")</f>
        <v>Nu</v>
      </c>
      <c r="F93" s="5"/>
      <c r="G93" s="5"/>
      <c r="H93" s="6"/>
      <c r="I93" s="5"/>
      <c r="J93" s="5"/>
      <c r="K93" s="7" t="str">
        <f ca="1">IFERROR(__xludf.DUMMYFUNCTION("""COMPUTED_VALUE"""),"https://stirioficiale.ro/informatii/buletin-de-presa-13-aprilie-2020-ora-13-56")</f>
        <v>https://stirioficiale.ro/informatii/buletin-de-presa-13-aprilie-2020-ora-13-56</v>
      </c>
      <c r="L93" s="5"/>
      <c r="M93" s="5"/>
      <c r="N93" s="5"/>
      <c r="O93" s="5"/>
      <c r="P93" s="5"/>
      <c r="Q93" s="5"/>
      <c r="R93" s="5" t="str">
        <f ca="1">IFERROR(__xludf.DUMMYFUNCTION("""COMPUTED_VALUE"""),"România")</f>
        <v>România</v>
      </c>
      <c r="S93" s="5" t="str">
        <f ca="1">IFERROR(__xludf.DUMMYFUNCTION("""COMPUTED_VALUE"""),"Octavian")</f>
        <v>Octavian</v>
      </c>
      <c r="T93" s="7" t="str">
        <f ca="1">IFERROR(__xludf.DUMMYFUNCTION("""COMPUTED_VALUE"""),"http://www.ms.ro/2020/04/13/buletin-informativ-13-04-2020/")</f>
        <v>http://www.ms.ro/2020/04/13/buletin-informativ-13-04-2020/</v>
      </c>
      <c r="U93" s="5"/>
      <c r="V93" s="5"/>
      <c r="W93" s="5"/>
      <c r="X93" s="5"/>
      <c r="Y93" s="5"/>
      <c r="Z93" s="5"/>
      <c r="AA93" s="5"/>
      <c r="AB93" s="5"/>
      <c r="AC93" s="5"/>
    </row>
    <row r="94" spans="1:29" ht="12.5">
      <c r="A94" s="5">
        <f ca="1">IFERROR(__xludf.DUMMYFUNCTION("""COMPUTED_VALUE"""),6359)</f>
        <v>6359</v>
      </c>
      <c r="B94" s="5"/>
      <c r="C94" s="5" t="str">
        <f ca="1">IFERROR(__xludf.DUMMYFUNCTION("""COMPUTED_VALUE"""),"Bihor")</f>
        <v>Bihor</v>
      </c>
      <c r="D94" s="13">
        <f ca="1">IFERROR(__xludf.DUMMYFUNCTION("""COMPUTED_VALUE"""),43934)</f>
        <v>43934</v>
      </c>
      <c r="E94" s="5" t="str">
        <f ca="1">IFERROR(__xludf.DUMMYFUNCTION("""COMPUTED_VALUE"""),"Nu")</f>
        <v>Nu</v>
      </c>
      <c r="F94" s="5"/>
      <c r="G94" s="5"/>
      <c r="H94" s="6"/>
      <c r="I94" s="5"/>
      <c r="J94" s="5"/>
      <c r="K94" s="7" t="str">
        <f ca="1">IFERROR(__xludf.DUMMYFUNCTION("""COMPUTED_VALUE"""),"https://stirioficiale.ro/informatii/buletin-de-presa-13-aprilie-2020-ora-13-57")</f>
        <v>https://stirioficiale.ro/informatii/buletin-de-presa-13-aprilie-2020-ora-13-57</v>
      </c>
      <c r="L94" s="5"/>
      <c r="M94" s="5"/>
      <c r="N94" s="5"/>
      <c r="O94" s="5"/>
      <c r="P94" s="5"/>
      <c r="Q94" s="5"/>
      <c r="R94" s="5" t="str">
        <f ca="1">IFERROR(__xludf.DUMMYFUNCTION("""COMPUTED_VALUE"""),"România")</f>
        <v>România</v>
      </c>
      <c r="S94" s="5" t="str">
        <f ca="1">IFERROR(__xludf.DUMMYFUNCTION("""COMPUTED_VALUE"""),"Octavian")</f>
        <v>Octavian</v>
      </c>
      <c r="T94" s="7" t="str">
        <f ca="1">IFERROR(__xludf.DUMMYFUNCTION("""COMPUTED_VALUE"""),"http://www.ms.ro/2020/04/13/buletin-informativ-13-04-2020/")</f>
        <v>http://www.ms.ro/2020/04/13/buletin-informativ-13-04-2020/</v>
      </c>
      <c r="U94" s="5"/>
      <c r="V94" s="5"/>
      <c r="W94" s="5"/>
      <c r="X94" s="5"/>
      <c r="Y94" s="5"/>
      <c r="Z94" s="5"/>
      <c r="AA94" s="5"/>
      <c r="AB94" s="5"/>
      <c r="AC94" s="5"/>
    </row>
    <row r="95" spans="1:29" ht="12.5">
      <c r="A95" s="5">
        <f ca="1">IFERROR(__xludf.DUMMYFUNCTION("""COMPUTED_VALUE"""),6360)</f>
        <v>6360</v>
      </c>
      <c r="B95" s="5"/>
      <c r="C95" s="5" t="str">
        <f ca="1">IFERROR(__xludf.DUMMYFUNCTION("""COMPUTED_VALUE"""),"Bihor")</f>
        <v>Bihor</v>
      </c>
      <c r="D95" s="13">
        <f ca="1">IFERROR(__xludf.DUMMYFUNCTION("""COMPUTED_VALUE"""),43934)</f>
        <v>43934</v>
      </c>
      <c r="E95" s="5" t="str">
        <f ca="1">IFERROR(__xludf.DUMMYFUNCTION("""COMPUTED_VALUE"""),"Nu")</f>
        <v>Nu</v>
      </c>
      <c r="F95" s="5"/>
      <c r="G95" s="5"/>
      <c r="H95" s="6"/>
      <c r="I95" s="5"/>
      <c r="J95" s="5"/>
      <c r="K95" s="7" t="str">
        <f ca="1">IFERROR(__xludf.DUMMYFUNCTION("""COMPUTED_VALUE"""),"https://stirioficiale.ro/informatii/buletin-de-presa-13-aprilie-2020-ora-13-58")</f>
        <v>https://stirioficiale.ro/informatii/buletin-de-presa-13-aprilie-2020-ora-13-58</v>
      </c>
      <c r="L95" s="5"/>
      <c r="M95" s="5"/>
      <c r="N95" s="5"/>
      <c r="O95" s="5"/>
      <c r="P95" s="5"/>
      <c r="Q95" s="5"/>
      <c r="R95" s="5" t="str">
        <f ca="1">IFERROR(__xludf.DUMMYFUNCTION("""COMPUTED_VALUE"""),"România")</f>
        <v>România</v>
      </c>
      <c r="S95" s="5" t="str">
        <f ca="1">IFERROR(__xludf.DUMMYFUNCTION("""COMPUTED_VALUE"""),"Octavian")</f>
        <v>Octavian</v>
      </c>
      <c r="T95" s="7" t="str">
        <f ca="1">IFERROR(__xludf.DUMMYFUNCTION("""COMPUTED_VALUE"""),"http://www.ms.ro/2020/04/13/buletin-informativ-13-04-2020/")</f>
        <v>http://www.ms.ro/2020/04/13/buletin-informativ-13-04-2020/</v>
      </c>
      <c r="U95" s="5"/>
      <c r="V95" s="5"/>
      <c r="W95" s="5"/>
      <c r="X95" s="5"/>
      <c r="Y95" s="5"/>
      <c r="Z95" s="5"/>
      <c r="AA95" s="5"/>
      <c r="AB95" s="5"/>
      <c r="AC95" s="5"/>
    </row>
    <row r="96" spans="1:29" ht="12.5">
      <c r="A96" s="5">
        <f ca="1">IFERROR(__xludf.DUMMYFUNCTION("""COMPUTED_VALUE"""),6361)</f>
        <v>6361</v>
      </c>
      <c r="B96" s="5"/>
      <c r="C96" s="5" t="str">
        <f ca="1">IFERROR(__xludf.DUMMYFUNCTION("""COMPUTED_VALUE"""),"Bihor")</f>
        <v>Bihor</v>
      </c>
      <c r="D96" s="13">
        <f ca="1">IFERROR(__xludf.DUMMYFUNCTION("""COMPUTED_VALUE"""),43934)</f>
        <v>43934</v>
      </c>
      <c r="E96" s="5" t="str">
        <f ca="1">IFERROR(__xludf.DUMMYFUNCTION("""COMPUTED_VALUE"""),"Nu")</f>
        <v>Nu</v>
      </c>
      <c r="F96" s="5"/>
      <c r="G96" s="5"/>
      <c r="H96" s="6"/>
      <c r="I96" s="5"/>
      <c r="J96" s="5"/>
      <c r="K96" s="7" t="str">
        <f ca="1">IFERROR(__xludf.DUMMYFUNCTION("""COMPUTED_VALUE"""),"https://stirioficiale.ro/informatii/buletin-de-presa-13-aprilie-2020-ora-13-59")</f>
        <v>https://stirioficiale.ro/informatii/buletin-de-presa-13-aprilie-2020-ora-13-59</v>
      </c>
      <c r="L96" s="5"/>
      <c r="M96" s="5"/>
      <c r="N96" s="5"/>
      <c r="O96" s="5"/>
      <c r="P96" s="5"/>
      <c r="Q96" s="5"/>
      <c r="R96" s="5" t="str">
        <f ca="1">IFERROR(__xludf.DUMMYFUNCTION("""COMPUTED_VALUE"""),"România")</f>
        <v>România</v>
      </c>
      <c r="S96" s="5" t="str">
        <f ca="1">IFERROR(__xludf.DUMMYFUNCTION("""COMPUTED_VALUE"""),"Octavian")</f>
        <v>Octavian</v>
      </c>
      <c r="T96" s="7" t="str">
        <f ca="1">IFERROR(__xludf.DUMMYFUNCTION("""COMPUTED_VALUE"""),"http://www.ms.ro/2020/04/13/buletin-informativ-13-04-2020/")</f>
        <v>http://www.ms.ro/2020/04/13/buletin-informativ-13-04-2020/</v>
      </c>
      <c r="U96" s="5"/>
      <c r="V96" s="5"/>
      <c r="W96" s="5"/>
      <c r="X96" s="5"/>
      <c r="Y96" s="5"/>
      <c r="Z96" s="5"/>
      <c r="AA96" s="5"/>
      <c r="AB96" s="5"/>
      <c r="AC96" s="5"/>
    </row>
    <row r="97" spans="1:29" ht="12.5">
      <c r="A97" s="5">
        <f ca="1">IFERROR(__xludf.DUMMYFUNCTION("""COMPUTED_VALUE"""),6362)</f>
        <v>6362</v>
      </c>
      <c r="B97" s="5"/>
      <c r="C97" s="5" t="str">
        <f ca="1">IFERROR(__xludf.DUMMYFUNCTION("""COMPUTED_VALUE"""),"Bihor")</f>
        <v>Bihor</v>
      </c>
      <c r="D97" s="13">
        <f ca="1">IFERROR(__xludf.DUMMYFUNCTION("""COMPUTED_VALUE"""),43934)</f>
        <v>43934</v>
      </c>
      <c r="E97" s="5" t="str">
        <f ca="1">IFERROR(__xludf.DUMMYFUNCTION("""COMPUTED_VALUE"""),"Nu")</f>
        <v>Nu</v>
      </c>
      <c r="F97" s="5"/>
      <c r="G97" s="5"/>
      <c r="H97" s="6"/>
      <c r="I97" s="5"/>
      <c r="J97" s="5"/>
      <c r="K97" s="7" t="str">
        <f ca="1">IFERROR(__xludf.DUMMYFUNCTION("""COMPUTED_VALUE"""),"https://stirioficiale.ro/informatii/buletin-de-presa-13-aprilie-2020-ora-13-60")</f>
        <v>https://stirioficiale.ro/informatii/buletin-de-presa-13-aprilie-2020-ora-13-60</v>
      </c>
      <c r="L97" s="5"/>
      <c r="M97" s="5"/>
      <c r="N97" s="5"/>
      <c r="O97" s="5"/>
      <c r="P97" s="5"/>
      <c r="Q97" s="5"/>
      <c r="R97" s="5" t="str">
        <f ca="1">IFERROR(__xludf.DUMMYFUNCTION("""COMPUTED_VALUE"""),"România")</f>
        <v>România</v>
      </c>
      <c r="S97" s="5" t="str">
        <f ca="1">IFERROR(__xludf.DUMMYFUNCTION("""COMPUTED_VALUE"""),"Octavian")</f>
        <v>Octavian</v>
      </c>
      <c r="T97" s="7" t="str">
        <f ca="1">IFERROR(__xludf.DUMMYFUNCTION("""COMPUTED_VALUE"""),"http://www.ms.ro/2020/04/13/buletin-informativ-13-04-2020/")</f>
        <v>http://www.ms.ro/2020/04/13/buletin-informativ-13-04-2020/</v>
      </c>
      <c r="U97" s="5"/>
      <c r="V97" s="5"/>
      <c r="W97" s="5"/>
      <c r="X97" s="5"/>
      <c r="Y97" s="5"/>
      <c r="Z97" s="5"/>
      <c r="AA97" s="5"/>
      <c r="AB97" s="5"/>
      <c r="AC97" s="5"/>
    </row>
    <row r="98" spans="1:29" ht="12.5">
      <c r="A98" s="5">
        <f ca="1">IFERROR(__xludf.DUMMYFUNCTION("""COMPUTED_VALUE"""),6363)</f>
        <v>6363</v>
      </c>
      <c r="B98" s="5"/>
      <c r="C98" s="5" t="str">
        <f ca="1">IFERROR(__xludf.DUMMYFUNCTION("""COMPUTED_VALUE"""),"Bihor")</f>
        <v>Bihor</v>
      </c>
      <c r="D98" s="13">
        <f ca="1">IFERROR(__xludf.DUMMYFUNCTION("""COMPUTED_VALUE"""),43934)</f>
        <v>43934</v>
      </c>
      <c r="E98" s="5" t="str">
        <f ca="1">IFERROR(__xludf.DUMMYFUNCTION("""COMPUTED_VALUE"""),"Nu")</f>
        <v>Nu</v>
      </c>
      <c r="F98" s="5"/>
      <c r="G98" s="5"/>
      <c r="H98" s="6"/>
      <c r="I98" s="5"/>
      <c r="J98" s="5"/>
      <c r="K98" s="7" t="str">
        <f ca="1">IFERROR(__xludf.DUMMYFUNCTION("""COMPUTED_VALUE"""),"https://stirioficiale.ro/informatii/buletin-de-presa-13-aprilie-2020-ora-13-61")</f>
        <v>https://stirioficiale.ro/informatii/buletin-de-presa-13-aprilie-2020-ora-13-61</v>
      </c>
      <c r="L98" s="5"/>
      <c r="M98" s="5"/>
      <c r="N98" s="5"/>
      <c r="O98" s="5"/>
      <c r="P98" s="5"/>
      <c r="Q98" s="5"/>
      <c r="R98" s="5" t="str">
        <f ca="1">IFERROR(__xludf.DUMMYFUNCTION("""COMPUTED_VALUE"""),"România")</f>
        <v>România</v>
      </c>
      <c r="S98" s="5" t="str">
        <f ca="1">IFERROR(__xludf.DUMMYFUNCTION("""COMPUTED_VALUE"""),"Octavian")</f>
        <v>Octavian</v>
      </c>
      <c r="T98" s="7" t="str">
        <f ca="1">IFERROR(__xludf.DUMMYFUNCTION("""COMPUTED_VALUE"""),"http://www.ms.ro/2020/04/13/buletin-informativ-13-04-2020/")</f>
        <v>http://www.ms.ro/2020/04/13/buletin-informativ-13-04-2020/</v>
      </c>
      <c r="U98" s="5"/>
      <c r="V98" s="5"/>
      <c r="W98" s="5"/>
      <c r="X98" s="5"/>
      <c r="Y98" s="5"/>
      <c r="Z98" s="5"/>
      <c r="AA98" s="5"/>
      <c r="AB98" s="5"/>
      <c r="AC98" s="5"/>
    </row>
    <row r="99" spans="1:29" ht="12.5">
      <c r="A99" s="5">
        <f ca="1">IFERROR(__xludf.DUMMYFUNCTION("""COMPUTED_VALUE"""),6364)</f>
        <v>6364</v>
      </c>
      <c r="B99" s="5"/>
      <c r="C99" s="5" t="str">
        <f ca="1">IFERROR(__xludf.DUMMYFUNCTION("""COMPUTED_VALUE"""),"Bihor")</f>
        <v>Bihor</v>
      </c>
      <c r="D99" s="13">
        <f ca="1">IFERROR(__xludf.DUMMYFUNCTION("""COMPUTED_VALUE"""),43934)</f>
        <v>43934</v>
      </c>
      <c r="E99" s="5" t="str">
        <f ca="1">IFERROR(__xludf.DUMMYFUNCTION("""COMPUTED_VALUE"""),"Nu")</f>
        <v>Nu</v>
      </c>
      <c r="F99" s="5"/>
      <c r="G99" s="5"/>
      <c r="H99" s="6"/>
      <c r="I99" s="5"/>
      <c r="J99" s="5"/>
      <c r="K99" s="7" t="str">
        <f ca="1">IFERROR(__xludf.DUMMYFUNCTION("""COMPUTED_VALUE"""),"https://stirioficiale.ro/informatii/buletin-de-presa-13-aprilie-2020-ora-13-62")</f>
        <v>https://stirioficiale.ro/informatii/buletin-de-presa-13-aprilie-2020-ora-13-62</v>
      </c>
      <c r="L99" s="5"/>
      <c r="M99" s="5"/>
      <c r="N99" s="5"/>
      <c r="O99" s="5"/>
      <c r="P99" s="5"/>
      <c r="Q99" s="5"/>
      <c r="R99" s="5" t="str">
        <f ca="1">IFERROR(__xludf.DUMMYFUNCTION("""COMPUTED_VALUE"""),"România")</f>
        <v>România</v>
      </c>
      <c r="S99" s="5" t="str">
        <f ca="1">IFERROR(__xludf.DUMMYFUNCTION("""COMPUTED_VALUE"""),"Octavian")</f>
        <v>Octavian</v>
      </c>
      <c r="T99" s="7" t="str">
        <f ca="1">IFERROR(__xludf.DUMMYFUNCTION("""COMPUTED_VALUE"""),"http://www.ms.ro/2020/04/13/buletin-informativ-13-04-2020/")</f>
        <v>http://www.ms.ro/2020/04/13/buletin-informativ-13-04-2020/</v>
      </c>
      <c r="U99" s="5"/>
      <c r="V99" s="5"/>
      <c r="W99" s="5"/>
      <c r="X99" s="5"/>
      <c r="Y99" s="5"/>
      <c r="Z99" s="5"/>
      <c r="AA99" s="5"/>
      <c r="AB99" s="5"/>
      <c r="AC99" s="5"/>
    </row>
    <row r="100" spans="1:29" ht="12.5">
      <c r="A100" s="5">
        <f ca="1">IFERROR(__xludf.DUMMYFUNCTION("""COMPUTED_VALUE"""),6365)</f>
        <v>6365</v>
      </c>
      <c r="B100" s="5"/>
      <c r="C100" s="5" t="str">
        <f ca="1">IFERROR(__xludf.DUMMYFUNCTION("""COMPUTED_VALUE"""),"Bihor")</f>
        <v>Bihor</v>
      </c>
      <c r="D100" s="13">
        <f ca="1">IFERROR(__xludf.DUMMYFUNCTION("""COMPUTED_VALUE"""),43934)</f>
        <v>43934</v>
      </c>
      <c r="E100" s="5" t="str">
        <f ca="1">IFERROR(__xludf.DUMMYFUNCTION("""COMPUTED_VALUE"""),"Nu")</f>
        <v>Nu</v>
      </c>
      <c r="F100" s="5"/>
      <c r="G100" s="5"/>
      <c r="H100" s="6"/>
      <c r="I100" s="5"/>
      <c r="J100" s="5"/>
      <c r="K100" s="7" t="str">
        <f ca="1">IFERROR(__xludf.DUMMYFUNCTION("""COMPUTED_VALUE"""),"https://stirioficiale.ro/informatii/buletin-de-presa-13-aprilie-2020-ora-13-63")</f>
        <v>https://stirioficiale.ro/informatii/buletin-de-presa-13-aprilie-2020-ora-13-63</v>
      </c>
      <c r="L100" s="5"/>
      <c r="M100" s="5"/>
      <c r="N100" s="5"/>
      <c r="O100" s="5"/>
      <c r="P100" s="5"/>
      <c r="Q100" s="5"/>
      <c r="R100" s="5" t="str">
        <f ca="1">IFERROR(__xludf.DUMMYFUNCTION("""COMPUTED_VALUE"""),"România")</f>
        <v>România</v>
      </c>
      <c r="S100" s="5" t="str">
        <f ca="1">IFERROR(__xludf.DUMMYFUNCTION("""COMPUTED_VALUE"""),"Octavian")</f>
        <v>Octavian</v>
      </c>
      <c r="T100" s="7" t="str">
        <f ca="1">IFERROR(__xludf.DUMMYFUNCTION("""COMPUTED_VALUE"""),"http://www.ms.ro/2020/04/13/buletin-informativ-13-04-2020/")</f>
        <v>http://www.ms.ro/2020/04/13/buletin-informativ-13-04-2020/</v>
      </c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2.5">
      <c r="A101" s="5">
        <f ca="1">IFERROR(__xludf.DUMMYFUNCTION("""COMPUTED_VALUE"""),6366)</f>
        <v>6366</v>
      </c>
      <c r="B101" s="5"/>
      <c r="C101" s="5" t="str">
        <f ca="1">IFERROR(__xludf.DUMMYFUNCTION("""COMPUTED_VALUE"""),"Bihor")</f>
        <v>Bihor</v>
      </c>
      <c r="D101" s="13">
        <f ca="1">IFERROR(__xludf.DUMMYFUNCTION("""COMPUTED_VALUE"""),43934)</f>
        <v>43934</v>
      </c>
      <c r="E101" s="5" t="str">
        <f ca="1">IFERROR(__xludf.DUMMYFUNCTION("""COMPUTED_VALUE"""),"Nu")</f>
        <v>Nu</v>
      </c>
      <c r="F101" s="5"/>
      <c r="G101" s="5"/>
      <c r="H101" s="6"/>
      <c r="I101" s="5"/>
      <c r="J101" s="5"/>
      <c r="K101" s="7" t="str">
        <f ca="1">IFERROR(__xludf.DUMMYFUNCTION("""COMPUTED_VALUE"""),"https://stirioficiale.ro/informatii/buletin-de-presa-13-aprilie-2020-ora-13-64")</f>
        <v>https://stirioficiale.ro/informatii/buletin-de-presa-13-aprilie-2020-ora-13-64</v>
      </c>
      <c r="L101" s="5"/>
      <c r="M101" s="5"/>
      <c r="N101" s="5"/>
      <c r="O101" s="5"/>
      <c r="P101" s="5"/>
      <c r="Q101" s="5"/>
      <c r="R101" s="5" t="str">
        <f ca="1">IFERROR(__xludf.DUMMYFUNCTION("""COMPUTED_VALUE"""),"România")</f>
        <v>România</v>
      </c>
      <c r="S101" s="5" t="str">
        <f ca="1">IFERROR(__xludf.DUMMYFUNCTION("""COMPUTED_VALUE"""),"Octavian")</f>
        <v>Octavian</v>
      </c>
      <c r="T101" s="7" t="str">
        <f ca="1">IFERROR(__xludf.DUMMYFUNCTION("""COMPUTED_VALUE"""),"http://www.ms.ro/2020/04/13/buletin-informativ-13-04-2020/")</f>
        <v>http://www.ms.ro/2020/04/13/buletin-informativ-13-04-2020/</v>
      </c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12.5">
      <c r="A102" s="5">
        <f ca="1">IFERROR(__xludf.DUMMYFUNCTION("""COMPUTED_VALUE"""),6367)</f>
        <v>6367</v>
      </c>
      <c r="B102" s="5"/>
      <c r="C102" s="5" t="str">
        <f ca="1">IFERROR(__xludf.DUMMYFUNCTION("""COMPUTED_VALUE"""),"Bihor")</f>
        <v>Bihor</v>
      </c>
      <c r="D102" s="13">
        <f ca="1">IFERROR(__xludf.DUMMYFUNCTION("""COMPUTED_VALUE"""),43934)</f>
        <v>43934</v>
      </c>
      <c r="E102" s="5" t="str">
        <f ca="1">IFERROR(__xludf.DUMMYFUNCTION("""COMPUTED_VALUE"""),"Nu")</f>
        <v>Nu</v>
      </c>
      <c r="F102" s="5"/>
      <c r="G102" s="5"/>
      <c r="H102" s="6"/>
      <c r="I102" s="5"/>
      <c r="J102" s="5"/>
      <c r="K102" s="7" t="str">
        <f ca="1">IFERROR(__xludf.DUMMYFUNCTION("""COMPUTED_VALUE"""),"https://stirioficiale.ro/informatii/buletin-de-presa-13-aprilie-2020-ora-13-65")</f>
        <v>https://stirioficiale.ro/informatii/buletin-de-presa-13-aprilie-2020-ora-13-65</v>
      </c>
      <c r="L102" s="5"/>
      <c r="M102" s="5"/>
      <c r="N102" s="5"/>
      <c r="O102" s="5"/>
      <c r="P102" s="5"/>
      <c r="Q102" s="5"/>
      <c r="R102" s="5" t="str">
        <f ca="1">IFERROR(__xludf.DUMMYFUNCTION("""COMPUTED_VALUE"""),"România")</f>
        <v>România</v>
      </c>
      <c r="S102" s="5" t="str">
        <f ca="1">IFERROR(__xludf.DUMMYFUNCTION("""COMPUTED_VALUE"""),"Octavian")</f>
        <v>Octavian</v>
      </c>
      <c r="T102" s="7" t="str">
        <f ca="1">IFERROR(__xludf.DUMMYFUNCTION("""COMPUTED_VALUE"""),"http://www.ms.ro/2020/04/13/buletin-informativ-13-04-2020/")</f>
        <v>http://www.ms.ro/2020/04/13/buletin-informativ-13-04-2020/</v>
      </c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2.5">
      <c r="A103" s="5">
        <f ca="1">IFERROR(__xludf.DUMMYFUNCTION("""COMPUTED_VALUE"""),6368)</f>
        <v>6368</v>
      </c>
      <c r="B103" s="5"/>
      <c r="C103" s="5" t="str">
        <f ca="1">IFERROR(__xludf.DUMMYFUNCTION("""COMPUTED_VALUE"""),"Bihor")</f>
        <v>Bihor</v>
      </c>
      <c r="D103" s="13">
        <f ca="1">IFERROR(__xludf.DUMMYFUNCTION("""COMPUTED_VALUE"""),43934)</f>
        <v>43934</v>
      </c>
      <c r="E103" s="5" t="str">
        <f ca="1">IFERROR(__xludf.DUMMYFUNCTION("""COMPUTED_VALUE"""),"Nu")</f>
        <v>Nu</v>
      </c>
      <c r="F103" s="5"/>
      <c r="G103" s="5"/>
      <c r="H103" s="6"/>
      <c r="I103" s="5"/>
      <c r="J103" s="5"/>
      <c r="K103" s="7" t="str">
        <f ca="1">IFERROR(__xludf.DUMMYFUNCTION("""COMPUTED_VALUE"""),"https://stirioficiale.ro/informatii/buletin-de-presa-13-aprilie-2020-ora-13-66")</f>
        <v>https://stirioficiale.ro/informatii/buletin-de-presa-13-aprilie-2020-ora-13-66</v>
      </c>
      <c r="L103" s="5"/>
      <c r="M103" s="5"/>
      <c r="N103" s="5"/>
      <c r="O103" s="5"/>
      <c r="P103" s="5"/>
      <c r="Q103" s="5"/>
      <c r="R103" s="5" t="str">
        <f ca="1">IFERROR(__xludf.DUMMYFUNCTION("""COMPUTED_VALUE"""),"România")</f>
        <v>România</v>
      </c>
      <c r="S103" s="5" t="str">
        <f ca="1">IFERROR(__xludf.DUMMYFUNCTION("""COMPUTED_VALUE"""),"Octavian")</f>
        <v>Octavian</v>
      </c>
      <c r="T103" s="7" t="str">
        <f ca="1">IFERROR(__xludf.DUMMYFUNCTION("""COMPUTED_VALUE"""),"http://www.ms.ro/2020/04/13/buletin-informativ-13-04-2020/")</f>
        <v>http://www.ms.ro/2020/04/13/buletin-informativ-13-04-2020/</v>
      </c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12.5">
      <c r="A104" s="5">
        <f ca="1">IFERROR(__xludf.DUMMYFUNCTION("""COMPUTED_VALUE"""),6369)</f>
        <v>6369</v>
      </c>
      <c r="B104" s="5"/>
      <c r="C104" s="5" t="str">
        <f ca="1">IFERROR(__xludf.DUMMYFUNCTION("""COMPUTED_VALUE"""),"Bihor")</f>
        <v>Bihor</v>
      </c>
      <c r="D104" s="13">
        <f ca="1">IFERROR(__xludf.DUMMYFUNCTION("""COMPUTED_VALUE"""),43934)</f>
        <v>43934</v>
      </c>
      <c r="E104" s="5" t="str">
        <f ca="1">IFERROR(__xludf.DUMMYFUNCTION("""COMPUTED_VALUE"""),"Nu")</f>
        <v>Nu</v>
      </c>
      <c r="F104" s="5"/>
      <c r="G104" s="5"/>
      <c r="H104" s="6"/>
      <c r="I104" s="5"/>
      <c r="J104" s="5"/>
      <c r="K104" s="7" t="str">
        <f ca="1">IFERROR(__xludf.DUMMYFUNCTION("""COMPUTED_VALUE"""),"https://stirioficiale.ro/informatii/buletin-de-presa-13-aprilie-2020-ora-13-67")</f>
        <v>https://stirioficiale.ro/informatii/buletin-de-presa-13-aprilie-2020-ora-13-67</v>
      </c>
      <c r="L104" s="5"/>
      <c r="M104" s="5"/>
      <c r="N104" s="5"/>
      <c r="O104" s="5"/>
      <c r="P104" s="5"/>
      <c r="Q104" s="5"/>
      <c r="R104" s="5" t="str">
        <f ca="1">IFERROR(__xludf.DUMMYFUNCTION("""COMPUTED_VALUE"""),"România")</f>
        <v>România</v>
      </c>
      <c r="S104" s="5" t="str">
        <f ca="1">IFERROR(__xludf.DUMMYFUNCTION("""COMPUTED_VALUE"""),"Octavian")</f>
        <v>Octavian</v>
      </c>
      <c r="T104" s="7" t="str">
        <f ca="1">IFERROR(__xludf.DUMMYFUNCTION("""COMPUTED_VALUE"""),"http://www.ms.ro/2020/04/13/buletin-informativ-13-04-2020/")</f>
        <v>http://www.ms.ro/2020/04/13/buletin-informativ-13-04-2020/</v>
      </c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2.5">
      <c r="A105" s="5">
        <f ca="1">IFERROR(__xludf.DUMMYFUNCTION("""COMPUTED_VALUE"""),6370)</f>
        <v>6370</v>
      </c>
      <c r="B105" s="5"/>
      <c r="C105" s="5" t="str">
        <f ca="1">IFERROR(__xludf.DUMMYFUNCTION("""COMPUTED_VALUE"""),"Bihor")</f>
        <v>Bihor</v>
      </c>
      <c r="D105" s="13">
        <f ca="1">IFERROR(__xludf.DUMMYFUNCTION("""COMPUTED_VALUE"""),43934)</f>
        <v>43934</v>
      </c>
      <c r="E105" s="5" t="str">
        <f ca="1">IFERROR(__xludf.DUMMYFUNCTION("""COMPUTED_VALUE"""),"Nu")</f>
        <v>Nu</v>
      </c>
      <c r="F105" s="5"/>
      <c r="G105" s="5"/>
      <c r="H105" s="6"/>
      <c r="I105" s="5"/>
      <c r="J105" s="5"/>
      <c r="K105" s="7" t="str">
        <f ca="1">IFERROR(__xludf.DUMMYFUNCTION("""COMPUTED_VALUE"""),"https://stirioficiale.ro/informatii/buletin-de-presa-13-aprilie-2020-ora-13-68")</f>
        <v>https://stirioficiale.ro/informatii/buletin-de-presa-13-aprilie-2020-ora-13-68</v>
      </c>
      <c r="L105" s="5"/>
      <c r="M105" s="5"/>
      <c r="N105" s="5"/>
      <c r="O105" s="5"/>
      <c r="P105" s="5"/>
      <c r="Q105" s="5"/>
      <c r="R105" s="5" t="str">
        <f ca="1">IFERROR(__xludf.DUMMYFUNCTION("""COMPUTED_VALUE"""),"România")</f>
        <v>România</v>
      </c>
      <c r="S105" s="5" t="str">
        <f ca="1">IFERROR(__xludf.DUMMYFUNCTION("""COMPUTED_VALUE"""),"Octavian")</f>
        <v>Octavian</v>
      </c>
      <c r="T105" s="7" t="str">
        <f ca="1">IFERROR(__xludf.DUMMYFUNCTION("""COMPUTED_VALUE"""),"http://www.ms.ro/2020/04/13/buletin-informativ-13-04-2020/")</f>
        <v>http://www.ms.ro/2020/04/13/buletin-informativ-13-04-2020/</v>
      </c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12.5">
      <c r="A106" s="5">
        <f ca="1">IFERROR(__xludf.DUMMYFUNCTION("""COMPUTED_VALUE"""),6371)</f>
        <v>6371</v>
      </c>
      <c r="B106" s="5"/>
      <c r="C106" s="5" t="str">
        <f ca="1">IFERROR(__xludf.DUMMYFUNCTION("""COMPUTED_VALUE"""),"Bihor")</f>
        <v>Bihor</v>
      </c>
      <c r="D106" s="13">
        <f ca="1">IFERROR(__xludf.DUMMYFUNCTION("""COMPUTED_VALUE"""),43934)</f>
        <v>43934</v>
      </c>
      <c r="E106" s="5" t="str">
        <f ca="1">IFERROR(__xludf.DUMMYFUNCTION("""COMPUTED_VALUE"""),"Nu")</f>
        <v>Nu</v>
      </c>
      <c r="F106" s="5"/>
      <c r="G106" s="5"/>
      <c r="H106" s="6"/>
      <c r="I106" s="5"/>
      <c r="J106" s="5"/>
      <c r="K106" s="7" t="str">
        <f ca="1">IFERROR(__xludf.DUMMYFUNCTION("""COMPUTED_VALUE"""),"https://stirioficiale.ro/informatii/buletin-de-presa-13-aprilie-2020-ora-13-69")</f>
        <v>https://stirioficiale.ro/informatii/buletin-de-presa-13-aprilie-2020-ora-13-69</v>
      </c>
      <c r="L106" s="5"/>
      <c r="M106" s="5"/>
      <c r="N106" s="5"/>
      <c r="O106" s="5"/>
      <c r="P106" s="5"/>
      <c r="Q106" s="5"/>
      <c r="R106" s="5" t="str">
        <f ca="1">IFERROR(__xludf.DUMMYFUNCTION("""COMPUTED_VALUE"""),"România")</f>
        <v>România</v>
      </c>
      <c r="S106" s="5" t="str">
        <f ca="1">IFERROR(__xludf.DUMMYFUNCTION("""COMPUTED_VALUE"""),"Octavian")</f>
        <v>Octavian</v>
      </c>
      <c r="T106" s="7" t="str">
        <f ca="1">IFERROR(__xludf.DUMMYFUNCTION("""COMPUTED_VALUE"""),"http://www.ms.ro/2020/04/13/buletin-informativ-13-04-2020/")</f>
        <v>http://www.ms.ro/2020/04/13/buletin-informativ-13-04-2020/</v>
      </c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2.5">
      <c r="A107" s="5">
        <f ca="1">IFERROR(__xludf.DUMMYFUNCTION("""COMPUTED_VALUE"""),6372)</f>
        <v>6372</v>
      </c>
      <c r="B107" s="5"/>
      <c r="C107" s="5" t="str">
        <f ca="1">IFERROR(__xludf.DUMMYFUNCTION("""COMPUTED_VALUE"""),"Bihor")</f>
        <v>Bihor</v>
      </c>
      <c r="D107" s="13">
        <f ca="1">IFERROR(__xludf.DUMMYFUNCTION("""COMPUTED_VALUE"""),43934)</f>
        <v>43934</v>
      </c>
      <c r="E107" s="5" t="str">
        <f ca="1">IFERROR(__xludf.DUMMYFUNCTION("""COMPUTED_VALUE"""),"Nu")</f>
        <v>Nu</v>
      </c>
      <c r="F107" s="5"/>
      <c r="G107" s="5"/>
      <c r="H107" s="6"/>
      <c r="I107" s="5"/>
      <c r="J107" s="5"/>
      <c r="K107" s="7" t="str">
        <f ca="1">IFERROR(__xludf.DUMMYFUNCTION("""COMPUTED_VALUE"""),"https://stirioficiale.ro/informatii/buletin-de-presa-13-aprilie-2020-ora-13-70")</f>
        <v>https://stirioficiale.ro/informatii/buletin-de-presa-13-aprilie-2020-ora-13-70</v>
      </c>
      <c r="L107" s="5"/>
      <c r="M107" s="5"/>
      <c r="N107" s="5"/>
      <c r="O107" s="5"/>
      <c r="P107" s="5"/>
      <c r="Q107" s="5"/>
      <c r="R107" s="5" t="str">
        <f ca="1">IFERROR(__xludf.DUMMYFUNCTION("""COMPUTED_VALUE"""),"România")</f>
        <v>România</v>
      </c>
      <c r="S107" s="5" t="str">
        <f ca="1">IFERROR(__xludf.DUMMYFUNCTION("""COMPUTED_VALUE"""),"Octavian")</f>
        <v>Octavian</v>
      </c>
      <c r="T107" s="7" t="str">
        <f ca="1">IFERROR(__xludf.DUMMYFUNCTION("""COMPUTED_VALUE"""),"http://www.ms.ro/2020/04/13/buletin-informativ-13-04-2020/")</f>
        <v>http://www.ms.ro/2020/04/13/buletin-informativ-13-04-2020/</v>
      </c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2.5">
      <c r="A108" s="5">
        <f ca="1">IFERROR(__xludf.DUMMYFUNCTION("""COMPUTED_VALUE"""),6373)</f>
        <v>6373</v>
      </c>
      <c r="B108" s="5"/>
      <c r="C108" s="5" t="str">
        <f ca="1">IFERROR(__xludf.DUMMYFUNCTION("""COMPUTED_VALUE"""),"Bihor")</f>
        <v>Bihor</v>
      </c>
      <c r="D108" s="13">
        <f ca="1">IFERROR(__xludf.DUMMYFUNCTION("""COMPUTED_VALUE"""),43934)</f>
        <v>43934</v>
      </c>
      <c r="E108" s="5" t="str">
        <f ca="1">IFERROR(__xludf.DUMMYFUNCTION("""COMPUTED_VALUE"""),"Nu")</f>
        <v>Nu</v>
      </c>
      <c r="F108" s="5"/>
      <c r="G108" s="5"/>
      <c r="H108" s="6"/>
      <c r="I108" s="5"/>
      <c r="J108" s="5"/>
      <c r="K108" s="7" t="str">
        <f ca="1">IFERROR(__xludf.DUMMYFUNCTION("""COMPUTED_VALUE"""),"https://stirioficiale.ro/informatii/buletin-de-presa-13-aprilie-2020-ora-13-71")</f>
        <v>https://stirioficiale.ro/informatii/buletin-de-presa-13-aprilie-2020-ora-13-71</v>
      </c>
      <c r="L108" s="5"/>
      <c r="M108" s="5"/>
      <c r="N108" s="5"/>
      <c r="O108" s="5"/>
      <c r="P108" s="5"/>
      <c r="Q108" s="5"/>
      <c r="R108" s="5" t="str">
        <f ca="1">IFERROR(__xludf.DUMMYFUNCTION("""COMPUTED_VALUE"""),"România")</f>
        <v>România</v>
      </c>
      <c r="S108" s="5" t="str">
        <f ca="1">IFERROR(__xludf.DUMMYFUNCTION("""COMPUTED_VALUE"""),"Octavian")</f>
        <v>Octavian</v>
      </c>
      <c r="T108" s="7" t="str">
        <f ca="1">IFERROR(__xludf.DUMMYFUNCTION("""COMPUTED_VALUE"""),"http://www.ms.ro/2020/04/13/buletin-informativ-13-04-2020/")</f>
        <v>http://www.ms.ro/2020/04/13/buletin-informativ-13-04-2020/</v>
      </c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2.5">
      <c r="A109" s="5">
        <f ca="1">IFERROR(__xludf.DUMMYFUNCTION("""COMPUTED_VALUE"""),6374)</f>
        <v>6374</v>
      </c>
      <c r="B109" s="5"/>
      <c r="C109" s="5" t="str">
        <f ca="1">IFERROR(__xludf.DUMMYFUNCTION("""COMPUTED_VALUE"""),"Bihor")</f>
        <v>Bihor</v>
      </c>
      <c r="D109" s="13">
        <f ca="1">IFERROR(__xludf.DUMMYFUNCTION("""COMPUTED_VALUE"""),43934)</f>
        <v>43934</v>
      </c>
      <c r="E109" s="5" t="str">
        <f ca="1">IFERROR(__xludf.DUMMYFUNCTION("""COMPUTED_VALUE"""),"Nu")</f>
        <v>Nu</v>
      </c>
      <c r="F109" s="5"/>
      <c r="G109" s="5"/>
      <c r="H109" s="6"/>
      <c r="I109" s="5"/>
      <c r="J109" s="5"/>
      <c r="K109" s="7" t="str">
        <f ca="1">IFERROR(__xludf.DUMMYFUNCTION("""COMPUTED_VALUE"""),"https://stirioficiale.ro/informatii/buletin-de-presa-13-aprilie-2020-ora-13-72")</f>
        <v>https://stirioficiale.ro/informatii/buletin-de-presa-13-aprilie-2020-ora-13-72</v>
      </c>
      <c r="L109" s="5"/>
      <c r="M109" s="5"/>
      <c r="N109" s="5"/>
      <c r="O109" s="5"/>
      <c r="P109" s="5"/>
      <c r="Q109" s="5"/>
      <c r="R109" s="5" t="str">
        <f ca="1">IFERROR(__xludf.DUMMYFUNCTION("""COMPUTED_VALUE"""),"România")</f>
        <v>România</v>
      </c>
      <c r="S109" s="5" t="str">
        <f ca="1">IFERROR(__xludf.DUMMYFUNCTION("""COMPUTED_VALUE"""),"Octavian")</f>
        <v>Octavian</v>
      </c>
      <c r="T109" s="7" t="str">
        <f ca="1">IFERROR(__xludf.DUMMYFUNCTION("""COMPUTED_VALUE"""),"http://www.ms.ro/2020/04/13/buletin-informativ-13-04-2020/")</f>
        <v>http://www.ms.ro/2020/04/13/buletin-informativ-13-04-2020/</v>
      </c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2.5">
      <c r="A110" s="5">
        <f ca="1">IFERROR(__xludf.DUMMYFUNCTION("""COMPUTED_VALUE"""),6375)</f>
        <v>6375</v>
      </c>
      <c r="B110" s="5"/>
      <c r="C110" s="5" t="str">
        <f ca="1">IFERROR(__xludf.DUMMYFUNCTION("""COMPUTED_VALUE"""),"Bihor")</f>
        <v>Bihor</v>
      </c>
      <c r="D110" s="13">
        <f ca="1">IFERROR(__xludf.DUMMYFUNCTION("""COMPUTED_VALUE"""),43934)</f>
        <v>43934</v>
      </c>
      <c r="E110" s="5" t="str">
        <f ca="1">IFERROR(__xludf.DUMMYFUNCTION("""COMPUTED_VALUE"""),"Nu")</f>
        <v>Nu</v>
      </c>
      <c r="F110" s="5"/>
      <c r="G110" s="5"/>
      <c r="H110" s="6"/>
      <c r="I110" s="5"/>
      <c r="J110" s="5"/>
      <c r="K110" s="7" t="str">
        <f ca="1">IFERROR(__xludf.DUMMYFUNCTION("""COMPUTED_VALUE"""),"https://stirioficiale.ro/informatii/buletin-de-presa-13-aprilie-2020-ora-13-73")</f>
        <v>https://stirioficiale.ro/informatii/buletin-de-presa-13-aprilie-2020-ora-13-73</v>
      </c>
      <c r="L110" s="5"/>
      <c r="M110" s="5"/>
      <c r="N110" s="5"/>
      <c r="O110" s="5"/>
      <c r="P110" s="5"/>
      <c r="Q110" s="5"/>
      <c r="R110" s="5" t="str">
        <f ca="1">IFERROR(__xludf.DUMMYFUNCTION("""COMPUTED_VALUE"""),"România")</f>
        <v>România</v>
      </c>
      <c r="S110" s="5" t="str">
        <f ca="1">IFERROR(__xludf.DUMMYFUNCTION("""COMPUTED_VALUE"""),"Octavian")</f>
        <v>Octavian</v>
      </c>
      <c r="T110" s="7" t="str">
        <f ca="1">IFERROR(__xludf.DUMMYFUNCTION("""COMPUTED_VALUE"""),"http://www.ms.ro/2020/04/13/buletin-informativ-13-04-2020/")</f>
        <v>http://www.ms.ro/2020/04/13/buletin-informativ-13-04-2020/</v>
      </c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2.5">
      <c r="A111" s="5">
        <f ca="1">IFERROR(__xludf.DUMMYFUNCTION("""COMPUTED_VALUE"""),6376)</f>
        <v>6376</v>
      </c>
      <c r="B111" s="5"/>
      <c r="C111" s="5" t="str">
        <f ca="1">IFERROR(__xludf.DUMMYFUNCTION("""COMPUTED_VALUE"""),"Bihor")</f>
        <v>Bihor</v>
      </c>
      <c r="D111" s="13">
        <f ca="1">IFERROR(__xludf.DUMMYFUNCTION("""COMPUTED_VALUE"""),43934)</f>
        <v>43934</v>
      </c>
      <c r="E111" s="5" t="str">
        <f ca="1">IFERROR(__xludf.DUMMYFUNCTION("""COMPUTED_VALUE"""),"Nu")</f>
        <v>Nu</v>
      </c>
      <c r="F111" s="5"/>
      <c r="G111" s="5"/>
      <c r="H111" s="6"/>
      <c r="I111" s="5"/>
      <c r="J111" s="5"/>
      <c r="K111" s="7" t="str">
        <f ca="1">IFERROR(__xludf.DUMMYFUNCTION("""COMPUTED_VALUE"""),"https://stirioficiale.ro/informatii/buletin-de-presa-13-aprilie-2020-ora-13-74")</f>
        <v>https://stirioficiale.ro/informatii/buletin-de-presa-13-aprilie-2020-ora-13-74</v>
      </c>
      <c r="L111" s="5"/>
      <c r="M111" s="5"/>
      <c r="N111" s="5"/>
      <c r="O111" s="5"/>
      <c r="P111" s="5"/>
      <c r="Q111" s="5"/>
      <c r="R111" s="5" t="str">
        <f ca="1">IFERROR(__xludf.DUMMYFUNCTION("""COMPUTED_VALUE"""),"România")</f>
        <v>România</v>
      </c>
      <c r="S111" s="5" t="str">
        <f ca="1">IFERROR(__xludf.DUMMYFUNCTION("""COMPUTED_VALUE"""),"Octavian")</f>
        <v>Octavian</v>
      </c>
      <c r="T111" s="7" t="str">
        <f ca="1">IFERROR(__xludf.DUMMYFUNCTION("""COMPUTED_VALUE"""),"http://www.ms.ro/2020/04/13/buletin-informativ-13-04-2020/")</f>
        <v>http://www.ms.ro/2020/04/13/buletin-informativ-13-04-2020/</v>
      </c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2.5">
      <c r="A112" s="5">
        <f ca="1">IFERROR(__xludf.DUMMYFUNCTION("""COMPUTED_VALUE"""),6377)</f>
        <v>6377</v>
      </c>
      <c r="B112" s="5"/>
      <c r="C112" s="5" t="str">
        <f ca="1">IFERROR(__xludf.DUMMYFUNCTION("""COMPUTED_VALUE"""),"Bihor")</f>
        <v>Bihor</v>
      </c>
      <c r="D112" s="13">
        <f ca="1">IFERROR(__xludf.DUMMYFUNCTION("""COMPUTED_VALUE"""),43934)</f>
        <v>43934</v>
      </c>
      <c r="E112" s="5" t="str">
        <f ca="1">IFERROR(__xludf.DUMMYFUNCTION("""COMPUTED_VALUE"""),"Nu")</f>
        <v>Nu</v>
      </c>
      <c r="F112" s="5"/>
      <c r="G112" s="5"/>
      <c r="H112" s="6"/>
      <c r="I112" s="5"/>
      <c r="J112" s="5"/>
      <c r="K112" s="7" t="str">
        <f ca="1">IFERROR(__xludf.DUMMYFUNCTION("""COMPUTED_VALUE"""),"https://stirioficiale.ro/informatii/buletin-de-presa-13-aprilie-2020-ora-13-75")</f>
        <v>https://stirioficiale.ro/informatii/buletin-de-presa-13-aprilie-2020-ora-13-75</v>
      </c>
      <c r="L112" s="5"/>
      <c r="M112" s="5"/>
      <c r="N112" s="5"/>
      <c r="O112" s="5"/>
      <c r="P112" s="5"/>
      <c r="Q112" s="5"/>
      <c r="R112" s="5" t="str">
        <f ca="1">IFERROR(__xludf.DUMMYFUNCTION("""COMPUTED_VALUE"""),"România")</f>
        <v>România</v>
      </c>
      <c r="S112" s="5" t="str">
        <f ca="1">IFERROR(__xludf.DUMMYFUNCTION("""COMPUTED_VALUE"""),"Octavian")</f>
        <v>Octavian</v>
      </c>
      <c r="T112" s="7" t="str">
        <f ca="1">IFERROR(__xludf.DUMMYFUNCTION("""COMPUTED_VALUE"""),"http://www.ms.ro/2020/04/13/buletin-informativ-13-04-2020/")</f>
        <v>http://www.ms.ro/2020/04/13/buletin-informativ-13-04-2020/</v>
      </c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2.5">
      <c r="A113" s="5">
        <f ca="1">IFERROR(__xludf.DUMMYFUNCTION("""COMPUTED_VALUE"""),6378)</f>
        <v>6378</v>
      </c>
      <c r="B113" s="5"/>
      <c r="C113" s="5" t="str">
        <f ca="1">IFERROR(__xludf.DUMMYFUNCTION("""COMPUTED_VALUE"""),"Bihor")</f>
        <v>Bihor</v>
      </c>
      <c r="D113" s="13">
        <f ca="1">IFERROR(__xludf.DUMMYFUNCTION("""COMPUTED_VALUE"""),43934)</f>
        <v>43934</v>
      </c>
      <c r="E113" s="5" t="str">
        <f ca="1">IFERROR(__xludf.DUMMYFUNCTION("""COMPUTED_VALUE"""),"Nu")</f>
        <v>Nu</v>
      </c>
      <c r="F113" s="5"/>
      <c r="G113" s="5"/>
      <c r="H113" s="6"/>
      <c r="I113" s="5"/>
      <c r="J113" s="5"/>
      <c r="K113" s="7" t="str">
        <f ca="1">IFERROR(__xludf.DUMMYFUNCTION("""COMPUTED_VALUE"""),"https://stirioficiale.ro/informatii/buletin-de-presa-13-aprilie-2020-ora-13-76")</f>
        <v>https://stirioficiale.ro/informatii/buletin-de-presa-13-aprilie-2020-ora-13-76</v>
      </c>
      <c r="L113" s="5"/>
      <c r="M113" s="5"/>
      <c r="N113" s="5"/>
      <c r="O113" s="5"/>
      <c r="P113" s="5"/>
      <c r="Q113" s="5"/>
      <c r="R113" s="5" t="str">
        <f ca="1">IFERROR(__xludf.DUMMYFUNCTION("""COMPUTED_VALUE"""),"România")</f>
        <v>România</v>
      </c>
      <c r="S113" s="5" t="str">
        <f ca="1">IFERROR(__xludf.DUMMYFUNCTION("""COMPUTED_VALUE"""),"Octavian")</f>
        <v>Octavian</v>
      </c>
      <c r="T113" s="7" t="str">
        <f ca="1">IFERROR(__xludf.DUMMYFUNCTION("""COMPUTED_VALUE"""),"http://www.ms.ro/2020/04/13/buletin-informativ-13-04-2020/")</f>
        <v>http://www.ms.ro/2020/04/13/buletin-informativ-13-04-2020/</v>
      </c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2.5">
      <c r="A114" s="5">
        <f ca="1">IFERROR(__xludf.DUMMYFUNCTION("""COMPUTED_VALUE"""),6379)</f>
        <v>6379</v>
      </c>
      <c r="B114" s="5"/>
      <c r="C114" s="5" t="str">
        <f ca="1">IFERROR(__xludf.DUMMYFUNCTION("""COMPUTED_VALUE"""),"Bihor")</f>
        <v>Bihor</v>
      </c>
      <c r="D114" s="13">
        <f ca="1">IFERROR(__xludf.DUMMYFUNCTION("""COMPUTED_VALUE"""),43934)</f>
        <v>43934</v>
      </c>
      <c r="E114" s="5" t="str">
        <f ca="1">IFERROR(__xludf.DUMMYFUNCTION("""COMPUTED_VALUE"""),"Nu")</f>
        <v>Nu</v>
      </c>
      <c r="F114" s="5"/>
      <c r="G114" s="5"/>
      <c r="H114" s="6"/>
      <c r="I114" s="5"/>
      <c r="J114" s="5"/>
      <c r="K114" s="7" t="str">
        <f ca="1">IFERROR(__xludf.DUMMYFUNCTION("""COMPUTED_VALUE"""),"https://stirioficiale.ro/informatii/buletin-de-presa-13-aprilie-2020-ora-13-77")</f>
        <v>https://stirioficiale.ro/informatii/buletin-de-presa-13-aprilie-2020-ora-13-77</v>
      </c>
      <c r="L114" s="5"/>
      <c r="M114" s="5"/>
      <c r="N114" s="5"/>
      <c r="O114" s="5"/>
      <c r="P114" s="5"/>
      <c r="Q114" s="5"/>
      <c r="R114" s="5" t="str">
        <f ca="1">IFERROR(__xludf.DUMMYFUNCTION("""COMPUTED_VALUE"""),"România")</f>
        <v>România</v>
      </c>
      <c r="S114" s="5" t="str">
        <f ca="1">IFERROR(__xludf.DUMMYFUNCTION("""COMPUTED_VALUE"""),"Octavian")</f>
        <v>Octavian</v>
      </c>
      <c r="T114" s="7" t="str">
        <f ca="1">IFERROR(__xludf.DUMMYFUNCTION("""COMPUTED_VALUE"""),"http://www.ms.ro/2020/04/13/buletin-informativ-13-04-2020/")</f>
        <v>http://www.ms.ro/2020/04/13/buletin-informativ-13-04-2020/</v>
      </c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2.5">
      <c r="A115" s="5">
        <f ca="1">IFERROR(__xludf.DUMMYFUNCTION("""COMPUTED_VALUE"""),6380)</f>
        <v>6380</v>
      </c>
      <c r="B115" s="5"/>
      <c r="C115" s="5" t="str">
        <f ca="1">IFERROR(__xludf.DUMMYFUNCTION("""COMPUTED_VALUE"""),"Bihor")</f>
        <v>Bihor</v>
      </c>
      <c r="D115" s="13">
        <f ca="1">IFERROR(__xludf.DUMMYFUNCTION("""COMPUTED_VALUE"""),43934)</f>
        <v>43934</v>
      </c>
      <c r="E115" s="5" t="str">
        <f ca="1">IFERROR(__xludf.DUMMYFUNCTION("""COMPUTED_VALUE"""),"Nu")</f>
        <v>Nu</v>
      </c>
      <c r="F115" s="5"/>
      <c r="G115" s="5"/>
      <c r="H115" s="6"/>
      <c r="I115" s="5"/>
      <c r="J115" s="5"/>
      <c r="K115" s="7" t="str">
        <f ca="1">IFERROR(__xludf.DUMMYFUNCTION("""COMPUTED_VALUE"""),"https://stirioficiale.ro/informatii/buletin-de-presa-13-aprilie-2020-ora-13-78")</f>
        <v>https://stirioficiale.ro/informatii/buletin-de-presa-13-aprilie-2020-ora-13-78</v>
      </c>
      <c r="L115" s="5"/>
      <c r="M115" s="5"/>
      <c r="N115" s="5"/>
      <c r="O115" s="5"/>
      <c r="P115" s="5"/>
      <c r="Q115" s="5"/>
      <c r="R115" s="5" t="str">
        <f ca="1">IFERROR(__xludf.DUMMYFUNCTION("""COMPUTED_VALUE"""),"România")</f>
        <v>România</v>
      </c>
      <c r="S115" s="5" t="str">
        <f ca="1">IFERROR(__xludf.DUMMYFUNCTION("""COMPUTED_VALUE"""),"Octavian")</f>
        <v>Octavian</v>
      </c>
      <c r="T115" s="7" t="str">
        <f ca="1">IFERROR(__xludf.DUMMYFUNCTION("""COMPUTED_VALUE"""),"http://www.ms.ro/2020/04/13/buletin-informativ-13-04-2020/")</f>
        <v>http://www.ms.ro/2020/04/13/buletin-informativ-13-04-2020/</v>
      </c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2.5">
      <c r="A116" s="5">
        <f ca="1">IFERROR(__xludf.DUMMYFUNCTION("""COMPUTED_VALUE"""),6381)</f>
        <v>6381</v>
      </c>
      <c r="B116" s="5"/>
      <c r="C116" s="5" t="str">
        <f ca="1">IFERROR(__xludf.DUMMYFUNCTION("""COMPUTED_VALUE"""),"Bihor")</f>
        <v>Bihor</v>
      </c>
      <c r="D116" s="13">
        <f ca="1">IFERROR(__xludf.DUMMYFUNCTION("""COMPUTED_VALUE"""),43934)</f>
        <v>43934</v>
      </c>
      <c r="E116" s="5" t="str">
        <f ca="1">IFERROR(__xludf.DUMMYFUNCTION("""COMPUTED_VALUE"""),"Nu")</f>
        <v>Nu</v>
      </c>
      <c r="F116" s="5"/>
      <c r="G116" s="5"/>
      <c r="H116" s="6"/>
      <c r="I116" s="5"/>
      <c r="J116" s="5"/>
      <c r="K116" s="7" t="str">
        <f ca="1">IFERROR(__xludf.DUMMYFUNCTION("""COMPUTED_VALUE"""),"https://stirioficiale.ro/informatii/buletin-de-presa-13-aprilie-2020-ora-13-79")</f>
        <v>https://stirioficiale.ro/informatii/buletin-de-presa-13-aprilie-2020-ora-13-79</v>
      </c>
      <c r="L116" s="5"/>
      <c r="M116" s="5"/>
      <c r="N116" s="5"/>
      <c r="O116" s="5"/>
      <c r="P116" s="5"/>
      <c r="Q116" s="5"/>
      <c r="R116" s="5" t="str">
        <f ca="1">IFERROR(__xludf.DUMMYFUNCTION("""COMPUTED_VALUE"""),"România")</f>
        <v>România</v>
      </c>
      <c r="S116" s="5" t="str">
        <f ca="1">IFERROR(__xludf.DUMMYFUNCTION("""COMPUTED_VALUE"""),"Octavian")</f>
        <v>Octavian</v>
      </c>
      <c r="T116" s="7" t="str">
        <f ca="1">IFERROR(__xludf.DUMMYFUNCTION("""COMPUTED_VALUE"""),"http://www.ms.ro/2020/04/13/buletin-informativ-13-04-2020/")</f>
        <v>http://www.ms.ro/2020/04/13/buletin-informativ-13-04-2020/</v>
      </c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2.5">
      <c r="A117" s="5">
        <f ca="1">IFERROR(__xludf.DUMMYFUNCTION("""COMPUTED_VALUE"""),6382)</f>
        <v>6382</v>
      </c>
      <c r="B117" s="5"/>
      <c r="C117" s="5" t="str">
        <f ca="1">IFERROR(__xludf.DUMMYFUNCTION("""COMPUTED_VALUE"""),"Bihor")</f>
        <v>Bihor</v>
      </c>
      <c r="D117" s="13">
        <f ca="1">IFERROR(__xludf.DUMMYFUNCTION("""COMPUTED_VALUE"""),43934)</f>
        <v>43934</v>
      </c>
      <c r="E117" s="5" t="str">
        <f ca="1">IFERROR(__xludf.DUMMYFUNCTION("""COMPUTED_VALUE"""),"Nu")</f>
        <v>Nu</v>
      </c>
      <c r="F117" s="5"/>
      <c r="G117" s="5"/>
      <c r="H117" s="6"/>
      <c r="I117" s="5"/>
      <c r="J117" s="5"/>
      <c r="K117" s="7" t="str">
        <f ca="1">IFERROR(__xludf.DUMMYFUNCTION("""COMPUTED_VALUE"""),"https://stirioficiale.ro/informatii/buletin-de-presa-13-aprilie-2020-ora-13-80")</f>
        <v>https://stirioficiale.ro/informatii/buletin-de-presa-13-aprilie-2020-ora-13-80</v>
      </c>
      <c r="L117" s="5"/>
      <c r="M117" s="5"/>
      <c r="N117" s="5"/>
      <c r="O117" s="5"/>
      <c r="P117" s="5"/>
      <c r="Q117" s="5"/>
      <c r="R117" s="5" t="str">
        <f ca="1">IFERROR(__xludf.DUMMYFUNCTION("""COMPUTED_VALUE"""),"România")</f>
        <v>România</v>
      </c>
      <c r="S117" s="5" t="str">
        <f ca="1">IFERROR(__xludf.DUMMYFUNCTION("""COMPUTED_VALUE"""),"Octavian")</f>
        <v>Octavian</v>
      </c>
      <c r="T117" s="7" t="str">
        <f ca="1">IFERROR(__xludf.DUMMYFUNCTION("""COMPUTED_VALUE"""),"http://www.ms.ro/2020/04/13/buletin-informativ-13-04-2020/")</f>
        <v>http://www.ms.ro/2020/04/13/buletin-informativ-13-04-2020/</v>
      </c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2.5">
      <c r="A118" s="5">
        <f ca="1">IFERROR(__xludf.DUMMYFUNCTION("""COMPUTED_VALUE"""),6383)</f>
        <v>6383</v>
      </c>
      <c r="B118" s="5"/>
      <c r="C118" s="5" t="str">
        <f ca="1">IFERROR(__xludf.DUMMYFUNCTION("""COMPUTED_VALUE"""),"Bihor")</f>
        <v>Bihor</v>
      </c>
      <c r="D118" s="13">
        <f ca="1">IFERROR(__xludf.DUMMYFUNCTION("""COMPUTED_VALUE"""),43934)</f>
        <v>43934</v>
      </c>
      <c r="E118" s="5" t="str">
        <f ca="1">IFERROR(__xludf.DUMMYFUNCTION("""COMPUTED_VALUE"""),"Nu")</f>
        <v>Nu</v>
      </c>
      <c r="F118" s="5"/>
      <c r="G118" s="5"/>
      <c r="H118" s="6"/>
      <c r="I118" s="5"/>
      <c r="J118" s="5"/>
      <c r="K118" s="7" t="str">
        <f ca="1">IFERROR(__xludf.DUMMYFUNCTION("""COMPUTED_VALUE"""),"https://stirioficiale.ro/informatii/buletin-de-presa-13-aprilie-2020-ora-13-81")</f>
        <v>https://stirioficiale.ro/informatii/buletin-de-presa-13-aprilie-2020-ora-13-81</v>
      </c>
      <c r="L118" s="5"/>
      <c r="M118" s="5"/>
      <c r="N118" s="5"/>
      <c r="O118" s="5"/>
      <c r="P118" s="5"/>
      <c r="Q118" s="5"/>
      <c r="R118" s="5" t="str">
        <f ca="1">IFERROR(__xludf.DUMMYFUNCTION("""COMPUTED_VALUE"""),"România")</f>
        <v>România</v>
      </c>
      <c r="S118" s="5" t="str">
        <f ca="1">IFERROR(__xludf.DUMMYFUNCTION("""COMPUTED_VALUE"""),"Octavian")</f>
        <v>Octavian</v>
      </c>
      <c r="T118" s="7" t="str">
        <f ca="1">IFERROR(__xludf.DUMMYFUNCTION("""COMPUTED_VALUE"""),"http://www.ms.ro/2020/04/13/buletin-informativ-13-04-2020/")</f>
        <v>http://www.ms.ro/2020/04/13/buletin-informativ-13-04-2020/</v>
      </c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2.5">
      <c r="A119" s="5">
        <f ca="1">IFERROR(__xludf.DUMMYFUNCTION("""COMPUTED_VALUE"""),6384)</f>
        <v>6384</v>
      </c>
      <c r="B119" s="5"/>
      <c r="C119" s="5" t="str">
        <f ca="1">IFERROR(__xludf.DUMMYFUNCTION("""COMPUTED_VALUE"""),"Bihor")</f>
        <v>Bihor</v>
      </c>
      <c r="D119" s="13">
        <f ca="1">IFERROR(__xludf.DUMMYFUNCTION("""COMPUTED_VALUE"""),43934)</f>
        <v>43934</v>
      </c>
      <c r="E119" s="5" t="str">
        <f ca="1">IFERROR(__xludf.DUMMYFUNCTION("""COMPUTED_VALUE"""),"Nu")</f>
        <v>Nu</v>
      </c>
      <c r="F119" s="5"/>
      <c r="G119" s="5"/>
      <c r="H119" s="6"/>
      <c r="I119" s="5"/>
      <c r="J119" s="5"/>
      <c r="K119" s="7" t="str">
        <f ca="1">IFERROR(__xludf.DUMMYFUNCTION("""COMPUTED_VALUE"""),"https://stirioficiale.ro/informatii/buletin-de-presa-13-aprilie-2020-ora-13-82")</f>
        <v>https://stirioficiale.ro/informatii/buletin-de-presa-13-aprilie-2020-ora-13-82</v>
      </c>
      <c r="L119" s="5"/>
      <c r="M119" s="5"/>
      <c r="N119" s="5"/>
      <c r="O119" s="5"/>
      <c r="P119" s="5"/>
      <c r="Q119" s="5"/>
      <c r="R119" s="5" t="str">
        <f ca="1">IFERROR(__xludf.DUMMYFUNCTION("""COMPUTED_VALUE"""),"România")</f>
        <v>România</v>
      </c>
      <c r="S119" s="5" t="str">
        <f ca="1">IFERROR(__xludf.DUMMYFUNCTION("""COMPUTED_VALUE"""),"Octavian")</f>
        <v>Octavian</v>
      </c>
      <c r="T119" s="7" t="str">
        <f ca="1">IFERROR(__xludf.DUMMYFUNCTION("""COMPUTED_VALUE"""),"http://www.ms.ro/2020/04/13/buletin-informativ-13-04-2020/")</f>
        <v>http://www.ms.ro/2020/04/13/buletin-informativ-13-04-2020/</v>
      </c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2.5">
      <c r="A120" s="5">
        <f ca="1">IFERROR(__xludf.DUMMYFUNCTION("""COMPUTED_VALUE"""),6385)</f>
        <v>6385</v>
      </c>
      <c r="B120" s="5"/>
      <c r="C120" s="5" t="str">
        <f ca="1">IFERROR(__xludf.DUMMYFUNCTION("""COMPUTED_VALUE"""),"Bihor")</f>
        <v>Bihor</v>
      </c>
      <c r="D120" s="13">
        <f ca="1">IFERROR(__xludf.DUMMYFUNCTION("""COMPUTED_VALUE"""),43934)</f>
        <v>43934</v>
      </c>
      <c r="E120" s="5" t="str">
        <f ca="1">IFERROR(__xludf.DUMMYFUNCTION("""COMPUTED_VALUE"""),"Nu")</f>
        <v>Nu</v>
      </c>
      <c r="F120" s="5"/>
      <c r="G120" s="5"/>
      <c r="H120" s="6"/>
      <c r="I120" s="5"/>
      <c r="J120" s="5"/>
      <c r="K120" s="7" t="str">
        <f ca="1">IFERROR(__xludf.DUMMYFUNCTION("""COMPUTED_VALUE"""),"https://stirioficiale.ro/informatii/buletin-de-presa-13-aprilie-2020-ora-13-83")</f>
        <v>https://stirioficiale.ro/informatii/buletin-de-presa-13-aprilie-2020-ora-13-83</v>
      </c>
      <c r="L120" s="5"/>
      <c r="M120" s="5"/>
      <c r="N120" s="5"/>
      <c r="O120" s="5"/>
      <c r="P120" s="5"/>
      <c r="Q120" s="5"/>
      <c r="R120" s="5" t="str">
        <f ca="1">IFERROR(__xludf.DUMMYFUNCTION("""COMPUTED_VALUE"""),"România")</f>
        <v>România</v>
      </c>
      <c r="S120" s="5" t="str">
        <f ca="1">IFERROR(__xludf.DUMMYFUNCTION("""COMPUTED_VALUE"""),"Octavian")</f>
        <v>Octavian</v>
      </c>
      <c r="T120" s="7" t="str">
        <f ca="1">IFERROR(__xludf.DUMMYFUNCTION("""COMPUTED_VALUE"""),"http://www.ms.ro/2020/04/13/buletin-informativ-13-04-2020/")</f>
        <v>http://www.ms.ro/2020/04/13/buletin-informativ-13-04-2020/</v>
      </c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2.5">
      <c r="A121" s="5">
        <f ca="1">IFERROR(__xludf.DUMMYFUNCTION("""COMPUTED_VALUE"""),6386)</f>
        <v>6386</v>
      </c>
      <c r="B121" s="5"/>
      <c r="C121" s="5" t="str">
        <f ca="1">IFERROR(__xludf.DUMMYFUNCTION("""COMPUTED_VALUE"""),"Bihor")</f>
        <v>Bihor</v>
      </c>
      <c r="D121" s="13">
        <f ca="1">IFERROR(__xludf.DUMMYFUNCTION("""COMPUTED_VALUE"""),43934)</f>
        <v>43934</v>
      </c>
      <c r="E121" s="5" t="str">
        <f ca="1">IFERROR(__xludf.DUMMYFUNCTION("""COMPUTED_VALUE"""),"Nu")</f>
        <v>Nu</v>
      </c>
      <c r="F121" s="5"/>
      <c r="G121" s="5"/>
      <c r="H121" s="6"/>
      <c r="I121" s="5"/>
      <c r="J121" s="5"/>
      <c r="K121" s="7" t="str">
        <f ca="1">IFERROR(__xludf.DUMMYFUNCTION("""COMPUTED_VALUE"""),"https://stirioficiale.ro/informatii/buletin-de-presa-13-aprilie-2020-ora-13-84")</f>
        <v>https://stirioficiale.ro/informatii/buletin-de-presa-13-aprilie-2020-ora-13-84</v>
      </c>
      <c r="L121" s="5"/>
      <c r="M121" s="5"/>
      <c r="N121" s="5"/>
      <c r="O121" s="5"/>
      <c r="P121" s="5"/>
      <c r="Q121" s="5"/>
      <c r="R121" s="5" t="str">
        <f ca="1">IFERROR(__xludf.DUMMYFUNCTION("""COMPUTED_VALUE"""),"România")</f>
        <v>România</v>
      </c>
      <c r="S121" s="5" t="str">
        <f ca="1">IFERROR(__xludf.DUMMYFUNCTION("""COMPUTED_VALUE"""),"Octavian")</f>
        <v>Octavian</v>
      </c>
      <c r="T121" s="7" t="str">
        <f ca="1">IFERROR(__xludf.DUMMYFUNCTION("""COMPUTED_VALUE"""),"http://www.ms.ro/2020/04/13/buletin-informativ-13-04-2020/")</f>
        <v>http://www.ms.ro/2020/04/13/buletin-informativ-13-04-2020/</v>
      </c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2.5">
      <c r="A122" s="5">
        <f ca="1">IFERROR(__xludf.DUMMYFUNCTION("""COMPUTED_VALUE"""),6387)</f>
        <v>6387</v>
      </c>
      <c r="B122" s="5"/>
      <c r="C122" s="5" t="str">
        <f ca="1">IFERROR(__xludf.DUMMYFUNCTION("""COMPUTED_VALUE"""),"Bihor")</f>
        <v>Bihor</v>
      </c>
      <c r="D122" s="13">
        <f ca="1">IFERROR(__xludf.DUMMYFUNCTION("""COMPUTED_VALUE"""),43934)</f>
        <v>43934</v>
      </c>
      <c r="E122" s="5" t="str">
        <f ca="1">IFERROR(__xludf.DUMMYFUNCTION("""COMPUTED_VALUE"""),"Nu")</f>
        <v>Nu</v>
      </c>
      <c r="F122" s="5"/>
      <c r="G122" s="5"/>
      <c r="H122" s="6"/>
      <c r="I122" s="5"/>
      <c r="J122" s="5"/>
      <c r="K122" s="7" t="str">
        <f ca="1">IFERROR(__xludf.DUMMYFUNCTION("""COMPUTED_VALUE"""),"https://stirioficiale.ro/informatii/buletin-de-presa-13-aprilie-2020-ora-13-85")</f>
        <v>https://stirioficiale.ro/informatii/buletin-de-presa-13-aprilie-2020-ora-13-85</v>
      </c>
      <c r="L122" s="5"/>
      <c r="M122" s="5"/>
      <c r="N122" s="5"/>
      <c r="O122" s="5"/>
      <c r="P122" s="5"/>
      <c r="Q122" s="5"/>
      <c r="R122" s="5" t="str">
        <f ca="1">IFERROR(__xludf.DUMMYFUNCTION("""COMPUTED_VALUE"""),"România")</f>
        <v>România</v>
      </c>
      <c r="S122" s="5" t="str">
        <f ca="1">IFERROR(__xludf.DUMMYFUNCTION("""COMPUTED_VALUE"""),"Octavian")</f>
        <v>Octavian</v>
      </c>
      <c r="T122" s="7" t="str">
        <f ca="1">IFERROR(__xludf.DUMMYFUNCTION("""COMPUTED_VALUE"""),"http://www.ms.ro/2020/04/13/buletin-informativ-13-04-2020/")</f>
        <v>http://www.ms.ro/2020/04/13/buletin-informativ-13-04-2020/</v>
      </c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2.5">
      <c r="A123" s="5">
        <f ca="1">IFERROR(__xludf.DUMMYFUNCTION("""COMPUTED_VALUE"""),6388)</f>
        <v>6388</v>
      </c>
      <c r="B123" s="5"/>
      <c r="C123" s="5" t="str">
        <f ca="1">IFERROR(__xludf.DUMMYFUNCTION("""COMPUTED_VALUE"""),"Bihor")</f>
        <v>Bihor</v>
      </c>
      <c r="D123" s="13">
        <f ca="1">IFERROR(__xludf.DUMMYFUNCTION("""COMPUTED_VALUE"""),43934)</f>
        <v>43934</v>
      </c>
      <c r="E123" s="5" t="str">
        <f ca="1">IFERROR(__xludf.DUMMYFUNCTION("""COMPUTED_VALUE"""),"Nu")</f>
        <v>Nu</v>
      </c>
      <c r="F123" s="5"/>
      <c r="G123" s="5"/>
      <c r="H123" s="6"/>
      <c r="I123" s="5"/>
      <c r="J123" s="5"/>
      <c r="K123" s="7" t="str">
        <f ca="1">IFERROR(__xludf.DUMMYFUNCTION("""COMPUTED_VALUE"""),"https://stirioficiale.ro/informatii/buletin-de-presa-13-aprilie-2020-ora-13-86")</f>
        <v>https://stirioficiale.ro/informatii/buletin-de-presa-13-aprilie-2020-ora-13-86</v>
      </c>
      <c r="L123" s="5"/>
      <c r="M123" s="5"/>
      <c r="N123" s="5"/>
      <c r="O123" s="5"/>
      <c r="P123" s="5"/>
      <c r="Q123" s="5"/>
      <c r="R123" s="5" t="str">
        <f ca="1">IFERROR(__xludf.DUMMYFUNCTION("""COMPUTED_VALUE"""),"România")</f>
        <v>România</v>
      </c>
      <c r="S123" s="5" t="str">
        <f ca="1">IFERROR(__xludf.DUMMYFUNCTION("""COMPUTED_VALUE"""),"Octavian")</f>
        <v>Octavian</v>
      </c>
      <c r="T123" s="7" t="str">
        <f ca="1">IFERROR(__xludf.DUMMYFUNCTION("""COMPUTED_VALUE"""),"http://www.ms.ro/2020/04/13/buletin-informativ-13-04-2020/")</f>
        <v>http://www.ms.ro/2020/04/13/buletin-informativ-13-04-2020/</v>
      </c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2.5">
      <c r="A124" s="5">
        <f ca="1">IFERROR(__xludf.DUMMYFUNCTION("""COMPUTED_VALUE"""),6389)</f>
        <v>6389</v>
      </c>
      <c r="B124" s="5"/>
      <c r="C124" s="5" t="str">
        <f ca="1">IFERROR(__xludf.DUMMYFUNCTION("""COMPUTED_VALUE"""),"Bihor")</f>
        <v>Bihor</v>
      </c>
      <c r="D124" s="13">
        <f ca="1">IFERROR(__xludf.DUMMYFUNCTION("""COMPUTED_VALUE"""),43934)</f>
        <v>43934</v>
      </c>
      <c r="E124" s="5" t="str">
        <f ca="1">IFERROR(__xludf.DUMMYFUNCTION("""COMPUTED_VALUE"""),"Nu")</f>
        <v>Nu</v>
      </c>
      <c r="F124" s="5"/>
      <c r="G124" s="5"/>
      <c r="H124" s="6"/>
      <c r="I124" s="5"/>
      <c r="J124" s="5"/>
      <c r="K124" s="7" t="str">
        <f ca="1">IFERROR(__xludf.DUMMYFUNCTION("""COMPUTED_VALUE"""),"https://stirioficiale.ro/informatii/buletin-de-presa-13-aprilie-2020-ora-13-87")</f>
        <v>https://stirioficiale.ro/informatii/buletin-de-presa-13-aprilie-2020-ora-13-87</v>
      </c>
      <c r="L124" s="5"/>
      <c r="M124" s="5"/>
      <c r="N124" s="5"/>
      <c r="O124" s="5"/>
      <c r="P124" s="5"/>
      <c r="Q124" s="5"/>
      <c r="R124" s="5" t="str">
        <f ca="1">IFERROR(__xludf.DUMMYFUNCTION("""COMPUTED_VALUE"""),"România")</f>
        <v>România</v>
      </c>
      <c r="S124" s="5" t="str">
        <f ca="1">IFERROR(__xludf.DUMMYFUNCTION("""COMPUTED_VALUE"""),"Octavian")</f>
        <v>Octavian</v>
      </c>
      <c r="T124" s="7" t="str">
        <f ca="1">IFERROR(__xludf.DUMMYFUNCTION("""COMPUTED_VALUE"""),"http://www.ms.ro/2020/04/13/buletin-informativ-13-04-2020/")</f>
        <v>http://www.ms.ro/2020/04/13/buletin-informativ-13-04-2020/</v>
      </c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2.5">
      <c r="A125" s="5">
        <f ca="1">IFERROR(__xludf.DUMMYFUNCTION("""COMPUTED_VALUE"""),6390)</f>
        <v>6390</v>
      </c>
      <c r="B125" s="5"/>
      <c r="C125" s="5" t="str">
        <f ca="1">IFERROR(__xludf.DUMMYFUNCTION("""COMPUTED_VALUE"""),"Bihor")</f>
        <v>Bihor</v>
      </c>
      <c r="D125" s="13">
        <f ca="1">IFERROR(__xludf.DUMMYFUNCTION("""COMPUTED_VALUE"""),43934)</f>
        <v>43934</v>
      </c>
      <c r="E125" s="5" t="str">
        <f ca="1">IFERROR(__xludf.DUMMYFUNCTION("""COMPUTED_VALUE"""),"Nu")</f>
        <v>Nu</v>
      </c>
      <c r="F125" s="5"/>
      <c r="G125" s="5"/>
      <c r="H125" s="6"/>
      <c r="I125" s="5"/>
      <c r="J125" s="5"/>
      <c r="K125" s="7" t="str">
        <f ca="1">IFERROR(__xludf.DUMMYFUNCTION("""COMPUTED_VALUE"""),"https://stirioficiale.ro/informatii/buletin-de-presa-13-aprilie-2020-ora-13-88")</f>
        <v>https://stirioficiale.ro/informatii/buletin-de-presa-13-aprilie-2020-ora-13-88</v>
      </c>
      <c r="L125" s="5"/>
      <c r="M125" s="5"/>
      <c r="N125" s="5"/>
      <c r="O125" s="5"/>
      <c r="P125" s="5"/>
      <c r="Q125" s="5"/>
      <c r="R125" s="5" t="str">
        <f ca="1">IFERROR(__xludf.DUMMYFUNCTION("""COMPUTED_VALUE"""),"România")</f>
        <v>România</v>
      </c>
      <c r="S125" s="5" t="str">
        <f ca="1">IFERROR(__xludf.DUMMYFUNCTION("""COMPUTED_VALUE"""),"Octavian")</f>
        <v>Octavian</v>
      </c>
      <c r="T125" s="7" t="str">
        <f ca="1">IFERROR(__xludf.DUMMYFUNCTION("""COMPUTED_VALUE"""),"http://www.ms.ro/2020/04/13/buletin-informativ-13-04-2020/")</f>
        <v>http://www.ms.ro/2020/04/13/buletin-informativ-13-04-2020/</v>
      </c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2.5">
      <c r="A126" s="5">
        <f ca="1">IFERROR(__xludf.DUMMYFUNCTION("""COMPUTED_VALUE"""),6391)</f>
        <v>6391</v>
      </c>
      <c r="B126" s="5"/>
      <c r="C126" s="5" t="str">
        <f ca="1">IFERROR(__xludf.DUMMYFUNCTION("""COMPUTED_VALUE"""),"Bihor")</f>
        <v>Bihor</v>
      </c>
      <c r="D126" s="13">
        <f ca="1">IFERROR(__xludf.DUMMYFUNCTION("""COMPUTED_VALUE"""),43934)</f>
        <v>43934</v>
      </c>
      <c r="E126" s="5" t="str">
        <f ca="1">IFERROR(__xludf.DUMMYFUNCTION("""COMPUTED_VALUE"""),"Nu")</f>
        <v>Nu</v>
      </c>
      <c r="F126" s="5"/>
      <c r="G126" s="5"/>
      <c r="H126" s="6"/>
      <c r="I126" s="5"/>
      <c r="J126" s="5"/>
      <c r="K126" s="7" t="str">
        <f ca="1">IFERROR(__xludf.DUMMYFUNCTION("""COMPUTED_VALUE"""),"https://stirioficiale.ro/informatii/buletin-de-presa-13-aprilie-2020-ora-13-89")</f>
        <v>https://stirioficiale.ro/informatii/buletin-de-presa-13-aprilie-2020-ora-13-89</v>
      </c>
      <c r="L126" s="5"/>
      <c r="M126" s="5"/>
      <c r="N126" s="5"/>
      <c r="O126" s="5"/>
      <c r="P126" s="5"/>
      <c r="Q126" s="5"/>
      <c r="R126" s="5" t="str">
        <f ca="1">IFERROR(__xludf.DUMMYFUNCTION("""COMPUTED_VALUE"""),"România")</f>
        <v>România</v>
      </c>
      <c r="S126" s="5" t="str">
        <f ca="1">IFERROR(__xludf.DUMMYFUNCTION("""COMPUTED_VALUE"""),"Octavian")</f>
        <v>Octavian</v>
      </c>
      <c r="T126" s="7" t="str">
        <f ca="1">IFERROR(__xludf.DUMMYFUNCTION("""COMPUTED_VALUE"""),"http://www.ms.ro/2020/04/13/buletin-informativ-13-04-2020/")</f>
        <v>http://www.ms.ro/2020/04/13/buletin-informativ-13-04-2020/</v>
      </c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2.5">
      <c r="A127" s="5">
        <f ca="1">IFERROR(__xludf.DUMMYFUNCTION("""COMPUTED_VALUE"""),6392)</f>
        <v>6392</v>
      </c>
      <c r="B127" s="5"/>
      <c r="C127" s="5" t="str">
        <f ca="1">IFERROR(__xludf.DUMMYFUNCTION("""COMPUTED_VALUE"""),"Bihor")</f>
        <v>Bihor</v>
      </c>
      <c r="D127" s="13">
        <f ca="1">IFERROR(__xludf.DUMMYFUNCTION("""COMPUTED_VALUE"""),43934)</f>
        <v>43934</v>
      </c>
      <c r="E127" s="5" t="str">
        <f ca="1">IFERROR(__xludf.DUMMYFUNCTION("""COMPUTED_VALUE"""),"Nu")</f>
        <v>Nu</v>
      </c>
      <c r="F127" s="5"/>
      <c r="G127" s="5"/>
      <c r="H127" s="6"/>
      <c r="I127" s="5"/>
      <c r="J127" s="5"/>
      <c r="K127" s="7" t="str">
        <f ca="1">IFERROR(__xludf.DUMMYFUNCTION("""COMPUTED_VALUE"""),"https://stirioficiale.ro/informatii/buletin-de-presa-13-aprilie-2020-ora-13-90")</f>
        <v>https://stirioficiale.ro/informatii/buletin-de-presa-13-aprilie-2020-ora-13-90</v>
      </c>
      <c r="L127" s="5"/>
      <c r="M127" s="5"/>
      <c r="N127" s="5"/>
      <c r="O127" s="5"/>
      <c r="P127" s="5"/>
      <c r="Q127" s="5"/>
      <c r="R127" s="5" t="str">
        <f ca="1">IFERROR(__xludf.DUMMYFUNCTION("""COMPUTED_VALUE"""),"România")</f>
        <v>România</v>
      </c>
      <c r="S127" s="5" t="str">
        <f ca="1">IFERROR(__xludf.DUMMYFUNCTION("""COMPUTED_VALUE"""),"Octavian")</f>
        <v>Octavian</v>
      </c>
      <c r="T127" s="7" t="str">
        <f ca="1">IFERROR(__xludf.DUMMYFUNCTION("""COMPUTED_VALUE"""),"http://www.ms.ro/2020/04/13/buletin-informativ-13-04-2020/")</f>
        <v>http://www.ms.ro/2020/04/13/buletin-informativ-13-04-2020/</v>
      </c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2.5">
      <c r="A128" s="5">
        <f ca="1">IFERROR(__xludf.DUMMYFUNCTION("""COMPUTED_VALUE"""),6393)</f>
        <v>6393</v>
      </c>
      <c r="B128" s="5"/>
      <c r="C128" s="5" t="str">
        <f ca="1">IFERROR(__xludf.DUMMYFUNCTION("""COMPUTED_VALUE"""),"Bihor")</f>
        <v>Bihor</v>
      </c>
      <c r="D128" s="13">
        <f ca="1">IFERROR(__xludf.DUMMYFUNCTION("""COMPUTED_VALUE"""),43934)</f>
        <v>43934</v>
      </c>
      <c r="E128" s="5" t="str">
        <f ca="1">IFERROR(__xludf.DUMMYFUNCTION("""COMPUTED_VALUE"""),"Nu")</f>
        <v>Nu</v>
      </c>
      <c r="F128" s="5"/>
      <c r="G128" s="5"/>
      <c r="H128" s="6"/>
      <c r="I128" s="5"/>
      <c r="J128" s="5"/>
      <c r="K128" s="7" t="str">
        <f ca="1">IFERROR(__xludf.DUMMYFUNCTION("""COMPUTED_VALUE"""),"https://stirioficiale.ro/informatii/buletin-de-presa-13-aprilie-2020-ora-13-91")</f>
        <v>https://stirioficiale.ro/informatii/buletin-de-presa-13-aprilie-2020-ora-13-91</v>
      </c>
      <c r="L128" s="5"/>
      <c r="M128" s="5"/>
      <c r="N128" s="5"/>
      <c r="O128" s="5"/>
      <c r="P128" s="5"/>
      <c r="Q128" s="5"/>
      <c r="R128" s="5" t="str">
        <f ca="1">IFERROR(__xludf.DUMMYFUNCTION("""COMPUTED_VALUE"""),"România")</f>
        <v>România</v>
      </c>
      <c r="S128" s="5" t="str">
        <f ca="1">IFERROR(__xludf.DUMMYFUNCTION("""COMPUTED_VALUE"""),"Octavian")</f>
        <v>Octavian</v>
      </c>
      <c r="T128" s="7" t="str">
        <f ca="1">IFERROR(__xludf.DUMMYFUNCTION("""COMPUTED_VALUE"""),"http://www.ms.ro/2020/04/13/buletin-informativ-13-04-2020/")</f>
        <v>http://www.ms.ro/2020/04/13/buletin-informativ-13-04-2020/</v>
      </c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2.5">
      <c r="A129" s="5">
        <f ca="1">IFERROR(__xludf.DUMMYFUNCTION("""COMPUTED_VALUE"""),6394)</f>
        <v>6394</v>
      </c>
      <c r="B129" s="5"/>
      <c r="C129" s="5" t="str">
        <f ca="1">IFERROR(__xludf.DUMMYFUNCTION("""COMPUTED_VALUE"""),"Bihor")</f>
        <v>Bihor</v>
      </c>
      <c r="D129" s="13">
        <f ca="1">IFERROR(__xludf.DUMMYFUNCTION("""COMPUTED_VALUE"""),43934)</f>
        <v>43934</v>
      </c>
      <c r="E129" s="5" t="str">
        <f ca="1">IFERROR(__xludf.DUMMYFUNCTION("""COMPUTED_VALUE"""),"Nu")</f>
        <v>Nu</v>
      </c>
      <c r="F129" s="5"/>
      <c r="G129" s="5"/>
      <c r="H129" s="6"/>
      <c r="I129" s="5"/>
      <c r="J129" s="5"/>
      <c r="K129" s="7" t="str">
        <f ca="1">IFERROR(__xludf.DUMMYFUNCTION("""COMPUTED_VALUE"""),"https://stirioficiale.ro/informatii/buletin-de-presa-13-aprilie-2020-ora-13-92")</f>
        <v>https://stirioficiale.ro/informatii/buletin-de-presa-13-aprilie-2020-ora-13-92</v>
      </c>
      <c r="L129" s="5"/>
      <c r="M129" s="5"/>
      <c r="N129" s="5"/>
      <c r="O129" s="5"/>
      <c r="P129" s="5"/>
      <c r="Q129" s="5"/>
      <c r="R129" s="5" t="str">
        <f ca="1">IFERROR(__xludf.DUMMYFUNCTION("""COMPUTED_VALUE"""),"România")</f>
        <v>România</v>
      </c>
      <c r="S129" s="5" t="str">
        <f ca="1">IFERROR(__xludf.DUMMYFUNCTION("""COMPUTED_VALUE"""),"Octavian")</f>
        <v>Octavian</v>
      </c>
      <c r="T129" s="7" t="str">
        <f ca="1">IFERROR(__xludf.DUMMYFUNCTION("""COMPUTED_VALUE"""),"http://www.ms.ro/2020/04/13/buletin-informativ-13-04-2020/")</f>
        <v>http://www.ms.ro/2020/04/13/buletin-informativ-13-04-2020/</v>
      </c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2.5">
      <c r="A130" s="5">
        <f ca="1">IFERROR(__xludf.DUMMYFUNCTION("""COMPUTED_VALUE"""),6395)</f>
        <v>6395</v>
      </c>
      <c r="B130" s="5"/>
      <c r="C130" s="5" t="str">
        <f ca="1">IFERROR(__xludf.DUMMYFUNCTION("""COMPUTED_VALUE"""),"Bihor")</f>
        <v>Bihor</v>
      </c>
      <c r="D130" s="13">
        <f ca="1">IFERROR(__xludf.DUMMYFUNCTION("""COMPUTED_VALUE"""),43934)</f>
        <v>43934</v>
      </c>
      <c r="E130" s="5" t="str">
        <f ca="1">IFERROR(__xludf.DUMMYFUNCTION("""COMPUTED_VALUE"""),"Nu")</f>
        <v>Nu</v>
      </c>
      <c r="F130" s="5"/>
      <c r="G130" s="5"/>
      <c r="H130" s="6"/>
      <c r="I130" s="5"/>
      <c r="J130" s="5"/>
      <c r="K130" s="7" t="str">
        <f ca="1">IFERROR(__xludf.DUMMYFUNCTION("""COMPUTED_VALUE"""),"https://stirioficiale.ro/informatii/buletin-de-presa-13-aprilie-2020-ora-13-93")</f>
        <v>https://stirioficiale.ro/informatii/buletin-de-presa-13-aprilie-2020-ora-13-93</v>
      </c>
      <c r="L130" s="5"/>
      <c r="M130" s="5"/>
      <c r="N130" s="5"/>
      <c r="O130" s="5"/>
      <c r="P130" s="5"/>
      <c r="Q130" s="5"/>
      <c r="R130" s="5" t="str">
        <f ca="1">IFERROR(__xludf.DUMMYFUNCTION("""COMPUTED_VALUE"""),"România")</f>
        <v>România</v>
      </c>
      <c r="S130" s="5" t="str">
        <f ca="1">IFERROR(__xludf.DUMMYFUNCTION("""COMPUTED_VALUE"""),"Octavian")</f>
        <v>Octavian</v>
      </c>
      <c r="T130" s="7" t="str">
        <f ca="1">IFERROR(__xludf.DUMMYFUNCTION("""COMPUTED_VALUE"""),"http://www.ms.ro/2020/04/13/buletin-informativ-13-04-2020/")</f>
        <v>http://www.ms.ro/2020/04/13/buletin-informativ-13-04-2020/</v>
      </c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2.5">
      <c r="A131" s="5">
        <f ca="1">IFERROR(__xludf.DUMMYFUNCTION("""COMPUTED_VALUE"""),6396)</f>
        <v>6396</v>
      </c>
      <c r="B131" s="5"/>
      <c r="C131" s="5" t="str">
        <f ca="1">IFERROR(__xludf.DUMMYFUNCTION("""COMPUTED_VALUE"""),"Bihor")</f>
        <v>Bihor</v>
      </c>
      <c r="D131" s="13">
        <f ca="1">IFERROR(__xludf.DUMMYFUNCTION("""COMPUTED_VALUE"""),43934)</f>
        <v>43934</v>
      </c>
      <c r="E131" s="5" t="str">
        <f ca="1">IFERROR(__xludf.DUMMYFUNCTION("""COMPUTED_VALUE"""),"Nu")</f>
        <v>Nu</v>
      </c>
      <c r="F131" s="5"/>
      <c r="G131" s="5"/>
      <c r="H131" s="6"/>
      <c r="I131" s="5"/>
      <c r="J131" s="5"/>
      <c r="K131" s="7" t="str">
        <f ca="1">IFERROR(__xludf.DUMMYFUNCTION("""COMPUTED_VALUE"""),"https://stirioficiale.ro/informatii/buletin-de-presa-13-aprilie-2020-ora-13-94")</f>
        <v>https://stirioficiale.ro/informatii/buletin-de-presa-13-aprilie-2020-ora-13-94</v>
      </c>
      <c r="L131" s="5"/>
      <c r="M131" s="5"/>
      <c r="N131" s="5"/>
      <c r="O131" s="5"/>
      <c r="P131" s="5"/>
      <c r="Q131" s="5"/>
      <c r="R131" s="5" t="str">
        <f ca="1">IFERROR(__xludf.DUMMYFUNCTION("""COMPUTED_VALUE"""),"România")</f>
        <v>România</v>
      </c>
      <c r="S131" s="5" t="str">
        <f ca="1">IFERROR(__xludf.DUMMYFUNCTION("""COMPUTED_VALUE"""),"Octavian")</f>
        <v>Octavian</v>
      </c>
      <c r="T131" s="7" t="str">
        <f ca="1">IFERROR(__xludf.DUMMYFUNCTION("""COMPUTED_VALUE"""),"http://www.ms.ro/2020/04/13/buletin-informativ-13-04-2020/")</f>
        <v>http://www.ms.ro/2020/04/13/buletin-informativ-13-04-2020/</v>
      </c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2.5">
      <c r="A132" s="5">
        <f ca="1">IFERROR(__xludf.DUMMYFUNCTION("""COMPUTED_VALUE"""),6397)</f>
        <v>6397</v>
      </c>
      <c r="B132" s="5"/>
      <c r="C132" s="5" t="str">
        <f ca="1">IFERROR(__xludf.DUMMYFUNCTION("""COMPUTED_VALUE"""),"Bihor")</f>
        <v>Bihor</v>
      </c>
      <c r="D132" s="13">
        <f ca="1">IFERROR(__xludf.DUMMYFUNCTION("""COMPUTED_VALUE"""),43934)</f>
        <v>43934</v>
      </c>
      <c r="E132" s="5" t="str">
        <f ca="1">IFERROR(__xludf.DUMMYFUNCTION("""COMPUTED_VALUE"""),"Nu")</f>
        <v>Nu</v>
      </c>
      <c r="F132" s="5"/>
      <c r="G132" s="5"/>
      <c r="H132" s="6"/>
      <c r="I132" s="5"/>
      <c r="J132" s="5"/>
      <c r="K132" s="7" t="str">
        <f ca="1">IFERROR(__xludf.DUMMYFUNCTION("""COMPUTED_VALUE"""),"https://stirioficiale.ro/informatii/buletin-de-presa-13-aprilie-2020-ora-13-95")</f>
        <v>https://stirioficiale.ro/informatii/buletin-de-presa-13-aprilie-2020-ora-13-95</v>
      </c>
      <c r="L132" s="5"/>
      <c r="M132" s="5"/>
      <c r="N132" s="5"/>
      <c r="O132" s="5"/>
      <c r="P132" s="5"/>
      <c r="Q132" s="5"/>
      <c r="R132" s="5" t="str">
        <f ca="1">IFERROR(__xludf.DUMMYFUNCTION("""COMPUTED_VALUE"""),"România")</f>
        <v>România</v>
      </c>
      <c r="S132" s="5" t="str">
        <f ca="1">IFERROR(__xludf.DUMMYFUNCTION("""COMPUTED_VALUE"""),"Octavian")</f>
        <v>Octavian</v>
      </c>
      <c r="T132" s="7" t="str">
        <f ca="1">IFERROR(__xludf.DUMMYFUNCTION("""COMPUTED_VALUE"""),"http://www.ms.ro/2020/04/13/buletin-informativ-13-04-2020/")</f>
        <v>http://www.ms.ro/2020/04/13/buletin-informativ-13-04-2020/</v>
      </c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2.5">
      <c r="A133" s="5">
        <f ca="1">IFERROR(__xludf.DUMMYFUNCTION("""COMPUTED_VALUE"""),6398)</f>
        <v>6398</v>
      </c>
      <c r="B133" s="5"/>
      <c r="C133" s="5" t="str">
        <f ca="1">IFERROR(__xludf.DUMMYFUNCTION("""COMPUTED_VALUE"""),"Bihor")</f>
        <v>Bihor</v>
      </c>
      <c r="D133" s="13">
        <f ca="1">IFERROR(__xludf.DUMMYFUNCTION("""COMPUTED_VALUE"""),43934)</f>
        <v>43934</v>
      </c>
      <c r="E133" s="5" t="str">
        <f ca="1">IFERROR(__xludf.DUMMYFUNCTION("""COMPUTED_VALUE"""),"Nu")</f>
        <v>Nu</v>
      </c>
      <c r="F133" s="5"/>
      <c r="G133" s="5"/>
      <c r="H133" s="6"/>
      <c r="I133" s="5"/>
      <c r="J133" s="5"/>
      <c r="K133" s="7" t="str">
        <f ca="1">IFERROR(__xludf.DUMMYFUNCTION("""COMPUTED_VALUE"""),"https://stirioficiale.ro/informatii/buletin-de-presa-13-aprilie-2020-ora-13-96")</f>
        <v>https://stirioficiale.ro/informatii/buletin-de-presa-13-aprilie-2020-ora-13-96</v>
      </c>
      <c r="L133" s="5"/>
      <c r="M133" s="5"/>
      <c r="N133" s="5"/>
      <c r="O133" s="5"/>
      <c r="P133" s="5"/>
      <c r="Q133" s="5"/>
      <c r="R133" s="5" t="str">
        <f ca="1">IFERROR(__xludf.DUMMYFUNCTION("""COMPUTED_VALUE"""),"România")</f>
        <v>România</v>
      </c>
      <c r="S133" s="5" t="str">
        <f ca="1">IFERROR(__xludf.DUMMYFUNCTION("""COMPUTED_VALUE"""),"Octavian")</f>
        <v>Octavian</v>
      </c>
      <c r="T133" s="7" t="str">
        <f ca="1">IFERROR(__xludf.DUMMYFUNCTION("""COMPUTED_VALUE"""),"http://www.ms.ro/2020/04/13/buletin-informativ-13-04-2020/")</f>
        <v>http://www.ms.ro/2020/04/13/buletin-informativ-13-04-2020/</v>
      </c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2.5">
      <c r="A134" s="5">
        <f ca="1">IFERROR(__xludf.DUMMYFUNCTION("""COMPUTED_VALUE"""),6399)</f>
        <v>6399</v>
      </c>
      <c r="B134" s="5"/>
      <c r="C134" s="5" t="str">
        <f ca="1">IFERROR(__xludf.DUMMYFUNCTION("""COMPUTED_VALUE"""),"Bihor")</f>
        <v>Bihor</v>
      </c>
      <c r="D134" s="13">
        <f ca="1">IFERROR(__xludf.DUMMYFUNCTION("""COMPUTED_VALUE"""),43934)</f>
        <v>43934</v>
      </c>
      <c r="E134" s="5" t="str">
        <f ca="1">IFERROR(__xludf.DUMMYFUNCTION("""COMPUTED_VALUE"""),"Nu")</f>
        <v>Nu</v>
      </c>
      <c r="F134" s="5"/>
      <c r="G134" s="5"/>
      <c r="H134" s="6"/>
      <c r="I134" s="5"/>
      <c r="J134" s="5"/>
      <c r="K134" s="7" t="str">
        <f ca="1">IFERROR(__xludf.DUMMYFUNCTION("""COMPUTED_VALUE"""),"https://stirioficiale.ro/informatii/buletin-de-presa-13-aprilie-2020-ora-13-97")</f>
        <v>https://stirioficiale.ro/informatii/buletin-de-presa-13-aprilie-2020-ora-13-97</v>
      </c>
      <c r="L134" s="5"/>
      <c r="M134" s="5"/>
      <c r="N134" s="5"/>
      <c r="O134" s="5"/>
      <c r="P134" s="5"/>
      <c r="Q134" s="5"/>
      <c r="R134" s="5" t="str">
        <f ca="1">IFERROR(__xludf.DUMMYFUNCTION("""COMPUTED_VALUE"""),"România")</f>
        <v>România</v>
      </c>
      <c r="S134" s="5" t="str">
        <f ca="1">IFERROR(__xludf.DUMMYFUNCTION("""COMPUTED_VALUE"""),"Octavian")</f>
        <v>Octavian</v>
      </c>
      <c r="T134" s="7" t="str">
        <f ca="1">IFERROR(__xludf.DUMMYFUNCTION("""COMPUTED_VALUE"""),"http://www.ms.ro/2020/04/13/buletin-informativ-13-04-2020/")</f>
        <v>http://www.ms.ro/2020/04/13/buletin-informativ-13-04-2020/</v>
      </c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2.5">
      <c r="A135" s="5">
        <f ca="1">IFERROR(__xludf.DUMMYFUNCTION("""COMPUTED_VALUE"""),6400)</f>
        <v>6400</v>
      </c>
      <c r="B135" s="5"/>
      <c r="C135" s="5" t="str">
        <f ca="1">IFERROR(__xludf.DUMMYFUNCTION("""COMPUTED_VALUE"""),"Bihor")</f>
        <v>Bihor</v>
      </c>
      <c r="D135" s="13">
        <f ca="1">IFERROR(__xludf.DUMMYFUNCTION("""COMPUTED_VALUE"""),43934)</f>
        <v>43934</v>
      </c>
      <c r="E135" s="5" t="str">
        <f ca="1">IFERROR(__xludf.DUMMYFUNCTION("""COMPUTED_VALUE"""),"Nu")</f>
        <v>Nu</v>
      </c>
      <c r="F135" s="5"/>
      <c r="G135" s="5"/>
      <c r="H135" s="6"/>
      <c r="I135" s="5"/>
      <c r="J135" s="5"/>
      <c r="K135" s="7" t="str">
        <f ca="1">IFERROR(__xludf.DUMMYFUNCTION("""COMPUTED_VALUE"""),"https://stirioficiale.ro/informatii/buletin-de-presa-13-aprilie-2020-ora-13-98")</f>
        <v>https://stirioficiale.ro/informatii/buletin-de-presa-13-aprilie-2020-ora-13-98</v>
      </c>
      <c r="L135" s="5"/>
      <c r="M135" s="5"/>
      <c r="N135" s="5"/>
      <c r="O135" s="5"/>
      <c r="P135" s="5"/>
      <c r="Q135" s="5"/>
      <c r="R135" s="5" t="str">
        <f ca="1">IFERROR(__xludf.DUMMYFUNCTION("""COMPUTED_VALUE"""),"România")</f>
        <v>România</v>
      </c>
      <c r="S135" s="5" t="str">
        <f ca="1">IFERROR(__xludf.DUMMYFUNCTION("""COMPUTED_VALUE"""),"Octavian")</f>
        <v>Octavian</v>
      </c>
      <c r="T135" s="7" t="str">
        <f ca="1">IFERROR(__xludf.DUMMYFUNCTION("""COMPUTED_VALUE"""),"http://www.ms.ro/2020/04/13/buletin-informativ-13-04-2020/")</f>
        <v>http://www.ms.ro/2020/04/13/buletin-informativ-13-04-2020/</v>
      </c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2.5">
      <c r="A136" s="5">
        <f ca="1">IFERROR(__xludf.DUMMYFUNCTION("""COMPUTED_VALUE"""),6401)</f>
        <v>6401</v>
      </c>
      <c r="B136" s="5"/>
      <c r="C136" s="5" t="str">
        <f ca="1">IFERROR(__xludf.DUMMYFUNCTION("""COMPUTED_VALUE"""),"Bihor")</f>
        <v>Bihor</v>
      </c>
      <c r="D136" s="13">
        <f ca="1">IFERROR(__xludf.DUMMYFUNCTION("""COMPUTED_VALUE"""),43934)</f>
        <v>43934</v>
      </c>
      <c r="E136" s="5" t="str">
        <f ca="1">IFERROR(__xludf.DUMMYFUNCTION("""COMPUTED_VALUE"""),"Nu")</f>
        <v>Nu</v>
      </c>
      <c r="F136" s="5"/>
      <c r="G136" s="5"/>
      <c r="H136" s="6"/>
      <c r="I136" s="5"/>
      <c r="J136" s="5"/>
      <c r="K136" s="7" t="str">
        <f ca="1">IFERROR(__xludf.DUMMYFUNCTION("""COMPUTED_VALUE"""),"https://stirioficiale.ro/informatii/buletin-de-presa-13-aprilie-2020-ora-13-99")</f>
        <v>https://stirioficiale.ro/informatii/buletin-de-presa-13-aprilie-2020-ora-13-99</v>
      </c>
      <c r="L136" s="5"/>
      <c r="M136" s="5"/>
      <c r="N136" s="5"/>
      <c r="O136" s="5"/>
      <c r="P136" s="5"/>
      <c r="Q136" s="5"/>
      <c r="R136" s="5" t="str">
        <f ca="1">IFERROR(__xludf.DUMMYFUNCTION("""COMPUTED_VALUE"""),"România")</f>
        <v>România</v>
      </c>
      <c r="S136" s="5" t="str">
        <f ca="1">IFERROR(__xludf.DUMMYFUNCTION("""COMPUTED_VALUE"""),"Octavian")</f>
        <v>Octavian</v>
      </c>
      <c r="T136" s="7" t="str">
        <f ca="1">IFERROR(__xludf.DUMMYFUNCTION("""COMPUTED_VALUE"""),"http://www.ms.ro/2020/04/13/buletin-informativ-13-04-2020/")</f>
        <v>http://www.ms.ro/2020/04/13/buletin-informativ-13-04-2020/</v>
      </c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2.5">
      <c r="A137" s="5">
        <f ca="1">IFERROR(__xludf.DUMMYFUNCTION("""COMPUTED_VALUE"""),6402)</f>
        <v>6402</v>
      </c>
      <c r="B137" s="5"/>
      <c r="C137" s="5" t="str">
        <f ca="1">IFERROR(__xludf.DUMMYFUNCTION("""COMPUTED_VALUE"""),"Bihor")</f>
        <v>Bihor</v>
      </c>
      <c r="D137" s="13">
        <f ca="1">IFERROR(__xludf.DUMMYFUNCTION("""COMPUTED_VALUE"""),43934)</f>
        <v>43934</v>
      </c>
      <c r="E137" s="5" t="str">
        <f ca="1">IFERROR(__xludf.DUMMYFUNCTION("""COMPUTED_VALUE"""),"Nu")</f>
        <v>Nu</v>
      </c>
      <c r="F137" s="5"/>
      <c r="G137" s="5"/>
      <c r="H137" s="6"/>
      <c r="I137" s="5"/>
      <c r="J137" s="5"/>
      <c r="K137" s="7" t="str">
        <f ca="1">IFERROR(__xludf.DUMMYFUNCTION("""COMPUTED_VALUE"""),"https://stirioficiale.ro/informatii/buletin-de-presa-13-aprilie-2020-ora-13-100")</f>
        <v>https://stirioficiale.ro/informatii/buletin-de-presa-13-aprilie-2020-ora-13-100</v>
      </c>
      <c r="L137" s="5"/>
      <c r="M137" s="5"/>
      <c r="N137" s="5"/>
      <c r="O137" s="5"/>
      <c r="P137" s="5"/>
      <c r="Q137" s="5"/>
      <c r="R137" s="5" t="str">
        <f ca="1">IFERROR(__xludf.DUMMYFUNCTION("""COMPUTED_VALUE"""),"România")</f>
        <v>România</v>
      </c>
      <c r="S137" s="5" t="str">
        <f ca="1">IFERROR(__xludf.DUMMYFUNCTION("""COMPUTED_VALUE"""),"Octavian")</f>
        <v>Octavian</v>
      </c>
      <c r="T137" s="7" t="str">
        <f ca="1">IFERROR(__xludf.DUMMYFUNCTION("""COMPUTED_VALUE"""),"http://www.ms.ro/2020/04/13/buletin-informativ-13-04-2020/")</f>
        <v>http://www.ms.ro/2020/04/13/buletin-informativ-13-04-2020/</v>
      </c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2.5">
      <c r="A138" s="5">
        <f ca="1">IFERROR(__xludf.DUMMYFUNCTION("""COMPUTED_VALUE"""),6403)</f>
        <v>6403</v>
      </c>
      <c r="B138" s="5"/>
      <c r="C138" s="5" t="str">
        <f ca="1">IFERROR(__xludf.DUMMYFUNCTION("""COMPUTED_VALUE"""),"Bihor")</f>
        <v>Bihor</v>
      </c>
      <c r="D138" s="13">
        <f ca="1">IFERROR(__xludf.DUMMYFUNCTION("""COMPUTED_VALUE"""),43934)</f>
        <v>43934</v>
      </c>
      <c r="E138" s="5" t="str">
        <f ca="1">IFERROR(__xludf.DUMMYFUNCTION("""COMPUTED_VALUE"""),"Nu")</f>
        <v>Nu</v>
      </c>
      <c r="F138" s="5"/>
      <c r="G138" s="5"/>
      <c r="H138" s="6"/>
      <c r="I138" s="5"/>
      <c r="J138" s="5"/>
      <c r="K138" s="7" t="str">
        <f ca="1">IFERROR(__xludf.DUMMYFUNCTION("""COMPUTED_VALUE"""),"https://stirioficiale.ro/informatii/buletin-de-presa-13-aprilie-2020-ora-13-101")</f>
        <v>https://stirioficiale.ro/informatii/buletin-de-presa-13-aprilie-2020-ora-13-101</v>
      </c>
      <c r="L138" s="5"/>
      <c r="M138" s="5"/>
      <c r="N138" s="5"/>
      <c r="O138" s="5"/>
      <c r="P138" s="5"/>
      <c r="Q138" s="5"/>
      <c r="R138" s="5" t="str">
        <f ca="1">IFERROR(__xludf.DUMMYFUNCTION("""COMPUTED_VALUE"""),"România")</f>
        <v>România</v>
      </c>
      <c r="S138" s="5" t="str">
        <f ca="1">IFERROR(__xludf.DUMMYFUNCTION("""COMPUTED_VALUE"""),"Octavian")</f>
        <v>Octavian</v>
      </c>
      <c r="T138" s="7" t="str">
        <f ca="1">IFERROR(__xludf.DUMMYFUNCTION("""COMPUTED_VALUE"""),"http://www.ms.ro/2020/04/13/buletin-informativ-13-04-2020/")</f>
        <v>http://www.ms.ro/2020/04/13/buletin-informativ-13-04-2020/</v>
      </c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2.5">
      <c r="A139" s="5">
        <f ca="1">IFERROR(__xludf.DUMMYFUNCTION("""COMPUTED_VALUE"""),6404)</f>
        <v>6404</v>
      </c>
      <c r="B139" s="5"/>
      <c r="C139" s="5" t="str">
        <f ca="1">IFERROR(__xludf.DUMMYFUNCTION("""COMPUTED_VALUE"""),"Bihor")</f>
        <v>Bihor</v>
      </c>
      <c r="D139" s="13">
        <f ca="1">IFERROR(__xludf.DUMMYFUNCTION("""COMPUTED_VALUE"""),43934)</f>
        <v>43934</v>
      </c>
      <c r="E139" s="5" t="str">
        <f ca="1">IFERROR(__xludf.DUMMYFUNCTION("""COMPUTED_VALUE"""),"Nu")</f>
        <v>Nu</v>
      </c>
      <c r="F139" s="5"/>
      <c r="G139" s="5"/>
      <c r="H139" s="6"/>
      <c r="I139" s="5"/>
      <c r="J139" s="5"/>
      <c r="K139" s="7" t="str">
        <f ca="1">IFERROR(__xludf.DUMMYFUNCTION("""COMPUTED_VALUE"""),"https://stirioficiale.ro/informatii/buletin-de-presa-13-aprilie-2020-ora-13-102")</f>
        <v>https://stirioficiale.ro/informatii/buletin-de-presa-13-aprilie-2020-ora-13-102</v>
      </c>
      <c r="L139" s="5"/>
      <c r="M139" s="5"/>
      <c r="N139" s="5"/>
      <c r="O139" s="5"/>
      <c r="P139" s="5"/>
      <c r="Q139" s="5"/>
      <c r="R139" s="5" t="str">
        <f ca="1">IFERROR(__xludf.DUMMYFUNCTION("""COMPUTED_VALUE"""),"România")</f>
        <v>România</v>
      </c>
      <c r="S139" s="5" t="str">
        <f ca="1">IFERROR(__xludf.DUMMYFUNCTION("""COMPUTED_VALUE"""),"Octavian")</f>
        <v>Octavian</v>
      </c>
      <c r="T139" s="7" t="str">
        <f ca="1">IFERROR(__xludf.DUMMYFUNCTION("""COMPUTED_VALUE"""),"http://www.ms.ro/2020/04/13/buletin-informativ-13-04-2020/")</f>
        <v>http://www.ms.ro/2020/04/13/buletin-informativ-13-04-2020/</v>
      </c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2.5">
      <c r="A140" s="5">
        <f ca="1">IFERROR(__xludf.DUMMYFUNCTION("""COMPUTED_VALUE"""),6405)</f>
        <v>6405</v>
      </c>
      <c r="B140" s="5"/>
      <c r="C140" s="5" t="str">
        <f ca="1">IFERROR(__xludf.DUMMYFUNCTION("""COMPUTED_VALUE"""),"Bihor")</f>
        <v>Bihor</v>
      </c>
      <c r="D140" s="13">
        <f ca="1">IFERROR(__xludf.DUMMYFUNCTION("""COMPUTED_VALUE"""),43934)</f>
        <v>43934</v>
      </c>
      <c r="E140" s="5" t="str">
        <f ca="1">IFERROR(__xludf.DUMMYFUNCTION("""COMPUTED_VALUE"""),"Nu")</f>
        <v>Nu</v>
      </c>
      <c r="F140" s="5"/>
      <c r="G140" s="5"/>
      <c r="H140" s="6"/>
      <c r="I140" s="5"/>
      <c r="J140" s="5"/>
      <c r="K140" s="7" t="str">
        <f ca="1">IFERROR(__xludf.DUMMYFUNCTION("""COMPUTED_VALUE"""),"https://stirioficiale.ro/informatii/buletin-de-presa-13-aprilie-2020-ora-13-103")</f>
        <v>https://stirioficiale.ro/informatii/buletin-de-presa-13-aprilie-2020-ora-13-103</v>
      </c>
      <c r="L140" s="5"/>
      <c r="M140" s="5"/>
      <c r="N140" s="5"/>
      <c r="O140" s="5"/>
      <c r="P140" s="5"/>
      <c r="Q140" s="5"/>
      <c r="R140" s="5" t="str">
        <f ca="1">IFERROR(__xludf.DUMMYFUNCTION("""COMPUTED_VALUE"""),"România")</f>
        <v>România</v>
      </c>
      <c r="S140" s="5" t="str">
        <f ca="1">IFERROR(__xludf.DUMMYFUNCTION("""COMPUTED_VALUE"""),"Octavian")</f>
        <v>Octavian</v>
      </c>
      <c r="T140" s="7" t="str">
        <f ca="1">IFERROR(__xludf.DUMMYFUNCTION("""COMPUTED_VALUE"""),"http://www.ms.ro/2020/04/13/buletin-informativ-13-04-2020/")</f>
        <v>http://www.ms.ro/2020/04/13/buletin-informativ-13-04-2020/</v>
      </c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2.5">
      <c r="A141" s="5">
        <f ca="1">IFERROR(__xludf.DUMMYFUNCTION("""COMPUTED_VALUE"""),6406)</f>
        <v>6406</v>
      </c>
      <c r="B141" s="5"/>
      <c r="C141" s="5" t="str">
        <f ca="1">IFERROR(__xludf.DUMMYFUNCTION("""COMPUTED_VALUE"""),"Bihor")</f>
        <v>Bihor</v>
      </c>
      <c r="D141" s="13">
        <f ca="1">IFERROR(__xludf.DUMMYFUNCTION("""COMPUTED_VALUE"""),43934)</f>
        <v>43934</v>
      </c>
      <c r="E141" s="5" t="str">
        <f ca="1">IFERROR(__xludf.DUMMYFUNCTION("""COMPUTED_VALUE"""),"Nu")</f>
        <v>Nu</v>
      </c>
      <c r="F141" s="5"/>
      <c r="G141" s="5"/>
      <c r="H141" s="6"/>
      <c r="I141" s="5"/>
      <c r="J141" s="5"/>
      <c r="K141" s="7" t="str">
        <f ca="1">IFERROR(__xludf.DUMMYFUNCTION("""COMPUTED_VALUE"""),"https://stirioficiale.ro/informatii/buletin-de-presa-13-aprilie-2020-ora-13-104")</f>
        <v>https://stirioficiale.ro/informatii/buletin-de-presa-13-aprilie-2020-ora-13-104</v>
      </c>
      <c r="L141" s="5"/>
      <c r="M141" s="5"/>
      <c r="N141" s="5"/>
      <c r="O141" s="5"/>
      <c r="P141" s="5"/>
      <c r="Q141" s="5"/>
      <c r="R141" s="5" t="str">
        <f ca="1">IFERROR(__xludf.DUMMYFUNCTION("""COMPUTED_VALUE"""),"România")</f>
        <v>România</v>
      </c>
      <c r="S141" s="5" t="str">
        <f ca="1">IFERROR(__xludf.DUMMYFUNCTION("""COMPUTED_VALUE"""),"Octavian")</f>
        <v>Octavian</v>
      </c>
      <c r="T141" s="7" t="str">
        <f ca="1">IFERROR(__xludf.DUMMYFUNCTION("""COMPUTED_VALUE"""),"http://www.ms.ro/2020/04/13/buletin-informativ-13-04-2020/")</f>
        <v>http://www.ms.ro/2020/04/13/buletin-informativ-13-04-2020/</v>
      </c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2.5">
      <c r="A142" s="5">
        <f ca="1">IFERROR(__xludf.DUMMYFUNCTION("""COMPUTED_VALUE"""),6407)</f>
        <v>6407</v>
      </c>
      <c r="B142" s="5"/>
      <c r="C142" s="5" t="str">
        <f ca="1">IFERROR(__xludf.DUMMYFUNCTION("""COMPUTED_VALUE"""),"Bihor")</f>
        <v>Bihor</v>
      </c>
      <c r="D142" s="13">
        <f ca="1">IFERROR(__xludf.DUMMYFUNCTION("""COMPUTED_VALUE"""),43934)</f>
        <v>43934</v>
      </c>
      <c r="E142" s="5" t="str">
        <f ca="1">IFERROR(__xludf.DUMMYFUNCTION("""COMPUTED_VALUE"""),"Nu")</f>
        <v>Nu</v>
      </c>
      <c r="F142" s="5"/>
      <c r="G142" s="5"/>
      <c r="H142" s="6"/>
      <c r="I142" s="5"/>
      <c r="J142" s="5"/>
      <c r="K142" s="7" t="str">
        <f ca="1">IFERROR(__xludf.DUMMYFUNCTION("""COMPUTED_VALUE"""),"https://stirioficiale.ro/informatii/buletin-de-presa-13-aprilie-2020-ora-13-105")</f>
        <v>https://stirioficiale.ro/informatii/buletin-de-presa-13-aprilie-2020-ora-13-105</v>
      </c>
      <c r="L142" s="5"/>
      <c r="M142" s="5"/>
      <c r="N142" s="5"/>
      <c r="O142" s="5"/>
      <c r="P142" s="5"/>
      <c r="Q142" s="5"/>
      <c r="R142" s="5" t="str">
        <f ca="1">IFERROR(__xludf.DUMMYFUNCTION("""COMPUTED_VALUE"""),"România")</f>
        <v>România</v>
      </c>
      <c r="S142" s="5" t="str">
        <f ca="1">IFERROR(__xludf.DUMMYFUNCTION("""COMPUTED_VALUE"""),"Octavian")</f>
        <v>Octavian</v>
      </c>
      <c r="T142" s="7" t="str">
        <f ca="1">IFERROR(__xludf.DUMMYFUNCTION("""COMPUTED_VALUE"""),"http://www.ms.ro/2020/04/13/buletin-informativ-13-04-2020/")</f>
        <v>http://www.ms.ro/2020/04/13/buletin-informativ-13-04-2020/</v>
      </c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2.5">
      <c r="A143" s="5">
        <f ca="1">IFERROR(__xludf.DUMMYFUNCTION("""COMPUTED_VALUE"""),6408)</f>
        <v>6408</v>
      </c>
      <c r="B143" s="5"/>
      <c r="C143" s="5" t="str">
        <f ca="1">IFERROR(__xludf.DUMMYFUNCTION("""COMPUTED_VALUE"""),"Bihor")</f>
        <v>Bihor</v>
      </c>
      <c r="D143" s="13">
        <f ca="1">IFERROR(__xludf.DUMMYFUNCTION("""COMPUTED_VALUE"""),43934)</f>
        <v>43934</v>
      </c>
      <c r="E143" s="5" t="str">
        <f ca="1">IFERROR(__xludf.DUMMYFUNCTION("""COMPUTED_VALUE"""),"Nu")</f>
        <v>Nu</v>
      </c>
      <c r="F143" s="5"/>
      <c r="G143" s="5"/>
      <c r="H143" s="6"/>
      <c r="I143" s="5"/>
      <c r="J143" s="5"/>
      <c r="K143" s="7" t="str">
        <f ca="1">IFERROR(__xludf.DUMMYFUNCTION("""COMPUTED_VALUE"""),"https://stirioficiale.ro/informatii/buletin-de-presa-13-aprilie-2020-ora-13-106")</f>
        <v>https://stirioficiale.ro/informatii/buletin-de-presa-13-aprilie-2020-ora-13-106</v>
      </c>
      <c r="L143" s="5"/>
      <c r="M143" s="5"/>
      <c r="N143" s="5"/>
      <c r="O143" s="5"/>
      <c r="P143" s="5"/>
      <c r="Q143" s="5"/>
      <c r="R143" s="5" t="str">
        <f ca="1">IFERROR(__xludf.DUMMYFUNCTION("""COMPUTED_VALUE"""),"România")</f>
        <v>România</v>
      </c>
      <c r="S143" s="5" t="str">
        <f ca="1">IFERROR(__xludf.DUMMYFUNCTION("""COMPUTED_VALUE"""),"Octavian")</f>
        <v>Octavian</v>
      </c>
      <c r="T143" s="7" t="str">
        <f ca="1">IFERROR(__xludf.DUMMYFUNCTION("""COMPUTED_VALUE"""),"http://www.ms.ro/2020/04/13/buletin-informativ-13-04-2020/")</f>
        <v>http://www.ms.ro/2020/04/13/buletin-informativ-13-04-2020/</v>
      </c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2.5">
      <c r="A144" s="5">
        <f ca="1">IFERROR(__xludf.DUMMYFUNCTION("""COMPUTED_VALUE"""),6409)</f>
        <v>6409</v>
      </c>
      <c r="B144" s="5"/>
      <c r="C144" s="5" t="str">
        <f ca="1">IFERROR(__xludf.DUMMYFUNCTION("""COMPUTED_VALUE"""),"Bihor")</f>
        <v>Bihor</v>
      </c>
      <c r="D144" s="13">
        <f ca="1">IFERROR(__xludf.DUMMYFUNCTION("""COMPUTED_VALUE"""),43934)</f>
        <v>43934</v>
      </c>
      <c r="E144" s="5" t="str">
        <f ca="1">IFERROR(__xludf.DUMMYFUNCTION("""COMPUTED_VALUE"""),"Nu")</f>
        <v>Nu</v>
      </c>
      <c r="F144" s="5"/>
      <c r="G144" s="5"/>
      <c r="H144" s="6"/>
      <c r="I144" s="5"/>
      <c r="J144" s="5"/>
      <c r="K144" s="7" t="str">
        <f ca="1">IFERROR(__xludf.DUMMYFUNCTION("""COMPUTED_VALUE"""),"https://stirioficiale.ro/informatii/buletin-de-presa-13-aprilie-2020-ora-13-107")</f>
        <v>https://stirioficiale.ro/informatii/buletin-de-presa-13-aprilie-2020-ora-13-107</v>
      </c>
      <c r="L144" s="5"/>
      <c r="M144" s="5"/>
      <c r="N144" s="5"/>
      <c r="O144" s="5"/>
      <c r="P144" s="5"/>
      <c r="Q144" s="5"/>
      <c r="R144" s="5" t="str">
        <f ca="1">IFERROR(__xludf.DUMMYFUNCTION("""COMPUTED_VALUE"""),"România")</f>
        <v>România</v>
      </c>
      <c r="S144" s="5" t="str">
        <f ca="1">IFERROR(__xludf.DUMMYFUNCTION("""COMPUTED_VALUE"""),"Octavian")</f>
        <v>Octavian</v>
      </c>
      <c r="T144" s="7" t="str">
        <f ca="1">IFERROR(__xludf.DUMMYFUNCTION("""COMPUTED_VALUE"""),"http://www.ms.ro/2020/04/13/buletin-informativ-13-04-2020/")</f>
        <v>http://www.ms.ro/2020/04/13/buletin-informativ-13-04-2020/</v>
      </c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2.5">
      <c r="A145" s="5">
        <f ca="1">IFERROR(__xludf.DUMMYFUNCTION("""COMPUTED_VALUE"""),6410)</f>
        <v>6410</v>
      </c>
      <c r="B145" s="5"/>
      <c r="C145" s="5" t="str">
        <f ca="1">IFERROR(__xludf.DUMMYFUNCTION("""COMPUTED_VALUE"""),"Bihor")</f>
        <v>Bihor</v>
      </c>
      <c r="D145" s="13">
        <f ca="1">IFERROR(__xludf.DUMMYFUNCTION("""COMPUTED_VALUE"""),43934)</f>
        <v>43934</v>
      </c>
      <c r="E145" s="5" t="str">
        <f ca="1">IFERROR(__xludf.DUMMYFUNCTION("""COMPUTED_VALUE"""),"Nu")</f>
        <v>Nu</v>
      </c>
      <c r="F145" s="5"/>
      <c r="G145" s="5"/>
      <c r="H145" s="6"/>
      <c r="I145" s="5"/>
      <c r="J145" s="5"/>
      <c r="K145" s="7" t="str">
        <f ca="1">IFERROR(__xludf.DUMMYFUNCTION("""COMPUTED_VALUE"""),"https://stirioficiale.ro/informatii/buletin-de-presa-13-aprilie-2020-ora-13-108")</f>
        <v>https://stirioficiale.ro/informatii/buletin-de-presa-13-aprilie-2020-ora-13-108</v>
      </c>
      <c r="L145" s="5"/>
      <c r="M145" s="5"/>
      <c r="N145" s="5"/>
      <c r="O145" s="5"/>
      <c r="P145" s="5"/>
      <c r="Q145" s="5"/>
      <c r="R145" s="5" t="str">
        <f ca="1">IFERROR(__xludf.DUMMYFUNCTION("""COMPUTED_VALUE"""),"România")</f>
        <v>România</v>
      </c>
      <c r="S145" s="5" t="str">
        <f ca="1">IFERROR(__xludf.DUMMYFUNCTION("""COMPUTED_VALUE"""),"Octavian")</f>
        <v>Octavian</v>
      </c>
      <c r="T145" s="7" t="str">
        <f ca="1">IFERROR(__xludf.DUMMYFUNCTION("""COMPUTED_VALUE"""),"http://www.ms.ro/2020/04/13/buletin-informativ-13-04-2020/")</f>
        <v>http://www.ms.ro/2020/04/13/buletin-informativ-13-04-2020/</v>
      </c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2.5">
      <c r="A146" s="5">
        <f ca="1">IFERROR(__xludf.DUMMYFUNCTION("""COMPUTED_VALUE"""),6411)</f>
        <v>6411</v>
      </c>
      <c r="B146" s="5"/>
      <c r="C146" s="5" t="str">
        <f ca="1">IFERROR(__xludf.DUMMYFUNCTION("""COMPUTED_VALUE"""),"Bihor")</f>
        <v>Bihor</v>
      </c>
      <c r="D146" s="13">
        <f ca="1">IFERROR(__xludf.DUMMYFUNCTION("""COMPUTED_VALUE"""),43934)</f>
        <v>43934</v>
      </c>
      <c r="E146" s="5" t="str">
        <f ca="1">IFERROR(__xludf.DUMMYFUNCTION("""COMPUTED_VALUE"""),"Nu")</f>
        <v>Nu</v>
      </c>
      <c r="F146" s="5"/>
      <c r="G146" s="5"/>
      <c r="H146" s="6"/>
      <c r="I146" s="5"/>
      <c r="J146" s="5"/>
      <c r="K146" s="7" t="str">
        <f ca="1">IFERROR(__xludf.DUMMYFUNCTION("""COMPUTED_VALUE"""),"https://stirioficiale.ro/informatii/buletin-de-presa-13-aprilie-2020-ora-13-109")</f>
        <v>https://stirioficiale.ro/informatii/buletin-de-presa-13-aprilie-2020-ora-13-109</v>
      </c>
      <c r="L146" s="5"/>
      <c r="M146" s="5"/>
      <c r="N146" s="5"/>
      <c r="O146" s="5"/>
      <c r="P146" s="5"/>
      <c r="Q146" s="5"/>
      <c r="R146" s="5" t="str">
        <f ca="1">IFERROR(__xludf.DUMMYFUNCTION("""COMPUTED_VALUE"""),"România")</f>
        <v>România</v>
      </c>
      <c r="S146" s="5" t="str">
        <f ca="1">IFERROR(__xludf.DUMMYFUNCTION("""COMPUTED_VALUE"""),"Octavian")</f>
        <v>Octavian</v>
      </c>
      <c r="T146" s="7" t="str">
        <f ca="1">IFERROR(__xludf.DUMMYFUNCTION("""COMPUTED_VALUE"""),"http://www.ms.ro/2020/04/13/buletin-informativ-13-04-2020/")</f>
        <v>http://www.ms.ro/2020/04/13/buletin-informativ-13-04-2020/</v>
      </c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2.5">
      <c r="A147" s="5">
        <f ca="1">IFERROR(__xludf.DUMMYFUNCTION("""COMPUTED_VALUE"""),6412)</f>
        <v>6412</v>
      </c>
      <c r="B147" s="5"/>
      <c r="C147" s="5" t="str">
        <f ca="1">IFERROR(__xludf.DUMMYFUNCTION("""COMPUTED_VALUE"""),"Bihor")</f>
        <v>Bihor</v>
      </c>
      <c r="D147" s="13">
        <f ca="1">IFERROR(__xludf.DUMMYFUNCTION("""COMPUTED_VALUE"""),43934)</f>
        <v>43934</v>
      </c>
      <c r="E147" s="5" t="str">
        <f ca="1">IFERROR(__xludf.DUMMYFUNCTION("""COMPUTED_VALUE"""),"Nu")</f>
        <v>Nu</v>
      </c>
      <c r="F147" s="5"/>
      <c r="G147" s="5"/>
      <c r="H147" s="6"/>
      <c r="I147" s="5"/>
      <c r="J147" s="5"/>
      <c r="K147" s="7" t="str">
        <f ca="1">IFERROR(__xludf.DUMMYFUNCTION("""COMPUTED_VALUE"""),"https://stirioficiale.ro/informatii/buletin-de-presa-13-aprilie-2020-ora-13-110")</f>
        <v>https://stirioficiale.ro/informatii/buletin-de-presa-13-aprilie-2020-ora-13-110</v>
      </c>
      <c r="L147" s="5"/>
      <c r="M147" s="5"/>
      <c r="N147" s="5"/>
      <c r="O147" s="5"/>
      <c r="P147" s="5"/>
      <c r="Q147" s="5"/>
      <c r="R147" s="5" t="str">
        <f ca="1">IFERROR(__xludf.DUMMYFUNCTION("""COMPUTED_VALUE"""),"România")</f>
        <v>România</v>
      </c>
      <c r="S147" s="5" t="str">
        <f ca="1">IFERROR(__xludf.DUMMYFUNCTION("""COMPUTED_VALUE"""),"Octavian")</f>
        <v>Octavian</v>
      </c>
      <c r="T147" s="7" t="str">
        <f ca="1">IFERROR(__xludf.DUMMYFUNCTION("""COMPUTED_VALUE"""),"http://www.ms.ro/2020/04/13/buletin-informativ-13-04-2020/")</f>
        <v>http://www.ms.ro/2020/04/13/buletin-informativ-13-04-2020/</v>
      </c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12.5">
      <c r="A148" s="5">
        <f ca="1">IFERROR(__xludf.DUMMYFUNCTION("""COMPUTED_VALUE"""),6413)</f>
        <v>6413</v>
      </c>
      <c r="B148" s="5"/>
      <c r="C148" s="5" t="str">
        <f ca="1">IFERROR(__xludf.DUMMYFUNCTION("""COMPUTED_VALUE"""),"Bihor")</f>
        <v>Bihor</v>
      </c>
      <c r="D148" s="13">
        <f ca="1">IFERROR(__xludf.DUMMYFUNCTION("""COMPUTED_VALUE"""),43934)</f>
        <v>43934</v>
      </c>
      <c r="E148" s="5" t="str">
        <f ca="1">IFERROR(__xludf.DUMMYFUNCTION("""COMPUTED_VALUE"""),"Nu")</f>
        <v>Nu</v>
      </c>
      <c r="F148" s="5"/>
      <c r="G148" s="5"/>
      <c r="H148" s="6"/>
      <c r="I148" s="5"/>
      <c r="J148" s="5"/>
      <c r="K148" s="7" t="str">
        <f ca="1">IFERROR(__xludf.DUMMYFUNCTION("""COMPUTED_VALUE"""),"https://stirioficiale.ro/informatii/buletin-de-presa-13-aprilie-2020-ora-13-111")</f>
        <v>https://stirioficiale.ro/informatii/buletin-de-presa-13-aprilie-2020-ora-13-111</v>
      </c>
      <c r="L148" s="5"/>
      <c r="M148" s="5"/>
      <c r="N148" s="5"/>
      <c r="O148" s="5"/>
      <c r="P148" s="5"/>
      <c r="Q148" s="5"/>
      <c r="R148" s="5" t="str">
        <f ca="1">IFERROR(__xludf.DUMMYFUNCTION("""COMPUTED_VALUE"""),"România")</f>
        <v>România</v>
      </c>
      <c r="S148" s="5" t="str">
        <f ca="1">IFERROR(__xludf.DUMMYFUNCTION("""COMPUTED_VALUE"""),"Octavian")</f>
        <v>Octavian</v>
      </c>
      <c r="T148" s="7" t="str">
        <f ca="1">IFERROR(__xludf.DUMMYFUNCTION("""COMPUTED_VALUE"""),"http://www.ms.ro/2020/04/13/buletin-informativ-13-04-2020/")</f>
        <v>http://www.ms.ro/2020/04/13/buletin-informativ-13-04-2020/</v>
      </c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2.5">
      <c r="A149" s="5">
        <f ca="1">IFERROR(__xludf.DUMMYFUNCTION("""COMPUTED_VALUE"""),6414)</f>
        <v>6414</v>
      </c>
      <c r="B149" s="5"/>
      <c r="C149" s="5" t="str">
        <f ca="1">IFERROR(__xludf.DUMMYFUNCTION("""COMPUTED_VALUE"""),"Bihor")</f>
        <v>Bihor</v>
      </c>
      <c r="D149" s="13">
        <f ca="1">IFERROR(__xludf.DUMMYFUNCTION("""COMPUTED_VALUE"""),43934)</f>
        <v>43934</v>
      </c>
      <c r="E149" s="5" t="str">
        <f ca="1">IFERROR(__xludf.DUMMYFUNCTION("""COMPUTED_VALUE"""),"Nu")</f>
        <v>Nu</v>
      </c>
      <c r="F149" s="5"/>
      <c r="G149" s="5"/>
      <c r="H149" s="6"/>
      <c r="I149" s="5"/>
      <c r="J149" s="5"/>
      <c r="K149" s="7" t="str">
        <f ca="1">IFERROR(__xludf.DUMMYFUNCTION("""COMPUTED_VALUE"""),"https://stirioficiale.ro/informatii/buletin-de-presa-13-aprilie-2020-ora-13-112")</f>
        <v>https://stirioficiale.ro/informatii/buletin-de-presa-13-aprilie-2020-ora-13-112</v>
      </c>
      <c r="L149" s="5"/>
      <c r="M149" s="5"/>
      <c r="N149" s="5"/>
      <c r="O149" s="5"/>
      <c r="P149" s="5"/>
      <c r="Q149" s="5"/>
      <c r="R149" s="5" t="str">
        <f ca="1">IFERROR(__xludf.DUMMYFUNCTION("""COMPUTED_VALUE"""),"România")</f>
        <v>România</v>
      </c>
      <c r="S149" s="5" t="str">
        <f ca="1">IFERROR(__xludf.DUMMYFUNCTION("""COMPUTED_VALUE"""),"Octavian")</f>
        <v>Octavian</v>
      </c>
      <c r="T149" s="7" t="str">
        <f ca="1">IFERROR(__xludf.DUMMYFUNCTION("""COMPUTED_VALUE"""),"http://www.ms.ro/2020/04/13/buletin-informativ-13-04-2020/")</f>
        <v>http://www.ms.ro/2020/04/13/buletin-informativ-13-04-2020/</v>
      </c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12.5">
      <c r="A150" s="5">
        <f ca="1">IFERROR(__xludf.DUMMYFUNCTION("""COMPUTED_VALUE"""),6415)</f>
        <v>6415</v>
      </c>
      <c r="B150" s="5"/>
      <c r="C150" s="5" t="str">
        <f ca="1">IFERROR(__xludf.DUMMYFUNCTION("""COMPUTED_VALUE"""),"Bihor")</f>
        <v>Bihor</v>
      </c>
      <c r="D150" s="13">
        <f ca="1">IFERROR(__xludf.DUMMYFUNCTION("""COMPUTED_VALUE"""),43934)</f>
        <v>43934</v>
      </c>
      <c r="E150" s="5" t="str">
        <f ca="1">IFERROR(__xludf.DUMMYFUNCTION("""COMPUTED_VALUE"""),"Nu")</f>
        <v>Nu</v>
      </c>
      <c r="F150" s="5"/>
      <c r="G150" s="5"/>
      <c r="H150" s="6"/>
      <c r="I150" s="5"/>
      <c r="J150" s="5"/>
      <c r="K150" s="7" t="str">
        <f ca="1">IFERROR(__xludf.DUMMYFUNCTION("""COMPUTED_VALUE"""),"https://stirioficiale.ro/informatii/buletin-de-presa-13-aprilie-2020-ora-13-113")</f>
        <v>https://stirioficiale.ro/informatii/buletin-de-presa-13-aprilie-2020-ora-13-113</v>
      </c>
      <c r="L150" s="5"/>
      <c r="M150" s="5"/>
      <c r="N150" s="5"/>
      <c r="O150" s="5"/>
      <c r="P150" s="5"/>
      <c r="Q150" s="5"/>
      <c r="R150" s="5" t="str">
        <f ca="1">IFERROR(__xludf.DUMMYFUNCTION("""COMPUTED_VALUE"""),"România")</f>
        <v>România</v>
      </c>
      <c r="S150" s="5" t="str">
        <f ca="1">IFERROR(__xludf.DUMMYFUNCTION("""COMPUTED_VALUE"""),"Octavian")</f>
        <v>Octavian</v>
      </c>
      <c r="T150" s="7" t="str">
        <f ca="1">IFERROR(__xludf.DUMMYFUNCTION("""COMPUTED_VALUE"""),"http://www.ms.ro/2020/04/13/buletin-informativ-13-04-2020/")</f>
        <v>http://www.ms.ro/2020/04/13/buletin-informativ-13-04-2020/</v>
      </c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2.5">
      <c r="A151" s="5">
        <f ca="1">IFERROR(__xludf.DUMMYFUNCTION("""COMPUTED_VALUE"""),6416)</f>
        <v>6416</v>
      </c>
      <c r="B151" s="5"/>
      <c r="C151" s="5" t="str">
        <f ca="1">IFERROR(__xludf.DUMMYFUNCTION("""COMPUTED_VALUE"""),"Bihor")</f>
        <v>Bihor</v>
      </c>
      <c r="D151" s="13">
        <f ca="1">IFERROR(__xludf.DUMMYFUNCTION("""COMPUTED_VALUE"""),43934)</f>
        <v>43934</v>
      </c>
      <c r="E151" s="5" t="str">
        <f ca="1">IFERROR(__xludf.DUMMYFUNCTION("""COMPUTED_VALUE"""),"Nu")</f>
        <v>Nu</v>
      </c>
      <c r="F151" s="5"/>
      <c r="G151" s="5"/>
      <c r="H151" s="6"/>
      <c r="I151" s="5"/>
      <c r="J151" s="5"/>
      <c r="K151" s="7" t="str">
        <f ca="1">IFERROR(__xludf.DUMMYFUNCTION("""COMPUTED_VALUE"""),"https://stirioficiale.ro/informatii/buletin-de-presa-13-aprilie-2020-ora-13-114")</f>
        <v>https://stirioficiale.ro/informatii/buletin-de-presa-13-aprilie-2020-ora-13-114</v>
      </c>
      <c r="L151" s="5"/>
      <c r="M151" s="5"/>
      <c r="N151" s="5"/>
      <c r="O151" s="5"/>
      <c r="P151" s="5"/>
      <c r="Q151" s="5"/>
      <c r="R151" s="5" t="str">
        <f ca="1">IFERROR(__xludf.DUMMYFUNCTION("""COMPUTED_VALUE"""),"România")</f>
        <v>România</v>
      </c>
      <c r="S151" s="5" t="str">
        <f ca="1">IFERROR(__xludf.DUMMYFUNCTION("""COMPUTED_VALUE"""),"Octavian")</f>
        <v>Octavian</v>
      </c>
      <c r="T151" s="7" t="str">
        <f ca="1">IFERROR(__xludf.DUMMYFUNCTION("""COMPUTED_VALUE"""),"http://www.ms.ro/2020/04/13/buletin-informativ-13-04-2020/")</f>
        <v>http://www.ms.ro/2020/04/13/buletin-informativ-13-04-2020/</v>
      </c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2.5">
      <c r="A152" s="5">
        <f ca="1">IFERROR(__xludf.DUMMYFUNCTION("""COMPUTED_VALUE"""),6417)</f>
        <v>6417</v>
      </c>
      <c r="B152" s="5"/>
      <c r="C152" s="5" t="str">
        <f ca="1">IFERROR(__xludf.DUMMYFUNCTION("""COMPUTED_VALUE"""),"Bihor")</f>
        <v>Bihor</v>
      </c>
      <c r="D152" s="13">
        <f ca="1">IFERROR(__xludf.DUMMYFUNCTION("""COMPUTED_VALUE"""),43934)</f>
        <v>43934</v>
      </c>
      <c r="E152" s="5" t="str">
        <f ca="1">IFERROR(__xludf.DUMMYFUNCTION("""COMPUTED_VALUE"""),"Nu")</f>
        <v>Nu</v>
      </c>
      <c r="F152" s="5"/>
      <c r="G152" s="5"/>
      <c r="H152" s="6"/>
      <c r="I152" s="5"/>
      <c r="J152" s="5"/>
      <c r="K152" s="7" t="str">
        <f ca="1">IFERROR(__xludf.DUMMYFUNCTION("""COMPUTED_VALUE"""),"https://stirioficiale.ro/informatii/buletin-de-presa-13-aprilie-2020-ora-13-115")</f>
        <v>https://stirioficiale.ro/informatii/buletin-de-presa-13-aprilie-2020-ora-13-115</v>
      </c>
      <c r="L152" s="5"/>
      <c r="M152" s="5"/>
      <c r="N152" s="5"/>
      <c r="O152" s="5"/>
      <c r="P152" s="5"/>
      <c r="Q152" s="5"/>
      <c r="R152" s="5" t="str">
        <f ca="1">IFERROR(__xludf.DUMMYFUNCTION("""COMPUTED_VALUE"""),"România")</f>
        <v>România</v>
      </c>
      <c r="S152" s="5" t="str">
        <f ca="1">IFERROR(__xludf.DUMMYFUNCTION("""COMPUTED_VALUE"""),"Octavian")</f>
        <v>Octavian</v>
      </c>
      <c r="T152" s="7" t="str">
        <f ca="1">IFERROR(__xludf.DUMMYFUNCTION("""COMPUTED_VALUE"""),"http://www.ms.ro/2020/04/13/buletin-informativ-13-04-2020/")</f>
        <v>http://www.ms.ro/2020/04/13/buletin-informativ-13-04-2020/</v>
      </c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2.5">
      <c r="A153" s="5">
        <f ca="1">IFERROR(__xludf.DUMMYFUNCTION("""COMPUTED_VALUE"""),6418)</f>
        <v>6418</v>
      </c>
      <c r="B153" s="5"/>
      <c r="C153" s="5" t="str">
        <f ca="1">IFERROR(__xludf.DUMMYFUNCTION("""COMPUTED_VALUE"""),"Bihor")</f>
        <v>Bihor</v>
      </c>
      <c r="D153" s="13">
        <f ca="1">IFERROR(__xludf.DUMMYFUNCTION("""COMPUTED_VALUE"""),43934)</f>
        <v>43934</v>
      </c>
      <c r="E153" s="5" t="str">
        <f ca="1">IFERROR(__xludf.DUMMYFUNCTION("""COMPUTED_VALUE"""),"Nu")</f>
        <v>Nu</v>
      </c>
      <c r="F153" s="5"/>
      <c r="G153" s="5"/>
      <c r="H153" s="6"/>
      <c r="I153" s="5"/>
      <c r="J153" s="5"/>
      <c r="K153" s="7" t="str">
        <f ca="1">IFERROR(__xludf.DUMMYFUNCTION("""COMPUTED_VALUE"""),"https://stirioficiale.ro/informatii/buletin-de-presa-13-aprilie-2020-ora-13-116")</f>
        <v>https://stirioficiale.ro/informatii/buletin-de-presa-13-aprilie-2020-ora-13-116</v>
      </c>
      <c r="L153" s="5"/>
      <c r="M153" s="5"/>
      <c r="N153" s="5"/>
      <c r="O153" s="5"/>
      <c r="P153" s="5"/>
      <c r="Q153" s="5"/>
      <c r="R153" s="5" t="str">
        <f ca="1">IFERROR(__xludf.DUMMYFUNCTION("""COMPUTED_VALUE"""),"România")</f>
        <v>România</v>
      </c>
      <c r="S153" s="5" t="str">
        <f ca="1">IFERROR(__xludf.DUMMYFUNCTION("""COMPUTED_VALUE"""),"Octavian")</f>
        <v>Octavian</v>
      </c>
      <c r="T153" s="7" t="str">
        <f ca="1">IFERROR(__xludf.DUMMYFUNCTION("""COMPUTED_VALUE"""),"http://www.ms.ro/2020/04/13/buletin-informativ-13-04-2020/")</f>
        <v>http://www.ms.ro/2020/04/13/buletin-informativ-13-04-2020/</v>
      </c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12.5">
      <c r="A154" s="5">
        <f ca="1">IFERROR(__xludf.DUMMYFUNCTION("""COMPUTED_VALUE"""),6419)</f>
        <v>6419</v>
      </c>
      <c r="B154" s="5"/>
      <c r="C154" s="5" t="str">
        <f ca="1">IFERROR(__xludf.DUMMYFUNCTION("""COMPUTED_VALUE"""),"Bihor")</f>
        <v>Bihor</v>
      </c>
      <c r="D154" s="13">
        <f ca="1">IFERROR(__xludf.DUMMYFUNCTION("""COMPUTED_VALUE"""),43934)</f>
        <v>43934</v>
      </c>
      <c r="E154" s="5" t="str">
        <f ca="1">IFERROR(__xludf.DUMMYFUNCTION("""COMPUTED_VALUE"""),"Nu")</f>
        <v>Nu</v>
      </c>
      <c r="F154" s="5"/>
      <c r="G154" s="5"/>
      <c r="H154" s="6"/>
      <c r="I154" s="5"/>
      <c r="J154" s="5"/>
      <c r="K154" s="7" t="str">
        <f ca="1">IFERROR(__xludf.DUMMYFUNCTION("""COMPUTED_VALUE"""),"https://stirioficiale.ro/informatii/buletin-de-presa-13-aprilie-2020-ora-13-117")</f>
        <v>https://stirioficiale.ro/informatii/buletin-de-presa-13-aprilie-2020-ora-13-117</v>
      </c>
      <c r="L154" s="5"/>
      <c r="M154" s="5"/>
      <c r="N154" s="5"/>
      <c r="O154" s="5"/>
      <c r="P154" s="5"/>
      <c r="Q154" s="5"/>
      <c r="R154" s="5" t="str">
        <f ca="1">IFERROR(__xludf.DUMMYFUNCTION("""COMPUTED_VALUE"""),"România")</f>
        <v>România</v>
      </c>
      <c r="S154" s="5" t="str">
        <f ca="1">IFERROR(__xludf.DUMMYFUNCTION("""COMPUTED_VALUE"""),"Octavian")</f>
        <v>Octavian</v>
      </c>
      <c r="T154" s="7" t="str">
        <f ca="1">IFERROR(__xludf.DUMMYFUNCTION("""COMPUTED_VALUE"""),"http://www.ms.ro/2020/04/13/buletin-informativ-13-04-2020/")</f>
        <v>http://www.ms.ro/2020/04/13/buletin-informativ-13-04-2020/</v>
      </c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2.5">
      <c r="A155" s="5">
        <f ca="1">IFERROR(__xludf.DUMMYFUNCTION("""COMPUTED_VALUE"""),6420)</f>
        <v>6420</v>
      </c>
      <c r="B155" s="5"/>
      <c r="C155" s="5" t="str">
        <f ca="1">IFERROR(__xludf.DUMMYFUNCTION("""COMPUTED_VALUE"""),"Bihor")</f>
        <v>Bihor</v>
      </c>
      <c r="D155" s="13">
        <f ca="1">IFERROR(__xludf.DUMMYFUNCTION("""COMPUTED_VALUE"""),43934)</f>
        <v>43934</v>
      </c>
      <c r="E155" s="5" t="str">
        <f ca="1">IFERROR(__xludf.DUMMYFUNCTION("""COMPUTED_VALUE"""),"Nu")</f>
        <v>Nu</v>
      </c>
      <c r="F155" s="5"/>
      <c r="G155" s="5"/>
      <c r="H155" s="6"/>
      <c r="I155" s="5"/>
      <c r="J155" s="5"/>
      <c r="K155" s="7" t="str">
        <f ca="1">IFERROR(__xludf.DUMMYFUNCTION("""COMPUTED_VALUE"""),"https://stirioficiale.ro/informatii/buletin-de-presa-13-aprilie-2020-ora-13-118")</f>
        <v>https://stirioficiale.ro/informatii/buletin-de-presa-13-aprilie-2020-ora-13-118</v>
      </c>
      <c r="L155" s="5"/>
      <c r="M155" s="5"/>
      <c r="N155" s="5"/>
      <c r="O155" s="5"/>
      <c r="P155" s="5"/>
      <c r="Q155" s="5"/>
      <c r="R155" s="5" t="str">
        <f ca="1">IFERROR(__xludf.DUMMYFUNCTION("""COMPUTED_VALUE"""),"România")</f>
        <v>România</v>
      </c>
      <c r="S155" s="5" t="str">
        <f ca="1">IFERROR(__xludf.DUMMYFUNCTION("""COMPUTED_VALUE"""),"Octavian")</f>
        <v>Octavian</v>
      </c>
      <c r="T155" s="7" t="str">
        <f ca="1">IFERROR(__xludf.DUMMYFUNCTION("""COMPUTED_VALUE"""),"http://www.ms.ro/2020/04/13/buletin-informativ-13-04-2020/")</f>
        <v>http://www.ms.ro/2020/04/13/buletin-informativ-13-04-2020/</v>
      </c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12.5">
      <c r="A156" s="5">
        <f ca="1">IFERROR(__xludf.DUMMYFUNCTION("""COMPUTED_VALUE"""),6421)</f>
        <v>6421</v>
      </c>
      <c r="B156" s="5"/>
      <c r="C156" s="5" t="str">
        <f ca="1">IFERROR(__xludf.DUMMYFUNCTION("""COMPUTED_VALUE"""),"Bihor")</f>
        <v>Bihor</v>
      </c>
      <c r="D156" s="13">
        <f ca="1">IFERROR(__xludf.DUMMYFUNCTION("""COMPUTED_VALUE"""),43934)</f>
        <v>43934</v>
      </c>
      <c r="E156" s="5" t="str">
        <f ca="1">IFERROR(__xludf.DUMMYFUNCTION("""COMPUTED_VALUE"""),"Nu")</f>
        <v>Nu</v>
      </c>
      <c r="F156" s="5"/>
      <c r="G156" s="5"/>
      <c r="H156" s="6"/>
      <c r="I156" s="5"/>
      <c r="J156" s="5"/>
      <c r="K156" s="7" t="str">
        <f ca="1">IFERROR(__xludf.DUMMYFUNCTION("""COMPUTED_VALUE"""),"https://stirioficiale.ro/informatii/buletin-de-presa-13-aprilie-2020-ora-13-119")</f>
        <v>https://stirioficiale.ro/informatii/buletin-de-presa-13-aprilie-2020-ora-13-119</v>
      </c>
      <c r="L156" s="5"/>
      <c r="M156" s="5"/>
      <c r="N156" s="5"/>
      <c r="O156" s="5"/>
      <c r="P156" s="5"/>
      <c r="Q156" s="5"/>
      <c r="R156" s="5" t="str">
        <f ca="1">IFERROR(__xludf.DUMMYFUNCTION("""COMPUTED_VALUE"""),"România")</f>
        <v>România</v>
      </c>
      <c r="S156" s="5" t="str">
        <f ca="1">IFERROR(__xludf.DUMMYFUNCTION("""COMPUTED_VALUE"""),"Octavian")</f>
        <v>Octavian</v>
      </c>
      <c r="T156" s="7" t="str">
        <f ca="1">IFERROR(__xludf.DUMMYFUNCTION("""COMPUTED_VALUE"""),"http://www.ms.ro/2020/04/13/buletin-informativ-13-04-2020/")</f>
        <v>http://www.ms.ro/2020/04/13/buletin-informativ-13-04-2020/</v>
      </c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2.5">
      <c r="A157" s="5">
        <f ca="1">IFERROR(__xludf.DUMMYFUNCTION("""COMPUTED_VALUE"""),6422)</f>
        <v>6422</v>
      </c>
      <c r="B157" s="5"/>
      <c r="C157" s="5" t="str">
        <f ca="1">IFERROR(__xludf.DUMMYFUNCTION("""COMPUTED_VALUE"""),"Bihor")</f>
        <v>Bihor</v>
      </c>
      <c r="D157" s="13">
        <f ca="1">IFERROR(__xludf.DUMMYFUNCTION("""COMPUTED_VALUE"""),43934)</f>
        <v>43934</v>
      </c>
      <c r="E157" s="5" t="str">
        <f ca="1">IFERROR(__xludf.DUMMYFUNCTION("""COMPUTED_VALUE"""),"Nu")</f>
        <v>Nu</v>
      </c>
      <c r="F157" s="5"/>
      <c r="G157" s="5"/>
      <c r="H157" s="6"/>
      <c r="I157" s="5"/>
      <c r="J157" s="5"/>
      <c r="K157" s="7" t="str">
        <f ca="1">IFERROR(__xludf.DUMMYFUNCTION("""COMPUTED_VALUE"""),"https://stirioficiale.ro/informatii/buletin-de-presa-13-aprilie-2020-ora-13-120")</f>
        <v>https://stirioficiale.ro/informatii/buletin-de-presa-13-aprilie-2020-ora-13-120</v>
      </c>
      <c r="L157" s="5"/>
      <c r="M157" s="5"/>
      <c r="N157" s="5"/>
      <c r="O157" s="5"/>
      <c r="P157" s="5"/>
      <c r="Q157" s="5"/>
      <c r="R157" s="5" t="str">
        <f ca="1">IFERROR(__xludf.DUMMYFUNCTION("""COMPUTED_VALUE"""),"România")</f>
        <v>România</v>
      </c>
      <c r="S157" s="5" t="str">
        <f ca="1">IFERROR(__xludf.DUMMYFUNCTION("""COMPUTED_VALUE"""),"Octavian")</f>
        <v>Octavian</v>
      </c>
      <c r="T157" s="7" t="str">
        <f ca="1">IFERROR(__xludf.DUMMYFUNCTION("""COMPUTED_VALUE"""),"http://www.ms.ro/2020/04/13/buletin-informativ-13-04-2020/")</f>
        <v>http://www.ms.ro/2020/04/13/buletin-informativ-13-04-2020/</v>
      </c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12.5">
      <c r="A158" s="5">
        <f ca="1">IFERROR(__xludf.DUMMYFUNCTION("""COMPUTED_VALUE"""),6656)</f>
        <v>6656</v>
      </c>
      <c r="B158" s="5"/>
      <c r="C158" s="5" t="str">
        <f ca="1">IFERROR(__xludf.DUMMYFUNCTION("""COMPUTED_VALUE"""),"Bihor")</f>
        <v>Bihor</v>
      </c>
      <c r="D158" s="13">
        <f ca="1">IFERROR(__xludf.DUMMYFUNCTION("""COMPUTED_VALUE"""),43935)</f>
        <v>43935</v>
      </c>
      <c r="E158" s="5" t="str">
        <f ca="1">IFERROR(__xludf.DUMMYFUNCTION("""COMPUTED_VALUE"""),"Da")</f>
        <v>Da</v>
      </c>
      <c r="F158" s="5" t="str">
        <f ca="1">IFERROR(__xludf.DUMMYFUNCTION("""COMPUTED_VALUE"""),"Nu")</f>
        <v>Nu</v>
      </c>
      <c r="G158" s="5"/>
      <c r="H158" s="6">
        <f ca="1">IFERROR(__xludf.DUMMYFUNCTION("""COMPUTED_VALUE"""),43954)</f>
        <v>43954</v>
      </c>
      <c r="I158" s="5" t="str">
        <f ca="1">IFERROR(__xludf.DUMMYFUNCTION("""COMPUTED_VALUE"""),"Masculin")</f>
        <v>Masculin</v>
      </c>
      <c r="J158" s="5">
        <f ca="1">IFERROR(__xludf.DUMMYFUNCTION("""COMPUTED_VALUE"""),30)</f>
        <v>30</v>
      </c>
      <c r="K158" s="7" t="str">
        <f ca="1">IFERROR(__xludf.DUMMYFUNCTION("""COMPUTED_VALUE"""),"https://stirioficiale.ro/informatii/buletin-de-presa-14-aprilie-2020-ora-13-21")</f>
        <v>https://stirioficiale.ro/informatii/buletin-de-presa-14-aprilie-2020-ora-13-21</v>
      </c>
      <c r="L158" s="7" t="str">
        <f ca="1">IFERROR(__xludf.DUMMYFUNCTION("""COMPUTED_VALUE"""),"http://www.ms.ro/2020/05/04/decese-791-801/")</f>
        <v>http://www.ms.ro/2020/05/04/decese-791-801/</v>
      </c>
      <c r="M158" s="5"/>
      <c r="N158" s="5" t="str">
        <f ca="1">IFERROR(__xludf.DUMMYFUNCTION("""COMPUTED_VALUE"""),"Nu")</f>
        <v>Nu</v>
      </c>
      <c r="O158" s="5" t="str">
        <f ca="1">IFERROR(__xludf.DUMMYFUNCTION("""COMPUTED_VALUE"""),"Obezitate")</f>
        <v>Obezitate</v>
      </c>
      <c r="P158" s="5" t="str">
        <f ca="1">IFERROR(__xludf.DUMMYFUNCTION("""COMPUTED_VALUE"""),"Deces 793. Data internării: 12.04.2020, la Spitalul Clinic Municipal Oradea, transferat în sectia ATI în 15.04.2020, intubat și ventilat mecanic. Data recoltării: 12.04.2020. Data confirmării: 14.04.2020")</f>
        <v>Deces 793. Data internării: 12.04.2020, la Spitalul Clinic Municipal Oradea, transferat în sectia ATI în 15.04.2020, intubat și ventilat mecanic. Data recoltării: 12.04.2020. Data confirmării: 14.04.2020</v>
      </c>
      <c r="Q158" s="5" t="str">
        <f ca="1">IFERROR(__xludf.DUMMYFUNCTION("""COMPUTED_VALUE"""),"Necunoscut")</f>
        <v>Necunoscut</v>
      </c>
      <c r="R158" s="5" t="str">
        <f ca="1">IFERROR(__xludf.DUMMYFUNCTION("""COMPUTED_VALUE"""),"România")</f>
        <v>România</v>
      </c>
      <c r="S158" s="5" t="str">
        <f ca="1">IFERROR(__xludf.DUMMYFUNCTION("""COMPUTED_VALUE"""),"Octavian")</f>
        <v>Octavian</v>
      </c>
      <c r="T158" s="7" t="str">
        <f ca="1">IFERROR(__xludf.DUMMYFUNCTION("""COMPUTED_VALUE"""),"http://www.ms.ro/2020/04/14/buletin-informativ-14-04-2020/")</f>
        <v>http://www.ms.ro/2020/04/14/buletin-informativ-14-04-2020/</v>
      </c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2.5">
      <c r="A159" s="5">
        <f ca="1">IFERROR(__xludf.DUMMYFUNCTION("""COMPUTED_VALUE"""),6657)</f>
        <v>6657</v>
      </c>
      <c r="B159" s="5"/>
      <c r="C159" s="5" t="str">
        <f ca="1">IFERROR(__xludf.DUMMYFUNCTION("""COMPUTED_VALUE"""),"Bihor")</f>
        <v>Bihor</v>
      </c>
      <c r="D159" s="13">
        <f ca="1">IFERROR(__xludf.DUMMYFUNCTION("""COMPUTED_VALUE"""),43935)</f>
        <v>43935</v>
      </c>
      <c r="E159" s="5" t="str">
        <f ca="1">IFERROR(__xludf.DUMMYFUNCTION("""COMPUTED_VALUE"""),"Nu")</f>
        <v>Nu</v>
      </c>
      <c r="F159" s="5"/>
      <c r="G159" s="5"/>
      <c r="H159" s="6"/>
      <c r="I159" s="5"/>
      <c r="J159" s="5"/>
      <c r="K159" s="7" t="str">
        <f ca="1">IFERROR(__xludf.DUMMYFUNCTION("""COMPUTED_VALUE"""),"https://stirioficiale.ro/informatii/buletin-de-presa-14-aprilie-2020-ora-13-22")</f>
        <v>https://stirioficiale.ro/informatii/buletin-de-presa-14-aprilie-2020-ora-13-22</v>
      </c>
      <c r="L159" s="5"/>
      <c r="M159" s="5"/>
      <c r="N159" s="5"/>
      <c r="O159" s="5"/>
      <c r="P159" s="5"/>
      <c r="Q159" s="5"/>
      <c r="R159" s="5" t="str">
        <f ca="1">IFERROR(__xludf.DUMMYFUNCTION("""COMPUTED_VALUE"""),"România")</f>
        <v>România</v>
      </c>
      <c r="S159" s="5" t="str">
        <f ca="1">IFERROR(__xludf.DUMMYFUNCTION("""COMPUTED_VALUE"""),"Octavian")</f>
        <v>Octavian</v>
      </c>
      <c r="T159" s="7" t="str">
        <f ca="1">IFERROR(__xludf.DUMMYFUNCTION("""COMPUTED_VALUE"""),"http://www.ms.ro/2020/04/14/buletin-informativ-14-04-2020/")</f>
        <v>http://www.ms.ro/2020/04/14/buletin-informativ-14-04-2020/</v>
      </c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2.5">
      <c r="A160" s="5">
        <f ca="1">IFERROR(__xludf.DUMMYFUNCTION("""COMPUTED_VALUE"""),6658)</f>
        <v>6658</v>
      </c>
      <c r="B160" s="5"/>
      <c r="C160" s="5" t="str">
        <f ca="1">IFERROR(__xludf.DUMMYFUNCTION("""COMPUTED_VALUE"""),"Bihor")</f>
        <v>Bihor</v>
      </c>
      <c r="D160" s="13">
        <f ca="1">IFERROR(__xludf.DUMMYFUNCTION("""COMPUTED_VALUE"""),43935)</f>
        <v>43935</v>
      </c>
      <c r="E160" s="5" t="str">
        <f ca="1">IFERROR(__xludf.DUMMYFUNCTION("""COMPUTED_VALUE"""),"Nu")</f>
        <v>Nu</v>
      </c>
      <c r="F160" s="5"/>
      <c r="G160" s="5"/>
      <c r="H160" s="6"/>
      <c r="I160" s="5"/>
      <c r="J160" s="5"/>
      <c r="K160" s="7" t="str">
        <f ca="1">IFERROR(__xludf.DUMMYFUNCTION("""COMPUTED_VALUE"""),"https://stirioficiale.ro/informatii/buletin-de-presa-14-aprilie-2020-ora-13-23")</f>
        <v>https://stirioficiale.ro/informatii/buletin-de-presa-14-aprilie-2020-ora-13-23</v>
      </c>
      <c r="L160" s="5"/>
      <c r="M160" s="5"/>
      <c r="N160" s="5"/>
      <c r="O160" s="5"/>
      <c r="P160" s="5"/>
      <c r="Q160" s="5"/>
      <c r="R160" s="5" t="str">
        <f ca="1">IFERROR(__xludf.DUMMYFUNCTION("""COMPUTED_VALUE"""),"România")</f>
        <v>România</v>
      </c>
      <c r="S160" s="5" t="str">
        <f ca="1">IFERROR(__xludf.DUMMYFUNCTION("""COMPUTED_VALUE"""),"Octavian")</f>
        <v>Octavian</v>
      </c>
      <c r="T160" s="7" t="str">
        <f ca="1">IFERROR(__xludf.DUMMYFUNCTION("""COMPUTED_VALUE"""),"http://www.ms.ro/2020/04/14/buletin-informativ-14-04-2020/")</f>
        <v>http://www.ms.ro/2020/04/14/buletin-informativ-14-04-2020/</v>
      </c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2.5">
      <c r="A161" s="5">
        <f ca="1">IFERROR(__xludf.DUMMYFUNCTION("""COMPUTED_VALUE"""),6659)</f>
        <v>6659</v>
      </c>
      <c r="B161" s="5"/>
      <c r="C161" s="5" t="str">
        <f ca="1">IFERROR(__xludf.DUMMYFUNCTION("""COMPUTED_VALUE"""),"Bihor")</f>
        <v>Bihor</v>
      </c>
      <c r="D161" s="13">
        <f ca="1">IFERROR(__xludf.DUMMYFUNCTION("""COMPUTED_VALUE"""),43935)</f>
        <v>43935</v>
      </c>
      <c r="E161" s="5" t="str">
        <f ca="1">IFERROR(__xludf.DUMMYFUNCTION("""COMPUTED_VALUE"""),"Nu")</f>
        <v>Nu</v>
      </c>
      <c r="F161" s="5"/>
      <c r="G161" s="5"/>
      <c r="H161" s="6"/>
      <c r="I161" s="5"/>
      <c r="J161" s="5"/>
      <c r="K161" s="7" t="str">
        <f ca="1">IFERROR(__xludf.DUMMYFUNCTION("""COMPUTED_VALUE"""),"https://stirioficiale.ro/informatii/buletin-de-presa-14-aprilie-2020-ora-13-24")</f>
        <v>https://stirioficiale.ro/informatii/buletin-de-presa-14-aprilie-2020-ora-13-24</v>
      </c>
      <c r="L161" s="5"/>
      <c r="M161" s="5"/>
      <c r="N161" s="5"/>
      <c r="O161" s="5"/>
      <c r="P161" s="5"/>
      <c r="Q161" s="5"/>
      <c r="R161" s="5" t="str">
        <f ca="1">IFERROR(__xludf.DUMMYFUNCTION("""COMPUTED_VALUE"""),"România")</f>
        <v>România</v>
      </c>
      <c r="S161" s="5" t="str">
        <f ca="1">IFERROR(__xludf.DUMMYFUNCTION("""COMPUTED_VALUE"""),"Octavian")</f>
        <v>Octavian</v>
      </c>
      <c r="T161" s="7" t="str">
        <f ca="1">IFERROR(__xludf.DUMMYFUNCTION("""COMPUTED_VALUE"""),"http://www.ms.ro/2020/04/14/buletin-informativ-14-04-2020/")</f>
        <v>http://www.ms.ro/2020/04/14/buletin-informativ-14-04-2020/</v>
      </c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2.5">
      <c r="A162" s="5">
        <f ca="1">IFERROR(__xludf.DUMMYFUNCTION("""COMPUTED_VALUE"""),6660)</f>
        <v>6660</v>
      </c>
      <c r="B162" s="5"/>
      <c r="C162" s="5" t="str">
        <f ca="1">IFERROR(__xludf.DUMMYFUNCTION("""COMPUTED_VALUE"""),"Bihor")</f>
        <v>Bihor</v>
      </c>
      <c r="D162" s="13">
        <f ca="1">IFERROR(__xludf.DUMMYFUNCTION("""COMPUTED_VALUE"""),43935)</f>
        <v>43935</v>
      </c>
      <c r="E162" s="5" t="str">
        <f ca="1">IFERROR(__xludf.DUMMYFUNCTION("""COMPUTED_VALUE"""),"Nu")</f>
        <v>Nu</v>
      </c>
      <c r="F162" s="5"/>
      <c r="G162" s="5"/>
      <c r="H162" s="6"/>
      <c r="I162" s="5"/>
      <c r="J162" s="5"/>
      <c r="K162" s="7" t="str">
        <f ca="1">IFERROR(__xludf.DUMMYFUNCTION("""COMPUTED_VALUE"""),"https://stirioficiale.ro/informatii/buletin-de-presa-14-aprilie-2020-ora-13-25")</f>
        <v>https://stirioficiale.ro/informatii/buletin-de-presa-14-aprilie-2020-ora-13-25</v>
      </c>
      <c r="L162" s="5"/>
      <c r="M162" s="5"/>
      <c r="N162" s="5"/>
      <c r="O162" s="5"/>
      <c r="P162" s="5"/>
      <c r="Q162" s="5"/>
      <c r="R162" s="5" t="str">
        <f ca="1">IFERROR(__xludf.DUMMYFUNCTION("""COMPUTED_VALUE"""),"România")</f>
        <v>România</v>
      </c>
      <c r="S162" s="5" t="str">
        <f ca="1">IFERROR(__xludf.DUMMYFUNCTION("""COMPUTED_VALUE"""),"Octavian")</f>
        <v>Octavian</v>
      </c>
      <c r="T162" s="7" t="str">
        <f ca="1">IFERROR(__xludf.DUMMYFUNCTION("""COMPUTED_VALUE"""),"http://www.ms.ro/2020/04/14/buletin-informativ-14-04-2020/")</f>
        <v>http://www.ms.ro/2020/04/14/buletin-informativ-14-04-2020/</v>
      </c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2.5">
      <c r="A163" s="5">
        <f ca="1">IFERROR(__xludf.DUMMYFUNCTION("""COMPUTED_VALUE"""),6661)</f>
        <v>6661</v>
      </c>
      <c r="B163" s="5"/>
      <c r="C163" s="5" t="str">
        <f ca="1">IFERROR(__xludf.DUMMYFUNCTION("""COMPUTED_VALUE"""),"Bihor")</f>
        <v>Bihor</v>
      </c>
      <c r="D163" s="13">
        <f ca="1">IFERROR(__xludf.DUMMYFUNCTION("""COMPUTED_VALUE"""),43935)</f>
        <v>43935</v>
      </c>
      <c r="E163" s="5" t="str">
        <f ca="1">IFERROR(__xludf.DUMMYFUNCTION("""COMPUTED_VALUE"""),"Nu")</f>
        <v>Nu</v>
      </c>
      <c r="F163" s="5"/>
      <c r="G163" s="5"/>
      <c r="H163" s="6"/>
      <c r="I163" s="5"/>
      <c r="J163" s="5"/>
      <c r="K163" s="7" t="str">
        <f ca="1">IFERROR(__xludf.DUMMYFUNCTION("""COMPUTED_VALUE"""),"https://stirioficiale.ro/informatii/buletin-de-presa-14-aprilie-2020-ora-13-26")</f>
        <v>https://stirioficiale.ro/informatii/buletin-de-presa-14-aprilie-2020-ora-13-26</v>
      </c>
      <c r="L163" s="5"/>
      <c r="M163" s="5"/>
      <c r="N163" s="5"/>
      <c r="O163" s="5"/>
      <c r="P163" s="5"/>
      <c r="Q163" s="5"/>
      <c r="R163" s="5" t="str">
        <f ca="1">IFERROR(__xludf.DUMMYFUNCTION("""COMPUTED_VALUE"""),"România")</f>
        <v>România</v>
      </c>
      <c r="S163" s="5" t="str">
        <f ca="1">IFERROR(__xludf.DUMMYFUNCTION("""COMPUTED_VALUE"""),"Octavian")</f>
        <v>Octavian</v>
      </c>
      <c r="T163" s="7" t="str">
        <f ca="1">IFERROR(__xludf.DUMMYFUNCTION("""COMPUTED_VALUE"""),"http://www.ms.ro/2020/04/14/buletin-informativ-14-04-2020/")</f>
        <v>http://www.ms.ro/2020/04/14/buletin-informativ-14-04-2020/</v>
      </c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2.5">
      <c r="A164" s="5">
        <f ca="1">IFERROR(__xludf.DUMMYFUNCTION("""COMPUTED_VALUE"""),6662)</f>
        <v>6662</v>
      </c>
      <c r="B164" s="5"/>
      <c r="C164" s="5" t="str">
        <f ca="1">IFERROR(__xludf.DUMMYFUNCTION("""COMPUTED_VALUE"""),"Bihor")</f>
        <v>Bihor</v>
      </c>
      <c r="D164" s="13">
        <f ca="1">IFERROR(__xludf.DUMMYFUNCTION("""COMPUTED_VALUE"""),43935)</f>
        <v>43935</v>
      </c>
      <c r="E164" s="5" t="str">
        <f ca="1">IFERROR(__xludf.DUMMYFUNCTION("""COMPUTED_VALUE"""),"Nu")</f>
        <v>Nu</v>
      </c>
      <c r="F164" s="5"/>
      <c r="G164" s="5"/>
      <c r="H164" s="6"/>
      <c r="I164" s="5"/>
      <c r="J164" s="5"/>
      <c r="K164" s="7" t="str">
        <f ca="1">IFERROR(__xludf.DUMMYFUNCTION("""COMPUTED_VALUE"""),"https://stirioficiale.ro/informatii/buletin-de-presa-14-aprilie-2020-ora-13-27")</f>
        <v>https://stirioficiale.ro/informatii/buletin-de-presa-14-aprilie-2020-ora-13-27</v>
      </c>
      <c r="L164" s="5"/>
      <c r="M164" s="5"/>
      <c r="N164" s="5"/>
      <c r="O164" s="5"/>
      <c r="P164" s="5"/>
      <c r="Q164" s="5"/>
      <c r="R164" s="5" t="str">
        <f ca="1">IFERROR(__xludf.DUMMYFUNCTION("""COMPUTED_VALUE"""),"România")</f>
        <v>România</v>
      </c>
      <c r="S164" s="5" t="str">
        <f ca="1">IFERROR(__xludf.DUMMYFUNCTION("""COMPUTED_VALUE"""),"Octavian")</f>
        <v>Octavian</v>
      </c>
      <c r="T164" s="7" t="str">
        <f ca="1">IFERROR(__xludf.DUMMYFUNCTION("""COMPUTED_VALUE"""),"http://www.ms.ro/2020/04/14/buletin-informativ-14-04-2020/")</f>
        <v>http://www.ms.ro/2020/04/14/buletin-informativ-14-04-2020/</v>
      </c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2.5">
      <c r="A165" s="5">
        <f ca="1">IFERROR(__xludf.DUMMYFUNCTION("""COMPUTED_VALUE"""),6663)</f>
        <v>6663</v>
      </c>
      <c r="B165" s="5"/>
      <c r="C165" s="5" t="str">
        <f ca="1">IFERROR(__xludf.DUMMYFUNCTION("""COMPUTED_VALUE"""),"Bihor")</f>
        <v>Bihor</v>
      </c>
      <c r="D165" s="13">
        <f ca="1">IFERROR(__xludf.DUMMYFUNCTION("""COMPUTED_VALUE"""),43935)</f>
        <v>43935</v>
      </c>
      <c r="E165" s="5" t="str">
        <f ca="1">IFERROR(__xludf.DUMMYFUNCTION("""COMPUTED_VALUE"""),"Nu")</f>
        <v>Nu</v>
      </c>
      <c r="F165" s="5"/>
      <c r="G165" s="5"/>
      <c r="H165" s="6"/>
      <c r="I165" s="5"/>
      <c r="J165" s="5"/>
      <c r="K165" s="7" t="str">
        <f ca="1">IFERROR(__xludf.DUMMYFUNCTION("""COMPUTED_VALUE"""),"https://stirioficiale.ro/informatii/buletin-de-presa-14-aprilie-2020-ora-13-28")</f>
        <v>https://stirioficiale.ro/informatii/buletin-de-presa-14-aprilie-2020-ora-13-28</v>
      </c>
      <c r="L165" s="5"/>
      <c r="M165" s="5"/>
      <c r="N165" s="5"/>
      <c r="O165" s="5"/>
      <c r="P165" s="5"/>
      <c r="Q165" s="5"/>
      <c r="R165" s="5" t="str">
        <f ca="1">IFERROR(__xludf.DUMMYFUNCTION("""COMPUTED_VALUE"""),"România")</f>
        <v>România</v>
      </c>
      <c r="S165" s="5" t="str">
        <f ca="1">IFERROR(__xludf.DUMMYFUNCTION("""COMPUTED_VALUE"""),"Octavian")</f>
        <v>Octavian</v>
      </c>
      <c r="T165" s="7" t="str">
        <f ca="1">IFERROR(__xludf.DUMMYFUNCTION("""COMPUTED_VALUE"""),"http://www.ms.ro/2020/04/14/buletin-informativ-14-04-2020/")</f>
        <v>http://www.ms.ro/2020/04/14/buletin-informativ-14-04-2020/</v>
      </c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2.5">
      <c r="A166" s="5">
        <f ca="1">IFERROR(__xludf.DUMMYFUNCTION("""COMPUTED_VALUE"""),6664)</f>
        <v>6664</v>
      </c>
      <c r="B166" s="5"/>
      <c r="C166" s="5" t="str">
        <f ca="1">IFERROR(__xludf.DUMMYFUNCTION("""COMPUTED_VALUE"""),"Bihor")</f>
        <v>Bihor</v>
      </c>
      <c r="D166" s="13">
        <f ca="1">IFERROR(__xludf.DUMMYFUNCTION("""COMPUTED_VALUE"""),43935)</f>
        <v>43935</v>
      </c>
      <c r="E166" s="5" t="str">
        <f ca="1">IFERROR(__xludf.DUMMYFUNCTION("""COMPUTED_VALUE"""),"Nu")</f>
        <v>Nu</v>
      </c>
      <c r="F166" s="5"/>
      <c r="G166" s="5"/>
      <c r="H166" s="6"/>
      <c r="I166" s="5"/>
      <c r="J166" s="5"/>
      <c r="K166" s="7" t="str">
        <f ca="1">IFERROR(__xludf.DUMMYFUNCTION("""COMPUTED_VALUE"""),"https://stirioficiale.ro/informatii/buletin-de-presa-14-aprilie-2020-ora-13-29")</f>
        <v>https://stirioficiale.ro/informatii/buletin-de-presa-14-aprilie-2020-ora-13-29</v>
      </c>
      <c r="L166" s="5"/>
      <c r="M166" s="5"/>
      <c r="N166" s="5"/>
      <c r="O166" s="5"/>
      <c r="P166" s="5"/>
      <c r="Q166" s="5"/>
      <c r="R166" s="5" t="str">
        <f ca="1">IFERROR(__xludf.DUMMYFUNCTION("""COMPUTED_VALUE"""),"România")</f>
        <v>România</v>
      </c>
      <c r="S166" s="5" t="str">
        <f ca="1">IFERROR(__xludf.DUMMYFUNCTION("""COMPUTED_VALUE"""),"Octavian")</f>
        <v>Octavian</v>
      </c>
      <c r="T166" s="7" t="str">
        <f ca="1">IFERROR(__xludf.DUMMYFUNCTION("""COMPUTED_VALUE"""),"http://www.ms.ro/2020/04/14/buletin-informativ-14-04-2020/")</f>
        <v>http://www.ms.ro/2020/04/14/buletin-informativ-14-04-2020/</v>
      </c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2.5">
      <c r="A167" s="5">
        <f ca="1">IFERROR(__xludf.DUMMYFUNCTION("""COMPUTED_VALUE"""),6665)</f>
        <v>6665</v>
      </c>
      <c r="B167" s="5"/>
      <c r="C167" s="5" t="str">
        <f ca="1">IFERROR(__xludf.DUMMYFUNCTION("""COMPUTED_VALUE"""),"Bihor")</f>
        <v>Bihor</v>
      </c>
      <c r="D167" s="13">
        <f ca="1">IFERROR(__xludf.DUMMYFUNCTION("""COMPUTED_VALUE"""),43935)</f>
        <v>43935</v>
      </c>
      <c r="E167" s="5" t="str">
        <f ca="1">IFERROR(__xludf.DUMMYFUNCTION("""COMPUTED_VALUE"""),"Nu")</f>
        <v>Nu</v>
      </c>
      <c r="F167" s="5"/>
      <c r="G167" s="5"/>
      <c r="H167" s="6"/>
      <c r="I167" s="5"/>
      <c r="J167" s="5"/>
      <c r="K167" s="7" t="str">
        <f ca="1">IFERROR(__xludf.DUMMYFUNCTION("""COMPUTED_VALUE"""),"https://stirioficiale.ro/informatii/buletin-de-presa-14-aprilie-2020-ora-13-30")</f>
        <v>https://stirioficiale.ro/informatii/buletin-de-presa-14-aprilie-2020-ora-13-30</v>
      </c>
      <c r="L167" s="5"/>
      <c r="M167" s="5"/>
      <c r="N167" s="5"/>
      <c r="O167" s="5"/>
      <c r="P167" s="5"/>
      <c r="Q167" s="5"/>
      <c r="R167" s="5" t="str">
        <f ca="1">IFERROR(__xludf.DUMMYFUNCTION("""COMPUTED_VALUE"""),"România")</f>
        <v>România</v>
      </c>
      <c r="S167" s="5" t="str">
        <f ca="1">IFERROR(__xludf.DUMMYFUNCTION("""COMPUTED_VALUE"""),"Octavian")</f>
        <v>Octavian</v>
      </c>
      <c r="T167" s="7" t="str">
        <f ca="1">IFERROR(__xludf.DUMMYFUNCTION("""COMPUTED_VALUE"""),"http://www.ms.ro/2020/04/14/buletin-informativ-14-04-2020/")</f>
        <v>http://www.ms.ro/2020/04/14/buletin-informativ-14-04-2020/</v>
      </c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2.5">
      <c r="A168" s="5">
        <f ca="1">IFERROR(__xludf.DUMMYFUNCTION("""COMPUTED_VALUE"""),6666)</f>
        <v>6666</v>
      </c>
      <c r="B168" s="5"/>
      <c r="C168" s="5" t="str">
        <f ca="1">IFERROR(__xludf.DUMMYFUNCTION("""COMPUTED_VALUE"""),"Bihor")</f>
        <v>Bihor</v>
      </c>
      <c r="D168" s="13">
        <f ca="1">IFERROR(__xludf.DUMMYFUNCTION("""COMPUTED_VALUE"""),43935)</f>
        <v>43935</v>
      </c>
      <c r="E168" s="5" t="str">
        <f ca="1">IFERROR(__xludf.DUMMYFUNCTION("""COMPUTED_VALUE"""),"Nu")</f>
        <v>Nu</v>
      </c>
      <c r="F168" s="5"/>
      <c r="G168" s="5"/>
      <c r="H168" s="6"/>
      <c r="I168" s="5"/>
      <c r="J168" s="5"/>
      <c r="K168" s="7" t="str">
        <f ca="1">IFERROR(__xludf.DUMMYFUNCTION("""COMPUTED_VALUE"""),"https://stirioficiale.ro/informatii/buletin-de-presa-14-aprilie-2020-ora-13-31")</f>
        <v>https://stirioficiale.ro/informatii/buletin-de-presa-14-aprilie-2020-ora-13-31</v>
      </c>
      <c r="L168" s="5"/>
      <c r="M168" s="5"/>
      <c r="N168" s="5"/>
      <c r="O168" s="5"/>
      <c r="P168" s="5"/>
      <c r="Q168" s="5"/>
      <c r="R168" s="5" t="str">
        <f ca="1">IFERROR(__xludf.DUMMYFUNCTION("""COMPUTED_VALUE"""),"România")</f>
        <v>România</v>
      </c>
      <c r="S168" s="5" t="str">
        <f ca="1">IFERROR(__xludf.DUMMYFUNCTION("""COMPUTED_VALUE"""),"Octavian")</f>
        <v>Octavian</v>
      </c>
      <c r="T168" s="7" t="str">
        <f ca="1">IFERROR(__xludf.DUMMYFUNCTION("""COMPUTED_VALUE"""),"http://www.ms.ro/2020/04/14/buletin-informativ-14-04-2020/")</f>
        <v>http://www.ms.ro/2020/04/14/buletin-informativ-14-04-2020/</v>
      </c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2.5">
      <c r="A169" s="5">
        <f ca="1">IFERROR(__xludf.DUMMYFUNCTION("""COMPUTED_VALUE"""),6667)</f>
        <v>6667</v>
      </c>
      <c r="B169" s="5"/>
      <c r="C169" s="5" t="str">
        <f ca="1">IFERROR(__xludf.DUMMYFUNCTION("""COMPUTED_VALUE"""),"Bihor")</f>
        <v>Bihor</v>
      </c>
      <c r="D169" s="13">
        <f ca="1">IFERROR(__xludf.DUMMYFUNCTION("""COMPUTED_VALUE"""),43935)</f>
        <v>43935</v>
      </c>
      <c r="E169" s="5" t="str">
        <f ca="1">IFERROR(__xludf.DUMMYFUNCTION("""COMPUTED_VALUE"""),"Nu")</f>
        <v>Nu</v>
      </c>
      <c r="F169" s="5"/>
      <c r="G169" s="5"/>
      <c r="H169" s="6"/>
      <c r="I169" s="5"/>
      <c r="J169" s="5"/>
      <c r="K169" s="7" t="str">
        <f ca="1">IFERROR(__xludf.DUMMYFUNCTION("""COMPUTED_VALUE"""),"https://stirioficiale.ro/informatii/buletin-de-presa-14-aprilie-2020-ora-13-32")</f>
        <v>https://stirioficiale.ro/informatii/buletin-de-presa-14-aprilie-2020-ora-13-32</v>
      </c>
      <c r="L169" s="5"/>
      <c r="M169" s="5"/>
      <c r="N169" s="5"/>
      <c r="O169" s="5"/>
      <c r="P169" s="5"/>
      <c r="Q169" s="5"/>
      <c r="R169" s="5" t="str">
        <f ca="1">IFERROR(__xludf.DUMMYFUNCTION("""COMPUTED_VALUE"""),"România")</f>
        <v>România</v>
      </c>
      <c r="S169" s="5" t="str">
        <f ca="1">IFERROR(__xludf.DUMMYFUNCTION("""COMPUTED_VALUE"""),"Octavian")</f>
        <v>Octavian</v>
      </c>
      <c r="T169" s="7" t="str">
        <f ca="1">IFERROR(__xludf.DUMMYFUNCTION("""COMPUTED_VALUE"""),"http://www.ms.ro/2020/04/14/buletin-informativ-14-04-2020/")</f>
        <v>http://www.ms.ro/2020/04/14/buletin-informativ-14-04-2020/</v>
      </c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2.5">
      <c r="A170" s="5">
        <f ca="1">IFERROR(__xludf.DUMMYFUNCTION("""COMPUTED_VALUE"""),6668)</f>
        <v>6668</v>
      </c>
      <c r="B170" s="5"/>
      <c r="C170" s="5" t="str">
        <f ca="1">IFERROR(__xludf.DUMMYFUNCTION("""COMPUTED_VALUE"""),"Bihor")</f>
        <v>Bihor</v>
      </c>
      <c r="D170" s="13">
        <f ca="1">IFERROR(__xludf.DUMMYFUNCTION("""COMPUTED_VALUE"""),43935)</f>
        <v>43935</v>
      </c>
      <c r="E170" s="5" t="str">
        <f ca="1">IFERROR(__xludf.DUMMYFUNCTION("""COMPUTED_VALUE"""),"Nu")</f>
        <v>Nu</v>
      </c>
      <c r="F170" s="5"/>
      <c r="G170" s="5"/>
      <c r="H170" s="6"/>
      <c r="I170" s="5"/>
      <c r="J170" s="5"/>
      <c r="K170" s="7" t="str">
        <f ca="1">IFERROR(__xludf.DUMMYFUNCTION("""COMPUTED_VALUE"""),"https://stirioficiale.ro/informatii/buletin-de-presa-14-aprilie-2020-ora-13-33")</f>
        <v>https://stirioficiale.ro/informatii/buletin-de-presa-14-aprilie-2020-ora-13-33</v>
      </c>
      <c r="L170" s="5"/>
      <c r="M170" s="5"/>
      <c r="N170" s="5"/>
      <c r="O170" s="5"/>
      <c r="P170" s="5"/>
      <c r="Q170" s="5"/>
      <c r="R170" s="5" t="str">
        <f ca="1">IFERROR(__xludf.DUMMYFUNCTION("""COMPUTED_VALUE"""),"România")</f>
        <v>România</v>
      </c>
      <c r="S170" s="5" t="str">
        <f ca="1">IFERROR(__xludf.DUMMYFUNCTION("""COMPUTED_VALUE"""),"Octavian")</f>
        <v>Octavian</v>
      </c>
      <c r="T170" s="7" t="str">
        <f ca="1">IFERROR(__xludf.DUMMYFUNCTION("""COMPUTED_VALUE"""),"http://www.ms.ro/2020/04/14/buletin-informativ-14-04-2020/")</f>
        <v>http://www.ms.ro/2020/04/14/buletin-informativ-14-04-2020/</v>
      </c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2.5">
      <c r="A171" s="5">
        <f ca="1">IFERROR(__xludf.DUMMYFUNCTION("""COMPUTED_VALUE"""),6669)</f>
        <v>6669</v>
      </c>
      <c r="B171" s="5"/>
      <c r="C171" s="5" t="str">
        <f ca="1">IFERROR(__xludf.DUMMYFUNCTION("""COMPUTED_VALUE"""),"Bihor")</f>
        <v>Bihor</v>
      </c>
      <c r="D171" s="13">
        <f ca="1">IFERROR(__xludf.DUMMYFUNCTION("""COMPUTED_VALUE"""),43935)</f>
        <v>43935</v>
      </c>
      <c r="E171" s="5" t="str">
        <f ca="1">IFERROR(__xludf.DUMMYFUNCTION("""COMPUTED_VALUE"""),"Nu")</f>
        <v>Nu</v>
      </c>
      <c r="F171" s="5"/>
      <c r="G171" s="5"/>
      <c r="H171" s="6"/>
      <c r="I171" s="5"/>
      <c r="J171" s="5"/>
      <c r="K171" s="7" t="str">
        <f ca="1">IFERROR(__xludf.DUMMYFUNCTION("""COMPUTED_VALUE"""),"https://stirioficiale.ro/informatii/buletin-de-presa-14-aprilie-2020-ora-13-34")</f>
        <v>https://stirioficiale.ro/informatii/buletin-de-presa-14-aprilie-2020-ora-13-34</v>
      </c>
      <c r="L171" s="5"/>
      <c r="M171" s="5"/>
      <c r="N171" s="5"/>
      <c r="O171" s="5"/>
      <c r="P171" s="5"/>
      <c r="Q171" s="5"/>
      <c r="R171" s="5" t="str">
        <f ca="1">IFERROR(__xludf.DUMMYFUNCTION("""COMPUTED_VALUE"""),"România")</f>
        <v>România</v>
      </c>
      <c r="S171" s="5" t="str">
        <f ca="1">IFERROR(__xludf.DUMMYFUNCTION("""COMPUTED_VALUE"""),"Octavian")</f>
        <v>Octavian</v>
      </c>
      <c r="T171" s="7" t="str">
        <f ca="1">IFERROR(__xludf.DUMMYFUNCTION("""COMPUTED_VALUE"""),"http://www.ms.ro/2020/04/14/buletin-informativ-14-04-2020/")</f>
        <v>http://www.ms.ro/2020/04/14/buletin-informativ-14-04-2020/</v>
      </c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2.5">
      <c r="A172" s="5">
        <f ca="1">IFERROR(__xludf.DUMMYFUNCTION("""COMPUTED_VALUE"""),6935)</f>
        <v>6935</v>
      </c>
      <c r="B172" s="5"/>
      <c r="C172" s="5" t="str">
        <f ca="1">IFERROR(__xludf.DUMMYFUNCTION("""COMPUTED_VALUE"""),"Bihor")</f>
        <v>Bihor</v>
      </c>
      <c r="D172" s="13">
        <f ca="1">IFERROR(__xludf.DUMMYFUNCTION("""COMPUTED_VALUE"""),43936)</f>
        <v>43936</v>
      </c>
      <c r="E172" s="5" t="str">
        <f ca="1">IFERROR(__xludf.DUMMYFUNCTION("""COMPUTED_VALUE"""),"Nu")</f>
        <v>Nu</v>
      </c>
      <c r="F172" s="5"/>
      <c r="G172" s="5"/>
      <c r="H172" s="6"/>
      <c r="I172" s="5"/>
      <c r="J172" s="5"/>
      <c r="K172" s="7" t="str">
        <f ca="1">IFERROR(__xludf.DUMMYFUNCTION("""COMPUTED_VALUE"""),"https://stirioficiale.ro/informatii/buletin-de-presa-15-aprilie-2020-ora-13-54")</f>
        <v>https://stirioficiale.ro/informatii/buletin-de-presa-15-aprilie-2020-ora-13-54</v>
      </c>
      <c r="L172" s="5"/>
      <c r="M172" s="5"/>
      <c r="N172" s="5"/>
      <c r="O172" s="5"/>
      <c r="P172" s="5"/>
      <c r="Q172" s="5"/>
      <c r="R172" s="5" t="str">
        <f ca="1">IFERROR(__xludf.DUMMYFUNCTION("""COMPUTED_VALUE"""),"România")</f>
        <v>România</v>
      </c>
      <c r="S172" s="5" t="str">
        <f ca="1">IFERROR(__xludf.DUMMYFUNCTION("""COMPUTED_VALUE"""),"Octavian")</f>
        <v>Octavian</v>
      </c>
      <c r="T172" s="7" t="str">
        <f ca="1">IFERROR(__xludf.DUMMYFUNCTION("""COMPUTED_VALUE"""),"http://www.ms.ro/2020/04/15/buletin-informativ-15-04-2020/")</f>
        <v>http://www.ms.ro/2020/04/15/buletin-informativ-15-04-2020/</v>
      </c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2.5">
      <c r="A173" s="5">
        <f ca="1">IFERROR(__xludf.DUMMYFUNCTION("""COMPUTED_VALUE"""),6936)</f>
        <v>6936</v>
      </c>
      <c r="B173" s="5"/>
      <c r="C173" s="5" t="str">
        <f ca="1">IFERROR(__xludf.DUMMYFUNCTION("""COMPUTED_VALUE"""),"Bihor")</f>
        <v>Bihor</v>
      </c>
      <c r="D173" s="13">
        <f ca="1">IFERROR(__xludf.DUMMYFUNCTION("""COMPUTED_VALUE"""),43936)</f>
        <v>43936</v>
      </c>
      <c r="E173" s="5" t="str">
        <f ca="1">IFERROR(__xludf.DUMMYFUNCTION("""COMPUTED_VALUE"""),"Nu")</f>
        <v>Nu</v>
      </c>
      <c r="F173" s="5"/>
      <c r="G173" s="5"/>
      <c r="H173" s="6"/>
      <c r="I173" s="5"/>
      <c r="J173" s="5"/>
      <c r="K173" s="7" t="str">
        <f ca="1">IFERROR(__xludf.DUMMYFUNCTION("""COMPUTED_VALUE"""),"https://stirioficiale.ro/informatii/buletin-de-presa-15-aprilie-2020-ora-13-55")</f>
        <v>https://stirioficiale.ro/informatii/buletin-de-presa-15-aprilie-2020-ora-13-55</v>
      </c>
      <c r="L173" s="5"/>
      <c r="M173" s="5" t="str">
        <f ca="1">IFERROR(__xludf.DUMMYFUNCTION("""COMPUTED_VALUE""")," ")</f>
        <v xml:space="preserve"> </v>
      </c>
      <c r="N173" s="5"/>
      <c r="O173" s="5"/>
      <c r="P173" s="5"/>
      <c r="Q173" s="5"/>
      <c r="R173" s="5" t="str">
        <f ca="1">IFERROR(__xludf.DUMMYFUNCTION("""COMPUTED_VALUE"""),"România")</f>
        <v>România</v>
      </c>
      <c r="S173" s="5" t="str">
        <f ca="1">IFERROR(__xludf.DUMMYFUNCTION("""COMPUTED_VALUE"""),"Octavian")</f>
        <v>Octavian</v>
      </c>
      <c r="T173" s="7" t="str">
        <f ca="1">IFERROR(__xludf.DUMMYFUNCTION("""COMPUTED_VALUE"""),"http://www.ms.ro/2020/04/15/buletin-informativ-15-04-2020/")</f>
        <v>http://www.ms.ro/2020/04/15/buletin-informativ-15-04-2020/</v>
      </c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2.5">
      <c r="A174" s="5">
        <f ca="1">IFERROR(__xludf.DUMMYFUNCTION("""COMPUTED_VALUE"""),6937)</f>
        <v>6937</v>
      </c>
      <c r="B174" s="5"/>
      <c r="C174" s="5" t="str">
        <f ca="1">IFERROR(__xludf.DUMMYFUNCTION("""COMPUTED_VALUE"""),"Bihor")</f>
        <v>Bihor</v>
      </c>
      <c r="D174" s="13">
        <f ca="1">IFERROR(__xludf.DUMMYFUNCTION("""COMPUTED_VALUE"""),43936)</f>
        <v>43936</v>
      </c>
      <c r="E174" s="5" t="str">
        <f ca="1">IFERROR(__xludf.DUMMYFUNCTION("""COMPUTED_VALUE"""),"Nu")</f>
        <v>Nu</v>
      </c>
      <c r="F174" s="5"/>
      <c r="G174" s="5"/>
      <c r="H174" s="6"/>
      <c r="I174" s="5"/>
      <c r="J174" s="5"/>
      <c r="K174" s="7" t="str">
        <f ca="1">IFERROR(__xludf.DUMMYFUNCTION("""COMPUTED_VALUE"""),"https://stirioficiale.ro/informatii/buletin-de-presa-15-aprilie-2020-ora-13-56")</f>
        <v>https://stirioficiale.ro/informatii/buletin-de-presa-15-aprilie-2020-ora-13-56</v>
      </c>
      <c r="L174" s="5"/>
      <c r="M174" s="5"/>
      <c r="N174" s="5"/>
      <c r="O174" s="5"/>
      <c r="P174" s="5"/>
      <c r="Q174" s="5"/>
      <c r="R174" s="5" t="str">
        <f ca="1">IFERROR(__xludf.DUMMYFUNCTION("""COMPUTED_VALUE"""),"România")</f>
        <v>România</v>
      </c>
      <c r="S174" s="5" t="str">
        <f ca="1">IFERROR(__xludf.DUMMYFUNCTION("""COMPUTED_VALUE"""),"Octavian")</f>
        <v>Octavian</v>
      </c>
      <c r="T174" s="7" t="str">
        <f ca="1">IFERROR(__xludf.DUMMYFUNCTION("""COMPUTED_VALUE"""),"http://www.ms.ro/2020/04/15/buletin-informativ-15-04-2020/")</f>
        <v>http://www.ms.ro/2020/04/15/buletin-informativ-15-04-2020/</v>
      </c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2.5">
      <c r="A175" s="5">
        <f ca="1">IFERROR(__xludf.DUMMYFUNCTION("""COMPUTED_VALUE"""),6938)</f>
        <v>6938</v>
      </c>
      <c r="B175" s="5"/>
      <c r="C175" s="5" t="str">
        <f ca="1">IFERROR(__xludf.DUMMYFUNCTION("""COMPUTED_VALUE"""),"Bihor")</f>
        <v>Bihor</v>
      </c>
      <c r="D175" s="13">
        <f ca="1">IFERROR(__xludf.DUMMYFUNCTION("""COMPUTED_VALUE"""),43936)</f>
        <v>43936</v>
      </c>
      <c r="E175" s="5" t="str">
        <f ca="1">IFERROR(__xludf.DUMMYFUNCTION("""COMPUTED_VALUE"""),"Nu")</f>
        <v>Nu</v>
      </c>
      <c r="F175" s="5"/>
      <c r="G175" s="5"/>
      <c r="H175" s="6"/>
      <c r="I175" s="5"/>
      <c r="J175" s="5"/>
      <c r="K175" s="7" t="str">
        <f ca="1">IFERROR(__xludf.DUMMYFUNCTION("""COMPUTED_VALUE"""),"https://stirioficiale.ro/informatii/buletin-de-presa-15-aprilie-2020-ora-13-57")</f>
        <v>https://stirioficiale.ro/informatii/buletin-de-presa-15-aprilie-2020-ora-13-57</v>
      </c>
      <c r="L175" s="5"/>
      <c r="M175" s="5"/>
      <c r="N175" s="5"/>
      <c r="O175" s="5"/>
      <c r="P175" s="5"/>
      <c r="Q175" s="5"/>
      <c r="R175" s="5" t="str">
        <f ca="1">IFERROR(__xludf.DUMMYFUNCTION("""COMPUTED_VALUE"""),"România")</f>
        <v>România</v>
      </c>
      <c r="S175" s="5" t="str">
        <f ca="1">IFERROR(__xludf.DUMMYFUNCTION("""COMPUTED_VALUE"""),"Octavian")</f>
        <v>Octavian</v>
      </c>
      <c r="T175" s="7" t="str">
        <f ca="1">IFERROR(__xludf.DUMMYFUNCTION("""COMPUTED_VALUE"""),"http://www.ms.ro/2020/04/15/buletin-informativ-15-04-2020/")</f>
        <v>http://www.ms.ro/2020/04/15/buletin-informativ-15-04-2020/</v>
      </c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2.5">
      <c r="A176" s="5">
        <f ca="1">IFERROR(__xludf.DUMMYFUNCTION("""COMPUTED_VALUE"""),6939)</f>
        <v>6939</v>
      </c>
      <c r="B176" s="5"/>
      <c r="C176" s="5" t="str">
        <f ca="1">IFERROR(__xludf.DUMMYFUNCTION("""COMPUTED_VALUE"""),"Bihor")</f>
        <v>Bihor</v>
      </c>
      <c r="D176" s="13">
        <f ca="1">IFERROR(__xludf.DUMMYFUNCTION("""COMPUTED_VALUE"""),43936)</f>
        <v>43936</v>
      </c>
      <c r="E176" s="5" t="str">
        <f ca="1">IFERROR(__xludf.DUMMYFUNCTION("""COMPUTED_VALUE"""),"Nu")</f>
        <v>Nu</v>
      </c>
      <c r="F176" s="5"/>
      <c r="G176" s="5"/>
      <c r="H176" s="6"/>
      <c r="I176" s="5"/>
      <c r="J176" s="5"/>
      <c r="K176" s="7" t="str">
        <f ca="1">IFERROR(__xludf.DUMMYFUNCTION("""COMPUTED_VALUE"""),"https://stirioficiale.ro/informatii/buletin-de-presa-15-aprilie-2020-ora-13-58")</f>
        <v>https://stirioficiale.ro/informatii/buletin-de-presa-15-aprilie-2020-ora-13-58</v>
      </c>
      <c r="L176" s="5"/>
      <c r="M176" s="5"/>
      <c r="N176" s="5"/>
      <c r="O176" s="5"/>
      <c r="P176" s="5"/>
      <c r="Q176" s="5"/>
      <c r="R176" s="5" t="str">
        <f ca="1">IFERROR(__xludf.DUMMYFUNCTION("""COMPUTED_VALUE"""),"România")</f>
        <v>România</v>
      </c>
      <c r="S176" s="5" t="str">
        <f ca="1">IFERROR(__xludf.DUMMYFUNCTION("""COMPUTED_VALUE"""),"Octavian")</f>
        <v>Octavian</v>
      </c>
      <c r="T176" s="7" t="str">
        <f ca="1">IFERROR(__xludf.DUMMYFUNCTION("""COMPUTED_VALUE"""),"http://www.ms.ro/2020/04/15/buletin-informativ-15-04-2020/")</f>
        <v>http://www.ms.ro/2020/04/15/buletin-informativ-15-04-2020/</v>
      </c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2.5">
      <c r="A177" s="5">
        <f ca="1">IFERROR(__xludf.DUMMYFUNCTION("""COMPUTED_VALUE"""),6940)</f>
        <v>6940</v>
      </c>
      <c r="B177" s="5"/>
      <c r="C177" s="5" t="str">
        <f ca="1">IFERROR(__xludf.DUMMYFUNCTION("""COMPUTED_VALUE"""),"Bihor")</f>
        <v>Bihor</v>
      </c>
      <c r="D177" s="13">
        <f ca="1">IFERROR(__xludf.DUMMYFUNCTION("""COMPUTED_VALUE"""),43936)</f>
        <v>43936</v>
      </c>
      <c r="E177" s="5" t="str">
        <f ca="1">IFERROR(__xludf.DUMMYFUNCTION("""COMPUTED_VALUE"""),"Nu")</f>
        <v>Nu</v>
      </c>
      <c r="F177" s="5"/>
      <c r="G177" s="5"/>
      <c r="H177" s="6"/>
      <c r="I177" s="5"/>
      <c r="J177" s="5"/>
      <c r="K177" s="7" t="str">
        <f ca="1">IFERROR(__xludf.DUMMYFUNCTION("""COMPUTED_VALUE"""),"https://stirioficiale.ro/informatii/buletin-de-presa-15-aprilie-2020-ora-13-59")</f>
        <v>https://stirioficiale.ro/informatii/buletin-de-presa-15-aprilie-2020-ora-13-59</v>
      </c>
      <c r="L177" s="5"/>
      <c r="M177" s="5"/>
      <c r="N177" s="5"/>
      <c r="O177" s="5"/>
      <c r="P177" s="5"/>
      <c r="Q177" s="5"/>
      <c r="R177" s="5" t="str">
        <f ca="1">IFERROR(__xludf.DUMMYFUNCTION("""COMPUTED_VALUE"""),"România")</f>
        <v>România</v>
      </c>
      <c r="S177" s="5" t="str">
        <f ca="1">IFERROR(__xludf.DUMMYFUNCTION("""COMPUTED_VALUE"""),"Octavian")</f>
        <v>Octavian</v>
      </c>
      <c r="T177" s="7" t="str">
        <f ca="1">IFERROR(__xludf.DUMMYFUNCTION("""COMPUTED_VALUE"""),"http://www.ms.ro/2020/04/15/buletin-informativ-15-04-2020/")</f>
        <v>http://www.ms.ro/2020/04/15/buletin-informativ-15-04-2020/</v>
      </c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2.5">
      <c r="A178" s="5">
        <f ca="1">IFERROR(__xludf.DUMMYFUNCTION("""COMPUTED_VALUE"""),6941)</f>
        <v>6941</v>
      </c>
      <c r="B178" s="5"/>
      <c r="C178" s="5" t="str">
        <f ca="1">IFERROR(__xludf.DUMMYFUNCTION("""COMPUTED_VALUE"""),"Bihor")</f>
        <v>Bihor</v>
      </c>
      <c r="D178" s="13">
        <f ca="1">IFERROR(__xludf.DUMMYFUNCTION("""COMPUTED_VALUE"""),43936)</f>
        <v>43936</v>
      </c>
      <c r="E178" s="5" t="str">
        <f ca="1">IFERROR(__xludf.DUMMYFUNCTION("""COMPUTED_VALUE"""),"Nu")</f>
        <v>Nu</v>
      </c>
      <c r="F178" s="5"/>
      <c r="G178" s="5"/>
      <c r="H178" s="6"/>
      <c r="I178" s="5"/>
      <c r="J178" s="5"/>
      <c r="K178" s="7" t="str">
        <f ca="1">IFERROR(__xludf.DUMMYFUNCTION("""COMPUTED_VALUE"""),"https://stirioficiale.ro/informatii/buletin-de-presa-15-aprilie-2020-ora-13-60")</f>
        <v>https://stirioficiale.ro/informatii/buletin-de-presa-15-aprilie-2020-ora-13-60</v>
      </c>
      <c r="L178" s="5"/>
      <c r="M178" s="5"/>
      <c r="N178" s="5"/>
      <c r="O178" s="5"/>
      <c r="P178" s="5"/>
      <c r="Q178" s="5"/>
      <c r="R178" s="5" t="str">
        <f ca="1">IFERROR(__xludf.DUMMYFUNCTION("""COMPUTED_VALUE"""),"România")</f>
        <v>România</v>
      </c>
      <c r="S178" s="5" t="str">
        <f ca="1">IFERROR(__xludf.DUMMYFUNCTION("""COMPUTED_VALUE"""),"Octavian")</f>
        <v>Octavian</v>
      </c>
      <c r="T178" s="7" t="str">
        <f ca="1">IFERROR(__xludf.DUMMYFUNCTION("""COMPUTED_VALUE"""),"http://www.ms.ro/2020/04/15/buletin-informativ-15-04-2020/")</f>
        <v>http://www.ms.ro/2020/04/15/buletin-informativ-15-04-2020/</v>
      </c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2.5">
      <c r="A179" s="5">
        <f ca="1">IFERROR(__xludf.DUMMYFUNCTION("""COMPUTED_VALUE"""),6942)</f>
        <v>6942</v>
      </c>
      <c r="B179" s="5"/>
      <c r="C179" s="5" t="str">
        <f ca="1">IFERROR(__xludf.DUMMYFUNCTION("""COMPUTED_VALUE"""),"Bihor")</f>
        <v>Bihor</v>
      </c>
      <c r="D179" s="13">
        <f ca="1">IFERROR(__xludf.DUMMYFUNCTION("""COMPUTED_VALUE"""),43936)</f>
        <v>43936</v>
      </c>
      <c r="E179" s="5" t="str">
        <f ca="1">IFERROR(__xludf.DUMMYFUNCTION("""COMPUTED_VALUE"""),"Nu")</f>
        <v>Nu</v>
      </c>
      <c r="F179" s="5"/>
      <c r="G179" s="5"/>
      <c r="H179" s="6"/>
      <c r="I179" s="5"/>
      <c r="J179" s="5"/>
      <c r="K179" s="7" t="str">
        <f ca="1">IFERROR(__xludf.DUMMYFUNCTION("""COMPUTED_VALUE"""),"https://stirioficiale.ro/informatii/buletin-de-presa-15-aprilie-2020-ora-13-61")</f>
        <v>https://stirioficiale.ro/informatii/buletin-de-presa-15-aprilie-2020-ora-13-61</v>
      </c>
      <c r="L179" s="5"/>
      <c r="M179" s="5"/>
      <c r="N179" s="5"/>
      <c r="O179" s="5"/>
      <c r="P179" s="5"/>
      <c r="Q179" s="5"/>
      <c r="R179" s="5" t="str">
        <f ca="1">IFERROR(__xludf.DUMMYFUNCTION("""COMPUTED_VALUE"""),"România")</f>
        <v>România</v>
      </c>
      <c r="S179" s="5" t="str">
        <f ca="1">IFERROR(__xludf.DUMMYFUNCTION("""COMPUTED_VALUE"""),"Octavian")</f>
        <v>Octavian</v>
      </c>
      <c r="T179" s="7" t="str">
        <f ca="1">IFERROR(__xludf.DUMMYFUNCTION("""COMPUTED_VALUE"""),"http://www.ms.ro/2020/04/15/buletin-informativ-15-04-2020/")</f>
        <v>http://www.ms.ro/2020/04/15/buletin-informativ-15-04-2020/</v>
      </c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2.5">
      <c r="A180" s="5">
        <f ca="1">IFERROR(__xludf.DUMMYFUNCTION("""COMPUTED_VALUE"""),7270)</f>
        <v>7270</v>
      </c>
      <c r="B180" s="5"/>
      <c r="C180" s="5" t="str">
        <f ca="1">IFERROR(__xludf.DUMMYFUNCTION("""COMPUTED_VALUE"""),"Bihor")</f>
        <v>Bihor</v>
      </c>
      <c r="D180" s="13">
        <f ca="1">IFERROR(__xludf.DUMMYFUNCTION("""COMPUTED_VALUE"""),43937)</f>
        <v>43937</v>
      </c>
      <c r="E180" s="5" t="str">
        <f ca="1">IFERROR(__xludf.DUMMYFUNCTION("""COMPUTED_VALUE"""),"Nu")</f>
        <v>Nu</v>
      </c>
      <c r="F180" s="5"/>
      <c r="G180" s="5"/>
      <c r="H180" s="6"/>
      <c r="I180" s="5"/>
      <c r="J180" s="5"/>
      <c r="K180" s="7" t="str">
        <f ca="1">IFERROR(__xludf.DUMMYFUNCTION("""COMPUTED_VALUE"""),"https://stirioficiale.ro/informatii/buletin-de-presa-16-aprilie-2020-ora-13-53")</f>
        <v>https://stirioficiale.ro/informatii/buletin-de-presa-16-aprilie-2020-ora-13-53</v>
      </c>
      <c r="L180" s="5"/>
      <c r="M180" s="5"/>
      <c r="N180" s="5"/>
      <c r="O180" s="5"/>
      <c r="P180" s="5"/>
      <c r="Q180" s="5"/>
      <c r="R180" s="5" t="str">
        <f ca="1">IFERROR(__xludf.DUMMYFUNCTION("""COMPUTED_VALUE"""),"România")</f>
        <v>România</v>
      </c>
      <c r="S180" s="5" t="str">
        <f ca="1">IFERROR(__xludf.DUMMYFUNCTION("""COMPUTED_VALUE"""),"Octavian")</f>
        <v>Octavian</v>
      </c>
      <c r="T180" s="7" t="str">
        <f ca="1">IFERROR(__xludf.DUMMYFUNCTION("""COMPUTED_VALUE"""),"http://www.ms.ro/2020/04/16/buletin-informativ-16-04-2020/")</f>
        <v>http://www.ms.ro/2020/04/16/buletin-informativ-16-04-2020/</v>
      </c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2.5">
      <c r="A181" s="5">
        <f ca="1">IFERROR(__xludf.DUMMYFUNCTION("""COMPUTED_VALUE"""),7271)</f>
        <v>7271</v>
      </c>
      <c r="B181" s="5"/>
      <c r="C181" s="5" t="str">
        <f ca="1">IFERROR(__xludf.DUMMYFUNCTION("""COMPUTED_VALUE"""),"Bihor")</f>
        <v>Bihor</v>
      </c>
      <c r="D181" s="13">
        <f ca="1">IFERROR(__xludf.DUMMYFUNCTION("""COMPUTED_VALUE"""),43937)</f>
        <v>43937</v>
      </c>
      <c r="E181" s="5" t="str">
        <f ca="1">IFERROR(__xludf.DUMMYFUNCTION("""COMPUTED_VALUE"""),"Nu")</f>
        <v>Nu</v>
      </c>
      <c r="F181" s="5"/>
      <c r="G181" s="5"/>
      <c r="H181" s="6"/>
      <c r="I181" s="5"/>
      <c r="J181" s="5"/>
      <c r="K181" s="7" t="str">
        <f ca="1">IFERROR(__xludf.DUMMYFUNCTION("""COMPUTED_VALUE"""),"https://stirioficiale.ro/informatii/buletin-de-presa-16-aprilie-2020-ora-13-54")</f>
        <v>https://stirioficiale.ro/informatii/buletin-de-presa-16-aprilie-2020-ora-13-54</v>
      </c>
      <c r="L181" s="5"/>
      <c r="M181" s="5"/>
      <c r="N181" s="5"/>
      <c r="O181" s="5"/>
      <c r="P181" s="5"/>
      <c r="Q181" s="5"/>
      <c r="R181" s="5" t="str">
        <f ca="1">IFERROR(__xludf.DUMMYFUNCTION("""COMPUTED_VALUE"""),"România")</f>
        <v>România</v>
      </c>
      <c r="S181" s="5" t="str">
        <f ca="1">IFERROR(__xludf.DUMMYFUNCTION("""COMPUTED_VALUE"""),"Octavian")</f>
        <v>Octavian</v>
      </c>
      <c r="T181" s="7" t="str">
        <f ca="1">IFERROR(__xludf.DUMMYFUNCTION("""COMPUTED_VALUE"""),"http://www.ms.ro/2020/04/16/buletin-informativ-16-04-2020/")</f>
        <v>http://www.ms.ro/2020/04/16/buletin-informativ-16-04-2020/</v>
      </c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2.5">
      <c r="A182" s="5">
        <f ca="1">IFERROR(__xludf.DUMMYFUNCTION("""COMPUTED_VALUE"""),7272)</f>
        <v>7272</v>
      </c>
      <c r="B182" s="5"/>
      <c r="C182" s="5" t="str">
        <f ca="1">IFERROR(__xludf.DUMMYFUNCTION("""COMPUTED_VALUE"""),"Bihor")</f>
        <v>Bihor</v>
      </c>
      <c r="D182" s="13">
        <f ca="1">IFERROR(__xludf.DUMMYFUNCTION("""COMPUTED_VALUE"""),43937)</f>
        <v>43937</v>
      </c>
      <c r="E182" s="5" t="str">
        <f ca="1">IFERROR(__xludf.DUMMYFUNCTION("""COMPUTED_VALUE"""),"Nu")</f>
        <v>Nu</v>
      </c>
      <c r="F182" s="5"/>
      <c r="G182" s="5"/>
      <c r="H182" s="6"/>
      <c r="I182" s="5"/>
      <c r="J182" s="5"/>
      <c r="K182" s="7" t="str">
        <f ca="1">IFERROR(__xludf.DUMMYFUNCTION("""COMPUTED_VALUE"""),"https://stirioficiale.ro/informatii/buletin-de-presa-16-aprilie-2020-ora-13-55")</f>
        <v>https://stirioficiale.ro/informatii/buletin-de-presa-16-aprilie-2020-ora-13-55</v>
      </c>
      <c r="L182" s="5"/>
      <c r="M182" s="5"/>
      <c r="N182" s="5"/>
      <c r="O182" s="5"/>
      <c r="P182" s="5"/>
      <c r="Q182" s="5"/>
      <c r="R182" s="5" t="str">
        <f ca="1">IFERROR(__xludf.DUMMYFUNCTION("""COMPUTED_VALUE"""),"România")</f>
        <v>România</v>
      </c>
      <c r="S182" s="5" t="str">
        <f ca="1">IFERROR(__xludf.DUMMYFUNCTION("""COMPUTED_VALUE"""),"Octavian")</f>
        <v>Octavian</v>
      </c>
      <c r="T182" s="7" t="str">
        <f ca="1">IFERROR(__xludf.DUMMYFUNCTION("""COMPUTED_VALUE"""),"http://www.ms.ro/2020/04/16/buletin-informativ-16-04-2020/")</f>
        <v>http://www.ms.ro/2020/04/16/buletin-informativ-16-04-2020/</v>
      </c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2.5">
      <c r="A183" s="5">
        <f ca="1">IFERROR(__xludf.DUMMYFUNCTION("""COMPUTED_VALUE"""),7273)</f>
        <v>7273</v>
      </c>
      <c r="B183" s="5"/>
      <c r="C183" s="5" t="str">
        <f ca="1">IFERROR(__xludf.DUMMYFUNCTION("""COMPUTED_VALUE"""),"Bihor")</f>
        <v>Bihor</v>
      </c>
      <c r="D183" s="13">
        <f ca="1">IFERROR(__xludf.DUMMYFUNCTION("""COMPUTED_VALUE"""),43937)</f>
        <v>43937</v>
      </c>
      <c r="E183" s="5" t="str">
        <f ca="1">IFERROR(__xludf.DUMMYFUNCTION("""COMPUTED_VALUE"""),"Nu")</f>
        <v>Nu</v>
      </c>
      <c r="F183" s="5"/>
      <c r="G183" s="5"/>
      <c r="H183" s="6"/>
      <c r="I183" s="5"/>
      <c r="J183" s="5"/>
      <c r="K183" s="7" t="str">
        <f ca="1">IFERROR(__xludf.DUMMYFUNCTION("""COMPUTED_VALUE"""),"https://stirioficiale.ro/informatii/buletin-de-presa-16-aprilie-2020-ora-13-56")</f>
        <v>https://stirioficiale.ro/informatii/buletin-de-presa-16-aprilie-2020-ora-13-56</v>
      </c>
      <c r="L183" s="5"/>
      <c r="M183" s="5"/>
      <c r="N183" s="5"/>
      <c r="O183" s="5"/>
      <c r="P183" s="5"/>
      <c r="Q183" s="5"/>
      <c r="R183" s="5" t="str">
        <f ca="1">IFERROR(__xludf.DUMMYFUNCTION("""COMPUTED_VALUE"""),"România")</f>
        <v>România</v>
      </c>
      <c r="S183" s="5" t="str">
        <f ca="1">IFERROR(__xludf.DUMMYFUNCTION("""COMPUTED_VALUE"""),"Octavian")</f>
        <v>Octavian</v>
      </c>
      <c r="T183" s="7" t="str">
        <f ca="1">IFERROR(__xludf.DUMMYFUNCTION("""COMPUTED_VALUE"""),"http://www.ms.ro/2020/04/16/buletin-informativ-16-04-2020/")</f>
        <v>http://www.ms.ro/2020/04/16/buletin-informativ-16-04-2020/</v>
      </c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2.5">
      <c r="A184" s="5">
        <f ca="1">IFERROR(__xludf.DUMMYFUNCTION("""COMPUTED_VALUE"""),7274)</f>
        <v>7274</v>
      </c>
      <c r="B184" s="5"/>
      <c r="C184" s="5" t="str">
        <f ca="1">IFERROR(__xludf.DUMMYFUNCTION("""COMPUTED_VALUE"""),"Bihor")</f>
        <v>Bihor</v>
      </c>
      <c r="D184" s="13">
        <f ca="1">IFERROR(__xludf.DUMMYFUNCTION("""COMPUTED_VALUE"""),43937)</f>
        <v>43937</v>
      </c>
      <c r="E184" s="5" t="str">
        <f ca="1">IFERROR(__xludf.DUMMYFUNCTION("""COMPUTED_VALUE"""),"Nu")</f>
        <v>Nu</v>
      </c>
      <c r="F184" s="5"/>
      <c r="G184" s="5"/>
      <c r="H184" s="6"/>
      <c r="I184" s="5"/>
      <c r="J184" s="5"/>
      <c r="K184" s="7" t="str">
        <f ca="1">IFERROR(__xludf.DUMMYFUNCTION("""COMPUTED_VALUE"""),"https://stirioficiale.ro/informatii/buletin-de-presa-16-aprilie-2020-ora-13-57")</f>
        <v>https://stirioficiale.ro/informatii/buletin-de-presa-16-aprilie-2020-ora-13-57</v>
      </c>
      <c r="L184" s="5"/>
      <c r="M184" s="5"/>
      <c r="N184" s="5"/>
      <c r="O184" s="5"/>
      <c r="P184" s="5"/>
      <c r="Q184" s="5"/>
      <c r="R184" s="5" t="str">
        <f ca="1">IFERROR(__xludf.DUMMYFUNCTION("""COMPUTED_VALUE"""),"România")</f>
        <v>România</v>
      </c>
      <c r="S184" s="5" t="str">
        <f ca="1">IFERROR(__xludf.DUMMYFUNCTION("""COMPUTED_VALUE"""),"Octavian")</f>
        <v>Octavian</v>
      </c>
      <c r="T184" s="7" t="str">
        <f ca="1">IFERROR(__xludf.DUMMYFUNCTION("""COMPUTED_VALUE"""),"http://www.ms.ro/2020/04/16/buletin-informativ-16-04-2020/")</f>
        <v>http://www.ms.ro/2020/04/16/buletin-informativ-16-04-2020/</v>
      </c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2.5">
      <c r="A185" s="5">
        <f ca="1">IFERROR(__xludf.DUMMYFUNCTION("""COMPUTED_VALUE"""),7275)</f>
        <v>7275</v>
      </c>
      <c r="B185" s="5"/>
      <c r="C185" s="5" t="str">
        <f ca="1">IFERROR(__xludf.DUMMYFUNCTION("""COMPUTED_VALUE"""),"Bihor")</f>
        <v>Bihor</v>
      </c>
      <c r="D185" s="13">
        <f ca="1">IFERROR(__xludf.DUMMYFUNCTION("""COMPUTED_VALUE"""),43937)</f>
        <v>43937</v>
      </c>
      <c r="E185" s="5" t="str">
        <f ca="1">IFERROR(__xludf.DUMMYFUNCTION("""COMPUTED_VALUE"""),"Nu")</f>
        <v>Nu</v>
      </c>
      <c r="F185" s="5"/>
      <c r="G185" s="5"/>
      <c r="H185" s="6"/>
      <c r="I185" s="5"/>
      <c r="J185" s="5"/>
      <c r="K185" s="7" t="str">
        <f ca="1">IFERROR(__xludf.DUMMYFUNCTION("""COMPUTED_VALUE"""),"https://stirioficiale.ro/informatii/buletin-de-presa-16-aprilie-2020-ora-13-58")</f>
        <v>https://stirioficiale.ro/informatii/buletin-de-presa-16-aprilie-2020-ora-13-58</v>
      </c>
      <c r="L185" s="5"/>
      <c r="M185" s="5"/>
      <c r="N185" s="5"/>
      <c r="O185" s="5"/>
      <c r="P185" s="5"/>
      <c r="Q185" s="5"/>
      <c r="R185" s="5" t="str">
        <f ca="1">IFERROR(__xludf.DUMMYFUNCTION("""COMPUTED_VALUE"""),"România")</f>
        <v>România</v>
      </c>
      <c r="S185" s="5" t="str">
        <f ca="1">IFERROR(__xludf.DUMMYFUNCTION("""COMPUTED_VALUE"""),"Octavian")</f>
        <v>Octavian</v>
      </c>
      <c r="T185" s="7" t="str">
        <f ca="1">IFERROR(__xludf.DUMMYFUNCTION("""COMPUTED_VALUE"""),"http://www.ms.ro/2020/04/16/buletin-informativ-16-04-2020/")</f>
        <v>http://www.ms.ro/2020/04/16/buletin-informativ-16-04-2020/</v>
      </c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2.5">
      <c r="A186" s="5">
        <f ca="1">IFERROR(__xludf.DUMMYFUNCTION("""COMPUTED_VALUE"""),7276)</f>
        <v>7276</v>
      </c>
      <c r="B186" s="5"/>
      <c r="C186" s="5" t="str">
        <f ca="1">IFERROR(__xludf.DUMMYFUNCTION("""COMPUTED_VALUE"""),"Bihor")</f>
        <v>Bihor</v>
      </c>
      <c r="D186" s="13">
        <f ca="1">IFERROR(__xludf.DUMMYFUNCTION("""COMPUTED_VALUE"""),43937)</f>
        <v>43937</v>
      </c>
      <c r="E186" s="5" t="str">
        <f ca="1">IFERROR(__xludf.DUMMYFUNCTION("""COMPUTED_VALUE"""),"Nu")</f>
        <v>Nu</v>
      </c>
      <c r="F186" s="5"/>
      <c r="G186" s="5"/>
      <c r="H186" s="6"/>
      <c r="I186" s="5"/>
      <c r="J186" s="5"/>
      <c r="K186" s="7" t="str">
        <f ca="1">IFERROR(__xludf.DUMMYFUNCTION("""COMPUTED_VALUE"""),"https://stirioficiale.ro/informatii/buletin-de-presa-16-aprilie-2020-ora-13-59")</f>
        <v>https://stirioficiale.ro/informatii/buletin-de-presa-16-aprilie-2020-ora-13-59</v>
      </c>
      <c r="L186" s="5"/>
      <c r="M186" s="5"/>
      <c r="N186" s="5"/>
      <c r="O186" s="5"/>
      <c r="P186" s="5"/>
      <c r="Q186" s="5"/>
      <c r="R186" s="5" t="str">
        <f ca="1">IFERROR(__xludf.DUMMYFUNCTION("""COMPUTED_VALUE"""),"România")</f>
        <v>România</v>
      </c>
      <c r="S186" s="5" t="str">
        <f ca="1">IFERROR(__xludf.DUMMYFUNCTION("""COMPUTED_VALUE"""),"Octavian")</f>
        <v>Octavian</v>
      </c>
      <c r="T186" s="7" t="str">
        <f ca="1">IFERROR(__xludf.DUMMYFUNCTION("""COMPUTED_VALUE"""),"http://www.ms.ro/2020/04/16/buletin-informativ-16-04-2020/")</f>
        <v>http://www.ms.ro/2020/04/16/buletin-informativ-16-04-2020/</v>
      </c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2.5">
      <c r="A187" s="5">
        <f ca="1">IFERROR(__xludf.DUMMYFUNCTION("""COMPUTED_VALUE"""),7277)</f>
        <v>7277</v>
      </c>
      <c r="B187" s="5"/>
      <c r="C187" s="5" t="str">
        <f ca="1">IFERROR(__xludf.DUMMYFUNCTION("""COMPUTED_VALUE"""),"Bihor")</f>
        <v>Bihor</v>
      </c>
      <c r="D187" s="13">
        <f ca="1">IFERROR(__xludf.DUMMYFUNCTION("""COMPUTED_VALUE"""),43937)</f>
        <v>43937</v>
      </c>
      <c r="E187" s="5" t="str">
        <f ca="1">IFERROR(__xludf.DUMMYFUNCTION("""COMPUTED_VALUE"""),"Nu")</f>
        <v>Nu</v>
      </c>
      <c r="F187" s="5"/>
      <c r="G187" s="5"/>
      <c r="H187" s="6"/>
      <c r="I187" s="5"/>
      <c r="J187" s="5"/>
      <c r="K187" s="7" t="str">
        <f ca="1">IFERROR(__xludf.DUMMYFUNCTION("""COMPUTED_VALUE"""),"https://stirioficiale.ro/informatii/buletin-de-presa-16-aprilie-2020-ora-13-60")</f>
        <v>https://stirioficiale.ro/informatii/buletin-de-presa-16-aprilie-2020-ora-13-60</v>
      </c>
      <c r="L187" s="5"/>
      <c r="M187" s="5"/>
      <c r="N187" s="5"/>
      <c r="O187" s="5"/>
      <c r="P187" s="5"/>
      <c r="Q187" s="5"/>
      <c r="R187" s="5" t="str">
        <f ca="1">IFERROR(__xludf.DUMMYFUNCTION("""COMPUTED_VALUE"""),"România")</f>
        <v>România</v>
      </c>
      <c r="S187" s="5" t="str">
        <f ca="1">IFERROR(__xludf.DUMMYFUNCTION("""COMPUTED_VALUE"""),"Octavian")</f>
        <v>Octavian</v>
      </c>
      <c r="T187" s="7" t="str">
        <f ca="1">IFERROR(__xludf.DUMMYFUNCTION("""COMPUTED_VALUE"""),"http://www.ms.ro/2020/04/16/buletin-informativ-16-04-2020/")</f>
        <v>http://www.ms.ro/2020/04/16/buletin-informativ-16-04-2020/</v>
      </c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2.5">
      <c r="A188" s="5">
        <f ca="1">IFERROR(__xludf.DUMMYFUNCTION("""COMPUTED_VALUE"""),7278)</f>
        <v>7278</v>
      </c>
      <c r="B188" s="5"/>
      <c r="C188" s="5" t="str">
        <f ca="1">IFERROR(__xludf.DUMMYFUNCTION("""COMPUTED_VALUE"""),"Bihor")</f>
        <v>Bihor</v>
      </c>
      <c r="D188" s="13">
        <f ca="1">IFERROR(__xludf.DUMMYFUNCTION("""COMPUTED_VALUE"""),43937)</f>
        <v>43937</v>
      </c>
      <c r="E188" s="5" t="str">
        <f ca="1">IFERROR(__xludf.DUMMYFUNCTION("""COMPUTED_VALUE"""),"Nu")</f>
        <v>Nu</v>
      </c>
      <c r="F188" s="5"/>
      <c r="G188" s="5"/>
      <c r="H188" s="6"/>
      <c r="I188" s="5"/>
      <c r="J188" s="5"/>
      <c r="K188" s="7" t="str">
        <f ca="1">IFERROR(__xludf.DUMMYFUNCTION("""COMPUTED_VALUE"""),"https://stirioficiale.ro/informatii/buletin-de-presa-16-aprilie-2020-ora-13-61")</f>
        <v>https://stirioficiale.ro/informatii/buletin-de-presa-16-aprilie-2020-ora-13-61</v>
      </c>
      <c r="L188" s="5"/>
      <c r="M188" s="5"/>
      <c r="N188" s="5"/>
      <c r="O188" s="5"/>
      <c r="P188" s="5"/>
      <c r="Q188" s="5"/>
      <c r="R188" s="5" t="str">
        <f ca="1">IFERROR(__xludf.DUMMYFUNCTION("""COMPUTED_VALUE"""),"România")</f>
        <v>România</v>
      </c>
      <c r="S188" s="5" t="str">
        <f ca="1">IFERROR(__xludf.DUMMYFUNCTION("""COMPUTED_VALUE"""),"Octavian")</f>
        <v>Octavian</v>
      </c>
      <c r="T188" s="7" t="str">
        <f ca="1">IFERROR(__xludf.DUMMYFUNCTION("""COMPUTED_VALUE"""),"http://www.ms.ro/2020/04/16/buletin-informativ-16-04-2020/")</f>
        <v>http://www.ms.ro/2020/04/16/buletin-informativ-16-04-2020/</v>
      </c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2.5">
      <c r="A189" s="5">
        <f ca="1">IFERROR(__xludf.DUMMYFUNCTION("""COMPUTED_VALUE"""),7279)</f>
        <v>7279</v>
      </c>
      <c r="B189" s="5"/>
      <c r="C189" s="5" t="str">
        <f ca="1">IFERROR(__xludf.DUMMYFUNCTION("""COMPUTED_VALUE"""),"Bihor")</f>
        <v>Bihor</v>
      </c>
      <c r="D189" s="13">
        <f ca="1">IFERROR(__xludf.DUMMYFUNCTION("""COMPUTED_VALUE"""),43937)</f>
        <v>43937</v>
      </c>
      <c r="E189" s="5" t="str">
        <f ca="1">IFERROR(__xludf.DUMMYFUNCTION("""COMPUTED_VALUE"""),"Nu")</f>
        <v>Nu</v>
      </c>
      <c r="F189" s="5"/>
      <c r="G189" s="5"/>
      <c r="H189" s="6"/>
      <c r="I189" s="5"/>
      <c r="J189" s="5"/>
      <c r="K189" s="7" t="str">
        <f ca="1">IFERROR(__xludf.DUMMYFUNCTION("""COMPUTED_VALUE"""),"https://stirioficiale.ro/informatii/buletin-de-presa-16-aprilie-2020-ora-13-62")</f>
        <v>https://stirioficiale.ro/informatii/buletin-de-presa-16-aprilie-2020-ora-13-62</v>
      </c>
      <c r="L189" s="5"/>
      <c r="M189" s="5"/>
      <c r="N189" s="5"/>
      <c r="O189" s="5"/>
      <c r="P189" s="5"/>
      <c r="Q189" s="5"/>
      <c r="R189" s="5" t="str">
        <f ca="1">IFERROR(__xludf.DUMMYFUNCTION("""COMPUTED_VALUE"""),"România")</f>
        <v>România</v>
      </c>
      <c r="S189" s="5" t="str">
        <f ca="1">IFERROR(__xludf.DUMMYFUNCTION("""COMPUTED_VALUE"""),"Octavian")</f>
        <v>Octavian</v>
      </c>
      <c r="T189" s="7" t="str">
        <f ca="1">IFERROR(__xludf.DUMMYFUNCTION("""COMPUTED_VALUE"""),"http://www.ms.ro/2020/04/16/buletin-informativ-16-04-2020/")</f>
        <v>http://www.ms.ro/2020/04/16/buletin-informativ-16-04-2020/</v>
      </c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2.5">
      <c r="A190" s="5">
        <f ca="1">IFERROR(__xludf.DUMMYFUNCTION("""COMPUTED_VALUE"""),7280)</f>
        <v>7280</v>
      </c>
      <c r="B190" s="5"/>
      <c r="C190" s="5" t="str">
        <f ca="1">IFERROR(__xludf.DUMMYFUNCTION("""COMPUTED_VALUE"""),"Bihor")</f>
        <v>Bihor</v>
      </c>
      <c r="D190" s="13">
        <f ca="1">IFERROR(__xludf.DUMMYFUNCTION("""COMPUTED_VALUE"""),43937)</f>
        <v>43937</v>
      </c>
      <c r="E190" s="5" t="str">
        <f ca="1">IFERROR(__xludf.DUMMYFUNCTION("""COMPUTED_VALUE"""),"Nu")</f>
        <v>Nu</v>
      </c>
      <c r="F190" s="5"/>
      <c r="G190" s="5"/>
      <c r="H190" s="6"/>
      <c r="I190" s="5"/>
      <c r="J190" s="5"/>
      <c r="K190" s="7" t="str">
        <f ca="1">IFERROR(__xludf.DUMMYFUNCTION("""COMPUTED_VALUE"""),"https://stirioficiale.ro/informatii/buletin-de-presa-16-aprilie-2020-ora-13-63")</f>
        <v>https://stirioficiale.ro/informatii/buletin-de-presa-16-aprilie-2020-ora-13-63</v>
      </c>
      <c r="L190" s="5"/>
      <c r="M190" s="5"/>
      <c r="N190" s="5"/>
      <c r="O190" s="5"/>
      <c r="P190" s="5"/>
      <c r="Q190" s="5"/>
      <c r="R190" s="5" t="str">
        <f ca="1">IFERROR(__xludf.DUMMYFUNCTION("""COMPUTED_VALUE"""),"România")</f>
        <v>România</v>
      </c>
      <c r="S190" s="5" t="str">
        <f ca="1">IFERROR(__xludf.DUMMYFUNCTION("""COMPUTED_VALUE"""),"Octavian")</f>
        <v>Octavian</v>
      </c>
      <c r="T190" s="7" t="str">
        <f ca="1">IFERROR(__xludf.DUMMYFUNCTION("""COMPUTED_VALUE"""),"http://www.ms.ro/2020/04/16/buletin-informativ-16-04-2020/")</f>
        <v>http://www.ms.ro/2020/04/16/buletin-informativ-16-04-2020/</v>
      </c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2.5">
      <c r="A191" s="5">
        <f ca="1">IFERROR(__xludf.DUMMYFUNCTION("""COMPUTED_VALUE"""),7281)</f>
        <v>7281</v>
      </c>
      <c r="B191" s="5"/>
      <c r="C191" s="5" t="str">
        <f ca="1">IFERROR(__xludf.DUMMYFUNCTION("""COMPUTED_VALUE"""),"Bihor")</f>
        <v>Bihor</v>
      </c>
      <c r="D191" s="13">
        <f ca="1">IFERROR(__xludf.DUMMYFUNCTION("""COMPUTED_VALUE"""),43937)</f>
        <v>43937</v>
      </c>
      <c r="E191" s="5" t="str">
        <f ca="1">IFERROR(__xludf.DUMMYFUNCTION("""COMPUTED_VALUE"""),"Nu")</f>
        <v>Nu</v>
      </c>
      <c r="F191" s="5"/>
      <c r="G191" s="5"/>
      <c r="H191" s="6"/>
      <c r="I191" s="5"/>
      <c r="J191" s="5"/>
      <c r="K191" s="7" t="str">
        <f ca="1">IFERROR(__xludf.DUMMYFUNCTION("""COMPUTED_VALUE"""),"https://stirioficiale.ro/informatii/buletin-de-presa-16-aprilie-2020-ora-13-64")</f>
        <v>https://stirioficiale.ro/informatii/buletin-de-presa-16-aprilie-2020-ora-13-64</v>
      </c>
      <c r="L191" s="5"/>
      <c r="M191" s="5"/>
      <c r="N191" s="5"/>
      <c r="O191" s="5"/>
      <c r="P191" s="5"/>
      <c r="Q191" s="5"/>
      <c r="R191" s="5" t="str">
        <f ca="1">IFERROR(__xludf.DUMMYFUNCTION("""COMPUTED_VALUE"""),"România")</f>
        <v>România</v>
      </c>
      <c r="S191" s="5" t="str">
        <f ca="1">IFERROR(__xludf.DUMMYFUNCTION("""COMPUTED_VALUE"""),"Octavian")</f>
        <v>Octavian</v>
      </c>
      <c r="T191" s="7" t="str">
        <f ca="1">IFERROR(__xludf.DUMMYFUNCTION("""COMPUTED_VALUE"""),"http://www.ms.ro/2020/04/16/buletin-informativ-16-04-2020/")</f>
        <v>http://www.ms.ro/2020/04/16/buletin-informativ-16-04-2020/</v>
      </c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2.5">
      <c r="A192" s="5">
        <f ca="1">IFERROR(__xludf.DUMMYFUNCTION("""COMPUTED_VALUE"""),7282)</f>
        <v>7282</v>
      </c>
      <c r="B192" s="5"/>
      <c r="C192" s="5" t="str">
        <f ca="1">IFERROR(__xludf.DUMMYFUNCTION("""COMPUTED_VALUE"""),"Bihor")</f>
        <v>Bihor</v>
      </c>
      <c r="D192" s="13">
        <f ca="1">IFERROR(__xludf.DUMMYFUNCTION("""COMPUTED_VALUE"""),43937)</f>
        <v>43937</v>
      </c>
      <c r="E192" s="5" t="str">
        <f ca="1">IFERROR(__xludf.DUMMYFUNCTION("""COMPUTED_VALUE"""),"Nu")</f>
        <v>Nu</v>
      </c>
      <c r="F192" s="5"/>
      <c r="G192" s="5"/>
      <c r="H192" s="6"/>
      <c r="I192" s="5"/>
      <c r="J192" s="5"/>
      <c r="K192" s="7" t="str">
        <f ca="1">IFERROR(__xludf.DUMMYFUNCTION("""COMPUTED_VALUE"""),"https://stirioficiale.ro/informatii/buletin-de-presa-16-aprilie-2020-ora-13-65")</f>
        <v>https://stirioficiale.ro/informatii/buletin-de-presa-16-aprilie-2020-ora-13-65</v>
      </c>
      <c r="L192" s="5"/>
      <c r="M192" s="5"/>
      <c r="N192" s="5"/>
      <c r="O192" s="5"/>
      <c r="P192" s="5"/>
      <c r="Q192" s="5"/>
      <c r="R192" s="5" t="str">
        <f ca="1">IFERROR(__xludf.DUMMYFUNCTION("""COMPUTED_VALUE"""),"România")</f>
        <v>România</v>
      </c>
      <c r="S192" s="5" t="str">
        <f ca="1">IFERROR(__xludf.DUMMYFUNCTION("""COMPUTED_VALUE"""),"Octavian")</f>
        <v>Octavian</v>
      </c>
      <c r="T192" s="7" t="str">
        <f ca="1">IFERROR(__xludf.DUMMYFUNCTION("""COMPUTED_VALUE"""),"http://www.ms.ro/2020/04/16/buletin-informativ-16-04-2020/")</f>
        <v>http://www.ms.ro/2020/04/16/buletin-informativ-16-04-2020/</v>
      </c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2.5">
      <c r="A193" s="5">
        <f ca="1">IFERROR(__xludf.DUMMYFUNCTION("""COMPUTED_VALUE"""),7283)</f>
        <v>7283</v>
      </c>
      <c r="B193" s="5"/>
      <c r="C193" s="5" t="str">
        <f ca="1">IFERROR(__xludf.DUMMYFUNCTION("""COMPUTED_VALUE"""),"Bihor")</f>
        <v>Bihor</v>
      </c>
      <c r="D193" s="13">
        <f ca="1">IFERROR(__xludf.DUMMYFUNCTION("""COMPUTED_VALUE"""),43937)</f>
        <v>43937</v>
      </c>
      <c r="E193" s="5" t="str">
        <f ca="1">IFERROR(__xludf.DUMMYFUNCTION("""COMPUTED_VALUE"""),"Nu")</f>
        <v>Nu</v>
      </c>
      <c r="F193" s="5"/>
      <c r="G193" s="5"/>
      <c r="H193" s="6"/>
      <c r="I193" s="5"/>
      <c r="J193" s="5"/>
      <c r="K193" s="7" t="str">
        <f ca="1">IFERROR(__xludf.DUMMYFUNCTION("""COMPUTED_VALUE"""),"https://stirioficiale.ro/informatii/buletin-de-presa-16-aprilie-2020-ora-13-66")</f>
        <v>https://stirioficiale.ro/informatii/buletin-de-presa-16-aprilie-2020-ora-13-66</v>
      </c>
      <c r="L193" s="5"/>
      <c r="M193" s="5"/>
      <c r="N193" s="5"/>
      <c r="O193" s="5"/>
      <c r="P193" s="5"/>
      <c r="Q193" s="5"/>
      <c r="R193" s="5" t="str">
        <f ca="1">IFERROR(__xludf.DUMMYFUNCTION("""COMPUTED_VALUE"""),"România")</f>
        <v>România</v>
      </c>
      <c r="S193" s="5" t="str">
        <f ca="1">IFERROR(__xludf.DUMMYFUNCTION("""COMPUTED_VALUE"""),"Octavian")</f>
        <v>Octavian</v>
      </c>
      <c r="T193" s="7" t="str">
        <f ca="1">IFERROR(__xludf.DUMMYFUNCTION("""COMPUTED_VALUE"""),"http://www.ms.ro/2020/04/16/buletin-informativ-16-04-2020/")</f>
        <v>http://www.ms.ro/2020/04/16/buletin-informativ-16-04-2020/</v>
      </c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2.5">
      <c r="A194" s="5">
        <f ca="1">IFERROR(__xludf.DUMMYFUNCTION("""COMPUTED_VALUE"""),7284)</f>
        <v>7284</v>
      </c>
      <c r="B194" s="5"/>
      <c r="C194" s="5" t="str">
        <f ca="1">IFERROR(__xludf.DUMMYFUNCTION("""COMPUTED_VALUE"""),"Bihor")</f>
        <v>Bihor</v>
      </c>
      <c r="D194" s="13">
        <f ca="1">IFERROR(__xludf.DUMMYFUNCTION("""COMPUTED_VALUE"""),43937)</f>
        <v>43937</v>
      </c>
      <c r="E194" s="5" t="str">
        <f ca="1">IFERROR(__xludf.DUMMYFUNCTION("""COMPUTED_VALUE"""),"Nu")</f>
        <v>Nu</v>
      </c>
      <c r="F194" s="5"/>
      <c r="G194" s="5"/>
      <c r="H194" s="6"/>
      <c r="I194" s="5"/>
      <c r="J194" s="5"/>
      <c r="K194" s="7" t="str">
        <f ca="1">IFERROR(__xludf.DUMMYFUNCTION("""COMPUTED_VALUE"""),"https://stirioficiale.ro/informatii/buletin-de-presa-16-aprilie-2020-ora-13-67")</f>
        <v>https://stirioficiale.ro/informatii/buletin-de-presa-16-aprilie-2020-ora-13-67</v>
      </c>
      <c r="L194" s="5"/>
      <c r="M194" s="5"/>
      <c r="N194" s="5"/>
      <c r="O194" s="5"/>
      <c r="P194" s="5"/>
      <c r="Q194" s="5"/>
      <c r="R194" s="5" t="str">
        <f ca="1">IFERROR(__xludf.DUMMYFUNCTION("""COMPUTED_VALUE"""),"România")</f>
        <v>România</v>
      </c>
      <c r="S194" s="5" t="str">
        <f ca="1">IFERROR(__xludf.DUMMYFUNCTION("""COMPUTED_VALUE"""),"Octavian")</f>
        <v>Octavian</v>
      </c>
      <c r="T194" s="7" t="str">
        <f ca="1">IFERROR(__xludf.DUMMYFUNCTION("""COMPUTED_VALUE"""),"http://www.ms.ro/2020/04/16/buletin-informativ-16-04-2020/")</f>
        <v>http://www.ms.ro/2020/04/16/buletin-informativ-16-04-2020/</v>
      </c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2.5">
      <c r="A195" s="5">
        <f ca="1">IFERROR(__xludf.DUMMYFUNCTION("""COMPUTED_VALUE"""),7285)</f>
        <v>7285</v>
      </c>
      <c r="B195" s="5"/>
      <c r="C195" s="5" t="str">
        <f ca="1">IFERROR(__xludf.DUMMYFUNCTION("""COMPUTED_VALUE"""),"Bihor")</f>
        <v>Bihor</v>
      </c>
      <c r="D195" s="13">
        <f ca="1">IFERROR(__xludf.DUMMYFUNCTION("""COMPUTED_VALUE"""),43937)</f>
        <v>43937</v>
      </c>
      <c r="E195" s="5" t="str">
        <f ca="1">IFERROR(__xludf.DUMMYFUNCTION("""COMPUTED_VALUE"""),"Nu")</f>
        <v>Nu</v>
      </c>
      <c r="F195" s="5"/>
      <c r="G195" s="5"/>
      <c r="H195" s="6"/>
      <c r="I195" s="5"/>
      <c r="J195" s="5"/>
      <c r="K195" s="7" t="str">
        <f ca="1">IFERROR(__xludf.DUMMYFUNCTION("""COMPUTED_VALUE"""),"https://stirioficiale.ro/informatii/buletin-de-presa-16-aprilie-2020-ora-13-68")</f>
        <v>https://stirioficiale.ro/informatii/buletin-de-presa-16-aprilie-2020-ora-13-68</v>
      </c>
      <c r="L195" s="5"/>
      <c r="M195" s="5"/>
      <c r="N195" s="5"/>
      <c r="O195" s="5"/>
      <c r="P195" s="5"/>
      <c r="Q195" s="5"/>
      <c r="R195" s="5" t="str">
        <f ca="1">IFERROR(__xludf.DUMMYFUNCTION("""COMPUTED_VALUE"""),"România")</f>
        <v>România</v>
      </c>
      <c r="S195" s="5" t="str">
        <f ca="1">IFERROR(__xludf.DUMMYFUNCTION("""COMPUTED_VALUE"""),"Octavian")</f>
        <v>Octavian</v>
      </c>
      <c r="T195" s="7" t="str">
        <f ca="1">IFERROR(__xludf.DUMMYFUNCTION("""COMPUTED_VALUE"""),"http://www.ms.ro/2020/04/16/buletin-informativ-16-04-2020/")</f>
        <v>http://www.ms.ro/2020/04/16/buletin-informativ-16-04-2020/</v>
      </c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2.5">
      <c r="A196" s="5">
        <f ca="1">IFERROR(__xludf.DUMMYFUNCTION("""COMPUTED_VALUE"""),7286)</f>
        <v>7286</v>
      </c>
      <c r="B196" s="5"/>
      <c r="C196" s="5" t="str">
        <f ca="1">IFERROR(__xludf.DUMMYFUNCTION("""COMPUTED_VALUE"""),"Bihor")</f>
        <v>Bihor</v>
      </c>
      <c r="D196" s="13">
        <f ca="1">IFERROR(__xludf.DUMMYFUNCTION("""COMPUTED_VALUE"""),43937)</f>
        <v>43937</v>
      </c>
      <c r="E196" s="5" t="str">
        <f ca="1">IFERROR(__xludf.DUMMYFUNCTION("""COMPUTED_VALUE"""),"Nu")</f>
        <v>Nu</v>
      </c>
      <c r="F196" s="5"/>
      <c r="G196" s="5"/>
      <c r="H196" s="6"/>
      <c r="I196" s="5"/>
      <c r="J196" s="5"/>
      <c r="K196" s="7" t="str">
        <f ca="1">IFERROR(__xludf.DUMMYFUNCTION("""COMPUTED_VALUE"""),"https://stirioficiale.ro/informatii/buletin-de-presa-16-aprilie-2020-ora-13-69")</f>
        <v>https://stirioficiale.ro/informatii/buletin-de-presa-16-aprilie-2020-ora-13-69</v>
      </c>
      <c r="L196" s="5"/>
      <c r="M196" s="5"/>
      <c r="N196" s="5"/>
      <c r="O196" s="5"/>
      <c r="P196" s="5"/>
      <c r="Q196" s="5"/>
      <c r="R196" s="5" t="str">
        <f ca="1">IFERROR(__xludf.DUMMYFUNCTION("""COMPUTED_VALUE"""),"România")</f>
        <v>România</v>
      </c>
      <c r="S196" s="5" t="str">
        <f ca="1">IFERROR(__xludf.DUMMYFUNCTION("""COMPUTED_VALUE"""),"Octavian")</f>
        <v>Octavian</v>
      </c>
      <c r="T196" s="7" t="str">
        <f ca="1">IFERROR(__xludf.DUMMYFUNCTION("""COMPUTED_VALUE"""),"http://www.ms.ro/2020/04/16/buletin-informativ-16-04-2020/")</f>
        <v>http://www.ms.ro/2020/04/16/buletin-informativ-16-04-2020/</v>
      </c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2.5">
      <c r="A197" s="5">
        <f ca="1">IFERROR(__xludf.DUMMYFUNCTION("""COMPUTED_VALUE"""),7287)</f>
        <v>7287</v>
      </c>
      <c r="B197" s="5"/>
      <c r="C197" s="5" t="str">
        <f ca="1">IFERROR(__xludf.DUMMYFUNCTION("""COMPUTED_VALUE"""),"Bihor")</f>
        <v>Bihor</v>
      </c>
      <c r="D197" s="13">
        <f ca="1">IFERROR(__xludf.DUMMYFUNCTION("""COMPUTED_VALUE"""),43937)</f>
        <v>43937</v>
      </c>
      <c r="E197" s="5" t="str">
        <f ca="1">IFERROR(__xludf.DUMMYFUNCTION("""COMPUTED_VALUE"""),"Nu")</f>
        <v>Nu</v>
      </c>
      <c r="F197" s="5"/>
      <c r="G197" s="5"/>
      <c r="H197" s="6"/>
      <c r="I197" s="5"/>
      <c r="J197" s="5"/>
      <c r="K197" s="7" t="str">
        <f ca="1">IFERROR(__xludf.DUMMYFUNCTION("""COMPUTED_VALUE"""),"https://stirioficiale.ro/informatii/buletin-de-presa-16-aprilie-2020-ora-13-70")</f>
        <v>https://stirioficiale.ro/informatii/buletin-de-presa-16-aprilie-2020-ora-13-70</v>
      </c>
      <c r="L197" s="5"/>
      <c r="M197" s="5"/>
      <c r="N197" s="5"/>
      <c r="O197" s="5"/>
      <c r="P197" s="5"/>
      <c r="Q197" s="5"/>
      <c r="R197" s="5" t="str">
        <f ca="1">IFERROR(__xludf.DUMMYFUNCTION("""COMPUTED_VALUE"""),"România")</f>
        <v>România</v>
      </c>
      <c r="S197" s="5" t="str">
        <f ca="1">IFERROR(__xludf.DUMMYFUNCTION("""COMPUTED_VALUE"""),"Octavian")</f>
        <v>Octavian</v>
      </c>
      <c r="T197" s="7" t="str">
        <f ca="1">IFERROR(__xludf.DUMMYFUNCTION("""COMPUTED_VALUE"""),"http://www.ms.ro/2020/04/16/buletin-informativ-16-04-2020/")</f>
        <v>http://www.ms.ro/2020/04/16/buletin-informativ-16-04-2020/</v>
      </c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2.5">
      <c r="A198" s="5">
        <f ca="1">IFERROR(__xludf.DUMMYFUNCTION("""COMPUTED_VALUE"""),7288)</f>
        <v>7288</v>
      </c>
      <c r="B198" s="5"/>
      <c r="C198" s="5" t="str">
        <f ca="1">IFERROR(__xludf.DUMMYFUNCTION("""COMPUTED_VALUE"""),"Bihor")</f>
        <v>Bihor</v>
      </c>
      <c r="D198" s="13">
        <f ca="1">IFERROR(__xludf.DUMMYFUNCTION("""COMPUTED_VALUE"""),43937)</f>
        <v>43937</v>
      </c>
      <c r="E198" s="5" t="str">
        <f ca="1">IFERROR(__xludf.DUMMYFUNCTION("""COMPUTED_VALUE"""),"Nu")</f>
        <v>Nu</v>
      </c>
      <c r="F198" s="5"/>
      <c r="G198" s="5"/>
      <c r="H198" s="6"/>
      <c r="I198" s="5"/>
      <c r="J198" s="5"/>
      <c r="K198" s="7" t="str">
        <f ca="1">IFERROR(__xludf.DUMMYFUNCTION("""COMPUTED_VALUE"""),"https://stirioficiale.ro/informatii/buletin-de-presa-16-aprilie-2020-ora-13-71")</f>
        <v>https://stirioficiale.ro/informatii/buletin-de-presa-16-aprilie-2020-ora-13-71</v>
      </c>
      <c r="L198" s="5"/>
      <c r="M198" s="5"/>
      <c r="N198" s="5"/>
      <c r="O198" s="5"/>
      <c r="P198" s="5"/>
      <c r="Q198" s="5"/>
      <c r="R198" s="5" t="str">
        <f ca="1">IFERROR(__xludf.DUMMYFUNCTION("""COMPUTED_VALUE"""),"România")</f>
        <v>România</v>
      </c>
      <c r="S198" s="5" t="str">
        <f ca="1">IFERROR(__xludf.DUMMYFUNCTION("""COMPUTED_VALUE"""),"Octavian")</f>
        <v>Octavian</v>
      </c>
      <c r="T198" s="7" t="str">
        <f ca="1">IFERROR(__xludf.DUMMYFUNCTION("""COMPUTED_VALUE"""),"http://www.ms.ro/2020/04/16/buletin-informativ-16-04-2020/")</f>
        <v>http://www.ms.ro/2020/04/16/buletin-informativ-16-04-2020/</v>
      </c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2.5">
      <c r="A199" s="5">
        <f ca="1">IFERROR(__xludf.DUMMYFUNCTION("""COMPUTED_VALUE"""),7289)</f>
        <v>7289</v>
      </c>
      <c r="B199" s="5"/>
      <c r="C199" s="5" t="str">
        <f ca="1">IFERROR(__xludf.DUMMYFUNCTION("""COMPUTED_VALUE"""),"Bihor")</f>
        <v>Bihor</v>
      </c>
      <c r="D199" s="13">
        <f ca="1">IFERROR(__xludf.DUMMYFUNCTION("""COMPUTED_VALUE"""),43937)</f>
        <v>43937</v>
      </c>
      <c r="E199" s="5" t="str">
        <f ca="1">IFERROR(__xludf.DUMMYFUNCTION("""COMPUTED_VALUE"""),"Nu")</f>
        <v>Nu</v>
      </c>
      <c r="F199" s="5"/>
      <c r="G199" s="5"/>
      <c r="H199" s="6"/>
      <c r="I199" s="5"/>
      <c r="J199" s="5"/>
      <c r="K199" s="7" t="str">
        <f ca="1">IFERROR(__xludf.DUMMYFUNCTION("""COMPUTED_VALUE"""),"https://stirioficiale.ro/informatii/buletin-de-presa-16-aprilie-2020-ora-13-72")</f>
        <v>https://stirioficiale.ro/informatii/buletin-de-presa-16-aprilie-2020-ora-13-72</v>
      </c>
      <c r="L199" s="5"/>
      <c r="M199" s="5"/>
      <c r="N199" s="5"/>
      <c r="O199" s="5"/>
      <c r="P199" s="5"/>
      <c r="Q199" s="5"/>
      <c r="R199" s="5" t="str">
        <f ca="1">IFERROR(__xludf.DUMMYFUNCTION("""COMPUTED_VALUE"""),"România")</f>
        <v>România</v>
      </c>
      <c r="S199" s="5" t="str">
        <f ca="1">IFERROR(__xludf.DUMMYFUNCTION("""COMPUTED_VALUE"""),"Octavian")</f>
        <v>Octavian</v>
      </c>
      <c r="T199" s="7" t="str">
        <f ca="1">IFERROR(__xludf.DUMMYFUNCTION("""COMPUTED_VALUE"""),"http://www.ms.ro/2020/04/16/buletin-informativ-16-04-2020/")</f>
        <v>http://www.ms.ro/2020/04/16/buletin-informativ-16-04-2020/</v>
      </c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2.5">
      <c r="A200" s="5">
        <f ca="1">IFERROR(__xludf.DUMMYFUNCTION("""COMPUTED_VALUE"""),7290)</f>
        <v>7290</v>
      </c>
      <c r="B200" s="5"/>
      <c r="C200" s="5" t="str">
        <f ca="1">IFERROR(__xludf.DUMMYFUNCTION("""COMPUTED_VALUE"""),"Bihor")</f>
        <v>Bihor</v>
      </c>
      <c r="D200" s="13">
        <f ca="1">IFERROR(__xludf.DUMMYFUNCTION("""COMPUTED_VALUE"""),43937)</f>
        <v>43937</v>
      </c>
      <c r="E200" s="5" t="str">
        <f ca="1">IFERROR(__xludf.DUMMYFUNCTION("""COMPUTED_VALUE"""),"Nu")</f>
        <v>Nu</v>
      </c>
      <c r="F200" s="5"/>
      <c r="G200" s="5"/>
      <c r="H200" s="6"/>
      <c r="I200" s="5"/>
      <c r="J200" s="5"/>
      <c r="K200" s="7" t="str">
        <f ca="1">IFERROR(__xludf.DUMMYFUNCTION("""COMPUTED_VALUE"""),"https://stirioficiale.ro/informatii/buletin-de-presa-16-aprilie-2020-ora-13-73")</f>
        <v>https://stirioficiale.ro/informatii/buletin-de-presa-16-aprilie-2020-ora-13-73</v>
      </c>
      <c r="L200" s="5"/>
      <c r="M200" s="5"/>
      <c r="N200" s="5"/>
      <c r="O200" s="5"/>
      <c r="P200" s="5"/>
      <c r="Q200" s="5"/>
      <c r="R200" s="5" t="str">
        <f ca="1">IFERROR(__xludf.DUMMYFUNCTION("""COMPUTED_VALUE"""),"România")</f>
        <v>România</v>
      </c>
      <c r="S200" s="5" t="str">
        <f ca="1">IFERROR(__xludf.DUMMYFUNCTION("""COMPUTED_VALUE"""),"Octavian")</f>
        <v>Octavian</v>
      </c>
      <c r="T200" s="7" t="str">
        <f ca="1">IFERROR(__xludf.DUMMYFUNCTION("""COMPUTED_VALUE"""),"http://www.ms.ro/2020/04/16/buletin-informativ-16-04-2020/")</f>
        <v>http://www.ms.ro/2020/04/16/buletin-informativ-16-04-2020/</v>
      </c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2.5">
      <c r="A201" s="5">
        <f ca="1">IFERROR(__xludf.DUMMYFUNCTION("""COMPUTED_VALUE"""),7748)</f>
        <v>7748</v>
      </c>
      <c r="B201" s="5"/>
      <c r="C201" s="5" t="str">
        <f ca="1">IFERROR(__xludf.DUMMYFUNCTION("""COMPUTED_VALUE"""),"Bihor")</f>
        <v>Bihor</v>
      </c>
      <c r="D201" s="13">
        <f ca="1">IFERROR(__xludf.DUMMYFUNCTION("""COMPUTED_VALUE"""),43938)</f>
        <v>43938</v>
      </c>
      <c r="E201" s="5" t="str">
        <f ca="1">IFERROR(__xludf.DUMMYFUNCTION("""COMPUTED_VALUE"""),"Da")</f>
        <v>Da</v>
      </c>
      <c r="F201" s="5" t="str">
        <f ca="1">IFERROR(__xludf.DUMMYFUNCTION("""COMPUTED_VALUE"""),"Nu")</f>
        <v>Nu</v>
      </c>
      <c r="G201" s="5"/>
      <c r="H201" s="6">
        <f ca="1">IFERROR(__xludf.DUMMYFUNCTION("""COMPUTED_VALUE"""),43954)</f>
        <v>43954</v>
      </c>
      <c r="I201" s="5" t="str">
        <f ca="1">IFERROR(__xludf.DUMMYFUNCTION("""COMPUTED_VALUE"""),"Feminin")</f>
        <v>Feminin</v>
      </c>
      <c r="J201" s="5">
        <f ca="1">IFERROR(__xludf.DUMMYFUNCTION("""COMPUTED_VALUE"""),47)</f>
        <v>47</v>
      </c>
      <c r="K201" s="7" t="str">
        <f ca="1">IFERROR(__xludf.DUMMYFUNCTION("""COMPUTED_VALUE"""),"http://www.ms.ro/2020/04/17/buletin-informativ-17-04-2020/")</f>
        <v>http://www.ms.ro/2020/04/17/buletin-informativ-17-04-2020/</v>
      </c>
      <c r="L201" s="7" t="str">
        <f ca="1">IFERROR(__xludf.DUMMYFUNCTION("""COMPUTED_VALUE"""),"http://www.ms.ro/2020/05/04/decese-791-801/")</f>
        <v>http://www.ms.ro/2020/05/04/decese-791-801/</v>
      </c>
      <c r="M201" s="5"/>
      <c r="N201" s="5" t="str">
        <f ca="1">IFERROR(__xludf.DUMMYFUNCTION("""COMPUTED_VALUE"""),"Nu")</f>
        <v>Nu</v>
      </c>
      <c r="O201" s="5" t="str">
        <f ca="1">IFERROR(__xludf.DUMMYFUNCTION("""COMPUTED_VALUE"""),"DZ tip II, obezitate morbidă")</f>
        <v>DZ tip II, obezitate morbidă</v>
      </c>
      <c r="P201" s="5" t="str">
        <f ca="1">IFERROR(__xludf.DUMMYFUNCTION("""COMPUTED_VALUE"""),"Deces 796. Data internării: 16.04.2020, în Spitalul Clinic Municipal Oradea secția ATI, intubată și ventilată mecanic, transferată în secția pneumologie în data de 28.04.2020 în stare ameliorată; ajunge din nou în ATI în stare agravată în data de 02.05.20"&amp;"20. Data recoltării: 16.04.2020. Data confirmării: 17.04.2020")</f>
        <v>Deces 796. Data internării: 16.04.2020, în Spitalul Clinic Municipal Oradea secția ATI, intubată și ventilată mecanic, transferată în secția pneumologie în data de 28.04.2020 în stare ameliorată; ajunge din nou în ATI în stare agravată în data de 02.05.2020. Data recoltării: 16.04.2020. Data confirmării: 17.04.2020</v>
      </c>
      <c r="Q201" s="5"/>
      <c r="R201" s="5" t="str">
        <f ca="1">IFERROR(__xludf.DUMMYFUNCTION("""COMPUTED_VALUE"""),"România")</f>
        <v>România</v>
      </c>
      <c r="S201" s="5" t="str">
        <f ca="1">IFERROR(__xludf.DUMMYFUNCTION("""COMPUTED_VALUE"""),"Octavian")</f>
        <v>Octavian</v>
      </c>
      <c r="T201" s="7" t="str">
        <f ca="1">IFERROR(__xludf.DUMMYFUNCTION("""COMPUTED_VALUE"""),"http://www.ms.ro/2020/04/17/buletin-informativ-17-04-2020/")</f>
        <v>http://www.ms.ro/2020/04/17/buletin-informativ-17-04-2020/</v>
      </c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2.5">
      <c r="A202" s="5">
        <f ca="1">IFERROR(__xludf.DUMMYFUNCTION("""COMPUTED_VALUE"""),7749)</f>
        <v>7749</v>
      </c>
      <c r="B202" s="5"/>
      <c r="C202" s="5" t="str">
        <f ca="1">IFERROR(__xludf.DUMMYFUNCTION("""COMPUTED_VALUE"""),"Bihor")</f>
        <v>Bihor</v>
      </c>
      <c r="D202" s="13">
        <f ca="1">IFERROR(__xludf.DUMMYFUNCTION("""COMPUTED_VALUE"""),43938)</f>
        <v>43938</v>
      </c>
      <c r="E202" s="5" t="str">
        <f ca="1">IFERROR(__xludf.DUMMYFUNCTION("""COMPUTED_VALUE"""),"Nu")</f>
        <v>Nu</v>
      </c>
      <c r="F202" s="5"/>
      <c r="G202" s="5"/>
      <c r="H202" s="6"/>
      <c r="I202" s="5"/>
      <c r="J202" s="5"/>
      <c r="K202" s="7" t="str">
        <f ca="1">IFERROR(__xludf.DUMMYFUNCTION("""COMPUTED_VALUE"""),"http://www.ms.ro/2020/04/17/buletin-informativ-17-04-2020/")</f>
        <v>http://www.ms.ro/2020/04/17/buletin-informativ-17-04-2020/</v>
      </c>
      <c r="L202" s="5"/>
      <c r="M202" s="5"/>
      <c r="N202" s="5"/>
      <c r="O202" s="5"/>
      <c r="P202" s="5"/>
      <c r="Q202" s="5"/>
      <c r="R202" s="5" t="str">
        <f ca="1">IFERROR(__xludf.DUMMYFUNCTION("""COMPUTED_VALUE"""),"România")</f>
        <v>România</v>
      </c>
      <c r="S202" s="5" t="str">
        <f ca="1">IFERROR(__xludf.DUMMYFUNCTION("""COMPUTED_VALUE"""),"Octavian")</f>
        <v>Octavian</v>
      </c>
      <c r="T202" s="7" t="str">
        <f ca="1">IFERROR(__xludf.DUMMYFUNCTION("""COMPUTED_VALUE"""),"http://www.ms.ro/2020/04/17/buletin-informativ-17-04-2020/")</f>
        <v>http://www.ms.ro/2020/04/17/buletin-informativ-17-04-2020/</v>
      </c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2.5">
      <c r="A203" s="5">
        <f ca="1">IFERROR(__xludf.DUMMYFUNCTION("""COMPUTED_VALUE"""),7750)</f>
        <v>7750</v>
      </c>
      <c r="B203" s="5"/>
      <c r="C203" s="5" t="str">
        <f ca="1">IFERROR(__xludf.DUMMYFUNCTION("""COMPUTED_VALUE"""),"Bihor")</f>
        <v>Bihor</v>
      </c>
      <c r="D203" s="13">
        <f ca="1">IFERROR(__xludf.DUMMYFUNCTION("""COMPUTED_VALUE"""),43938)</f>
        <v>43938</v>
      </c>
      <c r="E203" s="5" t="str">
        <f ca="1">IFERROR(__xludf.DUMMYFUNCTION("""COMPUTED_VALUE"""),"Nu")</f>
        <v>Nu</v>
      </c>
      <c r="F203" s="5"/>
      <c r="G203" s="5"/>
      <c r="H203" s="6"/>
      <c r="I203" s="5"/>
      <c r="J203" s="5"/>
      <c r="K203" s="7" t="str">
        <f ca="1">IFERROR(__xludf.DUMMYFUNCTION("""COMPUTED_VALUE"""),"http://www.ms.ro/2020/04/17/buletin-informativ-17-04-2020/")</f>
        <v>http://www.ms.ro/2020/04/17/buletin-informativ-17-04-2020/</v>
      </c>
      <c r="L203" s="5"/>
      <c r="M203" s="5"/>
      <c r="N203" s="5"/>
      <c r="O203" s="5"/>
      <c r="P203" s="5"/>
      <c r="Q203" s="5"/>
      <c r="R203" s="5" t="str">
        <f ca="1">IFERROR(__xludf.DUMMYFUNCTION("""COMPUTED_VALUE"""),"România")</f>
        <v>România</v>
      </c>
      <c r="S203" s="5" t="str">
        <f ca="1">IFERROR(__xludf.DUMMYFUNCTION("""COMPUTED_VALUE"""),"Octavian")</f>
        <v>Octavian</v>
      </c>
      <c r="T203" s="7" t="str">
        <f ca="1">IFERROR(__xludf.DUMMYFUNCTION("""COMPUTED_VALUE"""),"http://www.ms.ro/2020/04/17/buletin-informativ-17-04-2020/")</f>
        <v>http://www.ms.ro/2020/04/17/buletin-informativ-17-04-2020/</v>
      </c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2.5">
      <c r="A204" s="5">
        <f ca="1">IFERROR(__xludf.DUMMYFUNCTION("""COMPUTED_VALUE"""),8113)</f>
        <v>8113</v>
      </c>
      <c r="B204" s="5"/>
      <c r="C204" s="5" t="str">
        <f ca="1">IFERROR(__xludf.DUMMYFUNCTION("""COMPUTED_VALUE"""),"Bihor")</f>
        <v>Bihor</v>
      </c>
      <c r="D204" s="13">
        <f ca="1">IFERROR(__xludf.DUMMYFUNCTION("""COMPUTED_VALUE"""),43939)</f>
        <v>43939</v>
      </c>
      <c r="E204" s="5" t="str">
        <f ca="1">IFERROR(__xludf.DUMMYFUNCTION("""COMPUTED_VALUE"""),"Da")</f>
        <v>Da</v>
      </c>
      <c r="F204" s="5" t="str">
        <f ca="1">IFERROR(__xludf.DUMMYFUNCTION("""COMPUTED_VALUE"""),"Nu")</f>
        <v>Nu</v>
      </c>
      <c r="G204" s="5"/>
      <c r="H204" s="6">
        <f ca="1">IFERROR(__xludf.DUMMYFUNCTION("""COMPUTED_VALUE"""),43964)</f>
        <v>43964</v>
      </c>
      <c r="I204" s="5" t="str">
        <f ca="1">IFERROR(__xludf.DUMMYFUNCTION("""COMPUTED_VALUE"""),"Masculin")</f>
        <v>Masculin</v>
      </c>
      <c r="J204" s="5">
        <f ca="1">IFERROR(__xludf.DUMMYFUNCTION("""COMPUTED_VALUE"""),23)</f>
        <v>23</v>
      </c>
      <c r="K204" s="7" t="str">
        <f ca="1">IFERROR(__xludf.DUMMYFUNCTION("""COMPUTED_VALUE"""),"https://stirioficiale.ro/informatii/buletin-de-presa-18-aprilie-2020-ora-13-44")</f>
        <v>https://stirioficiale.ro/informatii/buletin-de-presa-18-aprilie-2020-ora-13-44</v>
      </c>
      <c r="L204" s="7" t="str">
        <f ca="1">IFERROR(__xludf.DUMMYFUNCTION("""COMPUTED_VALUE"""),"http://www.ms.ro/2020/05/13/decese-1008-1016/")</f>
        <v>http://www.ms.ro/2020/05/13/decese-1008-1016/</v>
      </c>
      <c r="M204" s="5"/>
      <c r="N204" s="5"/>
      <c r="O204" s="5" t="str">
        <f ca="1">IFERROR(__xludf.DUMMYFUNCTION("""COMPUTED_VALUE"""),"Pemfigus vulgar în tratament cu imunosupresoare, sindrom Cushing, obezitate")</f>
        <v>Pemfigus vulgar în tratament cu imunosupresoare, sindrom Cushing, obezitate</v>
      </c>
      <c r="P204" s="5" t="str">
        <f ca="1">IFERROR(__xludf.DUMMYFUNCTION("""COMPUTED_VALUE"""),"Deces 1012. Dată confirmare 18.04.")</f>
        <v>Deces 1012. Dată confirmare 18.04.</v>
      </c>
      <c r="Q204" s="5"/>
      <c r="R204" s="5" t="str">
        <f ca="1">IFERROR(__xludf.DUMMYFUNCTION("""COMPUTED_VALUE"""),"România")</f>
        <v>România</v>
      </c>
      <c r="S204" s="5" t="str">
        <f ca="1">IFERROR(__xludf.DUMMYFUNCTION("""COMPUTED_VALUE"""),"Octavian")</f>
        <v>Octavian</v>
      </c>
      <c r="T204" s="7" t="str">
        <f ca="1">IFERROR(__xludf.DUMMYFUNCTION("""COMPUTED_VALUE"""),"http://www.ms.ro/2020/04/18/buletin-informativ-18-04-2020/")</f>
        <v>http://www.ms.ro/2020/04/18/buletin-informativ-18-04-2020/</v>
      </c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2.5">
      <c r="A205" s="5">
        <f ca="1">IFERROR(__xludf.DUMMYFUNCTION("""COMPUTED_VALUE"""),8114)</f>
        <v>8114</v>
      </c>
      <c r="B205" s="5"/>
      <c r="C205" s="5" t="str">
        <f ca="1">IFERROR(__xludf.DUMMYFUNCTION("""COMPUTED_VALUE"""),"Bihor")</f>
        <v>Bihor</v>
      </c>
      <c r="D205" s="13">
        <f ca="1">IFERROR(__xludf.DUMMYFUNCTION("""COMPUTED_VALUE"""),43939)</f>
        <v>43939</v>
      </c>
      <c r="E205" s="5" t="str">
        <f ca="1">IFERROR(__xludf.DUMMYFUNCTION("""COMPUTED_VALUE"""),"Nu")</f>
        <v>Nu</v>
      </c>
      <c r="F205" s="5"/>
      <c r="G205" s="5"/>
      <c r="H205" s="6"/>
      <c r="I205" s="5"/>
      <c r="J205" s="5"/>
      <c r="K205" s="7" t="str">
        <f ca="1">IFERROR(__xludf.DUMMYFUNCTION("""COMPUTED_VALUE"""),"https://stirioficiale.ro/informatii/buletin-de-presa-18-aprilie-2020-ora-13-45")</f>
        <v>https://stirioficiale.ro/informatii/buletin-de-presa-18-aprilie-2020-ora-13-45</v>
      </c>
      <c r="L205" s="5"/>
      <c r="M205" s="5"/>
      <c r="N205" s="5"/>
      <c r="O205" s="5"/>
      <c r="P205" s="5"/>
      <c r="Q205" s="5"/>
      <c r="R205" s="5" t="str">
        <f ca="1">IFERROR(__xludf.DUMMYFUNCTION("""COMPUTED_VALUE"""),"România")</f>
        <v>România</v>
      </c>
      <c r="S205" s="5" t="str">
        <f ca="1">IFERROR(__xludf.DUMMYFUNCTION("""COMPUTED_VALUE"""),"Octavian")</f>
        <v>Octavian</v>
      </c>
      <c r="T205" s="7" t="str">
        <f ca="1">IFERROR(__xludf.DUMMYFUNCTION("""COMPUTED_VALUE"""),"http://www.ms.ro/2020/04/18/buletin-informativ-18-04-2020/")</f>
        <v>http://www.ms.ro/2020/04/18/buletin-informativ-18-04-2020/</v>
      </c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2.5">
      <c r="A206" s="5">
        <f ca="1">IFERROR(__xludf.DUMMYFUNCTION("""COMPUTED_VALUE"""),8115)</f>
        <v>8115</v>
      </c>
      <c r="B206" s="5"/>
      <c r="C206" s="5" t="str">
        <f ca="1">IFERROR(__xludf.DUMMYFUNCTION("""COMPUTED_VALUE"""),"Bihor")</f>
        <v>Bihor</v>
      </c>
      <c r="D206" s="13">
        <f ca="1">IFERROR(__xludf.DUMMYFUNCTION("""COMPUTED_VALUE"""),43939)</f>
        <v>43939</v>
      </c>
      <c r="E206" s="5" t="str">
        <f ca="1">IFERROR(__xludf.DUMMYFUNCTION("""COMPUTED_VALUE"""),"Nu")</f>
        <v>Nu</v>
      </c>
      <c r="F206" s="5"/>
      <c r="G206" s="5"/>
      <c r="H206" s="6"/>
      <c r="I206" s="5"/>
      <c r="J206" s="5"/>
      <c r="K206" s="7" t="str">
        <f ca="1">IFERROR(__xludf.DUMMYFUNCTION("""COMPUTED_VALUE"""),"https://stirioficiale.ro/informatii/buletin-de-presa-18-aprilie-2020-ora-13-46")</f>
        <v>https://stirioficiale.ro/informatii/buletin-de-presa-18-aprilie-2020-ora-13-46</v>
      </c>
      <c r="L206" s="5"/>
      <c r="M206" s="5"/>
      <c r="N206" s="5"/>
      <c r="O206" s="5"/>
      <c r="P206" s="5"/>
      <c r="Q206" s="5"/>
      <c r="R206" s="5" t="str">
        <f ca="1">IFERROR(__xludf.DUMMYFUNCTION("""COMPUTED_VALUE"""),"România")</f>
        <v>România</v>
      </c>
      <c r="S206" s="5" t="str">
        <f ca="1">IFERROR(__xludf.DUMMYFUNCTION("""COMPUTED_VALUE"""),"Octavian")</f>
        <v>Octavian</v>
      </c>
      <c r="T206" s="7" t="str">
        <f ca="1">IFERROR(__xludf.DUMMYFUNCTION("""COMPUTED_VALUE"""),"http://www.ms.ro/2020/04/18/buletin-informativ-18-04-2020/")</f>
        <v>http://www.ms.ro/2020/04/18/buletin-informativ-18-04-2020/</v>
      </c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2.5">
      <c r="A207" s="5">
        <f ca="1">IFERROR(__xludf.DUMMYFUNCTION("""COMPUTED_VALUE"""),8116)</f>
        <v>8116</v>
      </c>
      <c r="B207" s="5"/>
      <c r="C207" s="5" t="str">
        <f ca="1">IFERROR(__xludf.DUMMYFUNCTION("""COMPUTED_VALUE"""),"Bihor")</f>
        <v>Bihor</v>
      </c>
      <c r="D207" s="13">
        <f ca="1">IFERROR(__xludf.DUMMYFUNCTION("""COMPUTED_VALUE"""),43939)</f>
        <v>43939</v>
      </c>
      <c r="E207" s="5" t="str">
        <f ca="1">IFERROR(__xludf.DUMMYFUNCTION("""COMPUTED_VALUE"""),"Nu")</f>
        <v>Nu</v>
      </c>
      <c r="F207" s="5"/>
      <c r="G207" s="5"/>
      <c r="H207" s="6"/>
      <c r="I207" s="5"/>
      <c r="J207" s="5"/>
      <c r="K207" s="7" t="str">
        <f ca="1">IFERROR(__xludf.DUMMYFUNCTION("""COMPUTED_VALUE"""),"https://stirioficiale.ro/informatii/buletin-de-presa-18-aprilie-2020-ora-13-47")</f>
        <v>https://stirioficiale.ro/informatii/buletin-de-presa-18-aprilie-2020-ora-13-47</v>
      </c>
      <c r="L207" s="5"/>
      <c r="M207" s="5"/>
      <c r="N207" s="5"/>
      <c r="O207" s="5"/>
      <c r="P207" s="5"/>
      <c r="Q207" s="5"/>
      <c r="R207" s="5" t="str">
        <f ca="1">IFERROR(__xludf.DUMMYFUNCTION("""COMPUTED_VALUE"""),"România")</f>
        <v>România</v>
      </c>
      <c r="S207" s="5" t="str">
        <f ca="1">IFERROR(__xludf.DUMMYFUNCTION("""COMPUTED_VALUE"""),"Octavian")</f>
        <v>Octavian</v>
      </c>
      <c r="T207" s="7" t="str">
        <f ca="1">IFERROR(__xludf.DUMMYFUNCTION("""COMPUTED_VALUE"""),"http://www.ms.ro/2020/04/18/buletin-informativ-18-04-2020/")</f>
        <v>http://www.ms.ro/2020/04/18/buletin-informativ-18-04-2020/</v>
      </c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2.5">
      <c r="A208" s="5">
        <f ca="1">IFERROR(__xludf.DUMMYFUNCTION("""COMPUTED_VALUE"""),8117)</f>
        <v>8117</v>
      </c>
      <c r="B208" s="5"/>
      <c r="C208" s="5" t="str">
        <f ca="1">IFERROR(__xludf.DUMMYFUNCTION("""COMPUTED_VALUE"""),"Bihor")</f>
        <v>Bihor</v>
      </c>
      <c r="D208" s="13">
        <f ca="1">IFERROR(__xludf.DUMMYFUNCTION("""COMPUTED_VALUE"""),43939)</f>
        <v>43939</v>
      </c>
      <c r="E208" s="5" t="str">
        <f ca="1">IFERROR(__xludf.DUMMYFUNCTION("""COMPUTED_VALUE"""),"Nu")</f>
        <v>Nu</v>
      </c>
      <c r="F208" s="5"/>
      <c r="G208" s="5"/>
      <c r="H208" s="6"/>
      <c r="I208" s="5"/>
      <c r="J208" s="5"/>
      <c r="K208" s="7" t="str">
        <f ca="1">IFERROR(__xludf.DUMMYFUNCTION("""COMPUTED_VALUE"""),"https://stirioficiale.ro/informatii/buletin-de-presa-18-aprilie-2020-ora-13-48")</f>
        <v>https://stirioficiale.ro/informatii/buletin-de-presa-18-aprilie-2020-ora-13-48</v>
      </c>
      <c r="L208" s="5"/>
      <c r="M208" s="5"/>
      <c r="N208" s="5"/>
      <c r="O208" s="5"/>
      <c r="P208" s="5"/>
      <c r="Q208" s="5"/>
      <c r="R208" s="5" t="str">
        <f ca="1">IFERROR(__xludf.DUMMYFUNCTION("""COMPUTED_VALUE"""),"România")</f>
        <v>România</v>
      </c>
      <c r="S208" s="5" t="str">
        <f ca="1">IFERROR(__xludf.DUMMYFUNCTION("""COMPUTED_VALUE"""),"Octavian")</f>
        <v>Octavian</v>
      </c>
      <c r="T208" s="7" t="str">
        <f ca="1">IFERROR(__xludf.DUMMYFUNCTION("""COMPUTED_VALUE"""),"http://www.ms.ro/2020/04/18/buletin-informativ-18-04-2020/")</f>
        <v>http://www.ms.ro/2020/04/18/buletin-informativ-18-04-2020/</v>
      </c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2.5">
      <c r="A209" s="5">
        <f ca="1">IFERROR(__xludf.DUMMYFUNCTION("""COMPUTED_VALUE"""),8118)</f>
        <v>8118</v>
      </c>
      <c r="B209" s="5"/>
      <c r="C209" s="5" t="str">
        <f ca="1">IFERROR(__xludf.DUMMYFUNCTION("""COMPUTED_VALUE"""),"Bihor")</f>
        <v>Bihor</v>
      </c>
      <c r="D209" s="13">
        <f ca="1">IFERROR(__xludf.DUMMYFUNCTION("""COMPUTED_VALUE"""),43939)</f>
        <v>43939</v>
      </c>
      <c r="E209" s="5" t="str">
        <f ca="1">IFERROR(__xludf.DUMMYFUNCTION("""COMPUTED_VALUE"""),"Nu")</f>
        <v>Nu</v>
      </c>
      <c r="F209" s="5"/>
      <c r="G209" s="5"/>
      <c r="H209" s="6"/>
      <c r="I209" s="5"/>
      <c r="J209" s="5"/>
      <c r="K209" s="7" t="str">
        <f ca="1">IFERROR(__xludf.DUMMYFUNCTION("""COMPUTED_VALUE"""),"https://stirioficiale.ro/informatii/buletin-de-presa-18-aprilie-2020-ora-13-49")</f>
        <v>https://stirioficiale.ro/informatii/buletin-de-presa-18-aprilie-2020-ora-13-49</v>
      </c>
      <c r="L209" s="5"/>
      <c r="M209" s="5"/>
      <c r="N209" s="5"/>
      <c r="O209" s="5"/>
      <c r="P209" s="5"/>
      <c r="Q209" s="5"/>
      <c r="R209" s="5" t="str">
        <f ca="1">IFERROR(__xludf.DUMMYFUNCTION("""COMPUTED_VALUE"""),"România")</f>
        <v>România</v>
      </c>
      <c r="S209" s="5" t="str">
        <f ca="1">IFERROR(__xludf.DUMMYFUNCTION("""COMPUTED_VALUE"""),"Octavian")</f>
        <v>Octavian</v>
      </c>
      <c r="T209" s="7" t="str">
        <f ca="1">IFERROR(__xludf.DUMMYFUNCTION("""COMPUTED_VALUE"""),"http://www.ms.ro/2020/04/18/buletin-informativ-18-04-2020/")</f>
        <v>http://www.ms.ro/2020/04/18/buletin-informativ-18-04-2020/</v>
      </c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2.5">
      <c r="A210" s="5">
        <f ca="1">IFERROR(__xludf.DUMMYFUNCTION("""COMPUTED_VALUE"""),8119)</f>
        <v>8119</v>
      </c>
      <c r="B210" s="5"/>
      <c r="C210" s="5" t="str">
        <f ca="1">IFERROR(__xludf.DUMMYFUNCTION("""COMPUTED_VALUE"""),"Bihor")</f>
        <v>Bihor</v>
      </c>
      <c r="D210" s="13">
        <f ca="1">IFERROR(__xludf.DUMMYFUNCTION("""COMPUTED_VALUE"""),43939)</f>
        <v>43939</v>
      </c>
      <c r="E210" s="5" t="str">
        <f ca="1">IFERROR(__xludf.DUMMYFUNCTION("""COMPUTED_VALUE"""),"Nu")</f>
        <v>Nu</v>
      </c>
      <c r="F210" s="5"/>
      <c r="G210" s="5"/>
      <c r="H210" s="6"/>
      <c r="I210" s="5"/>
      <c r="J210" s="5"/>
      <c r="K210" s="7" t="str">
        <f ca="1">IFERROR(__xludf.DUMMYFUNCTION("""COMPUTED_VALUE"""),"https://stirioficiale.ro/informatii/buletin-de-presa-18-aprilie-2020-ora-13-50")</f>
        <v>https://stirioficiale.ro/informatii/buletin-de-presa-18-aprilie-2020-ora-13-50</v>
      </c>
      <c r="L210" s="5"/>
      <c r="M210" s="5"/>
      <c r="N210" s="5"/>
      <c r="O210" s="5"/>
      <c r="P210" s="5"/>
      <c r="Q210" s="5"/>
      <c r="R210" s="5" t="str">
        <f ca="1">IFERROR(__xludf.DUMMYFUNCTION("""COMPUTED_VALUE"""),"România")</f>
        <v>România</v>
      </c>
      <c r="S210" s="5" t="str">
        <f ca="1">IFERROR(__xludf.DUMMYFUNCTION("""COMPUTED_VALUE"""),"Octavian")</f>
        <v>Octavian</v>
      </c>
      <c r="T210" s="7" t="str">
        <f ca="1">IFERROR(__xludf.DUMMYFUNCTION("""COMPUTED_VALUE"""),"http://www.ms.ro/2020/04/18/buletin-informativ-18-04-2020/")</f>
        <v>http://www.ms.ro/2020/04/18/buletin-informativ-18-04-2020/</v>
      </c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2.5">
      <c r="A211" s="5">
        <f ca="1">IFERROR(__xludf.DUMMYFUNCTION("""COMPUTED_VALUE"""),8120)</f>
        <v>8120</v>
      </c>
      <c r="B211" s="5"/>
      <c r="C211" s="5" t="str">
        <f ca="1">IFERROR(__xludf.DUMMYFUNCTION("""COMPUTED_VALUE"""),"Bihor")</f>
        <v>Bihor</v>
      </c>
      <c r="D211" s="13">
        <f ca="1">IFERROR(__xludf.DUMMYFUNCTION("""COMPUTED_VALUE"""),43939)</f>
        <v>43939</v>
      </c>
      <c r="E211" s="5" t="str">
        <f ca="1">IFERROR(__xludf.DUMMYFUNCTION("""COMPUTED_VALUE"""),"Nu")</f>
        <v>Nu</v>
      </c>
      <c r="F211" s="5"/>
      <c r="G211" s="5"/>
      <c r="H211" s="6"/>
      <c r="I211" s="5"/>
      <c r="J211" s="5"/>
      <c r="K211" s="7" t="str">
        <f ca="1">IFERROR(__xludf.DUMMYFUNCTION("""COMPUTED_VALUE"""),"https://stirioficiale.ro/informatii/buletin-de-presa-18-aprilie-2020-ora-13-51")</f>
        <v>https://stirioficiale.ro/informatii/buletin-de-presa-18-aprilie-2020-ora-13-51</v>
      </c>
      <c r="L211" s="5"/>
      <c r="M211" s="5"/>
      <c r="N211" s="5"/>
      <c r="O211" s="5"/>
      <c r="P211" s="5"/>
      <c r="Q211" s="5"/>
      <c r="R211" s="5" t="str">
        <f ca="1">IFERROR(__xludf.DUMMYFUNCTION("""COMPUTED_VALUE"""),"România")</f>
        <v>România</v>
      </c>
      <c r="S211" s="5" t="str">
        <f ca="1">IFERROR(__xludf.DUMMYFUNCTION("""COMPUTED_VALUE"""),"Octavian")</f>
        <v>Octavian</v>
      </c>
      <c r="T211" s="7" t="str">
        <f ca="1">IFERROR(__xludf.DUMMYFUNCTION("""COMPUTED_VALUE"""),"http://www.ms.ro/2020/04/18/buletin-informativ-18-04-2020/")</f>
        <v>http://www.ms.ro/2020/04/18/buletin-informativ-18-04-2020/</v>
      </c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2.5">
      <c r="A212" s="5">
        <f ca="1">IFERROR(__xludf.DUMMYFUNCTION("""COMPUTED_VALUE"""),8121)</f>
        <v>8121</v>
      </c>
      <c r="B212" s="5"/>
      <c r="C212" s="5" t="str">
        <f ca="1">IFERROR(__xludf.DUMMYFUNCTION("""COMPUTED_VALUE"""),"Bihor")</f>
        <v>Bihor</v>
      </c>
      <c r="D212" s="13">
        <f ca="1">IFERROR(__xludf.DUMMYFUNCTION("""COMPUTED_VALUE"""),43939)</f>
        <v>43939</v>
      </c>
      <c r="E212" s="5" t="str">
        <f ca="1">IFERROR(__xludf.DUMMYFUNCTION("""COMPUTED_VALUE"""),"Nu")</f>
        <v>Nu</v>
      </c>
      <c r="F212" s="5"/>
      <c r="G212" s="5"/>
      <c r="H212" s="6"/>
      <c r="I212" s="5"/>
      <c r="J212" s="5"/>
      <c r="K212" s="7" t="str">
        <f ca="1">IFERROR(__xludf.DUMMYFUNCTION("""COMPUTED_VALUE"""),"https://stirioficiale.ro/informatii/buletin-de-presa-18-aprilie-2020-ora-13-52")</f>
        <v>https://stirioficiale.ro/informatii/buletin-de-presa-18-aprilie-2020-ora-13-52</v>
      </c>
      <c r="L212" s="5"/>
      <c r="M212" s="5"/>
      <c r="N212" s="5"/>
      <c r="O212" s="5"/>
      <c r="P212" s="5"/>
      <c r="Q212" s="5"/>
      <c r="R212" s="5" t="str">
        <f ca="1">IFERROR(__xludf.DUMMYFUNCTION("""COMPUTED_VALUE"""),"România")</f>
        <v>România</v>
      </c>
      <c r="S212" s="5" t="str">
        <f ca="1">IFERROR(__xludf.DUMMYFUNCTION("""COMPUTED_VALUE"""),"Octavian")</f>
        <v>Octavian</v>
      </c>
      <c r="T212" s="7" t="str">
        <f ca="1">IFERROR(__xludf.DUMMYFUNCTION("""COMPUTED_VALUE"""),"http://www.ms.ro/2020/04/18/buletin-informativ-18-04-2020/")</f>
        <v>http://www.ms.ro/2020/04/18/buletin-informativ-18-04-2020/</v>
      </c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2.5">
      <c r="A213" s="5">
        <f ca="1">IFERROR(__xludf.DUMMYFUNCTION("""COMPUTED_VALUE"""),8122)</f>
        <v>8122</v>
      </c>
      <c r="B213" s="5"/>
      <c r="C213" s="5" t="str">
        <f ca="1">IFERROR(__xludf.DUMMYFUNCTION("""COMPUTED_VALUE"""),"Bihor")</f>
        <v>Bihor</v>
      </c>
      <c r="D213" s="13">
        <f ca="1">IFERROR(__xludf.DUMMYFUNCTION("""COMPUTED_VALUE"""),43939)</f>
        <v>43939</v>
      </c>
      <c r="E213" s="5" t="str">
        <f ca="1">IFERROR(__xludf.DUMMYFUNCTION("""COMPUTED_VALUE"""),"Nu")</f>
        <v>Nu</v>
      </c>
      <c r="F213" s="5"/>
      <c r="G213" s="5"/>
      <c r="H213" s="6"/>
      <c r="I213" s="5"/>
      <c r="J213" s="5"/>
      <c r="K213" s="7" t="str">
        <f ca="1">IFERROR(__xludf.DUMMYFUNCTION("""COMPUTED_VALUE"""),"https://stirioficiale.ro/informatii/buletin-de-presa-18-aprilie-2020-ora-13-53")</f>
        <v>https://stirioficiale.ro/informatii/buletin-de-presa-18-aprilie-2020-ora-13-53</v>
      </c>
      <c r="L213" s="5"/>
      <c r="M213" s="5"/>
      <c r="N213" s="5"/>
      <c r="O213" s="5"/>
      <c r="P213" s="5"/>
      <c r="Q213" s="5"/>
      <c r="R213" s="5" t="str">
        <f ca="1">IFERROR(__xludf.DUMMYFUNCTION("""COMPUTED_VALUE"""),"România")</f>
        <v>România</v>
      </c>
      <c r="S213" s="5" t="str">
        <f ca="1">IFERROR(__xludf.DUMMYFUNCTION("""COMPUTED_VALUE"""),"Octavian")</f>
        <v>Octavian</v>
      </c>
      <c r="T213" s="7" t="str">
        <f ca="1">IFERROR(__xludf.DUMMYFUNCTION("""COMPUTED_VALUE"""),"http://www.ms.ro/2020/04/18/buletin-informativ-18-04-2020/")</f>
        <v>http://www.ms.ro/2020/04/18/buletin-informativ-18-04-2020/</v>
      </c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2.5">
      <c r="A214" s="5">
        <f ca="1">IFERROR(__xludf.DUMMYFUNCTION("""COMPUTED_VALUE"""),8123)</f>
        <v>8123</v>
      </c>
      <c r="B214" s="5"/>
      <c r="C214" s="5" t="str">
        <f ca="1">IFERROR(__xludf.DUMMYFUNCTION("""COMPUTED_VALUE"""),"Bihor")</f>
        <v>Bihor</v>
      </c>
      <c r="D214" s="13">
        <f ca="1">IFERROR(__xludf.DUMMYFUNCTION("""COMPUTED_VALUE"""),43939)</f>
        <v>43939</v>
      </c>
      <c r="E214" s="5" t="str">
        <f ca="1">IFERROR(__xludf.DUMMYFUNCTION("""COMPUTED_VALUE"""),"Nu")</f>
        <v>Nu</v>
      </c>
      <c r="F214" s="5"/>
      <c r="G214" s="5"/>
      <c r="H214" s="6"/>
      <c r="I214" s="5"/>
      <c r="J214" s="5"/>
      <c r="K214" s="7" t="str">
        <f ca="1">IFERROR(__xludf.DUMMYFUNCTION("""COMPUTED_VALUE"""),"https://stirioficiale.ro/informatii/buletin-de-presa-18-aprilie-2020-ora-13-54")</f>
        <v>https://stirioficiale.ro/informatii/buletin-de-presa-18-aprilie-2020-ora-13-54</v>
      </c>
      <c r="L214" s="5"/>
      <c r="M214" s="5"/>
      <c r="N214" s="5"/>
      <c r="O214" s="5"/>
      <c r="P214" s="5"/>
      <c r="Q214" s="5"/>
      <c r="R214" s="5" t="str">
        <f ca="1">IFERROR(__xludf.DUMMYFUNCTION("""COMPUTED_VALUE"""),"România")</f>
        <v>România</v>
      </c>
      <c r="S214" s="5" t="str">
        <f ca="1">IFERROR(__xludf.DUMMYFUNCTION("""COMPUTED_VALUE"""),"Octavian")</f>
        <v>Octavian</v>
      </c>
      <c r="T214" s="7" t="str">
        <f ca="1">IFERROR(__xludf.DUMMYFUNCTION("""COMPUTED_VALUE"""),"http://www.ms.ro/2020/04/18/buletin-informativ-18-04-2020/")</f>
        <v>http://www.ms.ro/2020/04/18/buletin-informativ-18-04-2020/</v>
      </c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2.5">
      <c r="A215" s="5">
        <f ca="1">IFERROR(__xludf.DUMMYFUNCTION("""COMPUTED_VALUE"""),8450)</f>
        <v>8450</v>
      </c>
      <c r="B215" s="5"/>
      <c r="C215" s="5" t="str">
        <f ca="1">IFERROR(__xludf.DUMMYFUNCTION("""COMPUTED_VALUE"""),"Bihor")</f>
        <v>Bihor</v>
      </c>
      <c r="D215" s="13">
        <f ca="1">IFERROR(__xludf.DUMMYFUNCTION("""COMPUTED_VALUE"""),43940)</f>
        <v>43940</v>
      </c>
      <c r="E215" s="5" t="str">
        <f ca="1">IFERROR(__xludf.DUMMYFUNCTION("""COMPUTED_VALUE"""),"Nu")</f>
        <v>Nu</v>
      </c>
      <c r="F215" s="5"/>
      <c r="G215" s="5"/>
      <c r="H215" s="6"/>
      <c r="I215" s="5"/>
      <c r="J215" s="5"/>
      <c r="K215" s="7" t="str">
        <f ca="1">IFERROR(__xludf.DUMMYFUNCTION("""COMPUTED_VALUE"""),"https://stirioficiale.ro/informatii/buletin-de-presa-19-aprilie-2020-ora-13-10")</f>
        <v>https://stirioficiale.ro/informatii/buletin-de-presa-19-aprilie-2020-ora-13-10</v>
      </c>
      <c r="L215" s="5"/>
      <c r="M215" s="5"/>
      <c r="N215" s="5"/>
      <c r="O215" s="5"/>
      <c r="P215" s="5"/>
      <c r="Q215" s="5"/>
      <c r="R215" s="5" t="str">
        <f ca="1">IFERROR(__xludf.DUMMYFUNCTION("""COMPUTED_VALUE"""),"România")</f>
        <v>România</v>
      </c>
      <c r="S215" s="5" t="str">
        <f ca="1">IFERROR(__xludf.DUMMYFUNCTION("""COMPUTED_VALUE"""),"Octavian")</f>
        <v>Octavian</v>
      </c>
      <c r="T215" s="7" t="str">
        <f ca="1">IFERROR(__xludf.DUMMYFUNCTION("""COMPUTED_VALUE"""),"http://www.ms.ro/2020/04/19/buletin-informativ-19-04-2020/")</f>
        <v>http://www.ms.ro/2020/04/19/buletin-informativ-19-04-2020/</v>
      </c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2.5">
      <c r="A216" s="5">
        <f ca="1">IFERROR(__xludf.DUMMYFUNCTION("""COMPUTED_VALUE"""),8451)</f>
        <v>8451</v>
      </c>
      <c r="B216" s="5"/>
      <c r="C216" s="5" t="str">
        <f ca="1">IFERROR(__xludf.DUMMYFUNCTION("""COMPUTED_VALUE"""),"Bihor")</f>
        <v>Bihor</v>
      </c>
      <c r="D216" s="13">
        <f ca="1">IFERROR(__xludf.DUMMYFUNCTION("""COMPUTED_VALUE"""),43940)</f>
        <v>43940</v>
      </c>
      <c r="E216" s="5" t="str">
        <f ca="1">IFERROR(__xludf.DUMMYFUNCTION("""COMPUTED_VALUE"""),"Nu")</f>
        <v>Nu</v>
      </c>
      <c r="F216" s="5"/>
      <c r="G216" s="5"/>
      <c r="H216" s="6"/>
      <c r="I216" s="5"/>
      <c r="J216" s="5"/>
      <c r="K216" s="7" t="str">
        <f ca="1">IFERROR(__xludf.DUMMYFUNCTION("""COMPUTED_VALUE"""),"https://stirioficiale.ro/informatii/buletin-de-presa-19-aprilie-2020-ora-13-10")</f>
        <v>https://stirioficiale.ro/informatii/buletin-de-presa-19-aprilie-2020-ora-13-10</v>
      </c>
      <c r="L216" s="5"/>
      <c r="M216" s="5"/>
      <c r="N216" s="5"/>
      <c r="O216" s="5"/>
      <c r="P216" s="5"/>
      <c r="Q216" s="5"/>
      <c r="R216" s="5" t="str">
        <f ca="1">IFERROR(__xludf.DUMMYFUNCTION("""COMPUTED_VALUE"""),"România")</f>
        <v>România</v>
      </c>
      <c r="S216" s="5" t="str">
        <f ca="1">IFERROR(__xludf.DUMMYFUNCTION("""COMPUTED_VALUE"""),"Octavian")</f>
        <v>Octavian</v>
      </c>
      <c r="T216" s="7" t="str">
        <f ca="1">IFERROR(__xludf.DUMMYFUNCTION("""COMPUTED_VALUE"""),"http://www.ms.ro/2020/04/19/buletin-informativ-19-04-2020/")</f>
        <v>http://www.ms.ro/2020/04/19/buletin-informativ-19-04-2020/</v>
      </c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2.5">
      <c r="A217" s="5">
        <f ca="1">IFERROR(__xludf.DUMMYFUNCTION("""COMPUTED_VALUE"""),8452)</f>
        <v>8452</v>
      </c>
      <c r="B217" s="5"/>
      <c r="C217" s="5" t="str">
        <f ca="1">IFERROR(__xludf.DUMMYFUNCTION("""COMPUTED_VALUE"""),"Bihor")</f>
        <v>Bihor</v>
      </c>
      <c r="D217" s="13">
        <f ca="1">IFERROR(__xludf.DUMMYFUNCTION("""COMPUTED_VALUE"""),43940)</f>
        <v>43940</v>
      </c>
      <c r="E217" s="5" t="str">
        <f ca="1">IFERROR(__xludf.DUMMYFUNCTION("""COMPUTED_VALUE"""),"Nu")</f>
        <v>Nu</v>
      </c>
      <c r="F217" s="5"/>
      <c r="G217" s="5"/>
      <c r="H217" s="6"/>
      <c r="I217" s="5"/>
      <c r="J217" s="5"/>
      <c r="K217" s="7" t="str">
        <f ca="1">IFERROR(__xludf.DUMMYFUNCTION("""COMPUTED_VALUE"""),"https://stirioficiale.ro/informatii/buletin-de-presa-19-aprilie-2020-ora-13-10")</f>
        <v>https://stirioficiale.ro/informatii/buletin-de-presa-19-aprilie-2020-ora-13-10</v>
      </c>
      <c r="L217" s="5"/>
      <c r="M217" s="5"/>
      <c r="N217" s="5"/>
      <c r="O217" s="5"/>
      <c r="P217" s="5"/>
      <c r="Q217" s="5"/>
      <c r="R217" s="5" t="str">
        <f ca="1">IFERROR(__xludf.DUMMYFUNCTION("""COMPUTED_VALUE"""),"România")</f>
        <v>România</v>
      </c>
      <c r="S217" s="5" t="str">
        <f ca="1">IFERROR(__xludf.DUMMYFUNCTION("""COMPUTED_VALUE"""),"Octavian")</f>
        <v>Octavian</v>
      </c>
      <c r="T217" s="7" t="str">
        <f ca="1">IFERROR(__xludf.DUMMYFUNCTION("""COMPUTED_VALUE"""),"http://www.ms.ro/2020/04/19/buletin-informativ-19-04-2020/")</f>
        <v>http://www.ms.ro/2020/04/19/buletin-informativ-19-04-2020/</v>
      </c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2.5">
      <c r="A218" s="5">
        <f ca="1">IFERROR(__xludf.DUMMYFUNCTION("""COMPUTED_VALUE"""),8453)</f>
        <v>8453</v>
      </c>
      <c r="B218" s="5"/>
      <c r="C218" s="5" t="str">
        <f ca="1">IFERROR(__xludf.DUMMYFUNCTION("""COMPUTED_VALUE"""),"Bihor")</f>
        <v>Bihor</v>
      </c>
      <c r="D218" s="13">
        <f ca="1">IFERROR(__xludf.DUMMYFUNCTION("""COMPUTED_VALUE"""),43940)</f>
        <v>43940</v>
      </c>
      <c r="E218" s="5" t="str">
        <f ca="1">IFERROR(__xludf.DUMMYFUNCTION("""COMPUTED_VALUE"""),"Nu")</f>
        <v>Nu</v>
      </c>
      <c r="F218" s="5"/>
      <c r="G218" s="5"/>
      <c r="H218" s="6"/>
      <c r="I218" s="5"/>
      <c r="J218" s="5"/>
      <c r="K218" s="7" t="str">
        <f ca="1">IFERROR(__xludf.DUMMYFUNCTION("""COMPUTED_VALUE"""),"https://stirioficiale.ro/informatii/buletin-de-presa-19-aprilie-2020-ora-13-10")</f>
        <v>https://stirioficiale.ro/informatii/buletin-de-presa-19-aprilie-2020-ora-13-10</v>
      </c>
      <c r="L218" s="5"/>
      <c r="M218" s="5"/>
      <c r="N218" s="5"/>
      <c r="O218" s="5"/>
      <c r="P218" s="5"/>
      <c r="Q218" s="5"/>
      <c r="R218" s="5" t="str">
        <f ca="1">IFERROR(__xludf.DUMMYFUNCTION("""COMPUTED_VALUE"""),"România")</f>
        <v>România</v>
      </c>
      <c r="S218" s="5" t="str">
        <f ca="1">IFERROR(__xludf.DUMMYFUNCTION("""COMPUTED_VALUE"""),"Octavian")</f>
        <v>Octavian</v>
      </c>
      <c r="T218" s="7" t="str">
        <f ca="1">IFERROR(__xludf.DUMMYFUNCTION("""COMPUTED_VALUE"""),"http://www.ms.ro/2020/04/19/buletin-informativ-19-04-2020/")</f>
        <v>http://www.ms.ro/2020/04/19/buletin-informativ-19-04-2020/</v>
      </c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2.5">
      <c r="A219" s="5">
        <f ca="1">IFERROR(__xludf.DUMMYFUNCTION("""COMPUTED_VALUE"""),8769)</f>
        <v>8769</v>
      </c>
      <c r="B219" s="5"/>
      <c r="C219" s="5" t="str">
        <f ca="1">IFERROR(__xludf.DUMMYFUNCTION("""COMPUTED_VALUE"""),"Bihor")</f>
        <v>Bihor</v>
      </c>
      <c r="D219" s="13">
        <f ca="1">IFERROR(__xludf.DUMMYFUNCTION("""COMPUTED_VALUE"""),43941)</f>
        <v>43941</v>
      </c>
      <c r="E219" s="5" t="str">
        <f ca="1">IFERROR(__xludf.DUMMYFUNCTION("""COMPUTED_VALUE"""),"Nu")</f>
        <v>Nu</v>
      </c>
      <c r="F219" s="5"/>
      <c r="G219" s="5"/>
      <c r="H219" s="6"/>
      <c r="I219" s="5"/>
      <c r="J219" s="5"/>
      <c r="K219" s="7" t="str">
        <f ca="1">IFERROR(__xludf.DUMMYFUNCTION("""COMPUTED_VALUE"""),"https://stirioficiale.ro/informatii/buletin-de-presa-20-aprilie-2020-ora-13-00")</f>
        <v>https://stirioficiale.ro/informatii/buletin-de-presa-20-aprilie-2020-ora-13-00</v>
      </c>
      <c r="L219" s="5"/>
      <c r="M219" s="5"/>
      <c r="N219" s="5"/>
      <c r="O219" s="5"/>
      <c r="P219" s="5"/>
      <c r="Q219" s="5"/>
      <c r="R219" s="5" t="str">
        <f ca="1">IFERROR(__xludf.DUMMYFUNCTION("""COMPUTED_VALUE"""),"România")</f>
        <v>România</v>
      </c>
      <c r="S219" s="5" t="str">
        <f ca="1">IFERROR(__xludf.DUMMYFUNCTION("""COMPUTED_VALUE"""),"Octavian")</f>
        <v>Octavian</v>
      </c>
      <c r="T219" s="7" t="str">
        <f ca="1">IFERROR(__xludf.DUMMYFUNCTION("""COMPUTED_VALUE"""),"http://www.ms.ro/2020/04/20/buletin-informativ-20-04-2020/")</f>
        <v>http://www.ms.ro/2020/04/20/buletin-informativ-20-04-2020/</v>
      </c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12.5">
      <c r="A220" s="5">
        <f ca="1">IFERROR(__xludf.DUMMYFUNCTION("""COMPUTED_VALUE"""),8770)</f>
        <v>8770</v>
      </c>
      <c r="B220" s="5"/>
      <c r="C220" s="5" t="str">
        <f ca="1">IFERROR(__xludf.DUMMYFUNCTION("""COMPUTED_VALUE"""),"Bihor")</f>
        <v>Bihor</v>
      </c>
      <c r="D220" s="13">
        <f ca="1">IFERROR(__xludf.DUMMYFUNCTION("""COMPUTED_VALUE"""),43941)</f>
        <v>43941</v>
      </c>
      <c r="E220" s="5" t="str">
        <f ca="1">IFERROR(__xludf.DUMMYFUNCTION("""COMPUTED_VALUE"""),"Nu")</f>
        <v>Nu</v>
      </c>
      <c r="F220" s="5"/>
      <c r="G220" s="5"/>
      <c r="H220" s="6"/>
      <c r="I220" s="5"/>
      <c r="J220" s="5"/>
      <c r="K220" s="7" t="str">
        <f ca="1">IFERROR(__xludf.DUMMYFUNCTION("""COMPUTED_VALUE"""),"https://stirioficiale.ro/informatii/buletin-de-presa-20-aprilie-2020-ora-13-00")</f>
        <v>https://stirioficiale.ro/informatii/buletin-de-presa-20-aprilie-2020-ora-13-00</v>
      </c>
      <c r="L220" s="5"/>
      <c r="M220" s="5"/>
      <c r="N220" s="5"/>
      <c r="O220" s="5"/>
      <c r="P220" s="5"/>
      <c r="Q220" s="5"/>
      <c r="R220" s="5" t="str">
        <f ca="1">IFERROR(__xludf.DUMMYFUNCTION("""COMPUTED_VALUE"""),"România")</f>
        <v>România</v>
      </c>
      <c r="S220" s="5" t="str">
        <f ca="1">IFERROR(__xludf.DUMMYFUNCTION("""COMPUTED_VALUE"""),"Octavian")</f>
        <v>Octavian</v>
      </c>
      <c r="T220" s="7" t="str">
        <f ca="1">IFERROR(__xludf.DUMMYFUNCTION("""COMPUTED_VALUE"""),"http://www.ms.ro/2020/04/20/buletin-informativ-20-04-2020/")</f>
        <v>http://www.ms.ro/2020/04/20/buletin-informativ-20-04-2020/</v>
      </c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2.5">
      <c r="A221" s="5">
        <f ca="1">IFERROR(__xludf.DUMMYFUNCTION("""COMPUTED_VALUE"""),8771)</f>
        <v>8771</v>
      </c>
      <c r="B221" s="5"/>
      <c r="C221" s="5" t="str">
        <f ca="1">IFERROR(__xludf.DUMMYFUNCTION("""COMPUTED_VALUE"""),"Bihor")</f>
        <v>Bihor</v>
      </c>
      <c r="D221" s="13">
        <f ca="1">IFERROR(__xludf.DUMMYFUNCTION("""COMPUTED_VALUE"""),43941)</f>
        <v>43941</v>
      </c>
      <c r="E221" s="5" t="str">
        <f ca="1">IFERROR(__xludf.DUMMYFUNCTION("""COMPUTED_VALUE"""),"Nu")</f>
        <v>Nu</v>
      </c>
      <c r="F221" s="5"/>
      <c r="G221" s="5"/>
      <c r="H221" s="6"/>
      <c r="I221" s="5"/>
      <c r="J221" s="5"/>
      <c r="K221" s="7" t="str">
        <f ca="1">IFERROR(__xludf.DUMMYFUNCTION("""COMPUTED_VALUE"""),"https://stirioficiale.ro/informatii/buletin-de-presa-20-aprilie-2020-ora-13-00")</f>
        <v>https://stirioficiale.ro/informatii/buletin-de-presa-20-aprilie-2020-ora-13-00</v>
      </c>
      <c r="L221" s="5"/>
      <c r="M221" s="5"/>
      <c r="N221" s="5"/>
      <c r="O221" s="5"/>
      <c r="P221" s="5"/>
      <c r="Q221" s="5"/>
      <c r="R221" s="5" t="str">
        <f ca="1">IFERROR(__xludf.DUMMYFUNCTION("""COMPUTED_VALUE"""),"România")</f>
        <v>România</v>
      </c>
      <c r="S221" s="5" t="str">
        <f ca="1">IFERROR(__xludf.DUMMYFUNCTION("""COMPUTED_VALUE"""),"Octavian")</f>
        <v>Octavian</v>
      </c>
      <c r="T221" s="7" t="str">
        <f ca="1">IFERROR(__xludf.DUMMYFUNCTION("""COMPUTED_VALUE"""),"http://www.ms.ro/2020/04/20/buletin-informativ-20-04-2020/")</f>
        <v>http://www.ms.ro/2020/04/20/buletin-informativ-20-04-2020/</v>
      </c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t="12.5">
      <c r="A222" s="5">
        <f ca="1">IFERROR(__xludf.DUMMYFUNCTION("""COMPUTED_VALUE"""),8772)</f>
        <v>8772</v>
      </c>
      <c r="B222" s="5"/>
      <c r="C222" s="5" t="str">
        <f ca="1">IFERROR(__xludf.DUMMYFUNCTION("""COMPUTED_VALUE"""),"Bihor")</f>
        <v>Bihor</v>
      </c>
      <c r="D222" s="13">
        <f ca="1">IFERROR(__xludf.DUMMYFUNCTION("""COMPUTED_VALUE"""),43941)</f>
        <v>43941</v>
      </c>
      <c r="E222" s="5" t="str">
        <f ca="1">IFERROR(__xludf.DUMMYFUNCTION("""COMPUTED_VALUE"""),"Nu")</f>
        <v>Nu</v>
      </c>
      <c r="F222" s="5"/>
      <c r="G222" s="5"/>
      <c r="H222" s="6"/>
      <c r="I222" s="5"/>
      <c r="J222" s="5"/>
      <c r="K222" s="7" t="str">
        <f ca="1">IFERROR(__xludf.DUMMYFUNCTION("""COMPUTED_VALUE"""),"https://stirioficiale.ro/informatii/buletin-de-presa-20-aprilie-2020-ora-13-00")</f>
        <v>https://stirioficiale.ro/informatii/buletin-de-presa-20-aprilie-2020-ora-13-00</v>
      </c>
      <c r="L222" s="5"/>
      <c r="M222" s="5"/>
      <c r="N222" s="5"/>
      <c r="O222" s="5"/>
      <c r="P222" s="5"/>
      <c r="Q222" s="5"/>
      <c r="R222" s="5" t="str">
        <f ca="1">IFERROR(__xludf.DUMMYFUNCTION("""COMPUTED_VALUE"""),"România")</f>
        <v>România</v>
      </c>
      <c r="S222" s="5" t="str">
        <f ca="1">IFERROR(__xludf.DUMMYFUNCTION("""COMPUTED_VALUE"""),"Octavian")</f>
        <v>Octavian</v>
      </c>
      <c r="T222" s="7" t="str">
        <f ca="1">IFERROR(__xludf.DUMMYFUNCTION("""COMPUTED_VALUE"""),"http://www.ms.ro/2020/04/20/buletin-informativ-20-04-2020/")</f>
        <v>http://www.ms.ro/2020/04/20/buletin-informativ-20-04-2020/</v>
      </c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2.5">
      <c r="A223" s="5">
        <f ca="1">IFERROR(__xludf.DUMMYFUNCTION("""COMPUTED_VALUE"""),8773)</f>
        <v>8773</v>
      </c>
      <c r="B223" s="5"/>
      <c r="C223" s="5" t="str">
        <f ca="1">IFERROR(__xludf.DUMMYFUNCTION("""COMPUTED_VALUE"""),"Bihor")</f>
        <v>Bihor</v>
      </c>
      <c r="D223" s="13">
        <f ca="1">IFERROR(__xludf.DUMMYFUNCTION("""COMPUTED_VALUE"""),43941)</f>
        <v>43941</v>
      </c>
      <c r="E223" s="5" t="str">
        <f ca="1">IFERROR(__xludf.DUMMYFUNCTION("""COMPUTED_VALUE"""),"Nu")</f>
        <v>Nu</v>
      </c>
      <c r="F223" s="5"/>
      <c r="G223" s="5"/>
      <c r="H223" s="6"/>
      <c r="I223" s="5"/>
      <c r="J223" s="5"/>
      <c r="K223" s="7" t="str">
        <f ca="1">IFERROR(__xludf.DUMMYFUNCTION("""COMPUTED_VALUE"""),"https://stirioficiale.ro/informatii/buletin-de-presa-20-aprilie-2020-ora-13-00")</f>
        <v>https://stirioficiale.ro/informatii/buletin-de-presa-20-aprilie-2020-ora-13-00</v>
      </c>
      <c r="L223" s="5"/>
      <c r="M223" s="5"/>
      <c r="N223" s="5"/>
      <c r="O223" s="5"/>
      <c r="P223" s="5"/>
      <c r="Q223" s="5"/>
      <c r="R223" s="5" t="str">
        <f ca="1">IFERROR(__xludf.DUMMYFUNCTION("""COMPUTED_VALUE"""),"România")</f>
        <v>România</v>
      </c>
      <c r="S223" s="5" t="str">
        <f ca="1">IFERROR(__xludf.DUMMYFUNCTION("""COMPUTED_VALUE"""),"Octavian")</f>
        <v>Octavian</v>
      </c>
      <c r="T223" s="7" t="str">
        <f ca="1">IFERROR(__xludf.DUMMYFUNCTION("""COMPUTED_VALUE"""),"http://www.ms.ro/2020/04/20/buletin-informativ-20-04-2020/")</f>
        <v>http://www.ms.ro/2020/04/20/buletin-informativ-20-04-2020/</v>
      </c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ht="12.5">
      <c r="A224" s="5">
        <f ca="1">IFERROR(__xludf.DUMMYFUNCTION("""COMPUTED_VALUE"""),8774)</f>
        <v>8774</v>
      </c>
      <c r="B224" s="5"/>
      <c r="C224" s="5" t="str">
        <f ca="1">IFERROR(__xludf.DUMMYFUNCTION("""COMPUTED_VALUE"""),"Bihor")</f>
        <v>Bihor</v>
      </c>
      <c r="D224" s="13">
        <f ca="1">IFERROR(__xludf.DUMMYFUNCTION("""COMPUTED_VALUE"""),43941)</f>
        <v>43941</v>
      </c>
      <c r="E224" s="5" t="str">
        <f ca="1">IFERROR(__xludf.DUMMYFUNCTION("""COMPUTED_VALUE"""),"Nu")</f>
        <v>Nu</v>
      </c>
      <c r="F224" s="5"/>
      <c r="G224" s="5"/>
      <c r="H224" s="6"/>
      <c r="I224" s="5"/>
      <c r="J224" s="5"/>
      <c r="K224" s="7" t="str">
        <f ca="1">IFERROR(__xludf.DUMMYFUNCTION("""COMPUTED_VALUE"""),"https://stirioficiale.ro/informatii/buletin-de-presa-20-aprilie-2020-ora-13-00")</f>
        <v>https://stirioficiale.ro/informatii/buletin-de-presa-20-aprilie-2020-ora-13-00</v>
      </c>
      <c r="L224" s="5"/>
      <c r="M224" s="5"/>
      <c r="N224" s="5"/>
      <c r="O224" s="5"/>
      <c r="P224" s="5"/>
      <c r="Q224" s="5"/>
      <c r="R224" s="5" t="str">
        <f ca="1">IFERROR(__xludf.DUMMYFUNCTION("""COMPUTED_VALUE"""),"România")</f>
        <v>România</v>
      </c>
      <c r="S224" s="5" t="str">
        <f ca="1">IFERROR(__xludf.DUMMYFUNCTION("""COMPUTED_VALUE"""),"Octavian")</f>
        <v>Octavian</v>
      </c>
      <c r="T224" s="7" t="str">
        <f ca="1">IFERROR(__xludf.DUMMYFUNCTION("""COMPUTED_VALUE"""),"http://www.ms.ro/2020/04/20/buletin-informativ-20-04-2020/")</f>
        <v>http://www.ms.ro/2020/04/20/buletin-informativ-20-04-2020/</v>
      </c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2.5">
      <c r="A225" s="5">
        <f ca="1">IFERROR(__xludf.DUMMYFUNCTION("""COMPUTED_VALUE"""),8775)</f>
        <v>8775</v>
      </c>
      <c r="B225" s="5"/>
      <c r="C225" s="5" t="str">
        <f ca="1">IFERROR(__xludf.DUMMYFUNCTION("""COMPUTED_VALUE"""),"Bihor")</f>
        <v>Bihor</v>
      </c>
      <c r="D225" s="13">
        <f ca="1">IFERROR(__xludf.DUMMYFUNCTION("""COMPUTED_VALUE"""),43941)</f>
        <v>43941</v>
      </c>
      <c r="E225" s="5" t="str">
        <f ca="1">IFERROR(__xludf.DUMMYFUNCTION("""COMPUTED_VALUE"""),"Nu")</f>
        <v>Nu</v>
      </c>
      <c r="F225" s="5"/>
      <c r="G225" s="5"/>
      <c r="H225" s="6"/>
      <c r="I225" s="5"/>
      <c r="J225" s="5"/>
      <c r="K225" s="7" t="str">
        <f ca="1">IFERROR(__xludf.DUMMYFUNCTION("""COMPUTED_VALUE"""),"https://stirioficiale.ro/informatii/buletin-de-presa-20-aprilie-2020-ora-13-00")</f>
        <v>https://stirioficiale.ro/informatii/buletin-de-presa-20-aprilie-2020-ora-13-00</v>
      </c>
      <c r="L225" s="5"/>
      <c r="M225" s="5"/>
      <c r="N225" s="5"/>
      <c r="O225" s="5"/>
      <c r="P225" s="5"/>
      <c r="Q225" s="5"/>
      <c r="R225" s="5" t="str">
        <f ca="1">IFERROR(__xludf.DUMMYFUNCTION("""COMPUTED_VALUE"""),"România")</f>
        <v>România</v>
      </c>
      <c r="S225" s="5" t="str">
        <f ca="1">IFERROR(__xludf.DUMMYFUNCTION("""COMPUTED_VALUE"""),"Octavian")</f>
        <v>Octavian</v>
      </c>
      <c r="T225" s="7" t="str">
        <f ca="1">IFERROR(__xludf.DUMMYFUNCTION("""COMPUTED_VALUE"""),"http://www.ms.ro/2020/04/20/buletin-informativ-20-04-2020/")</f>
        <v>http://www.ms.ro/2020/04/20/buletin-informativ-20-04-2020/</v>
      </c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ht="12.5">
      <c r="A226" s="5">
        <f ca="1">IFERROR(__xludf.DUMMYFUNCTION("""COMPUTED_VALUE"""),8776)</f>
        <v>8776</v>
      </c>
      <c r="B226" s="5"/>
      <c r="C226" s="5" t="str">
        <f ca="1">IFERROR(__xludf.DUMMYFUNCTION("""COMPUTED_VALUE"""),"Bihor")</f>
        <v>Bihor</v>
      </c>
      <c r="D226" s="13">
        <f ca="1">IFERROR(__xludf.DUMMYFUNCTION("""COMPUTED_VALUE"""),43941)</f>
        <v>43941</v>
      </c>
      <c r="E226" s="5" t="str">
        <f ca="1">IFERROR(__xludf.DUMMYFUNCTION("""COMPUTED_VALUE"""),"Nu")</f>
        <v>Nu</v>
      </c>
      <c r="F226" s="5"/>
      <c r="G226" s="5"/>
      <c r="H226" s="6"/>
      <c r="I226" s="5"/>
      <c r="J226" s="5"/>
      <c r="K226" s="7" t="str">
        <f ca="1">IFERROR(__xludf.DUMMYFUNCTION("""COMPUTED_VALUE"""),"https://stirioficiale.ro/informatii/buletin-de-presa-20-aprilie-2020-ora-13-00")</f>
        <v>https://stirioficiale.ro/informatii/buletin-de-presa-20-aprilie-2020-ora-13-00</v>
      </c>
      <c r="L226" s="5"/>
      <c r="M226" s="5"/>
      <c r="N226" s="5"/>
      <c r="O226" s="5"/>
      <c r="P226" s="5"/>
      <c r="Q226" s="5"/>
      <c r="R226" s="5" t="str">
        <f ca="1">IFERROR(__xludf.DUMMYFUNCTION("""COMPUTED_VALUE"""),"România")</f>
        <v>România</v>
      </c>
      <c r="S226" s="5" t="str">
        <f ca="1">IFERROR(__xludf.DUMMYFUNCTION("""COMPUTED_VALUE"""),"Octavian")</f>
        <v>Octavian</v>
      </c>
      <c r="T226" s="7" t="str">
        <f ca="1">IFERROR(__xludf.DUMMYFUNCTION("""COMPUTED_VALUE"""),"http://www.ms.ro/2020/04/20/buletin-informativ-20-04-2020/")</f>
        <v>http://www.ms.ro/2020/04/20/buletin-informativ-20-04-2020/</v>
      </c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2.5">
      <c r="A227" s="5">
        <f ca="1">IFERROR(__xludf.DUMMYFUNCTION("""COMPUTED_VALUE"""),8777)</f>
        <v>8777</v>
      </c>
      <c r="B227" s="5"/>
      <c r="C227" s="5" t="str">
        <f ca="1">IFERROR(__xludf.DUMMYFUNCTION("""COMPUTED_VALUE"""),"Bihor")</f>
        <v>Bihor</v>
      </c>
      <c r="D227" s="13">
        <f ca="1">IFERROR(__xludf.DUMMYFUNCTION("""COMPUTED_VALUE"""),43941)</f>
        <v>43941</v>
      </c>
      <c r="E227" s="5" t="str">
        <f ca="1">IFERROR(__xludf.DUMMYFUNCTION("""COMPUTED_VALUE"""),"Nu")</f>
        <v>Nu</v>
      </c>
      <c r="F227" s="5"/>
      <c r="G227" s="5"/>
      <c r="H227" s="6"/>
      <c r="I227" s="5"/>
      <c r="J227" s="5"/>
      <c r="K227" s="7" t="str">
        <f ca="1">IFERROR(__xludf.DUMMYFUNCTION("""COMPUTED_VALUE"""),"https://stirioficiale.ro/informatii/buletin-de-presa-20-aprilie-2020-ora-13-00")</f>
        <v>https://stirioficiale.ro/informatii/buletin-de-presa-20-aprilie-2020-ora-13-00</v>
      </c>
      <c r="L227" s="5"/>
      <c r="M227" s="5"/>
      <c r="N227" s="5"/>
      <c r="O227" s="5"/>
      <c r="P227" s="5"/>
      <c r="Q227" s="5"/>
      <c r="R227" s="5" t="str">
        <f ca="1">IFERROR(__xludf.DUMMYFUNCTION("""COMPUTED_VALUE"""),"România")</f>
        <v>România</v>
      </c>
      <c r="S227" s="5" t="str">
        <f ca="1">IFERROR(__xludf.DUMMYFUNCTION("""COMPUTED_VALUE"""),"Octavian")</f>
        <v>Octavian</v>
      </c>
      <c r="T227" s="7" t="str">
        <f ca="1">IFERROR(__xludf.DUMMYFUNCTION("""COMPUTED_VALUE"""),"http://www.ms.ro/2020/04/20/buletin-informativ-20-04-2020/")</f>
        <v>http://www.ms.ro/2020/04/20/buletin-informativ-20-04-2020/</v>
      </c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ht="12.5">
      <c r="A228" s="5">
        <f ca="1">IFERROR(__xludf.DUMMYFUNCTION("""COMPUTED_VALUE"""),8778)</f>
        <v>8778</v>
      </c>
      <c r="B228" s="5"/>
      <c r="C228" s="5" t="str">
        <f ca="1">IFERROR(__xludf.DUMMYFUNCTION("""COMPUTED_VALUE"""),"Bihor")</f>
        <v>Bihor</v>
      </c>
      <c r="D228" s="13">
        <f ca="1">IFERROR(__xludf.DUMMYFUNCTION("""COMPUTED_VALUE"""),43941)</f>
        <v>43941</v>
      </c>
      <c r="E228" s="5" t="str">
        <f ca="1">IFERROR(__xludf.DUMMYFUNCTION("""COMPUTED_VALUE"""),"Nu")</f>
        <v>Nu</v>
      </c>
      <c r="F228" s="5"/>
      <c r="G228" s="5"/>
      <c r="H228" s="6"/>
      <c r="I228" s="5"/>
      <c r="J228" s="5"/>
      <c r="K228" s="7" t="str">
        <f ca="1">IFERROR(__xludf.DUMMYFUNCTION("""COMPUTED_VALUE"""),"https://stirioficiale.ro/informatii/buletin-de-presa-20-aprilie-2020-ora-13-00")</f>
        <v>https://stirioficiale.ro/informatii/buletin-de-presa-20-aprilie-2020-ora-13-00</v>
      </c>
      <c r="L228" s="5"/>
      <c r="M228" s="5"/>
      <c r="N228" s="5"/>
      <c r="O228" s="5"/>
      <c r="P228" s="5"/>
      <c r="Q228" s="5"/>
      <c r="R228" s="5" t="str">
        <f ca="1">IFERROR(__xludf.DUMMYFUNCTION("""COMPUTED_VALUE"""),"România")</f>
        <v>România</v>
      </c>
      <c r="S228" s="5" t="str">
        <f ca="1">IFERROR(__xludf.DUMMYFUNCTION("""COMPUTED_VALUE"""),"Octavian")</f>
        <v>Octavian</v>
      </c>
      <c r="T228" s="7" t="str">
        <f ca="1">IFERROR(__xludf.DUMMYFUNCTION("""COMPUTED_VALUE"""),"http://www.ms.ro/2020/04/20/buletin-informativ-20-04-2020/")</f>
        <v>http://www.ms.ro/2020/04/20/buletin-informativ-20-04-2020/</v>
      </c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2.5">
      <c r="A229" s="5">
        <f ca="1">IFERROR(__xludf.DUMMYFUNCTION("""COMPUTED_VALUE"""),8779)</f>
        <v>8779</v>
      </c>
      <c r="B229" s="5"/>
      <c r="C229" s="5" t="str">
        <f ca="1">IFERROR(__xludf.DUMMYFUNCTION("""COMPUTED_VALUE"""),"Bihor")</f>
        <v>Bihor</v>
      </c>
      <c r="D229" s="13">
        <f ca="1">IFERROR(__xludf.DUMMYFUNCTION("""COMPUTED_VALUE"""),43941)</f>
        <v>43941</v>
      </c>
      <c r="E229" s="5" t="str">
        <f ca="1">IFERROR(__xludf.DUMMYFUNCTION("""COMPUTED_VALUE"""),"Nu")</f>
        <v>Nu</v>
      </c>
      <c r="F229" s="5"/>
      <c r="G229" s="5"/>
      <c r="H229" s="6"/>
      <c r="I229" s="5"/>
      <c r="J229" s="5"/>
      <c r="K229" s="7" t="str">
        <f ca="1">IFERROR(__xludf.DUMMYFUNCTION("""COMPUTED_VALUE"""),"https://stirioficiale.ro/informatii/buletin-de-presa-20-aprilie-2020-ora-13-00")</f>
        <v>https://stirioficiale.ro/informatii/buletin-de-presa-20-aprilie-2020-ora-13-00</v>
      </c>
      <c r="L229" s="5"/>
      <c r="M229" s="5"/>
      <c r="N229" s="5"/>
      <c r="O229" s="5"/>
      <c r="P229" s="5"/>
      <c r="Q229" s="5"/>
      <c r="R229" s="5" t="str">
        <f ca="1">IFERROR(__xludf.DUMMYFUNCTION("""COMPUTED_VALUE"""),"România")</f>
        <v>România</v>
      </c>
      <c r="S229" s="5" t="str">
        <f ca="1">IFERROR(__xludf.DUMMYFUNCTION("""COMPUTED_VALUE"""),"Octavian")</f>
        <v>Octavian</v>
      </c>
      <c r="T229" s="7" t="str">
        <f ca="1">IFERROR(__xludf.DUMMYFUNCTION("""COMPUTED_VALUE"""),"http://www.ms.ro/2020/04/20/buletin-informativ-20-04-2020/")</f>
        <v>http://www.ms.ro/2020/04/20/buletin-informativ-20-04-2020/</v>
      </c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t="12.5">
      <c r="A230" s="5">
        <f ca="1">IFERROR(__xludf.DUMMYFUNCTION("""COMPUTED_VALUE"""),8780)</f>
        <v>8780</v>
      </c>
      <c r="B230" s="5"/>
      <c r="C230" s="5" t="str">
        <f ca="1">IFERROR(__xludf.DUMMYFUNCTION("""COMPUTED_VALUE"""),"Bihor")</f>
        <v>Bihor</v>
      </c>
      <c r="D230" s="13">
        <f ca="1">IFERROR(__xludf.DUMMYFUNCTION("""COMPUTED_VALUE"""),43941)</f>
        <v>43941</v>
      </c>
      <c r="E230" s="5" t="str">
        <f ca="1">IFERROR(__xludf.DUMMYFUNCTION("""COMPUTED_VALUE"""),"Nu")</f>
        <v>Nu</v>
      </c>
      <c r="F230" s="5"/>
      <c r="G230" s="5"/>
      <c r="H230" s="6"/>
      <c r="I230" s="5"/>
      <c r="J230" s="5"/>
      <c r="K230" s="7" t="str">
        <f ca="1">IFERROR(__xludf.DUMMYFUNCTION("""COMPUTED_VALUE"""),"https://stirioficiale.ro/informatii/buletin-de-presa-20-aprilie-2020-ora-13-00")</f>
        <v>https://stirioficiale.ro/informatii/buletin-de-presa-20-aprilie-2020-ora-13-00</v>
      </c>
      <c r="L230" s="5"/>
      <c r="M230" s="5"/>
      <c r="N230" s="5"/>
      <c r="O230" s="5"/>
      <c r="P230" s="5"/>
      <c r="Q230" s="5"/>
      <c r="R230" s="5" t="str">
        <f ca="1">IFERROR(__xludf.DUMMYFUNCTION("""COMPUTED_VALUE"""),"România")</f>
        <v>România</v>
      </c>
      <c r="S230" s="5" t="str">
        <f ca="1">IFERROR(__xludf.DUMMYFUNCTION("""COMPUTED_VALUE"""),"Octavian")</f>
        <v>Octavian</v>
      </c>
      <c r="T230" s="7" t="str">
        <f ca="1">IFERROR(__xludf.DUMMYFUNCTION("""COMPUTED_VALUE"""),"http://www.ms.ro/2020/04/20/buletin-informativ-20-04-2020/")</f>
        <v>http://www.ms.ro/2020/04/20/buletin-informativ-20-04-2020/</v>
      </c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2.5">
      <c r="A231" s="5">
        <f ca="1">IFERROR(__xludf.DUMMYFUNCTION("""COMPUTED_VALUE"""),8781)</f>
        <v>8781</v>
      </c>
      <c r="B231" s="5"/>
      <c r="C231" s="5" t="str">
        <f ca="1">IFERROR(__xludf.DUMMYFUNCTION("""COMPUTED_VALUE"""),"Bihor")</f>
        <v>Bihor</v>
      </c>
      <c r="D231" s="13">
        <f ca="1">IFERROR(__xludf.DUMMYFUNCTION("""COMPUTED_VALUE"""),43941)</f>
        <v>43941</v>
      </c>
      <c r="E231" s="5" t="str">
        <f ca="1">IFERROR(__xludf.DUMMYFUNCTION("""COMPUTED_VALUE"""),"Nu")</f>
        <v>Nu</v>
      </c>
      <c r="F231" s="5"/>
      <c r="G231" s="5"/>
      <c r="H231" s="6"/>
      <c r="I231" s="5"/>
      <c r="J231" s="5"/>
      <c r="K231" s="7" t="str">
        <f ca="1">IFERROR(__xludf.DUMMYFUNCTION("""COMPUTED_VALUE"""),"https://stirioficiale.ro/informatii/buletin-de-presa-20-aprilie-2020-ora-13-00")</f>
        <v>https://stirioficiale.ro/informatii/buletin-de-presa-20-aprilie-2020-ora-13-00</v>
      </c>
      <c r="L231" s="5"/>
      <c r="M231" s="5"/>
      <c r="N231" s="5"/>
      <c r="O231" s="5"/>
      <c r="P231" s="5"/>
      <c r="Q231" s="5"/>
      <c r="R231" s="5" t="str">
        <f ca="1">IFERROR(__xludf.DUMMYFUNCTION("""COMPUTED_VALUE"""),"România")</f>
        <v>România</v>
      </c>
      <c r="S231" s="5" t="str">
        <f ca="1">IFERROR(__xludf.DUMMYFUNCTION("""COMPUTED_VALUE"""),"Octavian")</f>
        <v>Octavian</v>
      </c>
      <c r="T231" s="7" t="str">
        <f ca="1">IFERROR(__xludf.DUMMYFUNCTION("""COMPUTED_VALUE"""),"http://www.ms.ro/2020/04/20/buletin-informativ-20-04-2020/")</f>
        <v>http://www.ms.ro/2020/04/20/buletin-informativ-20-04-2020/</v>
      </c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ht="12.5">
      <c r="A232" s="5">
        <f ca="1">IFERROR(__xludf.DUMMYFUNCTION("""COMPUTED_VALUE"""),8782)</f>
        <v>8782</v>
      </c>
      <c r="B232" s="5"/>
      <c r="C232" s="5" t="str">
        <f ca="1">IFERROR(__xludf.DUMMYFUNCTION("""COMPUTED_VALUE"""),"Bihor")</f>
        <v>Bihor</v>
      </c>
      <c r="D232" s="13">
        <f ca="1">IFERROR(__xludf.DUMMYFUNCTION("""COMPUTED_VALUE"""),43941)</f>
        <v>43941</v>
      </c>
      <c r="E232" s="5" t="str">
        <f ca="1">IFERROR(__xludf.DUMMYFUNCTION("""COMPUTED_VALUE"""),"Nu")</f>
        <v>Nu</v>
      </c>
      <c r="F232" s="5"/>
      <c r="G232" s="5"/>
      <c r="H232" s="6"/>
      <c r="I232" s="5"/>
      <c r="J232" s="5"/>
      <c r="K232" s="7" t="str">
        <f ca="1">IFERROR(__xludf.DUMMYFUNCTION("""COMPUTED_VALUE"""),"https://stirioficiale.ro/informatii/buletin-de-presa-20-aprilie-2020-ora-13-00")</f>
        <v>https://stirioficiale.ro/informatii/buletin-de-presa-20-aprilie-2020-ora-13-00</v>
      </c>
      <c r="L232" s="5"/>
      <c r="M232" s="5"/>
      <c r="N232" s="5"/>
      <c r="O232" s="5"/>
      <c r="P232" s="5"/>
      <c r="Q232" s="5"/>
      <c r="R232" s="5" t="str">
        <f ca="1">IFERROR(__xludf.DUMMYFUNCTION("""COMPUTED_VALUE"""),"România")</f>
        <v>România</v>
      </c>
      <c r="S232" s="5" t="str">
        <f ca="1">IFERROR(__xludf.DUMMYFUNCTION("""COMPUTED_VALUE"""),"Octavian")</f>
        <v>Octavian</v>
      </c>
      <c r="T232" s="7" t="str">
        <f ca="1">IFERROR(__xludf.DUMMYFUNCTION("""COMPUTED_VALUE"""),"http://www.ms.ro/2020/04/20/buletin-informativ-20-04-2020/")</f>
        <v>http://www.ms.ro/2020/04/20/buletin-informativ-20-04-2020/</v>
      </c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2.5">
      <c r="A233" s="5">
        <f ca="1">IFERROR(__xludf.DUMMYFUNCTION("""COMPUTED_VALUE"""),8783)</f>
        <v>8783</v>
      </c>
      <c r="B233" s="5"/>
      <c r="C233" s="5" t="str">
        <f ca="1">IFERROR(__xludf.DUMMYFUNCTION("""COMPUTED_VALUE"""),"Bihor")</f>
        <v>Bihor</v>
      </c>
      <c r="D233" s="13">
        <f ca="1">IFERROR(__xludf.DUMMYFUNCTION("""COMPUTED_VALUE"""),43941)</f>
        <v>43941</v>
      </c>
      <c r="E233" s="5" t="str">
        <f ca="1">IFERROR(__xludf.DUMMYFUNCTION("""COMPUTED_VALUE"""),"Nu")</f>
        <v>Nu</v>
      </c>
      <c r="F233" s="5"/>
      <c r="G233" s="5"/>
      <c r="H233" s="6"/>
      <c r="I233" s="5"/>
      <c r="J233" s="5"/>
      <c r="K233" s="7" t="str">
        <f ca="1">IFERROR(__xludf.DUMMYFUNCTION("""COMPUTED_VALUE"""),"https://stirioficiale.ro/informatii/buletin-de-presa-20-aprilie-2020-ora-13-00")</f>
        <v>https://stirioficiale.ro/informatii/buletin-de-presa-20-aprilie-2020-ora-13-00</v>
      </c>
      <c r="L233" s="5"/>
      <c r="M233" s="5"/>
      <c r="N233" s="5"/>
      <c r="O233" s="5"/>
      <c r="P233" s="5"/>
      <c r="Q233" s="5"/>
      <c r="R233" s="5" t="str">
        <f ca="1">IFERROR(__xludf.DUMMYFUNCTION("""COMPUTED_VALUE"""),"România")</f>
        <v>România</v>
      </c>
      <c r="S233" s="5" t="str">
        <f ca="1">IFERROR(__xludf.DUMMYFUNCTION("""COMPUTED_VALUE"""),"Octavian")</f>
        <v>Octavian</v>
      </c>
      <c r="T233" s="7" t="str">
        <f ca="1">IFERROR(__xludf.DUMMYFUNCTION("""COMPUTED_VALUE"""),"http://www.ms.ro/2020/04/20/buletin-informativ-20-04-2020/")</f>
        <v>http://www.ms.ro/2020/04/20/buletin-informativ-20-04-2020/</v>
      </c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ht="12.5">
      <c r="A234" s="5">
        <f ca="1">IFERROR(__xludf.DUMMYFUNCTION("""COMPUTED_VALUE"""),8784)</f>
        <v>8784</v>
      </c>
      <c r="B234" s="5"/>
      <c r="C234" s="5" t="str">
        <f ca="1">IFERROR(__xludf.DUMMYFUNCTION("""COMPUTED_VALUE"""),"Bihor")</f>
        <v>Bihor</v>
      </c>
      <c r="D234" s="13">
        <f ca="1">IFERROR(__xludf.DUMMYFUNCTION("""COMPUTED_VALUE"""),43941)</f>
        <v>43941</v>
      </c>
      <c r="E234" s="5" t="str">
        <f ca="1">IFERROR(__xludf.DUMMYFUNCTION("""COMPUTED_VALUE"""),"Nu")</f>
        <v>Nu</v>
      </c>
      <c r="F234" s="5"/>
      <c r="G234" s="5"/>
      <c r="H234" s="6"/>
      <c r="I234" s="5"/>
      <c r="J234" s="5"/>
      <c r="K234" s="7" t="str">
        <f ca="1">IFERROR(__xludf.DUMMYFUNCTION("""COMPUTED_VALUE"""),"https://stirioficiale.ro/informatii/buletin-de-presa-20-aprilie-2020-ora-13-00")</f>
        <v>https://stirioficiale.ro/informatii/buletin-de-presa-20-aprilie-2020-ora-13-00</v>
      </c>
      <c r="L234" s="5"/>
      <c r="M234" s="5"/>
      <c r="N234" s="5"/>
      <c r="O234" s="5"/>
      <c r="P234" s="5"/>
      <c r="Q234" s="5"/>
      <c r="R234" s="5" t="str">
        <f ca="1">IFERROR(__xludf.DUMMYFUNCTION("""COMPUTED_VALUE"""),"România")</f>
        <v>România</v>
      </c>
      <c r="S234" s="5" t="str">
        <f ca="1">IFERROR(__xludf.DUMMYFUNCTION("""COMPUTED_VALUE"""),"Octavian")</f>
        <v>Octavian</v>
      </c>
      <c r="T234" s="7" t="str">
        <f ca="1">IFERROR(__xludf.DUMMYFUNCTION("""COMPUTED_VALUE"""),"http://www.ms.ro/2020/04/20/buletin-informativ-20-04-2020/")</f>
        <v>http://www.ms.ro/2020/04/20/buletin-informativ-20-04-2020/</v>
      </c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2.5">
      <c r="A235" s="5">
        <f ca="1">IFERROR(__xludf.DUMMYFUNCTION("""COMPUTED_VALUE"""),8785)</f>
        <v>8785</v>
      </c>
      <c r="B235" s="5"/>
      <c r="C235" s="5" t="str">
        <f ca="1">IFERROR(__xludf.DUMMYFUNCTION("""COMPUTED_VALUE"""),"Bihor")</f>
        <v>Bihor</v>
      </c>
      <c r="D235" s="13">
        <f ca="1">IFERROR(__xludf.DUMMYFUNCTION("""COMPUTED_VALUE"""),43941)</f>
        <v>43941</v>
      </c>
      <c r="E235" s="5" t="str">
        <f ca="1">IFERROR(__xludf.DUMMYFUNCTION("""COMPUTED_VALUE"""),"Nu")</f>
        <v>Nu</v>
      </c>
      <c r="F235" s="5"/>
      <c r="G235" s="5"/>
      <c r="H235" s="6"/>
      <c r="I235" s="5"/>
      <c r="J235" s="5"/>
      <c r="K235" s="7" t="str">
        <f ca="1">IFERROR(__xludf.DUMMYFUNCTION("""COMPUTED_VALUE"""),"https://stirioficiale.ro/informatii/buletin-de-presa-20-aprilie-2020-ora-13-00")</f>
        <v>https://stirioficiale.ro/informatii/buletin-de-presa-20-aprilie-2020-ora-13-00</v>
      </c>
      <c r="L235" s="5"/>
      <c r="M235" s="5"/>
      <c r="N235" s="5"/>
      <c r="O235" s="5"/>
      <c r="P235" s="5"/>
      <c r="Q235" s="5"/>
      <c r="R235" s="5" t="str">
        <f ca="1">IFERROR(__xludf.DUMMYFUNCTION("""COMPUTED_VALUE"""),"România")</f>
        <v>România</v>
      </c>
      <c r="S235" s="5" t="str">
        <f ca="1">IFERROR(__xludf.DUMMYFUNCTION("""COMPUTED_VALUE"""),"Octavian")</f>
        <v>Octavian</v>
      </c>
      <c r="T235" s="7" t="str">
        <f ca="1">IFERROR(__xludf.DUMMYFUNCTION("""COMPUTED_VALUE"""),"http://www.ms.ro/2020/04/20/buletin-informativ-20-04-2020/")</f>
        <v>http://www.ms.ro/2020/04/20/buletin-informativ-20-04-2020/</v>
      </c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ht="12.5">
      <c r="A236" s="5">
        <f ca="1">IFERROR(__xludf.DUMMYFUNCTION("""COMPUTED_VALUE"""),8786)</f>
        <v>8786</v>
      </c>
      <c r="B236" s="5"/>
      <c r="C236" s="5" t="str">
        <f ca="1">IFERROR(__xludf.DUMMYFUNCTION("""COMPUTED_VALUE"""),"Bihor")</f>
        <v>Bihor</v>
      </c>
      <c r="D236" s="13">
        <f ca="1">IFERROR(__xludf.DUMMYFUNCTION("""COMPUTED_VALUE"""),43941)</f>
        <v>43941</v>
      </c>
      <c r="E236" s="5" t="str">
        <f ca="1">IFERROR(__xludf.DUMMYFUNCTION("""COMPUTED_VALUE"""),"Nu")</f>
        <v>Nu</v>
      </c>
      <c r="F236" s="5"/>
      <c r="G236" s="5"/>
      <c r="H236" s="6"/>
      <c r="I236" s="5"/>
      <c r="J236" s="5"/>
      <c r="K236" s="7" t="str">
        <f ca="1">IFERROR(__xludf.DUMMYFUNCTION("""COMPUTED_VALUE"""),"https://stirioficiale.ro/informatii/buletin-de-presa-20-aprilie-2020-ora-13-00")</f>
        <v>https://stirioficiale.ro/informatii/buletin-de-presa-20-aprilie-2020-ora-13-00</v>
      </c>
      <c r="L236" s="5"/>
      <c r="M236" s="5"/>
      <c r="N236" s="5"/>
      <c r="O236" s="5"/>
      <c r="P236" s="5"/>
      <c r="Q236" s="5"/>
      <c r="R236" s="5" t="str">
        <f ca="1">IFERROR(__xludf.DUMMYFUNCTION("""COMPUTED_VALUE"""),"România")</f>
        <v>România</v>
      </c>
      <c r="S236" s="5" t="str">
        <f ca="1">IFERROR(__xludf.DUMMYFUNCTION("""COMPUTED_VALUE"""),"Octavian")</f>
        <v>Octavian</v>
      </c>
      <c r="T236" s="7" t="str">
        <f ca="1">IFERROR(__xludf.DUMMYFUNCTION("""COMPUTED_VALUE"""),"http://www.ms.ro/2020/04/20/buletin-informativ-20-04-2020/")</f>
        <v>http://www.ms.ro/2020/04/20/buletin-informativ-20-04-2020/</v>
      </c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2.5">
      <c r="A237" s="5">
        <f ca="1">IFERROR(__xludf.DUMMYFUNCTION("""COMPUTED_VALUE"""),8787)</f>
        <v>8787</v>
      </c>
      <c r="B237" s="5"/>
      <c r="C237" s="5" t="str">
        <f ca="1">IFERROR(__xludf.DUMMYFUNCTION("""COMPUTED_VALUE"""),"Bihor")</f>
        <v>Bihor</v>
      </c>
      <c r="D237" s="13">
        <f ca="1">IFERROR(__xludf.DUMMYFUNCTION("""COMPUTED_VALUE"""),43941)</f>
        <v>43941</v>
      </c>
      <c r="E237" s="5" t="str">
        <f ca="1">IFERROR(__xludf.DUMMYFUNCTION("""COMPUTED_VALUE"""),"Nu")</f>
        <v>Nu</v>
      </c>
      <c r="F237" s="5"/>
      <c r="G237" s="5"/>
      <c r="H237" s="6"/>
      <c r="I237" s="5"/>
      <c r="J237" s="5"/>
      <c r="K237" s="7" t="str">
        <f ca="1">IFERROR(__xludf.DUMMYFUNCTION("""COMPUTED_VALUE"""),"https://stirioficiale.ro/informatii/buletin-de-presa-20-aprilie-2020-ora-13-00")</f>
        <v>https://stirioficiale.ro/informatii/buletin-de-presa-20-aprilie-2020-ora-13-00</v>
      </c>
      <c r="L237" s="5"/>
      <c r="M237" s="5"/>
      <c r="N237" s="5"/>
      <c r="O237" s="5"/>
      <c r="P237" s="5"/>
      <c r="Q237" s="5"/>
      <c r="R237" s="5" t="str">
        <f ca="1">IFERROR(__xludf.DUMMYFUNCTION("""COMPUTED_VALUE"""),"România")</f>
        <v>România</v>
      </c>
      <c r="S237" s="5" t="str">
        <f ca="1">IFERROR(__xludf.DUMMYFUNCTION("""COMPUTED_VALUE"""),"Octavian")</f>
        <v>Octavian</v>
      </c>
      <c r="T237" s="7" t="str">
        <f ca="1">IFERROR(__xludf.DUMMYFUNCTION("""COMPUTED_VALUE"""),"http://www.ms.ro/2020/04/20/buletin-informativ-20-04-2020/")</f>
        <v>http://www.ms.ro/2020/04/20/buletin-informativ-20-04-2020/</v>
      </c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ht="12.5">
      <c r="A238" s="5">
        <f ca="1">IFERROR(__xludf.DUMMYFUNCTION("""COMPUTED_VALUE"""),8788)</f>
        <v>8788</v>
      </c>
      <c r="B238" s="5"/>
      <c r="C238" s="5" t="str">
        <f ca="1">IFERROR(__xludf.DUMMYFUNCTION("""COMPUTED_VALUE"""),"Bihor")</f>
        <v>Bihor</v>
      </c>
      <c r="D238" s="13">
        <f ca="1">IFERROR(__xludf.DUMMYFUNCTION("""COMPUTED_VALUE"""),43941)</f>
        <v>43941</v>
      </c>
      <c r="E238" s="5" t="str">
        <f ca="1">IFERROR(__xludf.DUMMYFUNCTION("""COMPUTED_VALUE"""),"Nu")</f>
        <v>Nu</v>
      </c>
      <c r="F238" s="5"/>
      <c r="G238" s="5"/>
      <c r="H238" s="6"/>
      <c r="I238" s="5"/>
      <c r="J238" s="5"/>
      <c r="K238" s="7" t="str">
        <f ca="1">IFERROR(__xludf.DUMMYFUNCTION("""COMPUTED_VALUE"""),"https://stirioficiale.ro/informatii/buletin-de-presa-20-aprilie-2020-ora-13-00")</f>
        <v>https://stirioficiale.ro/informatii/buletin-de-presa-20-aprilie-2020-ora-13-00</v>
      </c>
      <c r="L238" s="5"/>
      <c r="M238" s="5"/>
      <c r="N238" s="5"/>
      <c r="O238" s="5"/>
      <c r="P238" s="5"/>
      <c r="Q238" s="5"/>
      <c r="R238" s="5" t="str">
        <f ca="1">IFERROR(__xludf.DUMMYFUNCTION("""COMPUTED_VALUE"""),"România")</f>
        <v>România</v>
      </c>
      <c r="S238" s="5" t="str">
        <f ca="1">IFERROR(__xludf.DUMMYFUNCTION("""COMPUTED_VALUE"""),"Octavian")</f>
        <v>Octavian</v>
      </c>
      <c r="T238" s="7" t="str">
        <f ca="1">IFERROR(__xludf.DUMMYFUNCTION("""COMPUTED_VALUE"""),"http://www.ms.ro/2020/04/20/buletin-informativ-20-04-2020/")</f>
        <v>http://www.ms.ro/2020/04/20/buletin-informativ-20-04-2020/</v>
      </c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2.5">
      <c r="A239" s="5">
        <f ca="1">IFERROR(__xludf.DUMMYFUNCTION("""COMPUTED_VALUE"""),8789)</f>
        <v>8789</v>
      </c>
      <c r="B239" s="5"/>
      <c r="C239" s="5" t="str">
        <f ca="1">IFERROR(__xludf.DUMMYFUNCTION("""COMPUTED_VALUE"""),"Bihor")</f>
        <v>Bihor</v>
      </c>
      <c r="D239" s="13">
        <f ca="1">IFERROR(__xludf.DUMMYFUNCTION("""COMPUTED_VALUE"""),43941)</f>
        <v>43941</v>
      </c>
      <c r="E239" s="5" t="str">
        <f ca="1">IFERROR(__xludf.DUMMYFUNCTION("""COMPUTED_VALUE"""),"Nu")</f>
        <v>Nu</v>
      </c>
      <c r="F239" s="5"/>
      <c r="G239" s="5"/>
      <c r="H239" s="6"/>
      <c r="I239" s="5"/>
      <c r="J239" s="5"/>
      <c r="K239" s="7" t="str">
        <f ca="1">IFERROR(__xludf.DUMMYFUNCTION("""COMPUTED_VALUE"""),"https://stirioficiale.ro/informatii/buletin-de-presa-20-aprilie-2020-ora-13-00")</f>
        <v>https://stirioficiale.ro/informatii/buletin-de-presa-20-aprilie-2020-ora-13-00</v>
      </c>
      <c r="L239" s="5"/>
      <c r="M239" s="5"/>
      <c r="N239" s="5"/>
      <c r="O239" s="5"/>
      <c r="P239" s="5"/>
      <c r="Q239" s="5"/>
      <c r="R239" s="5" t="str">
        <f ca="1">IFERROR(__xludf.DUMMYFUNCTION("""COMPUTED_VALUE"""),"România")</f>
        <v>România</v>
      </c>
      <c r="S239" s="5" t="str">
        <f ca="1">IFERROR(__xludf.DUMMYFUNCTION("""COMPUTED_VALUE"""),"Octavian")</f>
        <v>Octavian</v>
      </c>
      <c r="T239" s="7" t="str">
        <f ca="1">IFERROR(__xludf.DUMMYFUNCTION("""COMPUTED_VALUE"""),"http://www.ms.ro/2020/04/20/buletin-informativ-20-04-2020/")</f>
        <v>http://www.ms.ro/2020/04/20/buletin-informativ-20-04-2020/</v>
      </c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t="12.5">
      <c r="A240" s="5">
        <f ca="1">IFERROR(__xludf.DUMMYFUNCTION("""COMPUTED_VALUE"""),8790)</f>
        <v>8790</v>
      </c>
      <c r="B240" s="5"/>
      <c r="C240" s="5" t="str">
        <f ca="1">IFERROR(__xludf.DUMMYFUNCTION("""COMPUTED_VALUE"""),"Bihor")</f>
        <v>Bihor</v>
      </c>
      <c r="D240" s="13">
        <f ca="1">IFERROR(__xludf.DUMMYFUNCTION("""COMPUTED_VALUE"""),43941)</f>
        <v>43941</v>
      </c>
      <c r="E240" s="5" t="str">
        <f ca="1">IFERROR(__xludf.DUMMYFUNCTION("""COMPUTED_VALUE"""),"Nu")</f>
        <v>Nu</v>
      </c>
      <c r="F240" s="5"/>
      <c r="G240" s="5"/>
      <c r="H240" s="6"/>
      <c r="I240" s="5"/>
      <c r="J240" s="5"/>
      <c r="K240" s="7" t="str">
        <f ca="1">IFERROR(__xludf.DUMMYFUNCTION("""COMPUTED_VALUE"""),"https://stirioficiale.ro/informatii/buletin-de-presa-20-aprilie-2020-ora-13-00")</f>
        <v>https://stirioficiale.ro/informatii/buletin-de-presa-20-aprilie-2020-ora-13-00</v>
      </c>
      <c r="L240" s="5"/>
      <c r="M240" s="5"/>
      <c r="N240" s="5"/>
      <c r="O240" s="5"/>
      <c r="P240" s="5"/>
      <c r="Q240" s="5"/>
      <c r="R240" s="5" t="str">
        <f ca="1">IFERROR(__xludf.DUMMYFUNCTION("""COMPUTED_VALUE"""),"România")</f>
        <v>România</v>
      </c>
      <c r="S240" s="5" t="str">
        <f ca="1">IFERROR(__xludf.DUMMYFUNCTION("""COMPUTED_VALUE"""),"Octavian")</f>
        <v>Octavian</v>
      </c>
      <c r="T240" s="7" t="str">
        <f ca="1">IFERROR(__xludf.DUMMYFUNCTION("""COMPUTED_VALUE"""),"http://www.ms.ro/2020/04/20/buletin-informativ-20-04-2020/")</f>
        <v>http://www.ms.ro/2020/04/20/buletin-informativ-20-04-2020/</v>
      </c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2.5">
      <c r="A241" s="5">
        <f ca="1">IFERROR(__xludf.DUMMYFUNCTION("""COMPUTED_VALUE"""),8957)</f>
        <v>8957</v>
      </c>
      <c r="B241" s="5"/>
      <c r="C241" s="5" t="str">
        <f ca="1">IFERROR(__xludf.DUMMYFUNCTION("""COMPUTED_VALUE"""),"Bihor")</f>
        <v>Bihor</v>
      </c>
      <c r="D241" s="13">
        <f ca="1">IFERROR(__xludf.DUMMYFUNCTION("""COMPUTED_VALUE"""),43942)</f>
        <v>43942</v>
      </c>
      <c r="E241" s="5" t="str">
        <f ca="1">IFERROR(__xludf.DUMMYFUNCTION("""COMPUTED_VALUE"""),"Nu")</f>
        <v>Nu</v>
      </c>
      <c r="F241" s="5"/>
      <c r="G241" s="5"/>
      <c r="H241" s="6"/>
      <c r="I241" s="5"/>
      <c r="J241" s="5"/>
      <c r="K241" s="7" t="str">
        <f ca="1">IFERROR(__xludf.DUMMYFUNCTION("""COMPUTED_VALUE"""),"https://stirioficiale.ro/informatii/buletin-de-presa-21-aprilie-2020-ora-13-19")</f>
        <v>https://stirioficiale.ro/informatii/buletin-de-presa-21-aprilie-2020-ora-13-19</v>
      </c>
      <c r="L241" s="5"/>
      <c r="M241" s="5"/>
      <c r="N241" s="5"/>
      <c r="O241" s="5"/>
      <c r="P241" s="5"/>
      <c r="Q241" s="5"/>
      <c r="R241" s="5" t="str">
        <f ca="1">IFERROR(__xludf.DUMMYFUNCTION("""COMPUTED_VALUE"""),"România")</f>
        <v>România</v>
      </c>
      <c r="S241" s="5" t="str">
        <f ca="1">IFERROR(__xludf.DUMMYFUNCTION("""COMPUTED_VALUE"""),"Octavian")</f>
        <v>Octavian</v>
      </c>
      <c r="T241" s="7" t="str">
        <f ca="1">IFERROR(__xludf.DUMMYFUNCTION("""COMPUTED_VALUE"""),"http://www.ms.ro/2020/04/21/buletin-informativ-21-04-2020/")</f>
        <v>http://www.ms.ro/2020/04/21/buletin-informativ-21-04-2020/</v>
      </c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t="12.5">
      <c r="A242" s="5">
        <f ca="1">IFERROR(__xludf.DUMMYFUNCTION("""COMPUTED_VALUE"""),8958)</f>
        <v>8958</v>
      </c>
      <c r="B242" s="5"/>
      <c r="C242" s="5" t="str">
        <f ca="1">IFERROR(__xludf.DUMMYFUNCTION("""COMPUTED_VALUE"""),"Bihor")</f>
        <v>Bihor</v>
      </c>
      <c r="D242" s="13">
        <f ca="1">IFERROR(__xludf.DUMMYFUNCTION("""COMPUTED_VALUE"""),43942)</f>
        <v>43942</v>
      </c>
      <c r="E242" s="5" t="str">
        <f ca="1">IFERROR(__xludf.DUMMYFUNCTION("""COMPUTED_VALUE"""),"Nu")</f>
        <v>Nu</v>
      </c>
      <c r="F242" s="5"/>
      <c r="G242" s="5"/>
      <c r="H242" s="6"/>
      <c r="I242" s="5"/>
      <c r="J242" s="5"/>
      <c r="K242" s="7" t="str">
        <f ca="1">IFERROR(__xludf.DUMMYFUNCTION("""COMPUTED_VALUE"""),"https://stirioficiale.ro/informatii/buletin-de-presa-21-aprilie-2020-ora-13-20")</f>
        <v>https://stirioficiale.ro/informatii/buletin-de-presa-21-aprilie-2020-ora-13-20</v>
      </c>
      <c r="L242" s="5"/>
      <c r="M242" s="5"/>
      <c r="N242" s="5"/>
      <c r="O242" s="5"/>
      <c r="P242" s="5"/>
      <c r="Q242" s="5"/>
      <c r="R242" s="5" t="str">
        <f ca="1">IFERROR(__xludf.DUMMYFUNCTION("""COMPUTED_VALUE"""),"România")</f>
        <v>România</v>
      </c>
      <c r="S242" s="5" t="str">
        <f ca="1">IFERROR(__xludf.DUMMYFUNCTION("""COMPUTED_VALUE"""),"Octavian")</f>
        <v>Octavian</v>
      </c>
      <c r="T242" s="7" t="str">
        <f ca="1">IFERROR(__xludf.DUMMYFUNCTION("""COMPUTED_VALUE"""),"http://www.ms.ro/2020/04/21/buletin-informativ-21-04-2020/")</f>
        <v>http://www.ms.ro/2020/04/21/buletin-informativ-21-04-2020/</v>
      </c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2.5">
      <c r="A243" s="5">
        <f ca="1">IFERROR(__xludf.DUMMYFUNCTION("""COMPUTED_VALUE"""),8959)</f>
        <v>8959</v>
      </c>
      <c r="B243" s="5"/>
      <c r="C243" s="5" t="str">
        <f ca="1">IFERROR(__xludf.DUMMYFUNCTION("""COMPUTED_VALUE"""),"Bihor")</f>
        <v>Bihor</v>
      </c>
      <c r="D243" s="13">
        <f ca="1">IFERROR(__xludf.DUMMYFUNCTION("""COMPUTED_VALUE"""),43942)</f>
        <v>43942</v>
      </c>
      <c r="E243" s="5" t="str">
        <f ca="1">IFERROR(__xludf.DUMMYFUNCTION("""COMPUTED_VALUE"""),"Nu")</f>
        <v>Nu</v>
      </c>
      <c r="F243" s="5"/>
      <c r="G243" s="5"/>
      <c r="H243" s="6"/>
      <c r="I243" s="5"/>
      <c r="J243" s="5"/>
      <c r="K243" s="7" t="str">
        <f ca="1">IFERROR(__xludf.DUMMYFUNCTION("""COMPUTED_VALUE"""),"https://stirioficiale.ro/informatii/buletin-de-presa-21-aprilie-2020-ora-13-21")</f>
        <v>https://stirioficiale.ro/informatii/buletin-de-presa-21-aprilie-2020-ora-13-21</v>
      </c>
      <c r="L243" s="5"/>
      <c r="M243" s="5"/>
      <c r="N243" s="5"/>
      <c r="O243" s="5"/>
      <c r="P243" s="5"/>
      <c r="Q243" s="5"/>
      <c r="R243" s="5" t="str">
        <f ca="1">IFERROR(__xludf.DUMMYFUNCTION("""COMPUTED_VALUE"""),"România")</f>
        <v>România</v>
      </c>
      <c r="S243" s="5" t="str">
        <f ca="1">IFERROR(__xludf.DUMMYFUNCTION("""COMPUTED_VALUE"""),"Octavian")</f>
        <v>Octavian</v>
      </c>
      <c r="T243" s="7" t="str">
        <f ca="1">IFERROR(__xludf.DUMMYFUNCTION("""COMPUTED_VALUE"""),"http://www.ms.ro/2020/04/21/buletin-informativ-21-04-2020/")</f>
        <v>http://www.ms.ro/2020/04/21/buletin-informativ-21-04-2020/</v>
      </c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ht="12.5">
      <c r="A244" s="5">
        <f ca="1">IFERROR(__xludf.DUMMYFUNCTION("""COMPUTED_VALUE"""),8960)</f>
        <v>8960</v>
      </c>
      <c r="B244" s="5"/>
      <c r="C244" s="5" t="str">
        <f ca="1">IFERROR(__xludf.DUMMYFUNCTION("""COMPUTED_VALUE"""),"Bihor")</f>
        <v>Bihor</v>
      </c>
      <c r="D244" s="13">
        <f ca="1">IFERROR(__xludf.DUMMYFUNCTION("""COMPUTED_VALUE"""),43942)</f>
        <v>43942</v>
      </c>
      <c r="E244" s="5" t="str">
        <f ca="1">IFERROR(__xludf.DUMMYFUNCTION("""COMPUTED_VALUE"""),"Nu")</f>
        <v>Nu</v>
      </c>
      <c r="F244" s="5"/>
      <c r="G244" s="5"/>
      <c r="H244" s="6"/>
      <c r="I244" s="5"/>
      <c r="J244" s="5"/>
      <c r="K244" s="7" t="str">
        <f ca="1">IFERROR(__xludf.DUMMYFUNCTION("""COMPUTED_VALUE"""),"https://stirioficiale.ro/informatii/buletin-de-presa-21-aprilie-2020-ora-13-22")</f>
        <v>https://stirioficiale.ro/informatii/buletin-de-presa-21-aprilie-2020-ora-13-22</v>
      </c>
      <c r="L244" s="5"/>
      <c r="M244" s="5"/>
      <c r="N244" s="5"/>
      <c r="O244" s="5"/>
      <c r="P244" s="5"/>
      <c r="Q244" s="5"/>
      <c r="R244" s="5" t="str">
        <f ca="1">IFERROR(__xludf.DUMMYFUNCTION("""COMPUTED_VALUE"""),"România")</f>
        <v>România</v>
      </c>
      <c r="S244" s="5" t="str">
        <f ca="1">IFERROR(__xludf.DUMMYFUNCTION("""COMPUTED_VALUE"""),"Octavian")</f>
        <v>Octavian</v>
      </c>
      <c r="T244" s="7" t="str">
        <f ca="1">IFERROR(__xludf.DUMMYFUNCTION("""COMPUTED_VALUE"""),"http://www.ms.ro/2020/04/21/buletin-informativ-21-04-2020/")</f>
        <v>http://www.ms.ro/2020/04/21/buletin-informativ-21-04-2020/</v>
      </c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2.5">
      <c r="A245" s="5">
        <f ca="1">IFERROR(__xludf.DUMMYFUNCTION("""COMPUTED_VALUE"""),8961)</f>
        <v>8961</v>
      </c>
      <c r="B245" s="5"/>
      <c r="C245" s="5" t="str">
        <f ca="1">IFERROR(__xludf.DUMMYFUNCTION("""COMPUTED_VALUE"""),"Bihor")</f>
        <v>Bihor</v>
      </c>
      <c r="D245" s="13">
        <f ca="1">IFERROR(__xludf.DUMMYFUNCTION("""COMPUTED_VALUE"""),43942)</f>
        <v>43942</v>
      </c>
      <c r="E245" s="5" t="str">
        <f ca="1">IFERROR(__xludf.DUMMYFUNCTION("""COMPUTED_VALUE"""),"Nu")</f>
        <v>Nu</v>
      </c>
      <c r="F245" s="5"/>
      <c r="G245" s="5"/>
      <c r="H245" s="6"/>
      <c r="I245" s="5"/>
      <c r="J245" s="5"/>
      <c r="K245" s="7" t="str">
        <f ca="1">IFERROR(__xludf.DUMMYFUNCTION("""COMPUTED_VALUE"""),"https://stirioficiale.ro/informatii/buletin-de-presa-21-aprilie-2020-ora-13-23")</f>
        <v>https://stirioficiale.ro/informatii/buletin-de-presa-21-aprilie-2020-ora-13-23</v>
      </c>
      <c r="L245" s="5"/>
      <c r="M245" s="5"/>
      <c r="N245" s="5"/>
      <c r="O245" s="5"/>
      <c r="P245" s="5"/>
      <c r="Q245" s="5"/>
      <c r="R245" s="5" t="str">
        <f ca="1">IFERROR(__xludf.DUMMYFUNCTION("""COMPUTED_VALUE"""),"România")</f>
        <v>România</v>
      </c>
      <c r="S245" s="5" t="str">
        <f ca="1">IFERROR(__xludf.DUMMYFUNCTION("""COMPUTED_VALUE"""),"Octavian")</f>
        <v>Octavian</v>
      </c>
      <c r="T245" s="7" t="str">
        <f ca="1">IFERROR(__xludf.DUMMYFUNCTION("""COMPUTED_VALUE"""),"http://www.ms.ro/2020/04/21/buletin-informativ-21-04-2020/")</f>
        <v>http://www.ms.ro/2020/04/21/buletin-informativ-21-04-2020/</v>
      </c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ht="12.5">
      <c r="A246" s="5">
        <f ca="1">IFERROR(__xludf.DUMMYFUNCTION("""COMPUTED_VALUE"""),8962)</f>
        <v>8962</v>
      </c>
      <c r="B246" s="5"/>
      <c r="C246" s="5" t="str">
        <f ca="1">IFERROR(__xludf.DUMMYFUNCTION("""COMPUTED_VALUE"""),"Bihor")</f>
        <v>Bihor</v>
      </c>
      <c r="D246" s="13">
        <f ca="1">IFERROR(__xludf.DUMMYFUNCTION("""COMPUTED_VALUE"""),43942)</f>
        <v>43942</v>
      </c>
      <c r="E246" s="5" t="str">
        <f ca="1">IFERROR(__xludf.DUMMYFUNCTION("""COMPUTED_VALUE"""),"Nu")</f>
        <v>Nu</v>
      </c>
      <c r="F246" s="5"/>
      <c r="G246" s="5"/>
      <c r="H246" s="6"/>
      <c r="I246" s="5"/>
      <c r="J246" s="5"/>
      <c r="K246" s="7" t="str">
        <f ca="1">IFERROR(__xludf.DUMMYFUNCTION("""COMPUTED_VALUE"""),"https://stirioficiale.ro/informatii/buletin-de-presa-21-aprilie-2020-ora-13-24")</f>
        <v>https://stirioficiale.ro/informatii/buletin-de-presa-21-aprilie-2020-ora-13-24</v>
      </c>
      <c r="L246" s="5"/>
      <c r="M246" s="5"/>
      <c r="N246" s="5"/>
      <c r="O246" s="5"/>
      <c r="P246" s="5"/>
      <c r="Q246" s="5"/>
      <c r="R246" s="5" t="str">
        <f ca="1">IFERROR(__xludf.DUMMYFUNCTION("""COMPUTED_VALUE"""),"România")</f>
        <v>România</v>
      </c>
      <c r="S246" s="5" t="str">
        <f ca="1">IFERROR(__xludf.DUMMYFUNCTION("""COMPUTED_VALUE"""),"Octavian")</f>
        <v>Octavian</v>
      </c>
      <c r="T246" s="7" t="str">
        <f ca="1">IFERROR(__xludf.DUMMYFUNCTION("""COMPUTED_VALUE"""),"http://www.ms.ro/2020/04/21/buletin-informativ-21-04-2020/")</f>
        <v>http://www.ms.ro/2020/04/21/buletin-informativ-21-04-2020/</v>
      </c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2.5">
      <c r="A247" s="5">
        <f ca="1">IFERROR(__xludf.DUMMYFUNCTION("""COMPUTED_VALUE"""),8963)</f>
        <v>8963</v>
      </c>
      <c r="B247" s="5"/>
      <c r="C247" s="5" t="str">
        <f ca="1">IFERROR(__xludf.DUMMYFUNCTION("""COMPUTED_VALUE"""),"Bihor")</f>
        <v>Bihor</v>
      </c>
      <c r="D247" s="13">
        <f ca="1">IFERROR(__xludf.DUMMYFUNCTION("""COMPUTED_VALUE"""),43942)</f>
        <v>43942</v>
      </c>
      <c r="E247" s="5" t="str">
        <f ca="1">IFERROR(__xludf.DUMMYFUNCTION("""COMPUTED_VALUE"""),"Nu")</f>
        <v>Nu</v>
      </c>
      <c r="F247" s="5"/>
      <c r="G247" s="5"/>
      <c r="H247" s="6"/>
      <c r="I247" s="5"/>
      <c r="J247" s="5"/>
      <c r="K247" s="7" t="str">
        <f ca="1">IFERROR(__xludf.DUMMYFUNCTION("""COMPUTED_VALUE"""),"https://stirioficiale.ro/informatii/buletin-de-presa-21-aprilie-2020-ora-13-25")</f>
        <v>https://stirioficiale.ro/informatii/buletin-de-presa-21-aprilie-2020-ora-13-25</v>
      </c>
      <c r="L247" s="5"/>
      <c r="M247" s="5"/>
      <c r="N247" s="5"/>
      <c r="O247" s="5"/>
      <c r="P247" s="5"/>
      <c r="Q247" s="5"/>
      <c r="R247" s="5" t="str">
        <f ca="1">IFERROR(__xludf.DUMMYFUNCTION("""COMPUTED_VALUE"""),"România")</f>
        <v>România</v>
      </c>
      <c r="S247" s="5" t="str">
        <f ca="1">IFERROR(__xludf.DUMMYFUNCTION("""COMPUTED_VALUE"""),"Octavian")</f>
        <v>Octavian</v>
      </c>
      <c r="T247" s="7" t="str">
        <f ca="1">IFERROR(__xludf.DUMMYFUNCTION("""COMPUTED_VALUE"""),"http://www.ms.ro/2020/04/21/buletin-informativ-21-04-2020/")</f>
        <v>http://www.ms.ro/2020/04/21/buletin-informativ-21-04-2020/</v>
      </c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t="12.5">
      <c r="A248" s="5">
        <f ca="1">IFERROR(__xludf.DUMMYFUNCTION("""COMPUTED_VALUE"""),8964)</f>
        <v>8964</v>
      </c>
      <c r="B248" s="5"/>
      <c r="C248" s="5" t="str">
        <f ca="1">IFERROR(__xludf.DUMMYFUNCTION("""COMPUTED_VALUE"""),"Bihor")</f>
        <v>Bihor</v>
      </c>
      <c r="D248" s="13">
        <f ca="1">IFERROR(__xludf.DUMMYFUNCTION("""COMPUTED_VALUE"""),43942)</f>
        <v>43942</v>
      </c>
      <c r="E248" s="5" t="str">
        <f ca="1">IFERROR(__xludf.DUMMYFUNCTION("""COMPUTED_VALUE"""),"Nu")</f>
        <v>Nu</v>
      </c>
      <c r="F248" s="5"/>
      <c r="G248" s="5"/>
      <c r="H248" s="6"/>
      <c r="I248" s="5"/>
      <c r="J248" s="5"/>
      <c r="K248" s="7" t="str">
        <f ca="1">IFERROR(__xludf.DUMMYFUNCTION("""COMPUTED_VALUE"""),"https://stirioficiale.ro/informatii/buletin-de-presa-21-aprilie-2020-ora-13-26")</f>
        <v>https://stirioficiale.ro/informatii/buletin-de-presa-21-aprilie-2020-ora-13-26</v>
      </c>
      <c r="L248" s="5"/>
      <c r="M248" s="5"/>
      <c r="N248" s="5"/>
      <c r="O248" s="5"/>
      <c r="P248" s="5"/>
      <c r="Q248" s="5"/>
      <c r="R248" s="5" t="str">
        <f ca="1">IFERROR(__xludf.DUMMYFUNCTION("""COMPUTED_VALUE"""),"România")</f>
        <v>România</v>
      </c>
      <c r="S248" s="5" t="str">
        <f ca="1">IFERROR(__xludf.DUMMYFUNCTION("""COMPUTED_VALUE"""),"Octavian")</f>
        <v>Octavian</v>
      </c>
      <c r="T248" s="7" t="str">
        <f ca="1">IFERROR(__xludf.DUMMYFUNCTION("""COMPUTED_VALUE"""),"http://www.ms.ro/2020/04/21/buletin-informativ-21-04-2020/")</f>
        <v>http://www.ms.ro/2020/04/21/buletin-informativ-21-04-2020/</v>
      </c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2.5">
      <c r="A249" s="5">
        <f ca="1">IFERROR(__xludf.DUMMYFUNCTION("""COMPUTED_VALUE"""),8965)</f>
        <v>8965</v>
      </c>
      <c r="B249" s="5"/>
      <c r="C249" s="5" t="str">
        <f ca="1">IFERROR(__xludf.DUMMYFUNCTION("""COMPUTED_VALUE"""),"Bihor")</f>
        <v>Bihor</v>
      </c>
      <c r="D249" s="13">
        <f ca="1">IFERROR(__xludf.DUMMYFUNCTION("""COMPUTED_VALUE"""),43942)</f>
        <v>43942</v>
      </c>
      <c r="E249" s="5" t="str">
        <f ca="1">IFERROR(__xludf.DUMMYFUNCTION("""COMPUTED_VALUE"""),"Nu")</f>
        <v>Nu</v>
      </c>
      <c r="F249" s="5"/>
      <c r="G249" s="5"/>
      <c r="H249" s="6"/>
      <c r="I249" s="5"/>
      <c r="J249" s="5"/>
      <c r="K249" s="7" t="str">
        <f ca="1">IFERROR(__xludf.DUMMYFUNCTION("""COMPUTED_VALUE"""),"https://stirioficiale.ro/informatii/buletin-de-presa-21-aprilie-2020-ora-13-27")</f>
        <v>https://stirioficiale.ro/informatii/buletin-de-presa-21-aprilie-2020-ora-13-27</v>
      </c>
      <c r="L249" s="5"/>
      <c r="M249" s="5"/>
      <c r="N249" s="5"/>
      <c r="O249" s="5"/>
      <c r="P249" s="5"/>
      <c r="Q249" s="5"/>
      <c r="R249" s="5" t="str">
        <f ca="1">IFERROR(__xludf.DUMMYFUNCTION("""COMPUTED_VALUE"""),"România")</f>
        <v>România</v>
      </c>
      <c r="S249" s="5" t="str">
        <f ca="1">IFERROR(__xludf.DUMMYFUNCTION("""COMPUTED_VALUE"""),"Octavian")</f>
        <v>Octavian</v>
      </c>
      <c r="T249" s="7" t="str">
        <f ca="1">IFERROR(__xludf.DUMMYFUNCTION("""COMPUTED_VALUE"""),"http://www.ms.ro/2020/04/21/buletin-informativ-21-04-2020/")</f>
        <v>http://www.ms.ro/2020/04/21/buletin-informativ-21-04-2020/</v>
      </c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ht="12.5">
      <c r="A250" s="5">
        <f ca="1">IFERROR(__xludf.DUMMYFUNCTION("""COMPUTED_VALUE"""),8966)</f>
        <v>8966</v>
      </c>
      <c r="B250" s="5"/>
      <c r="C250" s="5" t="str">
        <f ca="1">IFERROR(__xludf.DUMMYFUNCTION("""COMPUTED_VALUE"""),"Bihor")</f>
        <v>Bihor</v>
      </c>
      <c r="D250" s="13">
        <f ca="1">IFERROR(__xludf.DUMMYFUNCTION("""COMPUTED_VALUE"""),43942)</f>
        <v>43942</v>
      </c>
      <c r="E250" s="5" t="str">
        <f ca="1">IFERROR(__xludf.DUMMYFUNCTION("""COMPUTED_VALUE"""),"Nu")</f>
        <v>Nu</v>
      </c>
      <c r="F250" s="5"/>
      <c r="G250" s="5"/>
      <c r="H250" s="6"/>
      <c r="I250" s="5"/>
      <c r="J250" s="5"/>
      <c r="K250" s="7" t="str">
        <f ca="1">IFERROR(__xludf.DUMMYFUNCTION("""COMPUTED_VALUE"""),"https://stirioficiale.ro/informatii/buletin-de-presa-21-aprilie-2020-ora-13-28")</f>
        <v>https://stirioficiale.ro/informatii/buletin-de-presa-21-aprilie-2020-ora-13-28</v>
      </c>
      <c r="L250" s="5"/>
      <c r="M250" s="5"/>
      <c r="N250" s="5"/>
      <c r="O250" s="5"/>
      <c r="P250" s="5"/>
      <c r="Q250" s="5"/>
      <c r="R250" s="5" t="str">
        <f ca="1">IFERROR(__xludf.DUMMYFUNCTION("""COMPUTED_VALUE"""),"România")</f>
        <v>România</v>
      </c>
      <c r="S250" s="5" t="str">
        <f ca="1">IFERROR(__xludf.DUMMYFUNCTION("""COMPUTED_VALUE"""),"Octavian")</f>
        <v>Octavian</v>
      </c>
      <c r="T250" s="7" t="str">
        <f ca="1">IFERROR(__xludf.DUMMYFUNCTION("""COMPUTED_VALUE"""),"http://www.ms.ro/2020/04/21/buletin-informativ-21-04-2020/")</f>
        <v>http://www.ms.ro/2020/04/21/buletin-informativ-21-04-2020/</v>
      </c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2.5">
      <c r="A251" s="5">
        <f ca="1">IFERROR(__xludf.DUMMYFUNCTION("""COMPUTED_VALUE"""),8967)</f>
        <v>8967</v>
      </c>
      <c r="B251" s="5"/>
      <c r="C251" s="5" t="str">
        <f ca="1">IFERROR(__xludf.DUMMYFUNCTION("""COMPUTED_VALUE"""),"Bihor")</f>
        <v>Bihor</v>
      </c>
      <c r="D251" s="13">
        <f ca="1">IFERROR(__xludf.DUMMYFUNCTION("""COMPUTED_VALUE"""),43942)</f>
        <v>43942</v>
      </c>
      <c r="E251" s="5" t="str">
        <f ca="1">IFERROR(__xludf.DUMMYFUNCTION("""COMPUTED_VALUE"""),"Nu")</f>
        <v>Nu</v>
      </c>
      <c r="F251" s="5"/>
      <c r="G251" s="5"/>
      <c r="H251" s="6"/>
      <c r="I251" s="5"/>
      <c r="J251" s="5"/>
      <c r="K251" s="7" t="str">
        <f ca="1">IFERROR(__xludf.DUMMYFUNCTION("""COMPUTED_VALUE"""),"https://stirioficiale.ro/informatii/buletin-de-presa-21-aprilie-2020-ora-13-29")</f>
        <v>https://stirioficiale.ro/informatii/buletin-de-presa-21-aprilie-2020-ora-13-29</v>
      </c>
      <c r="L251" s="5"/>
      <c r="M251" s="5"/>
      <c r="N251" s="5"/>
      <c r="O251" s="5"/>
      <c r="P251" s="5"/>
      <c r="Q251" s="5"/>
      <c r="R251" s="5" t="str">
        <f ca="1">IFERROR(__xludf.DUMMYFUNCTION("""COMPUTED_VALUE"""),"România")</f>
        <v>România</v>
      </c>
      <c r="S251" s="5" t="str">
        <f ca="1">IFERROR(__xludf.DUMMYFUNCTION("""COMPUTED_VALUE"""),"Octavian")</f>
        <v>Octavian</v>
      </c>
      <c r="T251" s="7" t="str">
        <f ca="1">IFERROR(__xludf.DUMMYFUNCTION("""COMPUTED_VALUE"""),"http://www.ms.ro/2020/04/21/buletin-informativ-21-04-2020/")</f>
        <v>http://www.ms.ro/2020/04/21/buletin-informativ-21-04-2020/</v>
      </c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t="12.5">
      <c r="A252" s="5">
        <f ca="1">IFERROR(__xludf.DUMMYFUNCTION("""COMPUTED_VALUE"""),8968)</f>
        <v>8968</v>
      </c>
      <c r="B252" s="5"/>
      <c r="C252" s="5" t="str">
        <f ca="1">IFERROR(__xludf.DUMMYFUNCTION("""COMPUTED_VALUE"""),"Bihor")</f>
        <v>Bihor</v>
      </c>
      <c r="D252" s="13">
        <f ca="1">IFERROR(__xludf.DUMMYFUNCTION("""COMPUTED_VALUE"""),43942)</f>
        <v>43942</v>
      </c>
      <c r="E252" s="5" t="str">
        <f ca="1">IFERROR(__xludf.DUMMYFUNCTION("""COMPUTED_VALUE"""),"Nu")</f>
        <v>Nu</v>
      </c>
      <c r="F252" s="5"/>
      <c r="G252" s="5"/>
      <c r="H252" s="6"/>
      <c r="I252" s="5"/>
      <c r="J252" s="5"/>
      <c r="K252" s="7" t="str">
        <f ca="1">IFERROR(__xludf.DUMMYFUNCTION("""COMPUTED_VALUE"""),"https://stirioficiale.ro/informatii/buletin-de-presa-21-aprilie-2020-ora-13-30")</f>
        <v>https://stirioficiale.ro/informatii/buletin-de-presa-21-aprilie-2020-ora-13-30</v>
      </c>
      <c r="L252" s="5"/>
      <c r="M252" s="5"/>
      <c r="N252" s="5"/>
      <c r="O252" s="5"/>
      <c r="P252" s="5"/>
      <c r="Q252" s="5"/>
      <c r="R252" s="5" t="str">
        <f ca="1">IFERROR(__xludf.DUMMYFUNCTION("""COMPUTED_VALUE"""),"România")</f>
        <v>România</v>
      </c>
      <c r="S252" s="5" t="str">
        <f ca="1">IFERROR(__xludf.DUMMYFUNCTION("""COMPUTED_VALUE"""),"Octavian")</f>
        <v>Octavian</v>
      </c>
      <c r="T252" s="7" t="str">
        <f ca="1">IFERROR(__xludf.DUMMYFUNCTION("""COMPUTED_VALUE"""),"http://www.ms.ro/2020/04/21/buletin-informativ-21-04-2020/")</f>
        <v>http://www.ms.ro/2020/04/21/buletin-informativ-21-04-2020/</v>
      </c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2.5">
      <c r="A253" s="5">
        <f ca="1">IFERROR(__xludf.DUMMYFUNCTION("""COMPUTED_VALUE"""),8969)</f>
        <v>8969</v>
      </c>
      <c r="B253" s="5"/>
      <c r="C253" s="5" t="str">
        <f ca="1">IFERROR(__xludf.DUMMYFUNCTION("""COMPUTED_VALUE"""),"Bihor")</f>
        <v>Bihor</v>
      </c>
      <c r="D253" s="13">
        <f ca="1">IFERROR(__xludf.DUMMYFUNCTION("""COMPUTED_VALUE"""),43942)</f>
        <v>43942</v>
      </c>
      <c r="E253" s="5" t="str">
        <f ca="1">IFERROR(__xludf.DUMMYFUNCTION("""COMPUTED_VALUE"""),"Nu")</f>
        <v>Nu</v>
      </c>
      <c r="F253" s="5"/>
      <c r="G253" s="5"/>
      <c r="H253" s="6"/>
      <c r="I253" s="5"/>
      <c r="J253" s="5"/>
      <c r="K253" s="7" t="str">
        <f ca="1">IFERROR(__xludf.DUMMYFUNCTION("""COMPUTED_VALUE"""),"https://stirioficiale.ro/informatii/buletin-de-presa-21-aprilie-2020-ora-13-31")</f>
        <v>https://stirioficiale.ro/informatii/buletin-de-presa-21-aprilie-2020-ora-13-31</v>
      </c>
      <c r="L253" s="5"/>
      <c r="M253" s="5"/>
      <c r="N253" s="5"/>
      <c r="O253" s="5"/>
      <c r="P253" s="5"/>
      <c r="Q253" s="5"/>
      <c r="R253" s="5" t="str">
        <f ca="1">IFERROR(__xludf.DUMMYFUNCTION("""COMPUTED_VALUE"""),"România")</f>
        <v>România</v>
      </c>
      <c r="S253" s="5" t="str">
        <f ca="1">IFERROR(__xludf.DUMMYFUNCTION("""COMPUTED_VALUE"""),"Octavian")</f>
        <v>Octavian</v>
      </c>
      <c r="T253" s="7" t="str">
        <f ca="1">IFERROR(__xludf.DUMMYFUNCTION("""COMPUTED_VALUE"""),"http://www.ms.ro/2020/04/21/buletin-informativ-21-04-2020/")</f>
        <v>http://www.ms.ro/2020/04/21/buletin-informativ-21-04-2020/</v>
      </c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12.5">
      <c r="A254" s="5">
        <f ca="1">IFERROR(__xludf.DUMMYFUNCTION("""COMPUTED_VALUE"""),8970)</f>
        <v>8970</v>
      </c>
      <c r="B254" s="5"/>
      <c r="C254" s="5" t="str">
        <f ca="1">IFERROR(__xludf.DUMMYFUNCTION("""COMPUTED_VALUE"""),"Bihor")</f>
        <v>Bihor</v>
      </c>
      <c r="D254" s="13">
        <f ca="1">IFERROR(__xludf.DUMMYFUNCTION("""COMPUTED_VALUE"""),43942)</f>
        <v>43942</v>
      </c>
      <c r="E254" s="5" t="str">
        <f ca="1">IFERROR(__xludf.DUMMYFUNCTION("""COMPUTED_VALUE"""),"Nu")</f>
        <v>Nu</v>
      </c>
      <c r="F254" s="5"/>
      <c r="G254" s="5"/>
      <c r="H254" s="6"/>
      <c r="I254" s="5"/>
      <c r="J254" s="5"/>
      <c r="K254" s="7" t="str">
        <f ca="1">IFERROR(__xludf.DUMMYFUNCTION("""COMPUTED_VALUE"""),"https://stirioficiale.ro/informatii/buletin-de-presa-21-aprilie-2020-ora-13-32")</f>
        <v>https://stirioficiale.ro/informatii/buletin-de-presa-21-aprilie-2020-ora-13-32</v>
      </c>
      <c r="L254" s="5"/>
      <c r="M254" s="5"/>
      <c r="N254" s="5"/>
      <c r="O254" s="5"/>
      <c r="P254" s="5"/>
      <c r="Q254" s="5"/>
      <c r="R254" s="5" t="str">
        <f ca="1">IFERROR(__xludf.DUMMYFUNCTION("""COMPUTED_VALUE"""),"România")</f>
        <v>România</v>
      </c>
      <c r="S254" s="5" t="str">
        <f ca="1">IFERROR(__xludf.DUMMYFUNCTION("""COMPUTED_VALUE"""),"Octavian")</f>
        <v>Octavian</v>
      </c>
      <c r="T254" s="7" t="str">
        <f ca="1">IFERROR(__xludf.DUMMYFUNCTION("""COMPUTED_VALUE"""),"http://www.ms.ro/2020/04/21/buletin-informativ-21-04-2020/")</f>
        <v>http://www.ms.ro/2020/04/21/buletin-informativ-21-04-2020/</v>
      </c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2.5">
      <c r="A255" s="5">
        <f ca="1">IFERROR(__xludf.DUMMYFUNCTION("""COMPUTED_VALUE"""),8971)</f>
        <v>8971</v>
      </c>
      <c r="B255" s="5"/>
      <c r="C255" s="5" t="str">
        <f ca="1">IFERROR(__xludf.DUMMYFUNCTION("""COMPUTED_VALUE"""),"Bihor")</f>
        <v>Bihor</v>
      </c>
      <c r="D255" s="13">
        <f ca="1">IFERROR(__xludf.DUMMYFUNCTION("""COMPUTED_VALUE"""),43942)</f>
        <v>43942</v>
      </c>
      <c r="E255" s="5" t="str">
        <f ca="1">IFERROR(__xludf.DUMMYFUNCTION("""COMPUTED_VALUE"""),"Nu")</f>
        <v>Nu</v>
      </c>
      <c r="F255" s="5"/>
      <c r="G255" s="5"/>
      <c r="H255" s="6"/>
      <c r="I255" s="5"/>
      <c r="J255" s="5"/>
      <c r="K255" s="7" t="str">
        <f ca="1">IFERROR(__xludf.DUMMYFUNCTION("""COMPUTED_VALUE"""),"https://stirioficiale.ro/informatii/buletin-de-presa-21-aprilie-2020-ora-13-33")</f>
        <v>https://stirioficiale.ro/informatii/buletin-de-presa-21-aprilie-2020-ora-13-33</v>
      </c>
      <c r="L255" s="5"/>
      <c r="M255" s="5"/>
      <c r="N255" s="5"/>
      <c r="O255" s="5"/>
      <c r="P255" s="5"/>
      <c r="Q255" s="5"/>
      <c r="R255" s="5" t="str">
        <f ca="1">IFERROR(__xludf.DUMMYFUNCTION("""COMPUTED_VALUE"""),"România")</f>
        <v>România</v>
      </c>
      <c r="S255" s="5" t="str">
        <f ca="1">IFERROR(__xludf.DUMMYFUNCTION("""COMPUTED_VALUE"""),"Octavian")</f>
        <v>Octavian</v>
      </c>
      <c r="T255" s="7" t="str">
        <f ca="1">IFERROR(__xludf.DUMMYFUNCTION("""COMPUTED_VALUE"""),"http://www.ms.ro/2020/04/21/buletin-informativ-21-04-2020/")</f>
        <v>http://www.ms.ro/2020/04/21/buletin-informativ-21-04-2020/</v>
      </c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12.5">
      <c r="A256" s="5">
        <f ca="1">IFERROR(__xludf.DUMMYFUNCTION("""COMPUTED_VALUE"""),8972)</f>
        <v>8972</v>
      </c>
      <c r="B256" s="5"/>
      <c r="C256" s="5" t="str">
        <f ca="1">IFERROR(__xludf.DUMMYFUNCTION("""COMPUTED_VALUE"""),"Bihor")</f>
        <v>Bihor</v>
      </c>
      <c r="D256" s="13">
        <f ca="1">IFERROR(__xludf.DUMMYFUNCTION("""COMPUTED_VALUE"""),43942)</f>
        <v>43942</v>
      </c>
      <c r="E256" s="5" t="str">
        <f ca="1">IFERROR(__xludf.DUMMYFUNCTION("""COMPUTED_VALUE"""),"Nu")</f>
        <v>Nu</v>
      </c>
      <c r="F256" s="5"/>
      <c r="G256" s="5"/>
      <c r="H256" s="6"/>
      <c r="I256" s="5"/>
      <c r="J256" s="5"/>
      <c r="K256" s="7" t="str">
        <f ca="1">IFERROR(__xludf.DUMMYFUNCTION("""COMPUTED_VALUE"""),"https://stirioficiale.ro/informatii/buletin-de-presa-21-aprilie-2020-ora-13-34")</f>
        <v>https://stirioficiale.ro/informatii/buletin-de-presa-21-aprilie-2020-ora-13-34</v>
      </c>
      <c r="L256" s="5"/>
      <c r="M256" s="5"/>
      <c r="N256" s="5"/>
      <c r="O256" s="5"/>
      <c r="P256" s="5"/>
      <c r="Q256" s="5"/>
      <c r="R256" s="5" t="str">
        <f ca="1">IFERROR(__xludf.DUMMYFUNCTION("""COMPUTED_VALUE"""),"România")</f>
        <v>România</v>
      </c>
      <c r="S256" s="5" t="str">
        <f ca="1">IFERROR(__xludf.DUMMYFUNCTION("""COMPUTED_VALUE"""),"Octavian")</f>
        <v>Octavian</v>
      </c>
      <c r="T256" s="7" t="str">
        <f ca="1">IFERROR(__xludf.DUMMYFUNCTION("""COMPUTED_VALUE"""),"http://www.ms.ro/2020/04/21/buletin-informativ-21-04-2020/")</f>
        <v>http://www.ms.ro/2020/04/21/buletin-informativ-21-04-2020/</v>
      </c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2.5">
      <c r="A257" s="5">
        <f ca="1">IFERROR(__xludf.DUMMYFUNCTION("""COMPUTED_VALUE"""),8973)</f>
        <v>8973</v>
      </c>
      <c r="B257" s="5"/>
      <c r="C257" s="5" t="str">
        <f ca="1">IFERROR(__xludf.DUMMYFUNCTION("""COMPUTED_VALUE"""),"Bihor")</f>
        <v>Bihor</v>
      </c>
      <c r="D257" s="13">
        <f ca="1">IFERROR(__xludf.DUMMYFUNCTION("""COMPUTED_VALUE"""),43942)</f>
        <v>43942</v>
      </c>
      <c r="E257" s="5" t="str">
        <f ca="1">IFERROR(__xludf.DUMMYFUNCTION("""COMPUTED_VALUE"""),"Nu")</f>
        <v>Nu</v>
      </c>
      <c r="F257" s="5"/>
      <c r="G257" s="5"/>
      <c r="H257" s="6"/>
      <c r="I257" s="5"/>
      <c r="J257" s="5"/>
      <c r="K257" s="7" t="str">
        <f ca="1">IFERROR(__xludf.DUMMYFUNCTION("""COMPUTED_VALUE"""),"https://stirioficiale.ro/informatii/buletin-de-presa-21-aprilie-2020-ora-13-35")</f>
        <v>https://stirioficiale.ro/informatii/buletin-de-presa-21-aprilie-2020-ora-13-35</v>
      </c>
      <c r="L257" s="5"/>
      <c r="M257" s="5"/>
      <c r="N257" s="5"/>
      <c r="O257" s="5"/>
      <c r="P257" s="5"/>
      <c r="Q257" s="5"/>
      <c r="R257" s="5" t="str">
        <f ca="1">IFERROR(__xludf.DUMMYFUNCTION("""COMPUTED_VALUE"""),"România")</f>
        <v>România</v>
      </c>
      <c r="S257" s="5" t="str">
        <f ca="1">IFERROR(__xludf.DUMMYFUNCTION("""COMPUTED_VALUE"""),"Octavian")</f>
        <v>Octavian</v>
      </c>
      <c r="T257" s="7" t="str">
        <f ca="1">IFERROR(__xludf.DUMMYFUNCTION("""COMPUTED_VALUE"""),"http://www.ms.ro/2020/04/21/buletin-informativ-21-04-2020/")</f>
        <v>http://www.ms.ro/2020/04/21/buletin-informativ-21-04-2020/</v>
      </c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12.5">
      <c r="A258" s="5">
        <f ca="1">IFERROR(__xludf.DUMMYFUNCTION("""COMPUTED_VALUE"""),8974)</f>
        <v>8974</v>
      </c>
      <c r="B258" s="5"/>
      <c r="C258" s="5" t="str">
        <f ca="1">IFERROR(__xludf.DUMMYFUNCTION("""COMPUTED_VALUE"""),"Bihor")</f>
        <v>Bihor</v>
      </c>
      <c r="D258" s="13">
        <f ca="1">IFERROR(__xludf.DUMMYFUNCTION("""COMPUTED_VALUE"""),43942)</f>
        <v>43942</v>
      </c>
      <c r="E258" s="5" t="str">
        <f ca="1">IFERROR(__xludf.DUMMYFUNCTION("""COMPUTED_VALUE"""),"Nu")</f>
        <v>Nu</v>
      </c>
      <c r="F258" s="5"/>
      <c r="G258" s="5"/>
      <c r="H258" s="6"/>
      <c r="I258" s="5"/>
      <c r="J258" s="5"/>
      <c r="K258" s="7" t="str">
        <f ca="1">IFERROR(__xludf.DUMMYFUNCTION("""COMPUTED_VALUE"""),"https://stirioficiale.ro/informatii/buletin-de-presa-21-aprilie-2020-ora-13-36")</f>
        <v>https://stirioficiale.ro/informatii/buletin-de-presa-21-aprilie-2020-ora-13-36</v>
      </c>
      <c r="L258" s="5"/>
      <c r="M258" s="5"/>
      <c r="N258" s="5"/>
      <c r="O258" s="5"/>
      <c r="P258" s="5"/>
      <c r="Q258" s="5"/>
      <c r="R258" s="5" t="str">
        <f ca="1">IFERROR(__xludf.DUMMYFUNCTION("""COMPUTED_VALUE"""),"România")</f>
        <v>România</v>
      </c>
      <c r="S258" s="5" t="str">
        <f ca="1">IFERROR(__xludf.DUMMYFUNCTION("""COMPUTED_VALUE"""),"Octavian")</f>
        <v>Octavian</v>
      </c>
      <c r="T258" s="7" t="str">
        <f ca="1">IFERROR(__xludf.DUMMYFUNCTION("""COMPUTED_VALUE"""),"http://www.ms.ro/2020/04/21/buletin-informativ-21-04-2020/")</f>
        <v>http://www.ms.ro/2020/04/21/buletin-informativ-21-04-2020/</v>
      </c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2.5">
      <c r="A259" s="5">
        <f ca="1">IFERROR(__xludf.DUMMYFUNCTION("""COMPUTED_VALUE"""),8975)</f>
        <v>8975</v>
      </c>
      <c r="B259" s="5"/>
      <c r="C259" s="5" t="str">
        <f ca="1">IFERROR(__xludf.DUMMYFUNCTION("""COMPUTED_VALUE"""),"Bihor")</f>
        <v>Bihor</v>
      </c>
      <c r="D259" s="13">
        <f ca="1">IFERROR(__xludf.DUMMYFUNCTION("""COMPUTED_VALUE"""),43942)</f>
        <v>43942</v>
      </c>
      <c r="E259" s="5" t="str">
        <f ca="1">IFERROR(__xludf.DUMMYFUNCTION("""COMPUTED_VALUE"""),"Nu")</f>
        <v>Nu</v>
      </c>
      <c r="F259" s="5"/>
      <c r="G259" s="5"/>
      <c r="H259" s="6"/>
      <c r="I259" s="5"/>
      <c r="J259" s="5"/>
      <c r="K259" s="7" t="str">
        <f ca="1">IFERROR(__xludf.DUMMYFUNCTION("""COMPUTED_VALUE"""),"https://stirioficiale.ro/informatii/buletin-de-presa-21-aprilie-2020-ora-13-37")</f>
        <v>https://stirioficiale.ro/informatii/buletin-de-presa-21-aprilie-2020-ora-13-37</v>
      </c>
      <c r="L259" s="5"/>
      <c r="M259" s="5"/>
      <c r="N259" s="5"/>
      <c r="O259" s="5"/>
      <c r="P259" s="5"/>
      <c r="Q259" s="5"/>
      <c r="R259" s="5" t="str">
        <f ca="1">IFERROR(__xludf.DUMMYFUNCTION("""COMPUTED_VALUE"""),"România")</f>
        <v>România</v>
      </c>
      <c r="S259" s="5" t="str">
        <f ca="1">IFERROR(__xludf.DUMMYFUNCTION("""COMPUTED_VALUE"""),"Octavian")</f>
        <v>Octavian</v>
      </c>
      <c r="T259" s="7" t="str">
        <f ca="1">IFERROR(__xludf.DUMMYFUNCTION("""COMPUTED_VALUE"""),"http://www.ms.ro/2020/04/21/buletin-informativ-21-04-2020/")</f>
        <v>http://www.ms.ro/2020/04/21/buletin-informativ-21-04-2020/</v>
      </c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12.5">
      <c r="A260" s="5">
        <f ca="1">IFERROR(__xludf.DUMMYFUNCTION("""COMPUTED_VALUE"""),8976)</f>
        <v>8976</v>
      </c>
      <c r="B260" s="5"/>
      <c r="C260" s="5" t="str">
        <f ca="1">IFERROR(__xludf.DUMMYFUNCTION("""COMPUTED_VALUE"""),"Bihor")</f>
        <v>Bihor</v>
      </c>
      <c r="D260" s="13">
        <f ca="1">IFERROR(__xludf.DUMMYFUNCTION("""COMPUTED_VALUE"""),43942)</f>
        <v>43942</v>
      </c>
      <c r="E260" s="5" t="str">
        <f ca="1">IFERROR(__xludf.DUMMYFUNCTION("""COMPUTED_VALUE"""),"Nu")</f>
        <v>Nu</v>
      </c>
      <c r="F260" s="5"/>
      <c r="G260" s="5"/>
      <c r="H260" s="6"/>
      <c r="I260" s="5"/>
      <c r="J260" s="5"/>
      <c r="K260" s="7" t="str">
        <f ca="1">IFERROR(__xludf.DUMMYFUNCTION("""COMPUTED_VALUE"""),"https://stirioficiale.ro/informatii/buletin-de-presa-21-aprilie-2020-ora-13-38")</f>
        <v>https://stirioficiale.ro/informatii/buletin-de-presa-21-aprilie-2020-ora-13-38</v>
      </c>
      <c r="L260" s="5"/>
      <c r="M260" s="5"/>
      <c r="N260" s="5"/>
      <c r="O260" s="5"/>
      <c r="P260" s="5"/>
      <c r="Q260" s="5"/>
      <c r="R260" s="5" t="str">
        <f ca="1">IFERROR(__xludf.DUMMYFUNCTION("""COMPUTED_VALUE"""),"România")</f>
        <v>România</v>
      </c>
      <c r="S260" s="5" t="str">
        <f ca="1">IFERROR(__xludf.DUMMYFUNCTION("""COMPUTED_VALUE"""),"Octavian")</f>
        <v>Octavian</v>
      </c>
      <c r="T260" s="7" t="str">
        <f ca="1">IFERROR(__xludf.DUMMYFUNCTION("""COMPUTED_VALUE"""),"http://www.ms.ro/2020/04/21/buletin-informativ-21-04-2020/")</f>
        <v>http://www.ms.ro/2020/04/21/buletin-informativ-21-04-2020/</v>
      </c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2.5">
      <c r="A261" s="5">
        <f ca="1">IFERROR(__xludf.DUMMYFUNCTION("""COMPUTED_VALUE"""),8977)</f>
        <v>8977</v>
      </c>
      <c r="B261" s="5"/>
      <c r="C261" s="5" t="str">
        <f ca="1">IFERROR(__xludf.DUMMYFUNCTION("""COMPUTED_VALUE"""),"Bihor")</f>
        <v>Bihor</v>
      </c>
      <c r="D261" s="13">
        <f ca="1">IFERROR(__xludf.DUMMYFUNCTION("""COMPUTED_VALUE"""),43942)</f>
        <v>43942</v>
      </c>
      <c r="E261" s="5" t="str">
        <f ca="1">IFERROR(__xludf.DUMMYFUNCTION("""COMPUTED_VALUE"""),"Nu")</f>
        <v>Nu</v>
      </c>
      <c r="F261" s="5"/>
      <c r="G261" s="5"/>
      <c r="H261" s="6"/>
      <c r="I261" s="5"/>
      <c r="J261" s="5"/>
      <c r="K261" s="7" t="str">
        <f ca="1">IFERROR(__xludf.DUMMYFUNCTION("""COMPUTED_VALUE"""),"https://stirioficiale.ro/informatii/buletin-de-presa-21-aprilie-2020-ora-13-39")</f>
        <v>https://stirioficiale.ro/informatii/buletin-de-presa-21-aprilie-2020-ora-13-39</v>
      </c>
      <c r="L261" s="5"/>
      <c r="M261" s="5"/>
      <c r="N261" s="5"/>
      <c r="O261" s="5"/>
      <c r="P261" s="5"/>
      <c r="Q261" s="5"/>
      <c r="R261" s="5" t="str">
        <f ca="1">IFERROR(__xludf.DUMMYFUNCTION("""COMPUTED_VALUE"""),"România")</f>
        <v>România</v>
      </c>
      <c r="S261" s="5" t="str">
        <f ca="1">IFERROR(__xludf.DUMMYFUNCTION("""COMPUTED_VALUE"""),"Octavian")</f>
        <v>Octavian</v>
      </c>
      <c r="T261" s="7" t="str">
        <f ca="1">IFERROR(__xludf.DUMMYFUNCTION("""COMPUTED_VALUE"""),"http://www.ms.ro/2020/04/21/buletin-informativ-21-04-2020/")</f>
        <v>http://www.ms.ro/2020/04/21/buletin-informativ-21-04-2020/</v>
      </c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t="12.5">
      <c r="A262" s="5">
        <f ca="1">IFERROR(__xludf.DUMMYFUNCTION("""COMPUTED_VALUE"""),8978)</f>
        <v>8978</v>
      </c>
      <c r="B262" s="5"/>
      <c r="C262" s="5" t="str">
        <f ca="1">IFERROR(__xludf.DUMMYFUNCTION("""COMPUTED_VALUE"""),"Bihor")</f>
        <v>Bihor</v>
      </c>
      <c r="D262" s="13">
        <f ca="1">IFERROR(__xludf.DUMMYFUNCTION("""COMPUTED_VALUE"""),43942)</f>
        <v>43942</v>
      </c>
      <c r="E262" s="5" t="str">
        <f ca="1">IFERROR(__xludf.DUMMYFUNCTION("""COMPUTED_VALUE"""),"Nu")</f>
        <v>Nu</v>
      </c>
      <c r="F262" s="5"/>
      <c r="G262" s="5"/>
      <c r="H262" s="6"/>
      <c r="I262" s="5"/>
      <c r="J262" s="5"/>
      <c r="K262" s="7" t="str">
        <f ca="1">IFERROR(__xludf.DUMMYFUNCTION("""COMPUTED_VALUE"""),"https://stirioficiale.ro/informatii/buletin-de-presa-21-aprilie-2020-ora-13-40")</f>
        <v>https://stirioficiale.ro/informatii/buletin-de-presa-21-aprilie-2020-ora-13-40</v>
      </c>
      <c r="L262" s="5"/>
      <c r="M262" s="5"/>
      <c r="N262" s="5"/>
      <c r="O262" s="5"/>
      <c r="P262" s="5"/>
      <c r="Q262" s="5"/>
      <c r="R262" s="5" t="str">
        <f ca="1">IFERROR(__xludf.DUMMYFUNCTION("""COMPUTED_VALUE"""),"România")</f>
        <v>România</v>
      </c>
      <c r="S262" s="5" t="str">
        <f ca="1">IFERROR(__xludf.DUMMYFUNCTION("""COMPUTED_VALUE"""),"Octavian")</f>
        <v>Octavian</v>
      </c>
      <c r="T262" s="7" t="str">
        <f ca="1">IFERROR(__xludf.DUMMYFUNCTION("""COMPUTED_VALUE"""),"http://www.ms.ro/2020/04/21/buletin-informativ-21-04-2020/")</f>
        <v>http://www.ms.ro/2020/04/21/buletin-informativ-21-04-2020/</v>
      </c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2.5">
      <c r="A263" s="5">
        <f ca="1">IFERROR(__xludf.DUMMYFUNCTION("""COMPUTED_VALUE"""),8979)</f>
        <v>8979</v>
      </c>
      <c r="B263" s="5"/>
      <c r="C263" s="5" t="str">
        <f ca="1">IFERROR(__xludf.DUMMYFUNCTION("""COMPUTED_VALUE"""),"Bihor")</f>
        <v>Bihor</v>
      </c>
      <c r="D263" s="13">
        <f ca="1">IFERROR(__xludf.DUMMYFUNCTION("""COMPUTED_VALUE"""),43942)</f>
        <v>43942</v>
      </c>
      <c r="E263" s="5" t="str">
        <f ca="1">IFERROR(__xludf.DUMMYFUNCTION("""COMPUTED_VALUE"""),"Nu")</f>
        <v>Nu</v>
      </c>
      <c r="F263" s="5"/>
      <c r="G263" s="5"/>
      <c r="H263" s="6"/>
      <c r="I263" s="5"/>
      <c r="J263" s="5"/>
      <c r="K263" s="7" t="str">
        <f ca="1">IFERROR(__xludf.DUMMYFUNCTION("""COMPUTED_VALUE"""),"https://stirioficiale.ro/informatii/buletin-de-presa-21-aprilie-2020-ora-13-41")</f>
        <v>https://stirioficiale.ro/informatii/buletin-de-presa-21-aprilie-2020-ora-13-41</v>
      </c>
      <c r="L263" s="5"/>
      <c r="M263" s="5"/>
      <c r="N263" s="5"/>
      <c r="O263" s="5"/>
      <c r="P263" s="5"/>
      <c r="Q263" s="5"/>
      <c r="R263" s="5" t="str">
        <f ca="1">IFERROR(__xludf.DUMMYFUNCTION("""COMPUTED_VALUE"""),"România")</f>
        <v>România</v>
      </c>
      <c r="S263" s="5" t="str">
        <f ca="1">IFERROR(__xludf.DUMMYFUNCTION("""COMPUTED_VALUE"""),"Octavian")</f>
        <v>Octavian</v>
      </c>
      <c r="T263" s="7" t="str">
        <f ca="1">IFERROR(__xludf.DUMMYFUNCTION("""COMPUTED_VALUE"""),"http://www.ms.ro/2020/04/21/buletin-informativ-21-04-2020/")</f>
        <v>http://www.ms.ro/2020/04/21/buletin-informativ-21-04-2020/</v>
      </c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ht="12.5">
      <c r="A264" s="5">
        <f ca="1">IFERROR(__xludf.DUMMYFUNCTION("""COMPUTED_VALUE"""),8980)</f>
        <v>8980</v>
      </c>
      <c r="B264" s="5"/>
      <c r="C264" s="5" t="str">
        <f ca="1">IFERROR(__xludf.DUMMYFUNCTION("""COMPUTED_VALUE"""),"Bihor")</f>
        <v>Bihor</v>
      </c>
      <c r="D264" s="13">
        <f ca="1">IFERROR(__xludf.DUMMYFUNCTION("""COMPUTED_VALUE"""),43942)</f>
        <v>43942</v>
      </c>
      <c r="E264" s="5" t="str">
        <f ca="1">IFERROR(__xludf.DUMMYFUNCTION("""COMPUTED_VALUE"""),"Nu")</f>
        <v>Nu</v>
      </c>
      <c r="F264" s="5"/>
      <c r="G264" s="5"/>
      <c r="H264" s="6"/>
      <c r="I264" s="5"/>
      <c r="J264" s="5"/>
      <c r="K264" s="7" t="str">
        <f ca="1">IFERROR(__xludf.DUMMYFUNCTION("""COMPUTED_VALUE"""),"https://stirioficiale.ro/informatii/buletin-de-presa-21-aprilie-2020-ora-13-42")</f>
        <v>https://stirioficiale.ro/informatii/buletin-de-presa-21-aprilie-2020-ora-13-42</v>
      </c>
      <c r="L264" s="5"/>
      <c r="M264" s="5"/>
      <c r="N264" s="5"/>
      <c r="O264" s="5"/>
      <c r="P264" s="5"/>
      <c r="Q264" s="5"/>
      <c r="R264" s="5" t="str">
        <f ca="1">IFERROR(__xludf.DUMMYFUNCTION("""COMPUTED_VALUE"""),"România")</f>
        <v>România</v>
      </c>
      <c r="S264" s="5" t="str">
        <f ca="1">IFERROR(__xludf.DUMMYFUNCTION("""COMPUTED_VALUE"""),"Octavian")</f>
        <v>Octavian</v>
      </c>
      <c r="T264" s="7" t="str">
        <f ca="1">IFERROR(__xludf.DUMMYFUNCTION("""COMPUTED_VALUE"""),"http://www.ms.ro/2020/04/21/buletin-informativ-21-04-2020/")</f>
        <v>http://www.ms.ro/2020/04/21/buletin-informativ-21-04-2020/</v>
      </c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2.5">
      <c r="A265" s="5">
        <f ca="1">IFERROR(__xludf.DUMMYFUNCTION("""COMPUTED_VALUE"""),8981)</f>
        <v>8981</v>
      </c>
      <c r="B265" s="5"/>
      <c r="C265" s="5" t="str">
        <f ca="1">IFERROR(__xludf.DUMMYFUNCTION("""COMPUTED_VALUE"""),"Bihor")</f>
        <v>Bihor</v>
      </c>
      <c r="D265" s="13">
        <f ca="1">IFERROR(__xludf.DUMMYFUNCTION("""COMPUTED_VALUE"""),43942)</f>
        <v>43942</v>
      </c>
      <c r="E265" s="5" t="str">
        <f ca="1">IFERROR(__xludf.DUMMYFUNCTION("""COMPUTED_VALUE"""),"Nu")</f>
        <v>Nu</v>
      </c>
      <c r="F265" s="5"/>
      <c r="G265" s="5"/>
      <c r="H265" s="6"/>
      <c r="I265" s="5"/>
      <c r="J265" s="5"/>
      <c r="K265" s="7" t="str">
        <f ca="1">IFERROR(__xludf.DUMMYFUNCTION("""COMPUTED_VALUE"""),"https://stirioficiale.ro/informatii/buletin-de-presa-21-aprilie-2020-ora-13-43")</f>
        <v>https://stirioficiale.ro/informatii/buletin-de-presa-21-aprilie-2020-ora-13-43</v>
      </c>
      <c r="L265" s="5"/>
      <c r="M265" s="5"/>
      <c r="N265" s="5"/>
      <c r="O265" s="5"/>
      <c r="P265" s="5"/>
      <c r="Q265" s="5"/>
      <c r="R265" s="5" t="str">
        <f ca="1">IFERROR(__xludf.DUMMYFUNCTION("""COMPUTED_VALUE"""),"România")</f>
        <v>România</v>
      </c>
      <c r="S265" s="5" t="str">
        <f ca="1">IFERROR(__xludf.DUMMYFUNCTION("""COMPUTED_VALUE"""),"Octavian")</f>
        <v>Octavian</v>
      </c>
      <c r="T265" s="7" t="str">
        <f ca="1">IFERROR(__xludf.DUMMYFUNCTION("""COMPUTED_VALUE"""),"http://www.ms.ro/2020/04/21/buletin-informativ-21-04-2020/")</f>
        <v>http://www.ms.ro/2020/04/21/buletin-informativ-21-04-2020/</v>
      </c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t="12.5">
      <c r="A266" s="5">
        <f ca="1">IFERROR(__xludf.DUMMYFUNCTION("""COMPUTED_VALUE"""),8982)</f>
        <v>8982</v>
      </c>
      <c r="B266" s="5"/>
      <c r="C266" s="5" t="str">
        <f ca="1">IFERROR(__xludf.DUMMYFUNCTION("""COMPUTED_VALUE"""),"Bihor")</f>
        <v>Bihor</v>
      </c>
      <c r="D266" s="13">
        <f ca="1">IFERROR(__xludf.DUMMYFUNCTION("""COMPUTED_VALUE"""),43942)</f>
        <v>43942</v>
      </c>
      <c r="E266" s="5" t="str">
        <f ca="1">IFERROR(__xludf.DUMMYFUNCTION("""COMPUTED_VALUE"""),"Nu")</f>
        <v>Nu</v>
      </c>
      <c r="F266" s="5"/>
      <c r="G266" s="5"/>
      <c r="H266" s="6"/>
      <c r="I266" s="5"/>
      <c r="J266" s="5"/>
      <c r="K266" s="7" t="str">
        <f ca="1">IFERROR(__xludf.DUMMYFUNCTION("""COMPUTED_VALUE"""),"https://stirioficiale.ro/informatii/buletin-de-presa-21-aprilie-2020-ora-13-44")</f>
        <v>https://stirioficiale.ro/informatii/buletin-de-presa-21-aprilie-2020-ora-13-44</v>
      </c>
      <c r="L266" s="5"/>
      <c r="M266" s="5"/>
      <c r="N266" s="5"/>
      <c r="O266" s="5"/>
      <c r="P266" s="5"/>
      <c r="Q266" s="5"/>
      <c r="R266" s="5" t="str">
        <f ca="1">IFERROR(__xludf.DUMMYFUNCTION("""COMPUTED_VALUE"""),"România")</f>
        <v>România</v>
      </c>
      <c r="S266" s="5" t="str">
        <f ca="1">IFERROR(__xludf.DUMMYFUNCTION("""COMPUTED_VALUE"""),"Octavian")</f>
        <v>Octavian</v>
      </c>
      <c r="T266" s="7" t="str">
        <f ca="1">IFERROR(__xludf.DUMMYFUNCTION("""COMPUTED_VALUE"""),"http://www.ms.ro/2020/04/21/buletin-informativ-21-04-2020/")</f>
        <v>http://www.ms.ro/2020/04/21/buletin-informativ-21-04-2020/</v>
      </c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2.5">
      <c r="A267" s="5">
        <f ca="1">IFERROR(__xludf.DUMMYFUNCTION("""COMPUTED_VALUE"""),8983)</f>
        <v>8983</v>
      </c>
      <c r="B267" s="5"/>
      <c r="C267" s="5" t="str">
        <f ca="1">IFERROR(__xludf.DUMMYFUNCTION("""COMPUTED_VALUE"""),"Bihor")</f>
        <v>Bihor</v>
      </c>
      <c r="D267" s="13">
        <f ca="1">IFERROR(__xludf.DUMMYFUNCTION("""COMPUTED_VALUE"""),43942)</f>
        <v>43942</v>
      </c>
      <c r="E267" s="5" t="str">
        <f ca="1">IFERROR(__xludf.DUMMYFUNCTION("""COMPUTED_VALUE"""),"Nu")</f>
        <v>Nu</v>
      </c>
      <c r="F267" s="5"/>
      <c r="G267" s="5"/>
      <c r="H267" s="6"/>
      <c r="I267" s="5"/>
      <c r="J267" s="5"/>
      <c r="K267" s="7" t="str">
        <f ca="1">IFERROR(__xludf.DUMMYFUNCTION("""COMPUTED_VALUE"""),"https://stirioficiale.ro/informatii/buletin-de-presa-21-aprilie-2020-ora-13-45")</f>
        <v>https://stirioficiale.ro/informatii/buletin-de-presa-21-aprilie-2020-ora-13-45</v>
      </c>
      <c r="L267" s="5"/>
      <c r="M267" s="5"/>
      <c r="N267" s="5"/>
      <c r="O267" s="5"/>
      <c r="P267" s="5"/>
      <c r="Q267" s="5"/>
      <c r="R267" s="5" t="str">
        <f ca="1">IFERROR(__xludf.DUMMYFUNCTION("""COMPUTED_VALUE"""),"România")</f>
        <v>România</v>
      </c>
      <c r="S267" s="5" t="str">
        <f ca="1">IFERROR(__xludf.DUMMYFUNCTION("""COMPUTED_VALUE"""),"Octavian")</f>
        <v>Octavian</v>
      </c>
      <c r="T267" s="7" t="str">
        <f ca="1">IFERROR(__xludf.DUMMYFUNCTION("""COMPUTED_VALUE"""),"http://www.ms.ro/2020/04/21/buletin-informativ-21-04-2020/")</f>
        <v>http://www.ms.ro/2020/04/21/buletin-informativ-21-04-2020/</v>
      </c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t="12.5">
      <c r="A268" s="5">
        <f ca="1">IFERROR(__xludf.DUMMYFUNCTION("""COMPUTED_VALUE"""),8984)</f>
        <v>8984</v>
      </c>
      <c r="B268" s="5"/>
      <c r="C268" s="5" t="str">
        <f ca="1">IFERROR(__xludf.DUMMYFUNCTION("""COMPUTED_VALUE"""),"Bihor")</f>
        <v>Bihor</v>
      </c>
      <c r="D268" s="13">
        <f ca="1">IFERROR(__xludf.DUMMYFUNCTION("""COMPUTED_VALUE"""),43942)</f>
        <v>43942</v>
      </c>
      <c r="E268" s="5" t="str">
        <f ca="1">IFERROR(__xludf.DUMMYFUNCTION("""COMPUTED_VALUE"""),"Nu")</f>
        <v>Nu</v>
      </c>
      <c r="F268" s="5"/>
      <c r="G268" s="5"/>
      <c r="H268" s="6"/>
      <c r="I268" s="5"/>
      <c r="J268" s="5"/>
      <c r="K268" s="7" t="str">
        <f ca="1">IFERROR(__xludf.DUMMYFUNCTION("""COMPUTED_VALUE"""),"https://stirioficiale.ro/informatii/buletin-de-presa-21-aprilie-2020-ora-13-46")</f>
        <v>https://stirioficiale.ro/informatii/buletin-de-presa-21-aprilie-2020-ora-13-46</v>
      </c>
      <c r="L268" s="5"/>
      <c r="M268" s="5"/>
      <c r="N268" s="5"/>
      <c r="O268" s="5"/>
      <c r="P268" s="5"/>
      <c r="Q268" s="5"/>
      <c r="R268" s="5" t="str">
        <f ca="1">IFERROR(__xludf.DUMMYFUNCTION("""COMPUTED_VALUE"""),"România")</f>
        <v>România</v>
      </c>
      <c r="S268" s="5" t="str">
        <f ca="1">IFERROR(__xludf.DUMMYFUNCTION("""COMPUTED_VALUE"""),"Octavian")</f>
        <v>Octavian</v>
      </c>
      <c r="T268" s="7" t="str">
        <f ca="1">IFERROR(__xludf.DUMMYFUNCTION("""COMPUTED_VALUE"""),"http://www.ms.ro/2020/04/21/buletin-informativ-21-04-2020/")</f>
        <v>http://www.ms.ro/2020/04/21/buletin-informativ-21-04-2020/</v>
      </c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2.5">
      <c r="A269" s="5">
        <f ca="1">IFERROR(__xludf.DUMMYFUNCTION("""COMPUTED_VALUE"""),8985)</f>
        <v>8985</v>
      </c>
      <c r="B269" s="5"/>
      <c r="C269" s="5" t="str">
        <f ca="1">IFERROR(__xludf.DUMMYFUNCTION("""COMPUTED_VALUE"""),"Bihor")</f>
        <v>Bihor</v>
      </c>
      <c r="D269" s="13">
        <f ca="1">IFERROR(__xludf.DUMMYFUNCTION("""COMPUTED_VALUE"""),43942)</f>
        <v>43942</v>
      </c>
      <c r="E269" s="5" t="str">
        <f ca="1">IFERROR(__xludf.DUMMYFUNCTION("""COMPUTED_VALUE"""),"Nu")</f>
        <v>Nu</v>
      </c>
      <c r="F269" s="5"/>
      <c r="G269" s="5"/>
      <c r="H269" s="6"/>
      <c r="I269" s="5"/>
      <c r="J269" s="5"/>
      <c r="K269" s="7" t="str">
        <f ca="1">IFERROR(__xludf.DUMMYFUNCTION("""COMPUTED_VALUE"""),"https://stirioficiale.ro/informatii/buletin-de-presa-21-aprilie-2020-ora-13-47")</f>
        <v>https://stirioficiale.ro/informatii/buletin-de-presa-21-aprilie-2020-ora-13-47</v>
      </c>
      <c r="L269" s="5"/>
      <c r="M269" s="5"/>
      <c r="N269" s="5"/>
      <c r="O269" s="5"/>
      <c r="P269" s="5"/>
      <c r="Q269" s="5"/>
      <c r="R269" s="5" t="str">
        <f ca="1">IFERROR(__xludf.DUMMYFUNCTION("""COMPUTED_VALUE"""),"România")</f>
        <v>România</v>
      </c>
      <c r="S269" s="5" t="str">
        <f ca="1">IFERROR(__xludf.DUMMYFUNCTION("""COMPUTED_VALUE"""),"Octavian")</f>
        <v>Octavian</v>
      </c>
      <c r="T269" s="7" t="str">
        <f ca="1">IFERROR(__xludf.DUMMYFUNCTION("""COMPUTED_VALUE"""),"http://www.ms.ro/2020/04/21/buletin-informativ-21-04-2020/")</f>
        <v>http://www.ms.ro/2020/04/21/buletin-informativ-21-04-2020/</v>
      </c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12.5">
      <c r="A270" s="5">
        <f ca="1">IFERROR(__xludf.DUMMYFUNCTION("""COMPUTED_VALUE"""),8986)</f>
        <v>8986</v>
      </c>
      <c r="B270" s="5"/>
      <c r="C270" s="5" t="str">
        <f ca="1">IFERROR(__xludf.DUMMYFUNCTION("""COMPUTED_VALUE"""),"Bihor")</f>
        <v>Bihor</v>
      </c>
      <c r="D270" s="13">
        <f ca="1">IFERROR(__xludf.DUMMYFUNCTION("""COMPUTED_VALUE"""),43942)</f>
        <v>43942</v>
      </c>
      <c r="E270" s="5" t="str">
        <f ca="1">IFERROR(__xludf.DUMMYFUNCTION("""COMPUTED_VALUE"""),"Nu")</f>
        <v>Nu</v>
      </c>
      <c r="F270" s="5"/>
      <c r="G270" s="5"/>
      <c r="H270" s="6"/>
      <c r="I270" s="5"/>
      <c r="J270" s="5"/>
      <c r="K270" s="7" t="str">
        <f ca="1">IFERROR(__xludf.DUMMYFUNCTION("""COMPUTED_VALUE"""),"https://stirioficiale.ro/informatii/buletin-de-presa-21-aprilie-2020-ora-13-48")</f>
        <v>https://stirioficiale.ro/informatii/buletin-de-presa-21-aprilie-2020-ora-13-48</v>
      </c>
      <c r="L270" s="5"/>
      <c r="M270" s="5"/>
      <c r="N270" s="5"/>
      <c r="O270" s="5"/>
      <c r="P270" s="5"/>
      <c r="Q270" s="5"/>
      <c r="R270" s="5" t="str">
        <f ca="1">IFERROR(__xludf.DUMMYFUNCTION("""COMPUTED_VALUE"""),"România")</f>
        <v>România</v>
      </c>
      <c r="S270" s="5" t="str">
        <f ca="1">IFERROR(__xludf.DUMMYFUNCTION("""COMPUTED_VALUE"""),"Octavian")</f>
        <v>Octavian</v>
      </c>
      <c r="T270" s="7" t="str">
        <f ca="1">IFERROR(__xludf.DUMMYFUNCTION("""COMPUTED_VALUE"""),"http://www.ms.ro/2020/04/21/buletin-informativ-21-04-2020/")</f>
        <v>http://www.ms.ro/2020/04/21/buletin-informativ-21-04-2020/</v>
      </c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2.5">
      <c r="A271" s="5">
        <f ca="1">IFERROR(__xludf.DUMMYFUNCTION("""COMPUTED_VALUE"""),8987)</f>
        <v>8987</v>
      </c>
      <c r="B271" s="5"/>
      <c r="C271" s="5" t="str">
        <f ca="1">IFERROR(__xludf.DUMMYFUNCTION("""COMPUTED_VALUE"""),"Bihor")</f>
        <v>Bihor</v>
      </c>
      <c r="D271" s="13">
        <f ca="1">IFERROR(__xludf.DUMMYFUNCTION("""COMPUTED_VALUE"""),43942)</f>
        <v>43942</v>
      </c>
      <c r="E271" s="5" t="str">
        <f ca="1">IFERROR(__xludf.DUMMYFUNCTION("""COMPUTED_VALUE"""),"Nu")</f>
        <v>Nu</v>
      </c>
      <c r="F271" s="5"/>
      <c r="G271" s="5"/>
      <c r="H271" s="6"/>
      <c r="I271" s="5"/>
      <c r="J271" s="5"/>
      <c r="K271" s="7" t="str">
        <f ca="1">IFERROR(__xludf.DUMMYFUNCTION("""COMPUTED_VALUE"""),"https://stirioficiale.ro/informatii/buletin-de-presa-21-aprilie-2020-ora-13-49")</f>
        <v>https://stirioficiale.ro/informatii/buletin-de-presa-21-aprilie-2020-ora-13-49</v>
      </c>
      <c r="L271" s="5"/>
      <c r="M271" s="5"/>
      <c r="N271" s="5"/>
      <c r="O271" s="5"/>
      <c r="P271" s="5"/>
      <c r="Q271" s="5"/>
      <c r="R271" s="5" t="str">
        <f ca="1">IFERROR(__xludf.DUMMYFUNCTION("""COMPUTED_VALUE"""),"România")</f>
        <v>România</v>
      </c>
      <c r="S271" s="5" t="str">
        <f ca="1">IFERROR(__xludf.DUMMYFUNCTION("""COMPUTED_VALUE"""),"Octavian")</f>
        <v>Octavian</v>
      </c>
      <c r="T271" s="7" t="str">
        <f ca="1">IFERROR(__xludf.DUMMYFUNCTION("""COMPUTED_VALUE"""),"http://www.ms.ro/2020/04/21/buletin-informativ-21-04-2020/")</f>
        <v>http://www.ms.ro/2020/04/21/buletin-informativ-21-04-2020/</v>
      </c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ht="12.5">
      <c r="A272" s="5">
        <f ca="1">IFERROR(__xludf.DUMMYFUNCTION("""COMPUTED_VALUE"""),8988)</f>
        <v>8988</v>
      </c>
      <c r="B272" s="5"/>
      <c r="C272" s="5" t="str">
        <f ca="1">IFERROR(__xludf.DUMMYFUNCTION("""COMPUTED_VALUE"""),"Bihor")</f>
        <v>Bihor</v>
      </c>
      <c r="D272" s="13">
        <f ca="1">IFERROR(__xludf.DUMMYFUNCTION("""COMPUTED_VALUE"""),43942)</f>
        <v>43942</v>
      </c>
      <c r="E272" s="5" t="str">
        <f ca="1">IFERROR(__xludf.DUMMYFUNCTION("""COMPUTED_VALUE"""),"Nu")</f>
        <v>Nu</v>
      </c>
      <c r="F272" s="5"/>
      <c r="G272" s="5"/>
      <c r="H272" s="6"/>
      <c r="I272" s="5"/>
      <c r="J272" s="5"/>
      <c r="K272" s="7" t="str">
        <f ca="1">IFERROR(__xludf.DUMMYFUNCTION("""COMPUTED_VALUE"""),"https://stirioficiale.ro/informatii/buletin-de-presa-21-aprilie-2020-ora-13-50")</f>
        <v>https://stirioficiale.ro/informatii/buletin-de-presa-21-aprilie-2020-ora-13-50</v>
      </c>
      <c r="L272" s="5"/>
      <c r="M272" s="5"/>
      <c r="N272" s="5"/>
      <c r="O272" s="5"/>
      <c r="P272" s="5"/>
      <c r="Q272" s="5"/>
      <c r="R272" s="5" t="str">
        <f ca="1">IFERROR(__xludf.DUMMYFUNCTION("""COMPUTED_VALUE"""),"România")</f>
        <v>România</v>
      </c>
      <c r="S272" s="5" t="str">
        <f ca="1">IFERROR(__xludf.DUMMYFUNCTION("""COMPUTED_VALUE"""),"Octavian")</f>
        <v>Octavian</v>
      </c>
      <c r="T272" s="7" t="str">
        <f ca="1">IFERROR(__xludf.DUMMYFUNCTION("""COMPUTED_VALUE"""),"http://www.ms.ro/2020/04/21/buletin-informativ-21-04-2020/")</f>
        <v>http://www.ms.ro/2020/04/21/buletin-informativ-21-04-2020/</v>
      </c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2.5">
      <c r="A273" s="5">
        <f ca="1">IFERROR(__xludf.DUMMYFUNCTION("""COMPUTED_VALUE"""),8989)</f>
        <v>8989</v>
      </c>
      <c r="B273" s="5"/>
      <c r="C273" s="5" t="str">
        <f ca="1">IFERROR(__xludf.DUMMYFUNCTION("""COMPUTED_VALUE"""),"Bihor")</f>
        <v>Bihor</v>
      </c>
      <c r="D273" s="13">
        <f ca="1">IFERROR(__xludf.DUMMYFUNCTION("""COMPUTED_VALUE"""),43942)</f>
        <v>43942</v>
      </c>
      <c r="E273" s="5" t="str">
        <f ca="1">IFERROR(__xludf.DUMMYFUNCTION("""COMPUTED_VALUE"""),"Nu")</f>
        <v>Nu</v>
      </c>
      <c r="F273" s="5"/>
      <c r="G273" s="5"/>
      <c r="H273" s="6"/>
      <c r="I273" s="5"/>
      <c r="J273" s="5"/>
      <c r="K273" s="7" t="str">
        <f ca="1">IFERROR(__xludf.DUMMYFUNCTION("""COMPUTED_VALUE"""),"https://stirioficiale.ro/informatii/buletin-de-presa-21-aprilie-2020-ora-13-51")</f>
        <v>https://stirioficiale.ro/informatii/buletin-de-presa-21-aprilie-2020-ora-13-51</v>
      </c>
      <c r="L273" s="5"/>
      <c r="M273" s="5"/>
      <c r="N273" s="5"/>
      <c r="O273" s="5"/>
      <c r="P273" s="5"/>
      <c r="Q273" s="5"/>
      <c r="R273" s="5" t="str">
        <f ca="1">IFERROR(__xludf.DUMMYFUNCTION("""COMPUTED_VALUE"""),"România")</f>
        <v>România</v>
      </c>
      <c r="S273" s="5" t="str">
        <f ca="1">IFERROR(__xludf.DUMMYFUNCTION("""COMPUTED_VALUE"""),"Octavian")</f>
        <v>Octavian</v>
      </c>
      <c r="T273" s="7" t="str">
        <f ca="1">IFERROR(__xludf.DUMMYFUNCTION("""COMPUTED_VALUE"""),"http://www.ms.ro/2020/04/21/buletin-informativ-21-04-2020/")</f>
        <v>http://www.ms.ro/2020/04/21/buletin-informativ-21-04-2020/</v>
      </c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ht="12.5">
      <c r="A274" s="5">
        <f ca="1">IFERROR(__xludf.DUMMYFUNCTION("""COMPUTED_VALUE"""),8990)</f>
        <v>8990</v>
      </c>
      <c r="B274" s="5"/>
      <c r="C274" s="5" t="str">
        <f ca="1">IFERROR(__xludf.DUMMYFUNCTION("""COMPUTED_VALUE"""),"Bihor")</f>
        <v>Bihor</v>
      </c>
      <c r="D274" s="13">
        <f ca="1">IFERROR(__xludf.DUMMYFUNCTION("""COMPUTED_VALUE"""),43942)</f>
        <v>43942</v>
      </c>
      <c r="E274" s="5" t="str">
        <f ca="1">IFERROR(__xludf.DUMMYFUNCTION("""COMPUTED_VALUE"""),"Nu")</f>
        <v>Nu</v>
      </c>
      <c r="F274" s="5"/>
      <c r="G274" s="5"/>
      <c r="H274" s="6"/>
      <c r="I274" s="5"/>
      <c r="J274" s="5"/>
      <c r="K274" s="7" t="str">
        <f ca="1">IFERROR(__xludf.DUMMYFUNCTION("""COMPUTED_VALUE"""),"https://stirioficiale.ro/informatii/buletin-de-presa-21-aprilie-2020-ora-13-52")</f>
        <v>https://stirioficiale.ro/informatii/buletin-de-presa-21-aprilie-2020-ora-13-52</v>
      </c>
      <c r="L274" s="5"/>
      <c r="M274" s="5"/>
      <c r="N274" s="5"/>
      <c r="O274" s="5"/>
      <c r="P274" s="5"/>
      <c r="Q274" s="5"/>
      <c r="R274" s="5" t="str">
        <f ca="1">IFERROR(__xludf.DUMMYFUNCTION("""COMPUTED_VALUE"""),"România")</f>
        <v>România</v>
      </c>
      <c r="S274" s="5" t="str">
        <f ca="1">IFERROR(__xludf.DUMMYFUNCTION("""COMPUTED_VALUE"""),"Octavian")</f>
        <v>Octavian</v>
      </c>
      <c r="T274" s="7" t="str">
        <f ca="1">IFERROR(__xludf.DUMMYFUNCTION("""COMPUTED_VALUE"""),"http://www.ms.ro/2020/04/21/buletin-informativ-21-04-2020/")</f>
        <v>http://www.ms.ro/2020/04/21/buletin-informativ-21-04-2020/</v>
      </c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2.5">
      <c r="A275" s="5">
        <f ca="1">IFERROR(__xludf.DUMMYFUNCTION("""COMPUTED_VALUE"""),8991)</f>
        <v>8991</v>
      </c>
      <c r="B275" s="5"/>
      <c r="C275" s="5" t="str">
        <f ca="1">IFERROR(__xludf.DUMMYFUNCTION("""COMPUTED_VALUE"""),"Bihor")</f>
        <v>Bihor</v>
      </c>
      <c r="D275" s="13">
        <f ca="1">IFERROR(__xludf.DUMMYFUNCTION("""COMPUTED_VALUE"""),43942)</f>
        <v>43942</v>
      </c>
      <c r="E275" s="5" t="str">
        <f ca="1">IFERROR(__xludf.DUMMYFUNCTION("""COMPUTED_VALUE"""),"Nu")</f>
        <v>Nu</v>
      </c>
      <c r="F275" s="5"/>
      <c r="G275" s="5"/>
      <c r="H275" s="6"/>
      <c r="I275" s="5"/>
      <c r="J275" s="5"/>
      <c r="K275" s="7" t="str">
        <f ca="1">IFERROR(__xludf.DUMMYFUNCTION("""COMPUTED_VALUE"""),"https://stirioficiale.ro/informatii/buletin-de-presa-21-aprilie-2020-ora-13-53")</f>
        <v>https://stirioficiale.ro/informatii/buletin-de-presa-21-aprilie-2020-ora-13-53</v>
      </c>
      <c r="L275" s="5"/>
      <c r="M275" s="5"/>
      <c r="N275" s="5"/>
      <c r="O275" s="5"/>
      <c r="P275" s="5"/>
      <c r="Q275" s="5"/>
      <c r="R275" s="5" t="str">
        <f ca="1">IFERROR(__xludf.DUMMYFUNCTION("""COMPUTED_VALUE"""),"România")</f>
        <v>România</v>
      </c>
      <c r="S275" s="5" t="str">
        <f ca="1">IFERROR(__xludf.DUMMYFUNCTION("""COMPUTED_VALUE"""),"Octavian")</f>
        <v>Octavian</v>
      </c>
      <c r="T275" s="7" t="str">
        <f ca="1">IFERROR(__xludf.DUMMYFUNCTION("""COMPUTED_VALUE"""),"http://www.ms.ro/2020/04/21/buletin-informativ-21-04-2020/")</f>
        <v>http://www.ms.ro/2020/04/21/buletin-informativ-21-04-2020/</v>
      </c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ht="12.5">
      <c r="A276" s="5">
        <f ca="1">IFERROR(__xludf.DUMMYFUNCTION("""COMPUTED_VALUE"""),9293)</f>
        <v>9293</v>
      </c>
      <c r="B276" s="5"/>
      <c r="C276" s="5" t="str">
        <f ca="1">IFERROR(__xludf.DUMMYFUNCTION("""COMPUTED_VALUE"""),"Bihor")</f>
        <v>Bihor</v>
      </c>
      <c r="D276" s="13">
        <f ca="1">IFERROR(__xludf.DUMMYFUNCTION("""COMPUTED_VALUE"""),43943)</f>
        <v>43943</v>
      </c>
      <c r="E276" s="5" t="str">
        <f ca="1">IFERROR(__xludf.DUMMYFUNCTION("""COMPUTED_VALUE"""),"Da")</f>
        <v>Da</v>
      </c>
      <c r="F276" s="5" t="str">
        <f ca="1">IFERROR(__xludf.DUMMYFUNCTION("""COMPUTED_VALUE"""),"Nu")</f>
        <v>Nu</v>
      </c>
      <c r="G276" s="5"/>
      <c r="H276" s="6">
        <f ca="1">IFERROR(__xludf.DUMMYFUNCTION("""COMPUTED_VALUE"""),43950)</f>
        <v>43950</v>
      </c>
      <c r="I276" s="5" t="str">
        <f ca="1">IFERROR(__xludf.DUMMYFUNCTION("""COMPUTED_VALUE"""),"Masculin")</f>
        <v>Masculin</v>
      </c>
      <c r="J276" s="5">
        <f ca="1">IFERROR(__xludf.DUMMYFUNCTION("""COMPUTED_VALUE"""),88)</f>
        <v>88</v>
      </c>
      <c r="K276" s="7" t="str">
        <f ca="1">IFERROR(__xludf.DUMMYFUNCTION("""COMPUTED_VALUE"""),"https://stirioficiale.ro/informatii/buletin-de-presa-22-aprilie-2020-ora-13-33")</f>
        <v>https://stirioficiale.ro/informatii/buletin-de-presa-22-aprilie-2020-ora-13-33</v>
      </c>
      <c r="L276" s="7" t="str">
        <f ca="1">IFERROR(__xludf.DUMMYFUNCTION("""COMPUTED_VALUE"""),"https://stirioficiale.ro/informatii/informare-de-presa-30-aprilie-2020-ora-18-08")</f>
        <v>https://stirioficiale.ro/informatii/informare-de-presa-30-aprilie-2020-ora-18-08</v>
      </c>
      <c r="M276" s="5"/>
      <c r="N276" s="5" t="str">
        <f ca="1">IFERROR(__xludf.DUMMYFUNCTION("""COMPUTED_VALUE"""),"Nu")</f>
        <v>Nu</v>
      </c>
      <c r="O276" s="5" t="str">
        <f ca="1">IFERROR(__xludf.DUMMYFUNCTION("""COMPUTED_VALUE"""),"Cardiopatie ischemică, HTA, hernie inghino-scrotală gigantă, strangulată, cu ocluzie intestinală")</f>
        <v>Cardiopatie ischemică, HTA, hernie inghino-scrotală gigantă, strangulată, cu ocluzie intestinală</v>
      </c>
      <c r="P276" s="5" t="str">
        <f ca="1">IFERROR(__xludf.DUMMYFUNCTION("""COMPUTED_VALUE"""),"Deces 699. Dată internare: 20.04.2020 în Spitalul Clinic Municipal Oradea, secția chirurgie, 10.04.2020 – secția ATI, 22.04.2020- secția COVID. Dată recoltare: 21.04.2020. Dată rezultat: 22.04.2020.")</f>
        <v>Deces 699. Dată internare: 20.04.2020 în Spitalul Clinic Municipal Oradea, secția chirurgie, 10.04.2020 – secția ATI, 22.04.2020- secția COVID. Dată recoltare: 21.04.2020. Dată rezultat: 22.04.2020.</v>
      </c>
      <c r="Q276" s="5"/>
      <c r="R276" s="5" t="str">
        <f ca="1">IFERROR(__xludf.DUMMYFUNCTION("""COMPUTED_VALUE"""),"România")</f>
        <v>România</v>
      </c>
      <c r="S276" s="5" t="str">
        <f ca="1">IFERROR(__xludf.DUMMYFUNCTION("""COMPUTED_VALUE"""),"Octavian")</f>
        <v>Octavian</v>
      </c>
      <c r="T276" s="7" t="str">
        <f ca="1">IFERROR(__xludf.DUMMYFUNCTION("""COMPUTED_VALUE"""),"http://www.ms.ro/2020/04/22/buletin-informativ-22-04-2020/")</f>
        <v>http://www.ms.ro/2020/04/22/buletin-informativ-22-04-2020/</v>
      </c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2.5">
      <c r="A277" s="5">
        <f ca="1">IFERROR(__xludf.DUMMYFUNCTION("""COMPUTED_VALUE"""),9294)</f>
        <v>9294</v>
      </c>
      <c r="B277" s="5"/>
      <c r="C277" s="5" t="str">
        <f ca="1">IFERROR(__xludf.DUMMYFUNCTION("""COMPUTED_VALUE"""),"Bihor")</f>
        <v>Bihor</v>
      </c>
      <c r="D277" s="13">
        <f ca="1">IFERROR(__xludf.DUMMYFUNCTION("""COMPUTED_VALUE"""),43943)</f>
        <v>43943</v>
      </c>
      <c r="E277" s="5" t="str">
        <f ca="1">IFERROR(__xludf.DUMMYFUNCTION("""COMPUTED_VALUE"""),"Nu")</f>
        <v>Nu</v>
      </c>
      <c r="F277" s="5"/>
      <c r="G277" s="5"/>
      <c r="H277" s="6"/>
      <c r="I277" s="5"/>
      <c r="J277" s="5"/>
      <c r="K277" s="7" t="str">
        <f ca="1">IFERROR(__xludf.DUMMYFUNCTION("""COMPUTED_VALUE"""),"https://stirioficiale.ro/informatii/buletin-de-presa-22-aprilie-2020-ora-13-34")</f>
        <v>https://stirioficiale.ro/informatii/buletin-de-presa-22-aprilie-2020-ora-13-34</v>
      </c>
      <c r="L277" s="5"/>
      <c r="M277" s="5"/>
      <c r="N277" s="5"/>
      <c r="O277" s="5"/>
      <c r="P277" s="5"/>
      <c r="Q277" s="5"/>
      <c r="R277" s="5" t="str">
        <f ca="1">IFERROR(__xludf.DUMMYFUNCTION("""COMPUTED_VALUE"""),"România")</f>
        <v>România</v>
      </c>
      <c r="S277" s="5" t="str">
        <f ca="1">IFERROR(__xludf.DUMMYFUNCTION("""COMPUTED_VALUE"""),"Octavian")</f>
        <v>Octavian</v>
      </c>
      <c r="T277" s="7" t="str">
        <f ca="1">IFERROR(__xludf.DUMMYFUNCTION("""COMPUTED_VALUE"""),"http://www.ms.ro/2020/04/22/buletin-informativ-22-04-2020/")</f>
        <v>http://www.ms.ro/2020/04/22/buletin-informativ-22-04-2020/</v>
      </c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ht="12.5">
      <c r="A278" s="5">
        <f ca="1">IFERROR(__xludf.DUMMYFUNCTION("""COMPUTED_VALUE"""),9295)</f>
        <v>9295</v>
      </c>
      <c r="B278" s="5"/>
      <c r="C278" s="5" t="str">
        <f ca="1">IFERROR(__xludf.DUMMYFUNCTION("""COMPUTED_VALUE"""),"Bihor")</f>
        <v>Bihor</v>
      </c>
      <c r="D278" s="13">
        <f ca="1">IFERROR(__xludf.DUMMYFUNCTION("""COMPUTED_VALUE"""),43943)</f>
        <v>43943</v>
      </c>
      <c r="E278" s="5" t="str">
        <f ca="1">IFERROR(__xludf.DUMMYFUNCTION("""COMPUTED_VALUE"""),"Nu")</f>
        <v>Nu</v>
      </c>
      <c r="F278" s="5"/>
      <c r="G278" s="5"/>
      <c r="H278" s="6"/>
      <c r="I278" s="5"/>
      <c r="J278" s="5"/>
      <c r="K278" s="7" t="str">
        <f ca="1">IFERROR(__xludf.DUMMYFUNCTION("""COMPUTED_VALUE"""),"https://stirioficiale.ro/informatii/buletin-de-presa-22-aprilie-2020-ora-13-35")</f>
        <v>https://stirioficiale.ro/informatii/buletin-de-presa-22-aprilie-2020-ora-13-35</v>
      </c>
      <c r="L278" s="5"/>
      <c r="M278" s="5"/>
      <c r="N278" s="5"/>
      <c r="O278" s="5"/>
      <c r="P278" s="5"/>
      <c r="Q278" s="5"/>
      <c r="R278" s="5" t="str">
        <f ca="1">IFERROR(__xludf.DUMMYFUNCTION("""COMPUTED_VALUE"""),"România")</f>
        <v>România</v>
      </c>
      <c r="S278" s="5" t="str">
        <f ca="1">IFERROR(__xludf.DUMMYFUNCTION("""COMPUTED_VALUE"""),"Octavian")</f>
        <v>Octavian</v>
      </c>
      <c r="T278" s="7" t="str">
        <f ca="1">IFERROR(__xludf.DUMMYFUNCTION("""COMPUTED_VALUE"""),"http://www.ms.ro/2020/04/22/buletin-informativ-22-04-2020/")</f>
        <v>http://www.ms.ro/2020/04/22/buletin-informativ-22-04-2020/</v>
      </c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2.5">
      <c r="A279" s="5">
        <f ca="1">IFERROR(__xludf.DUMMYFUNCTION("""COMPUTED_VALUE"""),9296)</f>
        <v>9296</v>
      </c>
      <c r="B279" s="5"/>
      <c r="C279" s="5" t="str">
        <f ca="1">IFERROR(__xludf.DUMMYFUNCTION("""COMPUTED_VALUE"""),"Bihor")</f>
        <v>Bihor</v>
      </c>
      <c r="D279" s="13">
        <f ca="1">IFERROR(__xludf.DUMMYFUNCTION("""COMPUTED_VALUE"""),43943)</f>
        <v>43943</v>
      </c>
      <c r="E279" s="5" t="str">
        <f ca="1">IFERROR(__xludf.DUMMYFUNCTION("""COMPUTED_VALUE"""),"Nu")</f>
        <v>Nu</v>
      </c>
      <c r="F279" s="5"/>
      <c r="G279" s="5"/>
      <c r="H279" s="6"/>
      <c r="I279" s="5"/>
      <c r="J279" s="5"/>
      <c r="K279" s="7" t="str">
        <f ca="1">IFERROR(__xludf.DUMMYFUNCTION("""COMPUTED_VALUE"""),"https://stirioficiale.ro/informatii/buletin-de-presa-22-aprilie-2020-ora-13-36")</f>
        <v>https://stirioficiale.ro/informatii/buletin-de-presa-22-aprilie-2020-ora-13-36</v>
      </c>
      <c r="L279" s="5"/>
      <c r="M279" s="5"/>
      <c r="N279" s="5"/>
      <c r="O279" s="5"/>
      <c r="P279" s="5"/>
      <c r="Q279" s="5"/>
      <c r="R279" s="5" t="str">
        <f ca="1">IFERROR(__xludf.DUMMYFUNCTION("""COMPUTED_VALUE"""),"România")</f>
        <v>România</v>
      </c>
      <c r="S279" s="5" t="str">
        <f ca="1">IFERROR(__xludf.DUMMYFUNCTION("""COMPUTED_VALUE"""),"Octavian")</f>
        <v>Octavian</v>
      </c>
      <c r="T279" s="7" t="str">
        <f ca="1">IFERROR(__xludf.DUMMYFUNCTION("""COMPUTED_VALUE"""),"http://www.ms.ro/2020/04/22/buletin-informativ-22-04-2020/")</f>
        <v>http://www.ms.ro/2020/04/22/buletin-informativ-22-04-2020/</v>
      </c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ht="12.5">
      <c r="A280" s="5">
        <f ca="1">IFERROR(__xludf.DUMMYFUNCTION("""COMPUTED_VALUE"""),9297)</f>
        <v>9297</v>
      </c>
      <c r="B280" s="5"/>
      <c r="C280" s="5" t="str">
        <f ca="1">IFERROR(__xludf.DUMMYFUNCTION("""COMPUTED_VALUE"""),"Bihor")</f>
        <v>Bihor</v>
      </c>
      <c r="D280" s="13">
        <f ca="1">IFERROR(__xludf.DUMMYFUNCTION("""COMPUTED_VALUE"""),43943)</f>
        <v>43943</v>
      </c>
      <c r="E280" s="5" t="str">
        <f ca="1">IFERROR(__xludf.DUMMYFUNCTION("""COMPUTED_VALUE"""),"Nu")</f>
        <v>Nu</v>
      </c>
      <c r="F280" s="5"/>
      <c r="G280" s="5"/>
      <c r="H280" s="6"/>
      <c r="I280" s="5"/>
      <c r="J280" s="5"/>
      <c r="K280" s="7" t="str">
        <f ca="1">IFERROR(__xludf.DUMMYFUNCTION("""COMPUTED_VALUE"""),"https://stirioficiale.ro/informatii/buletin-de-presa-22-aprilie-2020-ora-13-37")</f>
        <v>https://stirioficiale.ro/informatii/buletin-de-presa-22-aprilie-2020-ora-13-37</v>
      </c>
      <c r="L280" s="5"/>
      <c r="M280" s="5"/>
      <c r="N280" s="5"/>
      <c r="O280" s="5"/>
      <c r="P280" s="5"/>
      <c r="Q280" s="5"/>
      <c r="R280" s="5" t="str">
        <f ca="1">IFERROR(__xludf.DUMMYFUNCTION("""COMPUTED_VALUE"""),"România")</f>
        <v>România</v>
      </c>
      <c r="S280" s="5" t="str">
        <f ca="1">IFERROR(__xludf.DUMMYFUNCTION("""COMPUTED_VALUE"""),"Octavian")</f>
        <v>Octavian</v>
      </c>
      <c r="T280" s="7" t="str">
        <f ca="1">IFERROR(__xludf.DUMMYFUNCTION("""COMPUTED_VALUE"""),"http://www.ms.ro/2020/04/22/buletin-informativ-22-04-2020/")</f>
        <v>http://www.ms.ro/2020/04/22/buletin-informativ-22-04-2020/</v>
      </c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2.5">
      <c r="A281" s="5">
        <f ca="1">IFERROR(__xludf.DUMMYFUNCTION("""COMPUTED_VALUE"""),9298)</f>
        <v>9298</v>
      </c>
      <c r="B281" s="5"/>
      <c r="C281" s="5" t="str">
        <f ca="1">IFERROR(__xludf.DUMMYFUNCTION("""COMPUTED_VALUE"""),"Bihor")</f>
        <v>Bihor</v>
      </c>
      <c r="D281" s="13">
        <f ca="1">IFERROR(__xludf.DUMMYFUNCTION("""COMPUTED_VALUE"""),43943)</f>
        <v>43943</v>
      </c>
      <c r="E281" s="5" t="str">
        <f ca="1">IFERROR(__xludf.DUMMYFUNCTION("""COMPUTED_VALUE"""),"Nu")</f>
        <v>Nu</v>
      </c>
      <c r="F281" s="5"/>
      <c r="G281" s="5"/>
      <c r="H281" s="6"/>
      <c r="I281" s="5"/>
      <c r="J281" s="5"/>
      <c r="K281" s="7" t="str">
        <f ca="1">IFERROR(__xludf.DUMMYFUNCTION("""COMPUTED_VALUE"""),"https://stirioficiale.ro/informatii/buletin-de-presa-22-aprilie-2020-ora-13-38")</f>
        <v>https://stirioficiale.ro/informatii/buletin-de-presa-22-aprilie-2020-ora-13-38</v>
      </c>
      <c r="L281" s="5"/>
      <c r="M281" s="5"/>
      <c r="N281" s="5"/>
      <c r="O281" s="5"/>
      <c r="P281" s="5"/>
      <c r="Q281" s="5"/>
      <c r="R281" s="5" t="str">
        <f ca="1">IFERROR(__xludf.DUMMYFUNCTION("""COMPUTED_VALUE"""),"România")</f>
        <v>România</v>
      </c>
      <c r="S281" s="5" t="str">
        <f ca="1">IFERROR(__xludf.DUMMYFUNCTION("""COMPUTED_VALUE"""),"Octavian")</f>
        <v>Octavian</v>
      </c>
      <c r="T281" s="7" t="str">
        <f ca="1">IFERROR(__xludf.DUMMYFUNCTION("""COMPUTED_VALUE"""),"http://www.ms.ro/2020/04/22/buletin-informativ-22-04-2020/")</f>
        <v>http://www.ms.ro/2020/04/22/buletin-informativ-22-04-2020/</v>
      </c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ht="12.5">
      <c r="A282" s="5">
        <f ca="1">IFERROR(__xludf.DUMMYFUNCTION("""COMPUTED_VALUE"""),9299)</f>
        <v>9299</v>
      </c>
      <c r="B282" s="5"/>
      <c r="C282" s="5" t="str">
        <f ca="1">IFERROR(__xludf.DUMMYFUNCTION("""COMPUTED_VALUE"""),"Bihor")</f>
        <v>Bihor</v>
      </c>
      <c r="D282" s="13">
        <f ca="1">IFERROR(__xludf.DUMMYFUNCTION("""COMPUTED_VALUE"""),43943)</f>
        <v>43943</v>
      </c>
      <c r="E282" s="5" t="str">
        <f ca="1">IFERROR(__xludf.DUMMYFUNCTION("""COMPUTED_VALUE"""),"Nu")</f>
        <v>Nu</v>
      </c>
      <c r="F282" s="5"/>
      <c r="G282" s="5"/>
      <c r="H282" s="6"/>
      <c r="I282" s="5"/>
      <c r="J282" s="5"/>
      <c r="K282" s="7" t="str">
        <f ca="1">IFERROR(__xludf.DUMMYFUNCTION("""COMPUTED_VALUE"""),"https://stirioficiale.ro/informatii/buletin-de-presa-22-aprilie-2020-ora-13-39")</f>
        <v>https://stirioficiale.ro/informatii/buletin-de-presa-22-aprilie-2020-ora-13-39</v>
      </c>
      <c r="L282" s="5"/>
      <c r="M282" s="5"/>
      <c r="N282" s="5"/>
      <c r="O282" s="5"/>
      <c r="P282" s="5"/>
      <c r="Q282" s="5"/>
      <c r="R282" s="5" t="str">
        <f ca="1">IFERROR(__xludf.DUMMYFUNCTION("""COMPUTED_VALUE"""),"România")</f>
        <v>România</v>
      </c>
      <c r="S282" s="5" t="str">
        <f ca="1">IFERROR(__xludf.DUMMYFUNCTION("""COMPUTED_VALUE"""),"Octavian")</f>
        <v>Octavian</v>
      </c>
      <c r="T282" s="7" t="str">
        <f ca="1">IFERROR(__xludf.DUMMYFUNCTION("""COMPUTED_VALUE"""),"http://www.ms.ro/2020/04/22/buletin-informativ-22-04-2020/")</f>
        <v>http://www.ms.ro/2020/04/22/buletin-informativ-22-04-2020/</v>
      </c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2.5">
      <c r="A283" s="5">
        <f ca="1">IFERROR(__xludf.DUMMYFUNCTION("""COMPUTED_VALUE"""),9300)</f>
        <v>9300</v>
      </c>
      <c r="B283" s="5"/>
      <c r="C283" s="5" t="str">
        <f ca="1">IFERROR(__xludf.DUMMYFUNCTION("""COMPUTED_VALUE"""),"Bihor")</f>
        <v>Bihor</v>
      </c>
      <c r="D283" s="13">
        <f ca="1">IFERROR(__xludf.DUMMYFUNCTION("""COMPUTED_VALUE"""),43943)</f>
        <v>43943</v>
      </c>
      <c r="E283" s="5" t="str">
        <f ca="1">IFERROR(__xludf.DUMMYFUNCTION("""COMPUTED_VALUE"""),"Nu")</f>
        <v>Nu</v>
      </c>
      <c r="F283" s="5"/>
      <c r="G283" s="5"/>
      <c r="H283" s="6"/>
      <c r="I283" s="5"/>
      <c r="J283" s="5"/>
      <c r="K283" s="7" t="str">
        <f ca="1">IFERROR(__xludf.DUMMYFUNCTION("""COMPUTED_VALUE"""),"https://stirioficiale.ro/informatii/buletin-de-presa-22-aprilie-2020-ora-13-40")</f>
        <v>https://stirioficiale.ro/informatii/buletin-de-presa-22-aprilie-2020-ora-13-40</v>
      </c>
      <c r="L283" s="5"/>
      <c r="M283" s="5"/>
      <c r="N283" s="5"/>
      <c r="O283" s="5"/>
      <c r="P283" s="5"/>
      <c r="Q283" s="5"/>
      <c r="R283" s="5" t="str">
        <f ca="1">IFERROR(__xludf.DUMMYFUNCTION("""COMPUTED_VALUE"""),"România")</f>
        <v>România</v>
      </c>
      <c r="S283" s="5" t="str">
        <f ca="1">IFERROR(__xludf.DUMMYFUNCTION("""COMPUTED_VALUE"""),"Octavian")</f>
        <v>Octavian</v>
      </c>
      <c r="T283" s="7" t="str">
        <f ca="1">IFERROR(__xludf.DUMMYFUNCTION("""COMPUTED_VALUE"""),"http://www.ms.ro/2020/04/22/buletin-informativ-22-04-2020/")</f>
        <v>http://www.ms.ro/2020/04/22/buletin-informativ-22-04-2020/</v>
      </c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ht="12.5">
      <c r="A284" s="5">
        <f ca="1">IFERROR(__xludf.DUMMYFUNCTION("""COMPUTED_VALUE"""),9301)</f>
        <v>9301</v>
      </c>
      <c r="B284" s="5"/>
      <c r="C284" s="5" t="str">
        <f ca="1">IFERROR(__xludf.DUMMYFUNCTION("""COMPUTED_VALUE"""),"Bihor")</f>
        <v>Bihor</v>
      </c>
      <c r="D284" s="13">
        <f ca="1">IFERROR(__xludf.DUMMYFUNCTION("""COMPUTED_VALUE"""),43943)</f>
        <v>43943</v>
      </c>
      <c r="E284" s="5" t="str">
        <f ca="1">IFERROR(__xludf.DUMMYFUNCTION("""COMPUTED_VALUE"""),"Nu")</f>
        <v>Nu</v>
      </c>
      <c r="F284" s="5"/>
      <c r="G284" s="5"/>
      <c r="H284" s="6"/>
      <c r="I284" s="5"/>
      <c r="J284" s="5"/>
      <c r="K284" s="7" t="str">
        <f ca="1">IFERROR(__xludf.DUMMYFUNCTION("""COMPUTED_VALUE"""),"https://stirioficiale.ro/informatii/buletin-de-presa-22-aprilie-2020-ora-13-41")</f>
        <v>https://stirioficiale.ro/informatii/buletin-de-presa-22-aprilie-2020-ora-13-41</v>
      </c>
      <c r="L284" s="5"/>
      <c r="M284" s="5"/>
      <c r="N284" s="5"/>
      <c r="O284" s="5"/>
      <c r="P284" s="5"/>
      <c r="Q284" s="5"/>
      <c r="R284" s="5" t="str">
        <f ca="1">IFERROR(__xludf.DUMMYFUNCTION("""COMPUTED_VALUE"""),"România")</f>
        <v>România</v>
      </c>
      <c r="S284" s="5" t="str">
        <f ca="1">IFERROR(__xludf.DUMMYFUNCTION("""COMPUTED_VALUE"""),"Octavian")</f>
        <v>Octavian</v>
      </c>
      <c r="T284" s="7" t="str">
        <f ca="1">IFERROR(__xludf.DUMMYFUNCTION("""COMPUTED_VALUE"""),"http://www.ms.ro/2020/04/22/buletin-informativ-22-04-2020/")</f>
        <v>http://www.ms.ro/2020/04/22/buletin-informativ-22-04-2020/</v>
      </c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2.5">
      <c r="A285" s="5">
        <f ca="1">IFERROR(__xludf.DUMMYFUNCTION("""COMPUTED_VALUE"""),9302)</f>
        <v>9302</v>
      </c>
      <c r="B285" s="5"/>
      <c r="C285" s="5" t="str">
        <f ca="1">IFERROR(__xludf.DUMMYFUNCTION("""COMPUTED_VALUE"""),"Bihor")</f>
        <v>Bihor</v>
      </c>
      <c r="D285" s="13">
        <f ca="1">IFERROR(__xludf.DUMMYFUNCTION("""COMPUTED_VALUE"""),43943)</f>
        <v>43943</v>
      </c>
      <c r="E285" s="5" t="str">
        <f ca="1">IFERROR(__xludf.DUMMYFUNCTION("""COMPUTED_VALUE"""),"Nu")</f>
        <v>Nu</v>
      </c>
      <c r="F285" s="5"/>
      <c r="G285" s="5"/>
      <c r="H285" s="6"/>
      <c r="I285" s="5"/>
      <c r="J285" s="5"/>
      <c r="K285" s="7" t="str">
        <f ca="1">IFERROR(__xludf.DUMMYFUNCTION("""COMPUTED_VALUE"""),"https://stirioficiale.ro/informatii/buletin-de-presa-22-aprilie-2020-ora-13-42")</f>
        <v>https://stirioficiale.ro/informatii/buletin-de-presa-22-aprilie-2020-ora-13-42</v>
      </c>
      <c r="L285" s="5"/>
      <c r="M285" s="5"/>
      <c r="N285" s="5"/>
      <c r="O285" s="5"/>
      <c r="P285" s="5"/>
      <c r="Q285" s="5"/>
      <c r="R285" s="5" t="str">
        <f ca="1">IFERROR(__xludf.DUMMYFUNCTION("""COMPUTED_VALUE"""),"România")</f>
        <v>România</v>
      </c>
      <c r="S285" s="5" t="str">
        <f ca="1">IFERROR(__xludf.DUMMYFUNCTION("""COMPUTED_VALUE"""),"Octavian")</f>
        <v>Octavian</v>
      </c>
      <c r="T285" s="7" t="str">
        <f ca="1">IFERROR(__xludf.DUMMYFUNCTION("""COMPUTED_VALUE"""),"http://www.ms.ro/2020/04/22/buletin-informativ-22-04-2020/")</f>
        <v>http://www.ms.ro/2020/04/22/buletin-informativ-22-04-2020/</v>
      </c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ht="12.5">
      <c r="A286" s="5">
        <f ca="1">IFERROR(__xludf.DUMMYFUNCTION("""COMPUTED_VALUE"""),9303)</f>
        <v>9303</v>
      </c>
      <c r="B286" s="5"/>
      <c r="C286" s="5" t="str">
        <f ca="1">IFERROR(__xludf.DUMMYFUNCTION("""COMPUTED_VALUE"""),"Bihor")</f>
        <v>Bihor</v>
      </c>
      <c r="D286" s="13">
        <f ca="1">IFERROR(__xludf.DUMMYFUNCTION("""COMPUTED_VALUE"""),43943)</f>
        <v>43943</v>
      </c>
      <c r="E286" s="5" t="str">
        <f ca="1">IFERROR(__xludf.DUMMYFUNCTION("""COMPUTED_VALUE"""),"Nu")</f>
        <v>Nu</v>
      </c>
      <c r="F286" s="5"/>
      <c r="G286" s="5"/>
      <c r="H286" s="6"/>
      <c r="I286" s="5"/>
      <c r="J286" s="5"/>
      <c r="K286" s="7" t="str">
        <f ca="1">IFERROR(__xludf.DUMMYFUNCTION("""COMPUTED_VALUE"""),"https://stirioficiale.ro/informatii/buletin-de-presa-22-aprilie-2020-ora-13-43")</f>
        <v>https://stirioficiale.ro/informatii/buletin-de-presa-22-aprilie-2020-ora-13-43</v>
      </c>
      <c r="L286" s="5"/>
      <c r="M286" s="5"/>
      <c r="N286" s="5"/>
      <c r="O286" s="5"/>
      <c r="P286" s="5"/>
      <c r="Q286" s="5"/>
      <c r="R286" s="5" t="str">
        <f ca="1">IFERROR(__xludf.DUMMYFUNCTION("""COMPUTED_VALUE"""),"România")</f>
        <v>România</v>
      </c>
      <c r="S286" s="5" t="str">
        <f ca="1">IFERROR(__xludf.DUMMYFUNCTION("""COMPUTED_VALUE"""),"Octavian")</f>
        <v>Octavian</v>
      </c>
      <c r="T286" s="7" t="str">
        <f ca="1">IFERROR(__xludf.DUMMYFUNCTION("""COMPUTED_VALUE"""),"http://www.ms.ro/2020/04/22/buletin-informativ-22-04-2020/")</f>
        <v>http://www.ms.ro/2020/04/22/buletin-informativ-22-04-2020/</v>
      </c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12.5">
      <c r="A287" s="5">
        <f ca="1">IFERROR(__xludf.DUMMYFUNCTION("""COMPUTED_VALUE"""),9304)</f>
        <v>9304</v>
      </c>
      <c r="B287" s="5"/>
      <c r="C287" s="5" t="str">
        <f ca="1">IFERROR(__xludf.DUMMYFUNCTION("""COMPUTED_VALUE"""),"Bihor")</f>
        <v>Bihor</v>
      </c>
      <c r="D287" s="13">
        <f ca="1">IFERROR(__xludf.DUMMYFUNCTION("""COMPUTED_VALUE"""),43943)</f>
        <v>43943</v>
      </c>
      <c r="E287" s="5" t="str">
        <f ca="1">IFERROR(__xludf.DUMMYFUNCTION("""COMPUTED_VALUE"""),"Nu")</f>
        <v>Nu</v>
      </c>
      <c r="F287" s="5"/>
      <c r="G287" s="5"/>
      <c r="H287" s="6"/>
      <c r="I287" s="5"/>
      <c r="J287" s="5"/>
      <c r="K287" s="7" t="str">
        <f ca="1">IFERROR(__xludf.DUMMYFUNCTION("""COMPUTED_VALUE"""),"https://stirioficiale.ro/informatii/buletin-de-presa-22-aprilie-2020-ora-13-44")</f>
        <v>https://stirioficiale.ro/informatii/buletin-de-presa-22-aprilie-2020-ora-13-44</v>
      </c>
      <c r="L287" s="5"/>
      <c r="M287" s="5"/>
      <c r="N287" s="5"/>
      <c r="O287" s="5"/>
      <c r="P287" s="5"/>
      <c r="Q287" s="5"/>
      <c r="R287" s="5" t="str">
        <f ca="1">IFERROR(__xludf.DUMMYFUNCTION("""COMPUTED_VALUE"""),"România")</f>
        <v>România</v>
      </c>
      <c r="S287" s="5" t="str">
        <f ca="1">IFERROR(__xludf.DUMMYFUNCTION("""COMPUTED_VALUE"""),"Octavian")</f>
        <v>Octavian</v>
      </c>
      <c r="T287" s="7" t="str">
        <f ca="1">IFERROR(__xludf.DUMMYFUNCTION("""COMPUTED_VALUE"""),"http://www.ms.ro/2020/04/22/buletin-informativ-22-04-2020/")</f>
        <v>http://www.ms.ro/2020/04/22/buletin-informativ-22-04-2020/</v>
      </c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ht="12.5">
      <c r="A288" s="5">
        <f ca="1">IFERROR(__xludf.DUMMYFUNCTION("""COMPUTED_VALUE"""),9305)</f>
        <v>9305</v>
      </c>
      <c r="B288" s="5"/>
      <c r="C288" s="5" t="str">
        <f ca="1">IFERROR(__xludf.DUMMYFUNCTION("""COMPUTED_VALUE"""),"Bihor")</f>
        <v>Bihor</v>
      </c>
      <c r="D288" s="13">
        <f ca="1">IFERROR(__xludf.DUMMYFUNCTION("""COMPUTED_VALUE"""),43943)</f>
        <v>43943</v>
      </c>
      <c r="E288" s="5" t="str">
        <f ca="1">IFERROR(__xludf.DUMMYFUNCTION("""COMPUTED_VALUE"""),"Nu")</f>
        <v>Nu</v>
      </c>
      <c r="F288" s="5"/>
      <c r="G288" s="5"/>
      <c r="H288" s="6"/>
      <c r="I288" s="5"/>
      <c r="J288" s="5"/>
      <c r="K288" s="7" t="str">
        <f ca="1">IFERROR(__xludf.DUMMYFUNCTION("""COMPUTED_VALUE"""),"https://stirioficiale.ro/informatii/buletin-de-presa-22-aprilie-2020-ora-13-45")</f>
        <v>https://stirioficiale.ro/informatii/buletin-de-presa-22-aprilie-2020-ora-13-45</v>
      </c>
      <c r="L288" s="5"/>
      <c r="M288" s="5"/>
      <c r="N288" s="5"/>
      <c r="O288" s="5"/>
      <c r="P288" s="5"/>
      <c r="Q288" s="5"/>
      <c r="R288" s="5" t="str">
        <f ca="1">IFERROR(__xludf.DUMMYFUNCTION("""COMPUTED_VALUE"""),"România")</f>
        <v>România</v>
      </c>
      <c r="S288" s="5" t="str">
        <f ca="1">IFERROR(__xludf.DUMMYFUNCTION("""COMPUTED_VALUE"""),"Octavian")</f>
        <v>Octavian</v>
      </c>
      <c r="T288" s="7" t="str">
        <f ca="1">IFERROR(__xludf.DUMMYFUNCTION("""COMPUTED_VALUE"""),"http://www.ms.ro/2020/04/22/buletin-informativ-22-04-2020/")</f>
        <v>http://www.ms.ro/2020/04/22/buletin-informativ-22-04-2020/</v>
      </c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12.5">
      <c r="A289" s="5">
        <f ca="1">IFERROR(__xludf.DUMMYFUNCTION("""COMPUTED_VALUE"""),9306)</f>
        <v>9306</v>
      </c>
      <c r="B289" s="5"/>
      <c r="C289" s="5" t="str">
        <f ca="1">IFERROR(__xludf.DUMMYFUNCTION("""COMPUTED_VALUE"""),"Bihor")</f>
        <v>Bihor</v>
      </c>
      <c r="D289" s="13">
        <f ca="1">IFERROR(__xludf.DUMMYFUNCTION("""COMPUTED_VALUE"""),43943)</f>
        <v>43943</v>
      </c>
      <c r="E289" s="5" t="str">
        <f ca="1">IFERROR(__xludf.DUMMYFUNCTION("""COMPUTED_VALUE"""),"Nu")</f>
        <v>Nu</v>
      </c>
      <c r="F289" s="5"/>
      <c r="G289" s="5"/>
      <c r="H289" s="6"/>
      <c r="I289" s="5"/>
      <c r="J289" s="5"/>
      <c r="K289" s="7" t="str">
        <f ca="1">IFERROR(__xludf.DUMMYFUNCTION("""COMPUTED_VALUE"""),"https://stirioficiale.ro/informatii/buletin-de-presa-22-aprilie-2020-ora-13-46")</f>
        <v>https://stirioficiale.ro/informatii/buletin-de-presa-22-aprilie-2020-ora-13-46</v>
      </c>
      <c r="L289" s="5"/>
      <c r="M289" s="5"/>
      <c r="N289" s="5"/>
      <c r="O289" s="5"/>
      <c r="P289" s="5"/>
      <c r="Q289" s="5"/>
      <c r="R289" s="5" t="str">
        <f ca="1">IFERROR(__xludf.DUMMYFUNCTION("""COMPUTED_VALUE"""),"România")</f>
        <v>România</v>
      </c>
      <c r="S289" s="5" t="str">
        <f ca="1">IFERROR(__xludf.DUMMYFUNCTION("""COMPUTED_VALUE"""),"Octavian")</f>
        <v>Octavian</v>
      </c>
      <c r="T289" s="7" t="str">
        <f ca="1">IFERROR(__xludf.DUMMYFUNCTION("""COMPUTED_VALUE"""),"http://www.ms.ro/2020/04/22/buletin-informativ-22-04-2020/")</f>
        <v>http://www.ms.ro/2020/04/22/buletin-informativ-22-04-2020/</v>
      </c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ht="12.5">
      <c r="A290" s="5">
        <f ca="1">IFERROR(__xludf.DUMMYFUNCTION("""COMPUTED_VALUE"""),9307)</f>
        <v>9307</v>
      </c>
      <c r="B290" s="5"/>
      <c r="C290" s="5" t="str">
        <f ca="1">IFERROR(__xludf.DUMMYFUNCTION("""COMPUTED_VALUE"""),"Bihor")</f>
        <v>Bihor</v>
      </c>
      <c r="D290" s="13">
        <f ca="1">IFERROR(__xludf.DUMMYFUNCTION("""COMPUTED_VALUE"""),43943)</f>
        <v>43943</v>
      </c>
      <c r="E290" s="5" t="str">
        <f ca="1">IFERROR(__xludf.DUMMYFUNCTION("""COMPUTED_VALUE"""),"Nu")</f>
        <v>Nu</v>
      </c>
      <c r="F290" s="5"/>
      <c r="G290" s="5"/>
      <c r="H290" s="6"/>
      <c r="I290" s="5"/>
      <c r="J290" s="5"/>
      <c r="K290" s="7" t="str">
        <f ca="1">IFERROR(__xludf.DUMMYFUNCTION("""COMPUTED_VALUE"""),"https://stirioficiale.ro/informatii/buletin-de-presa-22-aprilie-2020-ora-13-47")</f>
        <v>https://stirioficiale.ro/informatii/buletin-de-presa-22-aprilie-2020-ora-13-47</v>
      </c>
      <c r="L290" s="5"/>
      <c r="M290" s="5"/>
      <c r="N290" s="5"/>
      <c r="O290" s="5"/>
      <c r="P290" s="5"/>
      <c r="Q290" s="5"/>
      <c r="R290" s="5" t="str">
        <f ca="1">IFERROR(__xludf.DUMMYFUNCTION("""COMPUTED_VALUE"""),"România")</f>
        <v>România</v>
      </c>
      <c r="S290" s="5" t="str">
        <f ca="1">IFERROR(__xludf.DUMMYFUNCTION("""COMPUTED_VALUE"""),"Octavian")</f>
        <v>Octavian</v>
      </c>
      <c r="T290" s="7" t="str">
        <f ca="1">IFERROR(__xludf.DUMMYFUNCTION("""COMPUTED_VALUE"""),"http://www.ms.ro/2020/04/22/buletin-informativ-22-04-2020/")</f>
        <v>http://www.ms.ro/2020/04/22/buletin-informativ-22-04-2020/</v>
      </c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12.5">
      <c r="A291" s="5">
        <f ca="1">IFERROR(__xludf.DUMMYFUNCTION("""COMPUTED_VALUE"""),9308)</f>
        <v>9308</v>
      </c>
      <c r="B291" s="5"/>
      <c r="C291" s="5" t="str">
        <f ca="1">IFERROR(__xludf.DUMMYFUNCTION("""COMPUTED_VALUE"""),"Bihor")</f>
        <v>Bihor</v>
      </c>
      <c r="D291" s="13">
        <f ca="1">IFERROR(__xludf.DUMMYFUNCTION("""COMPUTED_VALUE"""),43943)</f>
        <v>43943</v>
      </c>
      <c r="E291" s="5" t="str">
        <f ca="1">IFERROR(__xludf.DUMMYFUNCTION("""COMPUTED_VALUE"""),"Nu")</f>
        <v>Nu</v>
      </c>
      <c r="F291" s="5"/>
      <c r="G291" s="5"/>
      <c r="H291" s="6"/>
      <c r="I291" s="5"/>
      <c r="J291" s="5"/>
      <c r="K291" s="7" t="str">
        <f ca="1">IFERROR(__xludf.DUMMYFUNCTION("""COMPUTED_VALUE"""),"https://stirioficiale.ro/informatii/buletin-de-presa-22-aprilie-2020-ora-13-48")</f>
        <v>https://stirioficiale.ro/informatii/buletin-de-presa-22-aprilie-2020-ora-13-48</v>
      </c>
      <c r="L291" s="5"/>
      <c r="M291" s="5"/>
      <c r="N291" s="5"/>
      <c r="O291" s="5"/>
      <c r="P291" s="5"/>
      <c r="Q291" s="5"/>
      <c r="R291" s="5" t="str">
        <f ca="1">IFERROR(__xludf.DUMMYFUNCTION("""COMPUTED_VALUE"""),"România")</f>
        <v>România</v>
      </c>
      <c r="S291" s="5" t="str">
        <f ca="1">IFERROR(__xludf.DUMMYFUNCTION("""COMPUTED_VALUE"""),"Octavian")</f>
        <v>Octavian</v>
      </c>
      <c r="T291" s="7" t="str">
        <f ca="1">IFERROR(__xludf.DUMMYFUNCTION("""COMPUTED_VALUE"""),"http://www.ms.ro/2020/04/22/buletin-informativ-22-04-2020/")</f>
        <v>http://www.ms.ro/2020/04/22/buletin-informativ-22-04-2020/</v>
      </c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ht="12.5">
      <c r="A292" s="5">
        <f ca="1">IFERROR(__xludf.DUMMYFUNCTION("""COMPUTED_VALUE"""),9309)</f>
        <v>9309</v>
      </c>
      <c r="B292" s="5"/>
      <c r="C292" s="5" t="str">
        <f ca="1">IFERROR(__xludf.DUMMYFUNCTION("""COMPUTED_VALUE"""),"Bihor")</f>
        <v>Bihor</v>
      </c>
      <c r="D292" s="13">
        <f ca="1">IFERROR(__xludf.DUMMYFUNCTION("""COMPUTED_VALUE"""),43943)</f>
        <v>43943</v>
      </c>
      <c r="E292" s="5" t="str">
        <f ca="1">IFERROR(__xludf.DUMMYFUNCTION("""COMPUTED_VALUE"""),"Nu")</f>
        <v>Nu</v>
      </c>
      <c r="F292" s="5"/>
      <c r="G292" s="5"/>
      <c r="H292" s="6"/>
      <c r="I292" s="5"/>
      <c r="J292" s="5"/>
      <c r="K292" s="7" t="str">
        <f ca="1">IFERROR(__xludf.DUMMYFUNCTION("""COMPUTED_VALUE"""),"https://stirioficiale.ro/informatii/buletin-de-presa-22-aprilie-2020-ora-13-49")</f>
        <v>https://stirioficiale.ro/informatii/buletin-de-presa-22-aprilie-2020-ora-13-49</v>
      </c>
      <c r="L292" s="5"/>
      <c r="M292" s="5"/>
      <c r="N292" s="5"/>
      <c r="O292" s="5"/>
      <c r="P292" s="5"/>
      <c r="Q292" s="5"/>
      <c r="R292" s="5" t="str">
        <f ca="1">IFERROR(__xludf.DUMMYFUNCTION("""COMPUTED_VALUE"""),"România")</f>
        <v>România</v>
      </c>
      <c r="S292" s="5" t="str">
        <f ca="1">IFERROR(__xludf.DUMMYFUNCTION("""COMPUTED_VALUE"""),"Octavian")</f>
        <v>Octavian</v>
      </c>
      <c r="T292" s="7" t="str">
        <f ca="1">IFERROR(__xludf.DUMMYFUNCTION("""COMPUTED_VALUE"""),"http://www.ms.ro/2020/04/22/buletin-informativ-22-04-2020/")</f>
        <v>http://www.ms.ro/2020/04/22/buletin-informativ-22-04-2020/</v>
      </c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12.5">
      <c r="A293" s="5">
        <f ca="1">IFERROR(__xludf.DUMMYFUNCTION("""COMPUTED_VALUE"""),9310)</f>
        <v>9310</v>
      </c>
      <c r="B293" s="5"/>
      <c r="C293" s="5" t="str">
        <f ca="1">IFERROR(__xludf.DUMMYFUNCTION("""COMPUTED_VALUE"""),"Bihor")</f>
        <v>Bihor</v>
      </c>
      <c r="D293" s="13">
        <f ca="1">IFERROR(__xludf.DUMMYFUNCTION("""COMPUTED_VALUE"""),43943)</f>
        <v>43943</v>
      </c>
      <c r="E293" s="5" t="str">
        <f ca="1">IFERROR(__xludf.DUMMYFUNCTION("""COMPUTED_VALUE"""),"Nu")</f>
        <v>Nu</v>
      </c>
      <c r="F293" s="5"/>
      <c r="G293" s="5"/>
      <c r="H293" s="6"/>
      <c r="I293" s="5"/>
      <c r="J293" s="5"/>
      <c r="K293" s="7" t="str">
        <f ca="1">IFERROR(__xludf.DUMMYFUNCTION("""COMPUTED_VALUE"""),"https://stirioficiale.ro/informatii/buletin-de-presa-22-aprilie-2020-ora-13-50")</f>
        <v>https://stirioficiale.ro/informatii/buletin-de-presa-22-aprilie-2020-ora-13-50</v>
      </c>
      <c r="L293" s="5"/>
      <c r="M293" s="5"/>
      <c r="N293" s="5"/>
      <c r="O293" s="5"/>
      <c r="P293" s="5"/>
      <c r="Q293" s="5"/>
      <c r="R293" s="5" t="str">
        <f ca="1">IFERROR(__xludf.DUMMYFUNCTION("""COMPUTED_VALUE"""),"România")</f>
        <v>România</v>
      </c>
      <c r="S293" s="5" t="str">
        <f ca="1">IFERROR(__xludf.DUMMYFUNCTION("""COMPUTED_VALUE"""),"Octavian")</f>
        <v>Octavian</v>
      </c>
      <c r="T293" s="7" t="str">
        <f ca="1">IFERROR(__xludf.DUMMYFUNCTION("""COMPUTED_VALUE"""),"http://www.ms.ro/2020/04/22/buletin-informativ-22-04-2020/")</f>
        <v>http://www.ms.ro/2020/04/22/buletin-informativ-22-04-2020/</v>
      </c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ht="12.5">
      <c r="A294" s="5">
        <f ca="1">IFERROR(__xludf.DUMMYFUNCTION("""COMPUTED_VALUE"""),9311)</f>
        <v>9311</v>
      </c>
      <c r="B294" s="5"/>
      <c r="C294" s="5" t="str">
        <f ca="1">IFERROR(__xludf.DUMMYFUNCTION("""COMPUTED_VALUE"""),"Bihor")</f>
        <v>Bihor</v>
      </c>
      <c r="D294" s="13">
        <f ca="1">IFERROR(__xludf.DUMMYFUNCTION("""COMPUTED_VALUE"""),43943)</f>
        <v>43943</v>
      </c>
      <c r="E294" s="5" t="str">
        <f ca="1">IFERROR(__xludf.DUMMYFUNCTION("""COMPUTED_VALUE"""),"Nu")</f>
        <v>Nu</v>
      </c>
      <c r="F294" s="5"/>
      <c r="G294" s="5"/>
      <c r="H294" s="6"/>
      <c r="I294" s="5"/>
      <c r="J294" s="5"/>
      <c r="K294" s="7" t="str">
        <f ca="1">IFERROR(__xludf.DUMMYFUNCTION("""COMPUTED_VALUE"""),"https://stirioficiale.ro/informatii/buletin-de-presa-22-aprilie-2020-ora-13-51")</f>
        <v>https://stirioficiale.ro/informatii/buletin-de-presa-22-aprilie-2020-ora-13-51</v>
      </c>
      <c r="L294" s="5"/>
      <c r="M294" s="5"/>
      <c r="N294" s="5"/>
      <c r="O294" s="5"/>
      <c r="P294" s="5"/>
      <c r="Q294" s="5"/>
      <c r="R294" s="5" t="str">
        <f ca="1">IFERROR(__xludf.DUMMYFUNCTION("""COMPUTED_VALUE"""),"România")</f>
        <v>România</v>
      </c>
      <c r="S294" s="5" t="str">
        <f ca="1">IFERROR(__xludf.DUMMYFUNCTION("""COMPUTED_VALUE"""),"Octavian")</f>
        <v>Octavian</v>
      </c>
      <c r="T294" s="7" t="str">
        <f ca="1">IFERROR(__xludf.DUMMYFUNCTION("""COMPUTED_VALUE"""),"http://www.ms.ro/2020/04/22/buletin-informativ-22-04-2020/")</f>
        <v>http://www.ms.ro/2020/04/22/buletin-informativ-22-04-2020/</v>
      </c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12.5">
      <c r="A295" s="5">
        <f ca="1">IFERROR(__xludf.DUMMYFUNCTION("""COMPUTED_VALUE"""),9312)</f>
        <v>9312</v>
      </c>
      <c r="B295" s="5"/>
      <c r="C295" s="5" t="str">
        <f ca="1">IFERROR(__xludf.DUMMYFUNCTION("""COMPUTED_VALUE"""),"Bihor")</f>
        <v>Bihor</v>
      </c>
      <c r="D295" s="13">
        <f ca="1">IFERROR(__xludf.DUMMYFUNCTION("""COMPUTED_VALUE"""),43943)</f>
        <v>43943</v>
      </c>
      <c r="E295" s="5" t="str">
        <f ca="1">IFERROR(__xludf.DUMMYFUNCTION("""COMPUTED_VALUE"""),"Nu")</f>
        <v>Nu</v>
      </c>
      <c r="F295" s="5"/>
      <c r="G295" s="5"/>
      <c r="H295" s="6"/>
      <c r="I295" s="5"/>
      <c r="J295" s="5"/>
      <c r="K295" s="7" t="str">
        <f ca="1">IFERROR(__xludf.DUMMYFUNCTION("""COMPUTED_VALUE"""),"https://stirioficiale.ro/informatii/buletin-de-presa-22-aprilie-2020-ora-13-52")</f>
        <v>https://stirioficiale.ro/informatii/buletin-de-presa-22-aprilie-2020-ora-13-52</v>
      </c>
      <c r="L295" s="5"/>
      <c r="M295" s="5"/>
      <c r="N295" s="5"/>
      <c r="O295" s="5"/>
      <c r="P295" s="5"/>
      <c r="Q295" s="5"/>
      <c r="R295" s="5" t="str">
        <f ca="1">IFERROR(__xludf.DUMMYFUNCTION("""COMPUTED_VALUE"""),"România")</f>
        <v>România</v>
      </c>
      <c r="S295" s="5" t="str">
        <f ca="1">IFERROR(__xludf.DUMMYFUNCTION("""COMPUTED_VALUE"""),"Octavian")</f>
        <v>Octavian</v>
      </c>
      <c r="T295" s="7" t="str">
        <f ca="1">IFERROR(__xludf.DUMMYFUNCTION("""COMPUTED_VALUE"""),"http://www.ms.ro/2020/04/22/buletin-informativ-22-04-2020/")</f>
        <v>http://www.ms.ro/2020/04/22/buletin-informativ-22-04-2020/</v>
      </c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ht="12.5">
      <c r="A296" s="5">
        <f ca="1">IFERROR(__xludf.DUMMYFUNCTION("""COMPUTED_VALUE"""),9313)</f>
        <v>9313</v>
      </c>
      <c r="B296" s="5"/>
      <c r="C296" s="5" t="str">
        <f ca="1">IFERROR(__xludf.DUMMYFUNCTION("""COMPUTED_VALUE"""),"Bihor")</f>
        <v>Bihor</v>
      </c>
      <c r="D296" s="13">
        <f ca="1">IFERROR(__xludf.DUMMYFUNCTION("""COMPUTED_VALUE"""),43943)</f>
        <v>43943</v>
      </c>
      <c r="E296" s="5" t="str">
        <f ca="1">IFERROR(__xludf.DUMMYFUNCTION("""COMPUTED_VALUE"""),"Nu")</f>
        <v>Nu</v>
      </c>
      <c r="F296" s="5"/>
      <c r="G296" s="5"/>
      <c r="H296" s="6"/>
      <c r="I296" s="5"/>
      <c r="J296" s="5"/>
      <c r="K296" s="7" t="str">
        <f ca="1">IFERROR(__xludf.DUMMYFUNCTION("""COMPUTED_VALUE"""),"https://stirioficiale.ro/informatii/buletin-de-presa-22-aprilie-2020-ora-13-53")</f>
        <v>https://stirioficiale.ro/informatii/buletin-de-presa-22-aprilie-2020-ora-13-53</v>
      </c>
      <c r="L296" s="5"/>
      <c r="M296" s="5"/>
      <c r="N296" s="5"/>
      <c r="O296" s="5"/>
      <c r="P296" s="5"/>
      <c r="Q296" s="5"/>
      <c r="R296" s="5" t="str">
        <f ca="1">IFERROR(__xludf.DUMMYFUNCTION("""COMPUTED_VALUE"""),"România")</f>
        <v>România</v>
      </c>
      <c r="S296" s="5" t="str">
        <f ca="1">IFERROR(__xludf.DUMMYFUNCTION("""COMPUTED_VALUE"""),"Octavian")</f>
        <v>Octavian</v>
      </c>
      <c r="T296" s="7" t="str">
        <f ca="1">IFERROR(__xludf.DUMMYFUNCTION("""COMPUTED_VALUE"""),"http://www.ms.ro/2020/04/22/buletin-informativ-22-04-2020/")</f>
        <v>http://www.ms.ro/2020/04/22/buletin-informativ-22-04-2020/</v>
      </c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12.5">
      <c r="A297" s="5">
        <f ca="1">IFERROR(__xludf.DUMMYFUNCTION("""COMPUTED_VALUE"""),9314)</f>
        <v>9314</v>
      </c>
      <c r="B297" s="5"/>
      <c r="C297" s="5" t="str">
        <f ca="1">IFERROR(__xludf.DUMMYFUNCTION("""COMPUTED_VALUE"""),"Bihor")</f>
        <v>Bihor</v>
      </c>
      <c r="D297" s="13">
        <f ca="1">IFERROR(__xludf.DUMMYFUNCTION("""COMPUTED_VALUE"""),43943)</f>
        <v>43943</v>
      </c>
      <c r="E297" s="5" t="str">
        <f ca="1">IFERROR(__xludf.DUMMYFUNCTION("""COMPUTED_VALUE"""),"Nu")</f>
        <v>Nu</v>
      </c>
      <c r="F297" s="5"/>
      <c r="G297" s="5"/>
      <c r="H297" s="6"/>
      <c r="I297" s="5"/>
      <c r="J297" s="5"/>
      <c r="K297" s="7" t="str">
        <f ca="1">IFERROR(__xludf.DUMMYFUNCTION("""COMPUTED_VALUE"""),"https://stirioficiale.ro/informatii/buletin-de-presa-22-aprilie-2020-ora-13-54")</f>
        <v>https://stirioficiale.ro/informatii/buletin-de-presa-22-aprilie-2020-ora-13-54</v>
      </c>
      <c r="L297" s="5"/>
      <c r="M297" s="5"/>
      <c r="N297" s="5"/>
      <c r="O297" s="5"/>
      <c r="P297" s="5"/>
      <c r="Q297" s="5"/>
      <c r="R297" s="5" t="str">
        <f ca="1">IFERROR(__xludf.DUMMYFUNCTION("""COMPUTED_VALUE"""),"România")</f>
        <v>România</v>
      </c>
      <c r="S297" s="5" t="str">
        <f ca="1">IFERROR(__xludf.DUMMYFUNCTION("""COMPUTED_VALUE"""),"Octavian")</f>
        <v>Octavian</v>
      </c>
      <c r="T297" s="7" t="str">
        <f ca="1">IFERROR(__xludf.DUMMYFUNCTION("""COMPUTED_VALUE"""),"http://www.ms.ro/2020/04/22/buletin-informativ-22-04-2020/")</f>
        <v>http://www.ms.ro/2020/04/22/buletin-informativ-22-04-2020/</v>
      </c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ht="12.5">
      <c r="A298" s="5">
        <f ca="1">IFERROR(__xludf.DUMMYFUNCTION("""COMPUTED_VALUE"""),9315)</f>
        <v>9315</v>
      </c>
      <c r="B298" s="5"/>
      <c r="C298" s="5" t="str">
        <f ca="1">IFERROR(__xludf.DUMMYFUNCTION("""COMPUTED_VALUE"""),"Bihor")</f>
        <v>Bihor</v>
      </c>
      <c r="D298" s="13">
        <f ca="1">IFERROR(__xludf.DUMMYFUNCTION("""COMPUTED_VALUE"""),43943)</f>
        <v>43943</v>
      </c>
      <c r="E298" s="5" t="str">
        <f ca="1">IFERROR(__xludf.DUMMYFUNCTION("""COMPUTED_VALUE"""),"Nu")</f>
        <v>Nu</v>
      </c>
      <c r="F298" s="5"/>
      <c r="G298" s="5"/>
      <c r="H298" s="6"/>
      <c r="I298" s="5"/>
      <c r="J298" s="5"/>
      <c r="K298" s="7" t="str">
        <f ca="1">IFERROR(__xludf.DUMMYFUNCTION("""COMPUTED_VALUE"""),"https://stirioficiale.ro/informatii/buletin-de-presa-22-aprilie-2020-ora-13-55")</f>
        <v>https://stirioficiale.ro/informatii/buletin-de-presa-22-aprilie-2020-ora-13-55</v>
      </c>
      <c r="L298" s="5"/>
      <c r="M298" s="5"/>
      <c r="N298" s="5"/>
      <c r="O298" s="5"/>
      <c r="P298" s="5"/>
      <c r="Q298" s="5"/>
      <c r="R298" s="5" t="str">
        <f ca="1">IFERROR(__xludf.DUMMYFUNCTION("""COMPUTED_VALUE"""),"România")</f>
        <v>România</v>
      </c>
      <c r="S298" s="5" t="str">
        <f ca="1">IFERROR(__xludf.DUMMYFUNCTION("""COMPUTED_VALUE"""),"Octavian")</f>
        <v>Octavian</v>
      </c>
      <c r="T298" s="7" t="str">
        <f ca="1">IFERROR(__xludf.DUMMYFUNCTION("""COMPUTED_VALUE"""),"http://www.ms.ro/2020/04/22/buletin-informativ-22-04-2020/")</f>
        <v>http://www.ms.ro/2020/04/22/buletin-informativ-22-04-2020/</v>
      </c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2.5">
      <c r="A299" s="5">
        <f ca="1">IFERROR(__xludf.DUMMYFUNCTION("""COMPUTED_VALUE"""),9316)</f>
        <v>9316</v>
      </c>
      <c r="B299" s="5"/>
      <c r="C299" s="5" t="str">
        <f ca="1">IFERROR(__xludf.DUMMYFUNCTION("""COMPUTED_VALUE"""),"Bihor")</f>
        <v>Bihor</v>
      </c>
      <c r="D299" s="13">
        <f ca="1">IFERROR(__xludf.DUMMYFUNCTION("""COMPUTED_VALUE"""),43943)</f>
        <v>43943</v>
      </c>
      <c r="E299" s="5" t="str">
        <f ca="1">IFERROR(__xludf.DUMMYFUNCTION("""COMPUTED_VALUE"""),"Nu")</f>
        <v>Nu</v>
      </c>
      <c r="F299" s="5"/>
      <c r="G299" s="5"/>
      <c r="H299" s="6"/>
      <c r="I299" s="5"/>
      <c r="J299" s="5"/>
      <c r="K299" s="7" t="str">
        <f ca="1">IFERROR(__xludf.DUMMYFUNCTION("""COMPUTED_VALUE"""),"https://stirioficiale.ro/informatii/buletin-de-presa-22-aprilie-2020-ora-13-56")</f>
        <v>https://stirioficiale.ro/informatii/buletin-de-presa-22-aprilie-2020-ora-13-56</v>
      </c>
      <c r="L299" s="5"/>
      <c r="M299" s="5"/>
      <c r="N299" s="5"/>
      <c r="O299" s="5"/>
      <c r="P299" s="5"/>
      <c r="Q299" s="5"/>
      <c r="R299" s="5" t="str">
        <f ca="1">IFERROR(__xludf.DUMMYFUNCTION("""COMPUTED_VALUE"""),"România")</f>
        <v>România</v>
      </c>
      <c r="S299" s="5" t="str">
        <f ca="1">IFERROR(__xludf.DUMMYFUNCTION("""COMPUTED_VALUE"""),"Octavian")</f>
        <v>Octavian</v>
      </c>
      <c r="T299" s="7" t="str">
        <f ca="1">IFERROR(__xludf.DUMMYFUNCTION("""COMPUTED_VALUE"""),"http://www.ms.ro/2020/04/22/buletin-informativ-22-04-2020/")</f>
        <v>http://www.ms.ro/2020/04/22/buletin-informativ-22-04-2020/</v>
      </c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ht="12.5">
      <c r="A300" s="5">
        <f ca="1">IFERROR(__xludf.DUMMYFUNCTION("""COMPUTED_VALUE"""),9317)</f>
        <v>9317</v>
      </c>
      <c r="B300" s="5"/>
      <c r="C300" s="5" t="str">
        <f ca="1">IFERROR(__xludf.DUMMYFUNCTION("""COMPUTED_VALUE"""),"Bihor")</f>
        <v>Bihor</v>
      </c>
      <c r="D300" s="13">
        <f ca="1">IFERROR(__xludf.DUMMYFUNCTION("""COMPUTED_VALUE"""),43943)</f>
        <v>43943</v>
      </c>
      <c r="E300" s="5" t="str">
        <f ca="1">IFERROR(__xludf.DUMMYFUNCTION("""COMPUTED_VALUE"""),"Nu")</f>
        <v>Nu</v>
      </c>
      <c r="F300" s="5"/>
      <c r="G300" s="5"/>
      <c r="H300" s="6"/>
      <c r="I300" s="5"/>
      <c r="J300" s="5"/>
      <c r="K300" s="7" t="str">
        <f ca="1">IFERROR(__xludf.DUMMYFUNCTION("""COMPUTED_VALUE"""),"https://stirioficiale.ro/informatii/buletin-de-presa-22-aprilie-2020-ora-13-57")</f>
        <v>https://stirioficiale.ro/informatii/buletin-de-presa-22-aprilie-2020-ora-13-57</v>
      </c>
      <c r="L300" s="5"/>
      <c r="M300" s="5"/>
      <c r="N300" s="5"/>
      <c r="O300" s="5"/>
      <c r="P300" s="5"/>
      <c r="Q300" s="5"/>
      <c r="R300" s="5" t="str">
        <f ca="1">IFERROR(__xludf.DUMMYFUNCTION("""COMPUTED_VALUE"""),"România")</f>
        <v>România</v>
      </c>
      <c r="S300" s="5" t="str">
        <f ca="1">IFERROR(__xludf.DUMMYFUNCTION("""COMPUTED_VALUE"""),"Octavian")</f>
        <v>Octavian</v>
      </c>
      <c r="T300" s="7" t="str">
        <f ca="1">IFERROR(__xludf.DUMMYFUNCTION("""COMPUTED_VALUE"""),"http://www.ms.ro/2020/04/22/buletin-informativ-22-04-2020/")</f>
        <v>http://www.ms.ro/2020/04/22/buletin-informativ-22-04-2020/</v>
      </c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2.5">
      <c r="A301" s="5">
        <f ca="1">IFERROR(__xludf.DUMMYFUNCTION("""COMPUTED_VALUE"""),9318)</f>
        <v>9318</v>
      </c>
      <c r="B301" s="5"/>
      <c r="C301" s="5" t="str">
        <f ca="1">IFERROR(__xludf.DUMMYFUNCTION("""COMPUTED_VALUE"""),"Bihor")</f>
        <v>Bihor</v>
      </c>
      <c r="D301" s="13">
        <f ca="1">IFERROR(__xludf.DUMMYFUNCTION("""COMPUTED_VALUE"""),43943)</f>
        <v>43943</v>
      </c>
      <c r="E301" s="5" t="str">
        <f ca="1">IFERROR(__xludf.DUMMYFUNCTION("""COMPUTED_VALUE"""),"Nu")</f>
        <v>Nu</v>
      </c>
      <c r="F301" s="5"/>
      <c r="G301" s="5"/>
      <c r="H301" s="6"/>
      <c r="I301" s="5"/>
      <c r="J301" s="5"/>
      <c r="K301" s="7" t="str">
        <f ca="1">IFERROR(__xludf.DUMMYFUNCTION("""COMPUTED_VALUE"""),"https://stirioficiale.ro/informatii/buletin-de-presa-22-aprilie-2020-ora-13-58")</f>
        <v>https://stirioficiale.ro/informatii/buletin-de-presa-22-aprilie-2020-ora-13-58</v>
      </c>
      <c r="L301" s="5"/>
      <c r="M301" s="5"/>
      <c r="N301" s="5"/>
      <c r="O301" s="5"/>
      <c r="P301" s="5"/>
      <c r="Q301" s="5"/>
      <c r="R301" s="5" t="str">
        <f ca="1">IFERROR(__xludf.DUMMYFUNCTION("""COMPUTED_VALUE"""),"România")</f>
        <v>România</v>
      </c>
      <c r="S301" s="5" t="str">
        <f ca="1">IFERROR(__xludf.DUMMYFUNCTION("""COMPUTED_VALUE"""),"Octavian")</f>
        <v>Octavian</v>
      </c>
      <c r="T301" s="7" t="str">
        <f ca="1">IFERROR(__xludf.DUMMYFUNCTION("""COMPUTED_VALUE"""),"http://www.ms.ro/2020/04/22/buletin-informativ-22-04-2020/")</f>
        <v>http://www.ms.ro/2020/04/22/buletin-informativ-22-04-2020/</v>
      </c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ht="12.5">
      <c r="A302" s="5">
        <f ca="1">IFERROR(__xludf.DUMMYFUNCTION("""COMPUTED_VALUE"""),9319)</f>
        <v>9319</v>
      </c>
      <c r="B302" s="5"/>
      <c r="C302" s="5" t="str">
        <f ca="1">IFERROR(__xludf.DUMMYFUNCTION("""COMPUTED_VALUE"""),"Bihor")</f>
        <v>Bihor</v>
      </c>
      <c r="D302" s="13">
        <f ca="1">IFERROR(__xludf.DUMMYFUNCTION("""COMPUTED_VALUE"""),43943)</f>
        <v>43943</v>
      </c>
      <c r="E302" s="5" t="str">
        <f ca="1">IFERROR(__xludf.DUMMYFUNCTION("""COMPUTED_VALUE"""),"Nu")</f>
        <v>Nu</v>
      </c>
      <c r="F302" s="5"/>
      <c r="G302" s="5"/>
      <c r="H302" s="6"/>
      <c r="I302" s="5"/>
      <c r="J302" s="5"/>
      <c r="K302" s="7" t="str">
        <f ca="1">IFERROR(__xludf.DUMMYFUNCTION("""COMPUTED_VALUE"""),"https://stirioficiale.ro/informatii/buletin-de-presa-22-aprilie-2020-ora-13-59")</f>
        <v>https://stirioficiale.ro/informatii/buletin-de-presa-22-aprilie-2020-ora-13-59</v>
      </c>
      <c r="L302" s="5"/>
      <c r="M302" s="5"/>
      <c r="N302" s="5"/>
      <c r="O302" s="5"/>
      <c r="P302" s="5"/>
      <c r="Q302" s="5"/>
      <c r="R302" s="5" t="str">
        <f ca="1">IFERROR(__xludf.DUMMYFUNCTION("""COMPUTED_VALUE"""),"România")</f>
        <v>România</v>
      </c>
      <c r="S302" s="5" t="str">
        <f ca="1">IFERROR(__xludf.DUMMYFUNCTION("""COMPUTED_VALUE"""),"Octavian")</f>
        <v>Octavian</v>
      </c>
      <c r="T302" s="7" t="str">
        <f ca="1">IFERROR(__xludf.DUMMYFUNCTION("""COMPUTED_VALUE"""),"http://www.ms.ro/2020/04/22/buletin-informativ-22-04-2020/")</f>
        <v>http://www.ms.ro/2020/04/22/buletin-informativ-22-04-2020/</v>
      </c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2.5">
      <c r="A303" s="5">
        <f ca="1">IFERROR(__xludf.DUMMYFUNCTION("""COMPUTED_VALUE"""),9320)</f>
        <v>9320</v>
      </c>
      <c r="B303" s="5"/>
      <c r="C303" s="5" t="str">
        <f ca="1">IFERROR(__xludf.DUMMYFUNCTION("""COMPUTED_VALUE"""),"Bihor")</f>
        <v>Bihor</v>
      </c>
      <c r="D303" s="13">
        <f ca="1">IFERROR(__xludf.DUMMYFUNCTION("""COMPUTED_VALUE"""),43943)</f>
        <v>43943</v>
      </c>
      <c r="E303" s="5" t="str">
        <f ca="1">IFERROR(__xludf.DUMMYFUNCTION("""COMPUTED_VALUE"""),"Nu")</f>
        <v>Nu</v>
      </c>
      <c r="F303" s="5"/>
      <c r="G303" s="5"/>
      <c r="H303" s="6"/>
      <c r="I303" s="5"/>
      <c r="J303" s="5"/>
      <c r="K303" s="7" t="str">
        <f ca="1">IFERROR(__xludf.DUMMYFUNCTION("""COMPUTED_VALUE"""),"https://stirioficiale.ro/informatii/buletin-de-presa-22-aprilie-2020-ora-13-60")</f>
        <v>https://stirioficiale.ro/informatii/buletin-de-presa-22-aprilie-2020-ora-13-60</v>
      </c>
      <c r="L303" s="5"/>
      <c r="M303" s="5"/>
      <c r="N303" s="5"/>
      <c r="O303" s="5"/>
      <c r="P303" s="5"/>
      <c r="Q303" s="5"/>
      <c r="R303" s="5" t="str">
        <f ca="1">IFERROR(__xludf.DUMMYFUNCTION("""COMPUTED_VALUE"""),"România")</f>
        <v>România</v>
      </c>
      <c r="S303" s="5" t="str">
        <f ca="1">IFERROR(__xludf.DUMMYFUNCTION("""COMPUTED_VALUE"""),"Octavian")</f>
        <v>Octavian</v>
      </c>
      <c r="T303" s="7" t="str">
        <f ca="1">IFERROR(__xludf.DUMMYFUNCTION("""COMPUTED_VALUE"""),"http://www.ms.ro/2020/04/22/buletin-informativ-22-04-2020/")</f>
        <v>http://www.ms.ro/2020/04/22/buletin-informativ-22-04-2020/</v>
      </c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ht="12.5">
      <c r="A304" s="5">
        <f ca="1">IFERROR(__xludf.DUMMYFUNCTION("""COMPUTED_VALUE"""),9321)</f>
        <v>9321</v>
      </c>
      <c r="B304" s="5"/>
      <c r="C304" s="5" t="str">
        <f ca="1">IFERROR(__xludf.DUMMYFUNCTION("""COMPUTED_VALUE"""),"Bihor")</f>
        <v>Bihor</v>
      </c>
      <c r="D304" s="13">
        <f ca="1">IFERROR(__xludf.DUMMYFUNCTION("""COMPUTED_VALUE"""),43943)</f>
        <v>43943</v>
      </c>
      <c r="E304" s="5" t="str">
        <f ca="1">IFERROR(__xludf.DUMMYFUNCTION("""COMPUTED_VALUE"""),"Nu")</f>
        <v>Nu</v>
      </c>
      <c r="F304" s="5"/>
      <c r="G304" s="5"/>
      <c r="H304" s="6"/>
      <c r="I304" s="5"/>
      <c r="J304" s="5"/>
      <c r="K304" s="7" t="str">
        <f ca="1">IFERROR(__xludf.DUMMYFUNCTION("""COMPUTED_VALUE"""),"https://stirioficiale.ro/informatii/buletin-de-presa-22-aprilie-2020-ora-13-61")</f>
        <v>https://stirioficiale.ro/informatii/buletin-de-presa-22-aprilie-2020-ora-13-61</v>
      </c>
      <c r="L304" s="5"/>
      <c r="M304" s="5"/>
      <c r="N304" s="5"/>
      <c r="O304" s="5"/>
      <c r="P304" s="5"/>
      <c r="Q304" s="5"/>
      <c r="R304" s="5" t="str">
        <f ca="1">IFERROR(__xludf.DUMMYFUNCTION("""COMPUTED_VALUE"""),"România")</f>
        <v>România</v>
      </c>
      <c r="S304" s="5" t="str">
        <f ca="1">IFERROR(__xludf.DUMMYFUNCTION("""COMPUTED_VALUE"""),"Octavian")</f>
        <v>Octavian</v>
      </c>
      <c r="T304" s="7" t="str">
        <f ca="1">IFERROR(__xludf.DUMMYFUNCTION("""COMPUTED_VALUE"""),"http://www.ms.ro/2020/04/22/buletin-informativ-22-04-2020/")</f>
        <v>http://www.ms.ro/2020/04/22/buletin-informativ-22-04-2020/</v>
      </c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2.5">
      <c r="A305" s="5">
        <f ca="1">IFERROR(__xludf.DUMMYFUNCTION("""COMPUTED_VALUE"""),9322)</f>
        <v>9322</v>
      </c>
      <c r="B305" s="5"/>
      <c r="C305" s="5" t="str">
        <f ca="1">IFERROR(__xludf.DUMMYFUNCTION("""COMPUTED_VALUE"""),"Bihor")</f>
        <v>Bihor</v>
      </c>
      <c r="D305" s="13">
        <f ca="1">IFERROR(__xludf.DUMMYFUNCTION("""COMPUTED_VALUE"""),43943)</f>
        <v>43943</v>
      </c>
      <c r="E305" s="5" t="str">
        <f ca="1">IFERROR(__xludf.DUMMYFUNCTION("""COMPUTED_VALUE"""),"Nu")</f>
        <v>Nu</v>
      </c>
      <c r="F305" s="5"/>
      <c r="G305" s="5"/>
      <c r="H305" s="6"/>
      <c r="I305" s="5"/>
      <c r="J305" s="5"/>
      <c r="K305" s="7" t="str">
        <f ca="1">IFERROR(__xludf.DUMMYFUNCTION("""COMPUTED_VALUE"""),"https://stirioficiale.ro/informatii/buletin-de-presa-22-aprilie-2020-ora-13-62")</f>
        <v>https://stirioficiale.ro/informatii/buletin-de-presa-22-aprilie-2020-ora-13-62</v>
      </c>
      <c r="L305" s="5"/>
      <c r="M305" s="5"/>
      <c r="N305" s="5"/>
      <c r="O305" s="5"/>
      <c r="P305" s="5"/>
      <c r="Q305" s="5"/>
      <c r="R305" s="5" t="str">
        <f ca="1">IFERROR(__xludf.DUMMYFUNCTION("""COMPUTED_VALUE"""),"România")</f>
        <v>România</v>
      </c>
      <c r="S305" s="5" t="str">
        <f ca="1">IFERROR(__xludf.DUMMYFUNCTION("""COMPUTED_VALUE"""),"Octavian")</f>
        <v>Octavian</v>
      </c>
      <c r="T305" s="7" t="str">
        <f ca="1">IFERROR(__xludf.DUMMYFUNCTION("""COMPUTED_VALUE"""),"http://www.ms.ro/2020/04/22/buletin-informativ-22-04-2020/")</f>
        <v>http://www.ms.ro/2020/04/22/buletin-informativ-22-04-2020/</v>
      </c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ht="12.5">
      <c r="A306" s="5">
        <f ca="1">IFERROR(__xludf.DUMMYFUNCTION("""COMPUTED_VALUE"""),9323)</f>
        <v>9323</v>
      </c>
      <c r="B306" s="5"/>
      <c r="C306" s="5" t="str">
        <f ca="1">IFERROR(__xludf.DUMMYFUNCTION("""COMPUTED_VALUE"""),"Bihor")</f>
        <v>Bihor</v>
      </c>
      <c r="D306" s="13">
        <f ca="1">IFERROR(__xludf.DUMMYFUNCTION("""COMPUTED_VALUE"""),43943)</f>
        <v>43943</v>
      </c>
      <c r="E306" s="5" t="str">
        <f ca="1">IFERROR(__xludf.DUMMYFUNCTION("""COMPUTED_VALUE"""),"Nu")</f>
        <v>Nu</v>
      </c>
      <c r="F306" s="5"/>
      <c r="G306" s="5"/>
      <c r="H306" s="6"/>
      <c r="I306" s="5"/>
      <c r="J306" s="5"/>
      <c r="K306" s="7" t="str">
        <f ca="1">IFERROR(__xludf.DUMMYFUNCTION("""COMPUTED_VALUE"""),"https://stirioficiale.ro/informatii/buletin-de-presa-22-aprilie-2020-ora-13-63")</f>
        <v>https://stirioficiale.ro/informatii/buletin-de-presa-22-aprilie-2020-ora-13-63</v>
      </c>
      <c r="L306" s="5"/>
      <c r="M306" s="5"/>
      <c r="N306" s="5"/>
      <c r="O306" s="5"/>
      <c r="P306" s="5"/>
      <c r="Q306" s="5"/>
      <c r="R306" s="5" t="str">
        <f ca="1">IFERROR(__xludf.DUMMYFUNCTION("""COMPUTED_VALUE"""),"România")</f>
        <v>România</v>
      </c>
      <c r="S306" s="5" t="str">
        <f ca="1">IFERROR(__xludf.DUMMYFUNCTION("""COMPUTED_VALUE"""),"Octavian")</f>
        <v>Octavian</v>
      </c>
      <c r="T306" s="7" t="str">
        <f ca="1">IFERROR(__xludf.DUMMYFUNCTION("""COMPUTED_VALUE"""),"http://www.ms.ro/2020/04/22/buletin-informativ-22-04-2020/")</f>
        <v>http://www.ms.ro/2020/04/22/buletin-informativ-22-04-2020/</v>
      </c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2.5">
      <c r="A307" s="5">
        <f ca="1">IFERROR(__xludf.DUMMYFUNCTION("""COMPUTED_VALUE"""),9324)</f>
        <v>9324</v>
      </c>
      <c r="B307" s="5"/>
      <c r="C307" s="5" t="str">
        <f ca="1">IFERROR(__xludf.DUMMYFUNCTION("""COMPUTED_VALUE"""),"Bihor")</f>
        <v>Bihor</v>
      </c>
      <c r="D307" s="13">
        <f ca="1">IFERROR(__xludf.DUMMYFUNCTION("""COMPUTED_VALUE"""),43943)</f>
        <v>43943</v>
      </c>
      <c r="E307" s="5" t="str">
        <f ca="1">IFERROR(__xludf.DUMMYFUNCTION("""COMPUTED_VALUE"""),"Nu")</f>
        <v>Nu</v>
      </c>
      <c r="F307" s="5"/>
      <c r="G307" s="5"/>
      <c r="H307" s="6"/>
      <c r="I307" s="5"/>
      <c r="J307" s="5"/>
      <c r="K307" s="7" t="str">
        <f ca="1">IFERROR(__xludf.DUMMYFUNCTION("""COMPUTED_VALUE"""),"https://stirioficiale.ro/informatii/buletin-de-presa-22-aprilie-2020-ora-13-64")</f>
        <v>https://stirioficiale.ro/informatii/buletin-de-presa-22-aprilie-2020-ora-13-64</v>
      </c>
      <c r="L307" s="5"/>
      <c r="M307" s="5"/>
      <c r="N307" s="5"/>
      <c r="O307" s="5"/>
      <c r="P307" s="5"/>
      <c r="Q307" s="5"/>
      <c r="R307" s="5" t="str">
        <f ca="1">IFERROR(__xludf.DUMMYFUNCTION("""COMPUTED_VALUE"""),"România")</f>
        <v>România</v>
      </c>
      <c r="S307" s="5" t="str">
        <f ca="1">IFERROR(__xludf.DUMMYFUNCTION("""COMPUTED_VALUE"""),"Octavian")</f>
        <v>Octavian</v>
      </c>
      <c r="T307" s="7" t="str">
        <f ca="1">IFERROR(__xludf.DUMMYFUNCTION("""COMPUTED_VALUE"""),"http://www.ms.ro/2020/04/22/buletin-informativ-22-04-2020/")</f>
        <v>http://www.ms.ro/2020/04/22/buletin-informativ-22-04-2020/</v>
      </c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ht="12.5">
      <c r="A308" s="5">
        <f ca="1">IFERROR(__xludf.DUMMYFUNCTION("""COMPUTED_VALUE"""),9325)</f>
        <v>9325</v>
      </c>
      <c r="B308" s="5"/>
      <c r="C308" s="5" t="str">
        <f ca="1">IFERROR(__xludf.DUMMYFUNCTION("""COMPUTED_VALUE"""),"Bihor")</f>
        <v>Bihor</v>
      </c>
      <c r="D308" s="13">
        <f ca="1">IFERROR(__xludf.DUMMYFUNCTION("""COMPUTED_VALUE"""),43943)</f>
        <v>43943</v>
      </c>
      <c r="E308" s="5" t="str">
        <f ca="1">IFERROR(__xludf.DUMMYFUNCTION("""COMPUTED_VALUE"""),"Nu")</f>
        <v>Nu</v>
      </c>
      <c r="F308" s="5"/>
      <c r="G308" s="5"/>
      <c r="H308" s="6"/>
      <c r="I308" s="5"/>
      <c r="J308" s="5"/>
      <c r="K308" s="7" t="str">
        <f ca="1">IFERROR(__xludf.DUMMYFUNCTION("""COMPUTED_VALUE"""),"https://stirioficiale.ro/informatii/buletin-de-presa-22-aprilie-2020-ora-13-65")</f>
        <v>https://stirioficiale.ro/informatii/buletin-de-presa-22-aprilie-2020-ora-13-65</v>
      </c>
      <c r="L308" s="5"/>
      <c r="M308" s="5"/>
      <c r="N308" s="5"/>
      <c r="O308" s="5"/>
      <c r="P308" s="5"/>
      <c r="Q308" s="5"/>
      <c r="R308" s="5" t="str">
        <f ca="1">IFERROR(__xludf.DUMMYFUNCTION("""COMPUTED_VALUE"""),"România")</f>
        <v>România</v>
      </c>
      <c r="S308" s="5" t="str">
        <f ca="1">IFERROR(__xludf.DUMMYFUNCTION("""COMPUTED_VALUE"""),"Octavian")</f>
        <v>Octavian</v>
      </c>
      <c r="T308" s="7" t="str">
        <f ca="1">IFERROR(__xludf.DUMMYFUNCTION("""COMPUTED_VALUE"""),"http://www.ms.ro/2020/04/22/buletin-informativ-22-04-2020/")</f>
        <v>http://www.ms.ro/2020/04/22/buletin-informativ-22-04-2020/</v>
      </c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2.5">
      <c r="A309" s="5">
        <f ca="1">IFERROR(__xludf.DUMMYFUNCTION("""COMPUTED_VALUE"""),9326)</f>
        <v>9326</v>
      </c>
      <c r="B309" s="5"/>
      <c r="C309" s="5" t="str">
        <f ca="1">IFERROR(__xludf.DUMMYFUNCTION("""COMPUTED_VALUE"""),"Bihor")</f>
        <v>Bihor</v>
      </c>
      <c r="D309" s="13">
        <f ca="1">IFERROR(__xludf.DUMMYFUNCTION("""COMPUTED_VALUE"""),43943)</f>
        <v>43943</v>
      </c>
      <c r="E309" s="5" t="str">
        <f ca="1">IFERROR(__xludf.DUMMYFUNCTION("""COMPUTED_VALUE"""),"Nu")</f>
        <v>Nu</v>
      </c>
      <c r="F309" s="5"/>
      <c r="G309" s="5"/>
      <c r="H309" s="6"/>
      <c r="I309" s="5"/>
      <c r="J309" s="5"/>
      <c r="K309" s="7" t="str">
        <f ca="1">IFERROR(__xludf.DUMMYFUNCTION("""COMPUTED_VALUE"""),"https://stirioficiale.ro/informatii/buletin-de-presa-22-aprilie-2020-ora-13-66")</f>
        <v>https://stirioficiale.ro/informatii/buletin-de-presa-22-aprilie-2020-ora-13-66</v>
      </c>
      <c r="L309" s="5"/>
      <c r="M309" s="5"/>
      <c r="N309" s="5"/>
      <c r="O309" s="5"/>
      <c r="P309" s="5"/>
      <c r="Q309" s="5"/>
      <c r="R309" s="5" t="str">
        <f ca="1">IFERROR(__xludf.DUMMYFUNCTION("""COMPUTED_VALUE"""),"România")</f>
        <v>România</v>
      </c>
      <c r="S309" s="5" t="str">
        <f ca="1">IFERROR(__xludf.DUMMYFUNCTION("""COMPUTED_VALUE"""),"Octavian")</f>
        <v>Octavian</v>
      </c>
      <c r="T309" s="7" t="str">
        <f ca="1">IFERROR(__xludf.DUMMYFUNCTION("""COMPUTED_VALUE"""),"http://www.ms.ro/2020/04/22/buletin-informativ-22-04-2020/")</f>
        <v>http://www.ms.ro/2020/04/22/buletin-informativ-22-04-2020/</v>
      </c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ht="12.5">
      <c r="A310" s="5">
        <f ca="1">IFERROR(__xludf.DUMMYFUNCTION("""COMPUTED_VALUE"""),9327)</f>
        <v>9327</v>
      </c>
      <c r="B310" s="5"/>
      <c r="C310" s="5" t="str">
        <f ca="1">IFERROR(__xludf.DUMMYFUNCTION("""COMPUTED_VALUE"""),"Bihor")</f>
        <v>Bihor</v>
      </c>
      <c r="D310" s="13">
        <f ca="1">IFERROR(__xludf.DUMMYFUNCTION("""COMPUTED_VALUE"""),43943)</f>
        <v>43943</v>
      </c>
      <c r="E310" s="5" t="str">
        <f ca="1">IFERROR(__xludf.DUMMYFUNCTION("""COMPUTED_VALUE"""),"Nu")</f>
        <v>Nu</v>
      </c>
      <c r="F310" s="5"/>
      <c r="G310" s="5"/>
      <c r="H310" s="6"/>
      <c r="I310" s="5"/>
      <c r="J310" s="5"/>
      <c r="K310" s="7" t="str">
        <f ca="1">IFERROR(__xludf.DUMMYFUNCTION("""COMPUTED_VALUE"""),"https://stirioficiale.ro/informatii/buletin-de-presa-22-aprilie-2020-ora-13-67")</f>
        <v>https://stirioficiale.ro/informatii/buletin-de-presa-22-aprilie-2020-ora-13-67</v>
      </c>
      <c r="L310" s="5"/>
      <c r="M310" s="5"/>
      <c r="N310" s="5"/>
      <c r="O310" s="5"/>
      <c r="P310" s="5"/>
      <c r="Q310" s="5"/>
      <c r="R310" s="5" t="str">
        <f ca="1">IFERROR(__xludf.DUMMYFUNCTION("""COMPUTED_VALUE"""),"România")</f>
        <v>România</v>
      </c>
      <c r="S310" s="5" t="str">
        <f ca="1">IFERROR(__xludf.DUMMYFUNCTION("""COMPUTED_VALUE"""),"Octavian")</f>
        <v>Octavian</v>
      </c>
      <c r="T310" s="7" t="str">
        <f ca="1">IFERROR(__xludf.DUMMYFUNCTION("""COMPUTED_VALUE"""),"http://www.ms.ro/2020/04/22/buletin-informativ-22-04-2020/")</f>
        <v>http://www.ms.ro/2020/04/22/buletin-informativ-22-04-2020/</v>
      </c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2.5">
      <c r="A311" s="5">
        <f ca="1">IFERROR(__xludf.DUMMYFUNCTION("""COMPUTED_VALUE"""),9328)</f>
        <v>9328</v>
      </c>
      <c r="B311" s="5"/>
      <c r="C311" s="5" t="str">
        <f ca="1">IFERROR(__xludf.DUMMYFUNCTION("""COMPUTED_VALUE"""),"Bihor")</f>
        <v>Bihor</v>
      </c>
      <c r="D311" s="13">
        <f ca="1">IFERROR(__xludf.DUMMYFUNCTION("""COMPUTED_VALUE"""),43943)</f>
        <v>43943</v>
      </c>
      <c r="E311" s="5" t="str">
        <f ca="1">IFERROR(__xludf.DUMMYFUNCTION("""COMPUTED_VALUE"""),"Nu")</f>
        <v>Nu</v>
      </c>
      <c r="F311" s="5"/>
      <c r="G311" s="5"/>
      <c r="H311" s="6"/>
      <c r="I311" s="5"/>
      <c r="J311" s="5"/>
      <c r="K311" s="7" t="str">
        <f ca="1">IFERROR(__xludf.DUMMYFUNCTION("""COMPUTED_VALUE"""),"https://stirioficiale.ro/informatii/buletin-de-presa-22-aprilie-2020-ora-13-68")</f>
        <v>https://stirioficiale.ro/informatii/buletin-de-presa-22-aprilie-2020-ora-13-68</v>
      </c>
      <c r="L311" s="5"/>
      <c r="M311" s="5"/>
      <c r="N311" s="5"/>
      <c r="O311" s="5"/>
      <c r="P311" s="5"/>
      <c r="Q311" s="5"/>
      <c r="R311" s="5" t="str">
        <f ca="1">IFERROR(__xludf.DUMMYFUNCTION("""COMPUTED_VALUE"""),"România")</f>
        <v>România</v>
      </c>
      <c r="S311" s="5" t="str">
        <f ca="1">IFERROR(__xludf.DUMMYFUNCTION("""COMPUTED_VALUE"""),"Octavian")</f>
        <v>Octavian</v>
      </c>
      <c r="T311" s="7" t="str">
        <f ca="1">IFERROR(__xludf.DUMMYFUNCTION("""COMPUTED_VALUE"""),"http://www.ms.ro/2020/04/22/buletin-informativ-22-04-2020/")</f>
        <v>http://www.ms.ro/2020/04/22/buletin-informativ-22-04-2020/</v>
      </c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ht="12.5">
      <c r="A312" s="5">
        <f ca="1">IFERROR(__xludf.DUMMYFUNCTION("""COMPUTED_VALUE"""),9329)</f>
        <v>9329</v>
      </c>
      <c r="B312" s="5"/>
      <c r="C312" s="5" t="str">
        <f ca="1">IFERROR(__xludf.DUMMYFUNCTION("""COMPUTED_VALUE"""),"Bihor")</f>
        <v>Bihor</v>
      </c>
      <c r="D312" s="13">
        <f ca="1">IFERROR(__xludf.DUMMYFUNCTION("""COMPUTED_VALUE"""),43943)</f>
        <v>43943</v>
      </c>
      <c r="E312" s="5" t="str">
        <f ca="1">IFERROR(__xludf.DUMMYFUNCTION("""COMPUTED_VALUE"""),"Nu")</f>
        <v>Nu</v>
      </c>
      <c r="F312" s="5"/>
      <c r="G312" s="5"/>
      <c r="H312" s="6"/>
      <c r="I312" s="5"/>
      <c r="J312" s="5"/>
      <c r="K312" s="7" t="str">
        <f ca="1">IFERROR(__xludf.DUMMYFUNCTION("""COMPUTED_VALUE"""),"https://stirioficiale.ro/informatii/buletin-de-presa-22-aprilie-2020-ora-13-69")</f>
        <v>https://stirioficiale.ro/informatii/buletin-de-presa-22-aprilie-2020-ora-13-69</v>
      </c>
      <c r="L312" s="5"/>
      <c r="M312" s="5"/>
      <c r="N312" s="5"/>
      <c r="O312" s="5"/>
      <c r="P312" s="5"/>
      <c r="Q312" s="5"/>
      <c r="R312" s="5" t="str">
        <f ca="1">IFERROR(__xludf.DUMMYFUNCTION("""COMPUTED_VALUE"""),"România")</f>
        <v>România</v>
      </c>
      <c r="S312" s="5" t="str">
        <f ca="1">IFERROR(__xludf.DUMMYFUNCTION("""COMPUTED_VALUE"""),"Octavian")</f>
        <v>Octavian</v>
      </c>
      <c r="T312" s="7" t="str">
        <f ca="1">IFERROR(__xludf.DUMMYFUNCTION("""COMPUTED_VALUE"""),"http://www.ms.ro/2020/04/22/buletin-informativ-22-04-2020/")</f>
        <v>http://www.ms.ro/2020/04/22/buletin-informativ-22-04-2020/</v>
      </c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2.5">
      <c r="A313" s="5">
        <f ca="1">IFERROR(__xludf.DUMMYFUNCTION("""COMPUTED_VALUE"""),9330)</f>
        <v>9330</v>
      </c>
      <c r="B313" s="5"/>
      <c r="C313" s="5" t="str">
        <f ca="1">IFERROR(__xludf.DUMMYFUNCTION("""COMPUTED_VALUE"""),"Bihor")</f>
        <v>Bihor</v>
      </c>
      <c r="D313" s="13">
        <f ca="1">IFERROR(__xludf.DUMMYFUNCTION("""COMPUTED_VALUE"""),43943)</f>
        <v>43943</v>
      </c>
      <c r="E313" s="5" t="str">
        <f ca="1">IFERROR(__xludf.DUMMYFUNCTION("""COMPUTED_VALUE"""),"Nu")</f>
        <v>Nu</v>
      </c>
      <c r="F313" s="5"/>
      <c r="G313" s="5"/>
      <c r="H313" s="6"/>
      <c r="I313" s="5"/>
      <c r="J313" s="5"/>
      <c r="K313" s="7" t="str">
        <f ca="1">IFERROR(__xludf.DUMMYFUNCTION("""COMPUTED_VALUE"""),"https://stirioficiale.ro/informatii/buletin-de-presa-22-aprilie-2020-ora-13-70")</f>
        <v>https://stirioficiale.ro/informatii/buletin-de-presa-22-aprilie-2020-ora-13-70</v>
      </c>
      <c r="L313" s="5"/>
      <c r="M313" s="5"/>
      <c r="N313" s="5"/>
      <c r="O313" s="5"/>
      <c r="P313" s="5"/>
      <c r="Q313" s="5"/>
      <c r="R313" s="5" t="str">
        <f ca="1">IFERROR(__xludf.DUMMYFUNCTION("""COMPUTED_VALUE"""),"România")</f>
        <v>România</v>
      </c>
      <c r="S313" s="5" t="str">
        <f ca="1">IFERROR(__xludf.DUMMYFUNCTION("""COMPUTED_VALUE"""),"Octavian")</f>
        <v>Octavian</v>
      </c>
      <c r="T313" s="7" t="str">
        <f ca="1">IFERROR(__xludf.DUMMYFUNCTION("""COMPUTED_VALUE"""),"http://www.ms.ro/2020/04/22/buletin-informativ-22-04-2020/")</f>
        <v>http://www.ms.ro/2020/04/22/buletin-informativ-22-04-2020/</v>
      </c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ht="12.5">
      <c r="A314" s="5">
        <f ca="1">IFERROR(__xludf.DUMMYFUNCTION("""COMPUTED_VALUE"""),9331)</f>
        <v>9331</v>
      </c>
      <c r="B314" s="5"/>
      <c r="C314" s="5" t="str">
        <f ca="1">IFERROR(__xludf.DUMMYFUNCTION("""COMPUTED_VALUE"""),"Bihor")</f>
        <v>Bihor</v>
      </c>
      <c r="D314" s="13">
        <f ca="1">IFERROR(__xludf.DUMMYFUNCTION("""COMPUTED_VALUE"""),43943)</f>
        <v>43943</v>
      </c>
      <c r="E314" s="5" t="str">
        <f ca="1">IFERROR(__xludf.DUMMYFUNCTION("""COMPUTED_VALUE"""),"Nu")</f>
        <v>Nu</v>
      </c>
      <c r="F314" s="5"/>
      <c r="G314" s="5"/>
      <c r="H314" s="6"/>
      <c r="I314" s="5"/>
      <c r="J314" s="5"/>
      <c r="K314" s="7" t="str">
        <f ca="1">IFERROR(__xludf.DUMMYFUNCTION("""COMPUTED_VALUE"""),"https://stirioficiale.ro/informatii/buletin-de-presa-22-aprilie-2020-ora-13-71")</f>
        <v>https://stirioficiale.ro/informatii/buletin-de-presa-22-aprilie-2020-ora-13-71</v>
      </c>
      <c r="L314" s="5"/>
      <c r="M314" s="5"/>
      <c r="N314" s="5"/>
      <c r="O314" s="5"/>
      <c r="P314" s="5"/>
      <c r="Q314" s="5"/>
      <c r="R314" s="5" t="str">
        <f ca="1">IFERROR(__xludf.DUMMYFUNCTION("""COMPUTED_VALUE"""),"România")</f>
        <v>România</v>
      </c>
      <c r="S314" s="5" t="str">
        <f ca="1">IFERROR(__xludf.DUMMYFUNCTION("""COMPUTED_VALUE"""),"Octavian")</f>
        <v>Octavian</v>
      </c>
      <c r="T314" s="7" t="str">
        <f ca="1">IFERROR(__xludf.DUMMYFUNCTION("""COMPUTED_VALUE"""),"http://www.ms.ro/2020/04/22/buletin-informativ-22-04-2020/")</f>
        <v>http://www.ms.ro/2020/04/22/buletin-informativ-22-04-2020/</v>
      </c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2.5">
      <c r="A315" s="5">
        <f ca="1">IFERROR(__xludf.DUMMYFUNCTION("""COMPUTED_VALUE"""),9332)</f>
        <v>9332</v>
      </c>
      <c r="B315" s="5"/>
      <c r="C315" s="5" t="str">
        <f ca="1">IFERROR(__xludf.DUMMYFUNCTION("""COMPUTED_VALUE"""),"Bihor")</f>
        <v>Bihor</v>
      </c>
      <c r="D315" s="13">
        <f ca="1">IFERROR(__xludf.DUMMYFUNCTION("""COMPUTED_VALUE"""),43943)</f>
        <v>43943</v>
      </c>
      <c r="E315" s="5" t="str">
        <f ca="1">IFERROR(__xludf.DUMMYFUNCTION("""COMPUTED_VALUE"""),"Nu")</f>
        <v>Nu</v>
      </c>
      <c r="F315" s="5"/>
      <c r="G315" s="5"/>
      <c r="H315" s="6"/>
      <c r="I315" s="5"/>
      <c r="J315" s="5"/>
      <c r="K315" s="7" t="str">
        <f ca="1">IFERROR(__xludf.DUMMYFUNCTION("""COMPUTED_VALUE"""),"https://stirioficiale.ro/informatii/buletin-de-presa-22-aprilie-2020-ora-13-72")</f>
        <v>https://stirioficiale.ro/informatii/buletin-de-presa-22-aprilie-2020-ora-13-72</v>
      </c>
      <c r="L315" s="5"/>
      <c r="M315" s="5"/>
      <c r="N315" s="5"/>
      <c r="O315" s="5"/>
      <c r="P315" s="5"/>
      <c r="Q315" s="5"/>
      <c r="R315" s="5" t="str">
        <f ca="1">IFERROR(__xludf.DUMMYFUNCTION("""COMPUTED_VALUE"""),"România")</f>
        <v>România</v>
      </c>
      <c r="S315" s="5" t="str">
        <f ca="1">IFERROR(__xludf.DUMMYFUNCTION("""COMPUTED_VALUE"""),"Octavian")</f>
        <v>Octavian</v>
      </c>
      <c r="T315" s="7" t="str">
        <f ca="1">IFERROR(__xludf.DUMMYFUNCTION("""COMPUTED_VALUE"""),"http://www.ms.ro/2020/04/22/buletin-informativ-22-04-2020/")</f>
        <v>http://www.ms.ro/2020/04/22/buletin-informativ-22-04-2020/</v>
      </c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ht="12.5">
      <c r="A316" s="5">
        <f ca="1">IFERROR(__xludf.DUMMYFUNCTION("""COMPUTED_VALUE"""),9333)</f>
        <v>9333</v>
      </c>
      <c r="B316" s="5"/>
      <c r="C316" s="5" t="str">
        <f ca="1">IFERROR(__xludf.DUMMYFUNCTION("""COMPUTED_VALUE"""),"Bihor")</f>
        <v>Bihor</v>
      </c>
      <c r="D316" s="13">
        <f ca="1">IFERROR(__xludf.DUMMYFUNCTION("""COMPUTED_VALUE"""),43943)</f>
        <v>43943</v>
      </c>
      <c r="E316" s="5" t="str">
        <f ca="1">IFERROR(__xludf.DUMMYFUNCTION("""COMPUTED_VALUE"""),"Nu")</f>
        <v>Nu</v>
      </c>
      <c r="F316" s="5"/>
      <c r="G316" s="5"/>
      <c r="H316" s="6"/>
      <c r="I316" s="5"/>
      <c r="J316" s="5"/>
      <c r="K316" s="7" t="str">
        <f ca="1">IFERROR(__xludf.DUMMYFUNCTION("""COMPUTED_VALUE"""),"https://stirioficiale.ro/informatii/buletin-de-presa-22-aprilie-2020-ora-13-73")</f>
        <v>https://stirioficiale.ro/informatii/buletin-de-presa-22-aprilie-2020-ora-13-73</v>
      </c>
      <c r="L316" s="5"/>
      <c r="M316" s="5"/>
      <c r="N316" s="5"/>
      <c r="O316" s="5"/>
      <c r="P316" s="5"/>
      <c r="Q316" s="5"/>
      <c r="R316" s="5" t="str">
        <f ca="1">IFERROR(__xludf.DUMMYFUNCTION("""COMPUTED_VALUE"""),"România")</f>
        <v>România</v>
      </c>
      <c r="S316" s="5" t="str">
        <f ca="1">IFERROR(__xludf.DUMMYFUNCTION("""COMPUTED_VALUE"""),"Octavian")</f>
        <v>Octavian</v>
      </c>
      <c r="T316" s="7" t="str">
        <f ca="1">IFERROR(__xludf.DUMMYFUNCTION("""COMPUTED_VALUE"""),"http://www.ms.ro/2020/04/22/buletin-informativ-22-04-2020/")</f>
        <v>http://www.ms.ro/2020/04/22/buletin-informativ-22-04-2020/</v>
      </c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2.5">
      <c r="A317" s="5">
        <f ca="1">IFERROR(__xludf.DUMMYFUNCTION("""COMPUTED_VALUE"""),9334)</f>
        <v>9334</v>
      </c>
      <c r="B317" s="5"/>
      <c r="C317" s="5" t="str">
        <f ca="1">IFERROR(__xludf.DUMMYFUNCTION("""COMPUTED_VALUE"""),"Bihor")</f>
        <v>Bihor</v>
      </c>
      <c r="D317" s="13">
        <f ca="1">IFERROR(__xludf.DUMMYFUNCTION("""COMPUTED_VALUE"""),43943)</f>
        <v>43943</v>
      </c>
      <c r="E317" s="5" t="str">
        <f ca="1">IFERROR(__xludf.DUMMYFUNCTION("""COMPUTED_VALUE"""),"Nu")</f>
        <v>Nu</v>
      </c>
      <c r="F317" s="5"/>
      <c r="G317" s="5"/>
      <c r="H317" s="6"/>
      <c r="I317" s="5"/>
      <c r="J317" s="5"/>
      <c r="K317" s="7" t="str">
        <f ca="1">IFERROR(__xludf.DUMMYFUNCTION("""COMPUTED_VALUE"""),"https://stirioficiale.ro/informatii/buletin-de-presa-22-aprilie-2020-ora-13-74")</f>
        <v>https://stirioficiale.ro/informatii/buletin-de-presa-22-aprilie-2020-ora-13-74</v>
      </c>
      <c r="L317" s="5"/>
      <c r="M317" s="5"/>
      <c r="N317" s="5"/>
      <c r="O317" s="5"/>
      <c r="P317" s="5"/>
      <c r="Q317" s="5"/>
      <c r="R317" s="5" t="str">
        <f ca="1">IFERROR(__xludf.DUMMYFUNCTION("""COMPUTED_VALUE"""),"România")</f>
        <v>România</v>
      </c>
      <c r="S317" s="5" t="str">
        <f ca="1">IFERROR(__xludf.DUMMYFUNCTION("""COMPUTED_VALUE"""),"Octavian")</f>
        <v>Octavian</v>
      </c>
      <c r="T317" s="7" t="str">
        <f ca="1">IFERROR(__xludf.DUMMYFUNCTION("""COMPUTED_VALUE"""),"http://www.ms.ro/2020/04/22/buletin-informativ-22-04-2020/")</f>
        <v>http://www.ms.ro/2020/04/22/buletin-informativ-22-04-2020/</v>
      </c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ht="12.5">
      <c r="A318" s="5">
        <f ca="1">IFERROR(__xludf.DUMMYFUNCTION("""COMPUTED_VALUE"""),9734)</f>
        <v>9734</v>
      </c>
      <c r="B318" s="5"/>
      <c r="C318" s="5" t="str">
        <f ca="1">IFERROR(__xludf.DUMMYFUNCTION("""COMPUTED_VALUE"""),"Bihor")</f>
        <v>Bihor</v>
      </c>
      <c r="D318" s="13">
        <f ca="1">IFERROR(__xludf.DUMMYFUNCTION("""COMPUTED_VALUE"""),43944)</f>
        <v>43944</v>
      </c>
      <c r="E318" s="5" t="str">
        <f ca="1">IFERROR(__xludf.DUMMYFUNCTION("""COMPUTED_VALUE"""),"Nu")</f>
        <v>Nu</v>
      </c>
      <c r="F318" s="5"/>
      <c r="G318" s="5"/>
      <c r="H318" s="6"/>
      <c r="I318" s="5"/>
      <c r="J318" s="5"/>
      <c r="K318" s="7" t="str">
        <f ca="1">IFERROR(__xludf.DUMMYFUNCTION("""COMPUTED_VALUE"""),"https://stirioficiale.ro/informatii/buletin-de-presa-23-aprilie-2020-ora-13-00")</f>
        <v>https://stirioficiale.ro/informatii/buletin-de-presa-23-aprilie-2020-ora-13-00</v>
      </c>
      <c r="L318" s="5"/>
      <c r="M318" s="5"/>
      <c r="N318" s="5"/>
      <c r="O318" s="5"/>
      <c r="P318" s="5"/>
      <c r="Q318" s="5"/>
      <c r="R318" s="5" t="str">
        <f ca="1">IFERROR(__xludf.DUMMYFUNCTION("""COMPUTED_VALUE"""),"România")</f>
        <v>România</v>
      </c>
      <c r="S318" s="5" t="str">
        <f ca="1">IFERROR(__xludf.DUMMYFUNCTION("""COMPUTED_VALUE"""),"Octavian")</f>
        <v>Octavian</v>
      </c>
      <c r="T318" s="7" t="str">
        <f ca="1">IFERROR(__xludf.DUMMYFUNCTION("""COMPUTED_VALUE"""),"http://www.ms.ro/2020/04/23/buletin-informativ-23-04-2020/")</f>
        <v>http://www.ms.ro/2020/04/23/buletin-informativ-23-04-2020/</v>
      </c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2.5">
      <c r="A319" s="5">
        <f ca="1">IFERROR(__xludf.DUMMYFUNCTION("""COMPUTED_VALUE"""),9735)</f>
        <v>9735</v>
      </c>
      <c r="B319" s="5"/>
      <c r="C319" s="5" t="str">
        <f ca="1">IFERROR(__xludf.DUMMYFUNCTION("""COMPUTED_VALUE"""),"Bihor")</f>
        <v>Bihor</v>
      </c>
      <c r="D319" s="13">
        <f ca="1">IFERROR(__xludf.DUMMYFUNCTION("""COMPUTED_VALUE"""),43944)</f>
        <v>43944</v>
      </c>
      <c r="E319" s="5" t="str">
        <f ca="1">IFERROR(__xludf.DUMMYFUNCTION("""COMPUTED_VALUE"""),"Nu")</f>
        <v>Nu</v>
      </c>
      <c r="F319" s="5"/>
      <c r="G319" s="5"/>
      <c r="H319" s="6"/>
      <c r="I319" s="5"/>
      <c r="J319" s="5"/>
      <c r="K319" s="7" t="str">
        <f ca="1">IFERROR(__xludf.DUMMYFUNCTION("""COMPUTED_VALUE"""),"https://stirioficiale.ro/informatii/buletin-de-presa-23-aprilie-2020-ora-13-00")</f>
        <v>https://stirioficiale.ro/informatii/buletin-de-presa-23-aprilie-2020-ora-13-00</v>
      </c>
      <c r="L319" s="5"/>
      <c r="M319" s="5"/>
      <c r="N319" s="5"/>
      <c r="O319" s="5"/>
      <c r="P319" s="5"/>
      <c r="Q319" s="5"/>
      <c r="R319" s="5" t="str">
        <f ca="1">IFERROR(__xludf.DUMMYFUNCTION("""COMPUTED_VALUE"""),"România")</f>
        <v>România</v>
      </c>
      <c r="S319" s="5" t="str">
        <f ca="1">IFERROR(__xludf.DUMMYFUNCTION("""COMPUTED_VALUE"""),"Octavian")</f>
        <v>Octavian</v>
      </c>
      <c r="T319" s="7" t="str">
        <f ca="1">IFERROR(__xludf.DUMMYFUNCTION("""COMPUTED_VALUE"""),"http://www.ms.ro/2020/04/23/buletin-informativ-23-04-2020/")</f>
        <v>http://www.ms.ro/2020/04/23/buletin-informativ-23-04-2020/</v>
      </c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ht="12.5">
      <c r="A320" s="5">
        <f ca="1">IFERROR(__xludf.DUMMYFUNCTION("""COMPUTED_VALUE"""),9736)</f>
        <v>9736</v>
      </c>
      <c r="B320" s="5"/>
      <c r="C320" s="5" t="str">
        <f ca="1">IFERROR(__xludf.DUMMYFUNCTION("""COMPUTED_VALUE"""),"Bihor")</f>
        <v>Bihor</v>
      </c>
      <c r="D320" s="13">
        <f ca="1">IFERROR(__xludf.DUMMYFUNCTION("""COMPUTED_VALUE"""),43944)</f>
        <v>43944</v>
      </c>
      <c r="E320" s="5" t="str">
        <f ca="1">IFERROR(__xludf.DUMMYFUNCTION("""COMPUTED_VALUE"""),"Nu")</f>
        <v>Nu</v>
      </c>
      <c r="F320" s="5"/>
      <c r="G320" s="5"/>
      <c r="H320" s="6"/>
      <c r="I320" s="5"/>
      <c r="J320" s="5"/>
      <c r="K320" s="7" t="str">
        <f ca="1">IFERROR(__xludf.DUMMYFUNCTION("""COMPUTED_VALUE"""),"https://stirioficiale.ro/informatii/buletin-de-presa-23-aprilie-2020-ora-13-00")</f>
        <v>https://stirioficiale.ro/informatii/buletin-de-presa-23-aprilie-2020-ora-13-00</v>
      </c>
      <c r="L320" s="5"/>
      <c r="M320" s="5"/>
      <c r="N320" s="5"/>
      <c r="O320" s="5"/>
      <c r="P320" s="5"/>
      <c r="Q320" s="5"/>
      <c r="R320" s="5" t="str">
        <f ca="1">IFERROR(__xludf.DUMMYFUNCTION("""COMPUTED_VALUE"""),"România")</f>
        <v>România</v>
      </c>
      <c r="S320" s="5" t="str">
        <f ca="1">IFERROR(__xludf.DUMMYFUNCTION("""COMPUTED_VALUE"""),"Octavian")</f>
        <v>Octavian</v>
      </c>
      <c r="T320" s="7" t="str">
        <f ca="1">IFERROR(__xludf.DUMMYFUNCTION("""COMPUTED_VALUE"""),"http://www.ms.ro/2020/04/23/buletin-informativ-23-04-2020/")</f>
        <v>http://www.ms.ro/2020/04/23/buletin-informativ-23-04-2020/</v>
      </c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2.5">
      <c r="A321" s="5">
        <f ca="1">IFERROR(__xludf.DUMMYFUNCTION("""COMPUTED_VALUE"""),9737)</f>
        <v>9737</v>
      </c>
      <c r="B321" s="5"/>
      <c r="C321" s="5" t="str">
        <f ca="1">IFERROR(__xludf.DUMMYFUNCTION("""COMPUTED_VALUE"""),"Bihor")</f>
        <v>Bihor</v>
      </c>
      <c r="D321" s="13">
        <f ca="1">IFERROR(__xludf.DUMMYFUNCTION("""COMPUTED_VALUE"""),43944)</f>
        <v>43944</v>
      </c>
      <c r="E321" s="5" t="str">
        <f ca="1">IFERROR(__xludf.DUMMYFUNCTION("""COMPUTED_VALUE"""),"Nu")</f>
        <v>Nu</v>
      </c>
      <c r="F321" s="5"/>
      <c r="G321" s="5"/>
      <c r="H321" s="6"/>
      <c r="I321" s="5"/>
      <c r="J321" s="5"/>
      <c r="K321" s="7" t="str">
        <f ca="1">IFERROR(__xludf.DUMMYFUNCTION("""COMPUTED_VALUE"""),"https://stirioficiale.ro/informatii/buletin-de-presa-23-aprilie-2020-ora-13-00")</f>
        <v>https://stirioficiale.ro/informatii/buletin-de-presa-23-aprilie-2020-ora-13-00</v>
      </c>
      <c r="L321" s="5"/>
      <c r="M321" s="5"/>
      <c r="N321" s="5"/>
      <c r="O321" s="5"/>
      <c r="P321" s="5"/>
      <c r="Q321" s="5"/>
      <c r="R321" s="5" t="str">
        <f ca="1">IFERROR(__xludf.DUMMYFUNCTION("""COMPUTED_VALUE"""),"România")</f>
        <v>România</v>
      </c>
      <c r="S321" s="5" t="str">
        <f ca="1">IFERROR(__xludf.DUMMYFUNCTION("""COMPUTED_VALUE"""),"Octavian")</f>
        <v>Octavian</v>
      </c>
      <c r="T321" s="7" t="str">
        <f ca="1">IFERROR(__xludf.DUMMYFUNCTION("""COMPUTED_VALUE"""),"http://www.ms.ro/2020/04/23/buletin-informativ-23-04-2020/")</f>
        <v>http://www.ms.ro/2020/04/23/buletin-informativ-23-04-2020/</v>
      </c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ht="12.5">
      <c r="A322" s="5">
        <f ca="1">IFERROR(__xludf.DUMMYFUNCTION("""COMPUTED_VALUE"""),9738)</f>
        <v>9738</v>
      </c>
      <c r="B322" s="5"/>
      <c r="C322" s="5" t="str">
        <f ca="1">IFERROR(__xludf.DUMMYFUNCTION("""COMPUTED_VALUE"""),"Bihor")</f>
        <v>Bihor</v>
      </c>
      <c r="D322" s="13">
        <f ca="1">IFERROR(__xludf.DUMMYFUNCTION("""COMPUTED_VALUE"""),43944)</f>
        <v>43944</v>
      </c>
      <c r="E322" s="5" t="str">
        <f ca="1">IFERROR(__xludf.DUMMYFUNCTION("""COMPUTED_VALUE"""),"Nu")</f>
        <v>Nu</v>
      </c>
      <c r="F322" s="5"/>
      <c r="G322" s="5"/>
      <c r="H322" s="6"/>
      <c r="I322" s="5"/>
      <c r="J322" s="5"/>
      <c r="K322" s="7" t="str">
        <f ca="1">IFERROR(__xludf.DUMMYFUNCTION("""COMPUTED_VALUE"""),"https://stirioficiale.ro/informatii/buletin-de-presa-23-aprilie-2020-ora-13-00")</f>
        <v>https://stirioficiale.ro/informatii/buletin-de-presa-23-aprilie-2020-ora-13-00</v>
      </c>
      <c r="L322" s="5"/>
      <c r="M322" s="5"/>
      <c r="N322" s="5"/>
      <c r="O322" s="5"/>
      <c r="P322" s="5"/>
      <c r="Q322" s="5"/>
      <c r="R322" s="5" t="str">
        <f ca="1">IFERROR(__xludf.DUMMYFUNCTION("""COMPUTED_VALUE"""),"România")</f>
        <v>România</v>
      </c>
      <c r="S322" s="5" t="str">
        <f ca="1">IFERROR(__xludf.DUMMYFUNCTION("""COMPUTED_VALUE"""),"Octavian")</f>
        <v>Octavian</v>
      </c>
      <c r="T322" s="7" t="str">
        <f ca="1">IFERROR(__xludf.DUMMYFUNCTION("""COMPUTED_VALUE"""),"http://www.ms.ro/2020/04/23/buletin-informativ-23-04-2020/")</f>
        <v>http://www.ms.ro/2020/04/23/buletin-informativ-23-04-2020/</v>
      </c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2.5">
      <c r="A323" s="5">
        <f ca="1">IFERROR(__xludf.DUMMYFUNCTION("""COMPUTED_VALUE"""),9739)</f>
        <v>9739</v>
      </c>
      <c r="B323" s="5"/>
      <c r="C323" s="5" t="str">
        <f ca="1">IFERROR(__xludf.DUMMYFUNCTION("""COMPUTED_VALUE"""),"Bihor")</f>
        <v>Bihor</v>
      </c>
      <c r="D323" s="13">
        <f ca="1">IFERROR(__xludf.DUMMYFUNCTION("""COMPUTED_VALUE"""),43944)</f>
        <v>43944</v>
      </c>
      <c r="E323" s="5" t="str">
        <f ca="1">IFERROR(__xludf.DUMMYFUNCTION("""COMPUTED_VALUE"""),"Nu")</f>
        <v>Nu</v>
      </c>
      <c r="F323" s="5"/>
      <c r="G323" s="5"/>
      <c r="H323" s="6"/>
      <c r="I323" s="5"/>
      <c r="J323" s="5"/>
      <c r="K323" s="7" t="str">
        <f ca="1">IFERROR(__xludf.DUMMYFUNCTION("""COMPUTED_VALUE"""),"https://stirioficiale.ro/informatii/buletin-de-presa-23-aprilie-2020-ora-13-00")</f>
        <v>https://stirioficiale.ro/informatii/buletin-de-presa-23-aprilie-2020-ora-13-00</v>
      </c>
      <c r="L323" s="5"/>
      <c r="M323" s="5"/>
      <c r="N323" s="5"/>
      <c r="O323" s="5"/>
      <c r="P323" s="5"/>
      <c r="Q323" s="5"/>
      <c r="R323" s="5" t="str">
        <f ca="1">IFERROR(__xludf.DUMMYFUNCTION("""COMPUTED_VALUE"""),"România")</f>
        <v>România</v>
      </c>
      <c r="S323" s="5" t="str">
        <f ca="1">IFERROR(__xludf.DUMMYFUNCTION("""COMPUTED_VALUE"""),"Octavian")</f>
        <v>Octavian</v>
      </c>
      <c r="T323" s="7" t="str">
        <f ca="1">IFERROR(__xludf.DUMMYFUNCTION("""COMPUTED_VALUE"""),"http://www.ms.ro/2020/04/23/buletin-informativ-23-04-2020/")</f>
        <v>http://www.ms.ro/2020/04/23/buletin-informativ-23-04-2020/</v>
      </c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ht="12.5">
      <c r="A324" s="5">
        <f ca="1">IFERROR(__xludf.DUMMYFUNCTION("""COMPUTED_VALUE"""),9740)</f>
        <v>9740</v>
      </c>
      <c r="B324" s="5"/>
      <c r="C324" s="5" t="str">
        <f ca="1">IFERROR(__xludf.DUMMYFUNCTION("""COMPUTED_VALUE"""),"Bihor")</f>
        <v>Bihor</v>
      </c>
      <c r="D324" s="13">
        <f ca="1">IFERROR(__xludf.DUMMYFUNCTION("""COMPUTED_VALUE"""),43944)</f>
        <v>43944</v>
      </c>
      <c r="E324" s="5" t="str">
        <f ca="1">IFERROR(__xludf.DUMMYFUNCTION("""COMPUTED_VALUE"""),"Nu")</f>
        <v>Nu</v>
      </c>
      <c r="F324" s="5"/>
      <c r="G324" s="5"/>
      <c r="H324" s="6"/>
      <c r="I324" s="5"/>
      <c r="J324" s="5"/>
      <c r="K324" s="7" t="str">
        <f ca="1">IFERROR(__xludf.DUMMYFUNCTION("""COMPUTED_VALUE"""),"https://stirioficiale.ro/informatii/buletin-de-presa-23-aprilie-2020-ora-13-00")</f>
        <v>https://stirioficiale.ro/informatii/buletin-de-presa-23-aprilie-2020-ora-13-00</v>
      </c>
      <c r="L324" s="5"/>
      <c r="M324" s="5"/>
      <c r="N324" s="5"/>
      <c r="O324" s="5"/>
      <c r="P324" s="5"/>
      <c r="Q324" s="5"/>
      <c r="R324" s="5" t="str">
        <f ca="1">IFERROR(__xludf.DUMMYFUNCTION("""COMPUTED_VALUE"""),"România")</f>
        <v>România</v>
      </c>
      <c r="S324" s="5" t="str">
        <f ca="1">IFERROR(__xludf.DUMMYFUNCTION("""COMPUTED_VALUE"""),"Octavian")</f>
        <v>Octavian</v>
      </c>
      <c r="T324" s="7" t="str">
        <f ca="1">IFERROR(__xludf.DUMMYFUNCTION("""COMPUTED_VALUE"""),"http://www.ms.ro/2020/04/23/buletin-informativ-23-04-2020/")</f>
        <v>http://www.ms.ro/2020/04/23/buletin-informativ-23-04-2020/</v>
      </c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2.5">
      <c r="A325" s="5">
        <f ca="1">IFERROR(__xludf.DUMMYFUNCTION("""COMPUTED_VALUE"""),9741)</f>
        <v>9741</v>
      </c>
      <c r="B325" s="5"/>
      <c r="C325" s="5" t="str">
        <f ca="1">IFERROR(__xludf.DUMMYFUNCTION("""COMPUTED_VALUE"""),"Bihor")</f>
        <v>Bihor</v>
      </c>
      <c r="D325" s="13">
        <f ca="1">IFERROR(__xludf.DUMMYFUNCTION("""COMPUTED_VALUE"""),43944)</f>
        <v>43944</v>
      </c>
      <c r="E325" s="5" t="str">
        <f ca="1">IFERROR(__xludf.DUMMYFUNCTION("""COMPUTED_VALUE"""),"Nu")</f>
        <v>Nu</v>
      </c>
      <c r="F325" s="5"/>
      <c r="G325" s="5"/>
      <c r="H325" s="6"/>
      <c r="I325" s="5"/>
      <c r="J325" s="5"/>
      <c r="K325" s="7" t="str">
        <f ca="1">IFERROR(__xludf.DUMMYFUNCTION("""COMPUTED_VALUE"""),"https://stirioficiale.ro/informatii/buletin-de-presa-23-aprilie-2020-ora-13-00")</f>
        <v>https://stirioficiale.ro/informatii/buletin-de-presa-23-aprilie-2020-ora-13-00</v>
      </c>
      <c r="L325" s="5"/>
      <c r="M325" s="5"/>
      <c r="N325" s="5"/>
      <c r="O325" s="5"/>
      <c r="P325" s="5"/>
      <c r="Q325" s="5"/>
      <c r="R325" s="5" t="str">
        <f ca="1">IFERROR(__xludf.DUMMYFUNCTION("""COMPUTED_VALUE"""),"România")</f>
        <v>România</v>
      </c>
      <c r="S325" s="5" t="str">
        <f ca="1">IFERROR(__xludf.DUMMYFUNCTION("""COMPUTED_VALUE"""),"Octavian")</f>
        <v>Octavian</v>
      </c>
      <c r="T325" s="7" t="str">
        <f ca="1">IFERROR(__xludf.DUMMYFUNCTION("""COMPUTED_VALUE"""),"http://www.ms.ro/2020/04/23/buletin-informativ-23-04-2020/")</f>
        <v>http://www.ms.ro/2020/04/23/buletin-informativ-23-04-2020/</v>
      </c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t="12.5">
      <c r="A326" s="5">
        <f ca="1">IFERROR(__xludf.DUMMYFUNCTION("""COMPUTED_VALUE"""),9742)</f>
        <v>9742</v>
      </c>
      <c r="B326" s="5"/>
      <c r="C326" s="5" t="str">
        <f ca="1">IFERROR(__xludf.DUMMYFUNCTION("""COMPUTED_VALUE"""),"Bihor")</f>
        <v>Bihor</v>
      </c>
      <c r="D326" s="13">
        <f ca="1">IFERROR(__xludf.DUMMYFUNCTION("""COMPUTED_VALUE"""),43944)</f>
        <v>43944</v>
      </c>
      <c r="E326" s="5" t="str">
        <f ca="1">IFERROR(__xludf.DUMMYFUNCTION("""COMPUTED_VALUE"""),"Nu")</f>
        <v>Nu</v>
      </c>
      <c r="F326" s="5"/>
      <c r="G326" s="5"/>
      <c r="H326" s="6"/>
      <c r="I326" s="5"/>
      <c r="J326" s="5"/>
      <c r="K326" s="7" t="str">
        <f ca="1">IFERROR(__xludf.DUMMYFUNCTION("""COMPUTED_VALUE"""),"https://stirioficiale.ro/informatii/buletin-de-presa-23-aprilie-2020-ora-13-00")</f>
        <v>https://stirioficiale.ro/informatii/buletin-de-presa-23-aprilie-2020-ora-13-00</v>
      </c>
      <c r="L326" s="5"/>
      <c r="M326" s="5"/>
      <c r="N326" s="5"/>
      <c r="O326" s="5"/>
      <c r="P326" s="5"/>
      <c r="Q326" s="5"/>
      <c r="R326" s="5" t="str">
        <f ca="1">IFERROR(__xludf.DUMMYFUNCTION("""COMPUTED_VALUE"""),"România")</f>
        <v>România</v>
      </c>
      <c r="S326" s="5" t="str">
        <f ca="1">IFERROR(__xludf.DUMMYFUNCTION("""COMPUTED_VALUE"""),"Octavian")</f>
        <v>Octavian</v>
      </c>
      <c r="T326" s="7" t="str">
        <f ca="1">IFERROR(__xludf.DUMMYFUNCTION("""COMPUTED_VALUE"""),"http://www.ms.ro/2020/04/23/buletin-informativ-23-04-2020/")</f>
        <v>http://www.ms.ro/2020/04/23/buletin-informativ-23-04-2020/</v>
      </c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2.5">
      <c r="A327" s="5">
        <f ca="1">IFERROR(__xludf.DUMMYFUNCTION("""COMPUTED_VALUE"""),9743)</f>
        <v>9743</v>
      </c>
      <c r="B327" s="5"/>
      <c r="C327" s="5" t="str">
        <f ca="1">IFERROR(__xludf.DUMMYFUNCTION("""COMPUTED_VALUE"""),"Bihor")</f>
        <v>Bihor</v>
      </c>
      <c r="D327" s="13">
        <f ca="1">IFERROR(__xludf.DUMMYFUNCTION("""COMPUTED_VALUE"""),43944)</f>
        <v>43944</v>
      </c>
      <c r="E327" s="5" t="str">
        <f ca="1">IFERROR(__xludf.DUMMYFUNCTION("""COMPUTED_VALUE"""),"Nu")</f>
        <v>Nu</v>
      </c>
      <c r="F327" s="5"/>
      <c r="G327" s="5"/>
      <c r="H327" s="6"/>
      <c r="I327" s="5"/>
      <c r="J327" s="5"/>
      <c r="K327" s="7" t="str">
        <f ca="1">IFERROR(__xludf.DUMMYFUNCTION("""COMPUTED_VALUE"""),"https://stirioficiale.ro/informatii/buletin-de-presa-23-aprilie-2020-ora-13-00")</f>
        <v>https://stirioficiale.ro/informatii/buletin-de-presa-23-aprilie-2020-ora-13-00</v>
      </c>
      <c r="L327" s="5"/>
      <c r="M327" s="5"/>
      <c r="N327" s="5"/>
      <c r="O327" s="5"/>
      <c r="P327" s="5"/>
      <c r="Q327" s="5"/>
      <c r="R327" s="5" t="str">
        <f ca="1">IFERROR(__xludf.DUMMYFUNCTION("""COMPUTED_VALUE"""),"România")</f>
        <v>România</v>
      </c>
      <c r="S327" s="5" t="str">
        <f ca="1">IFERROR(__xludf.DUMMYFUNCTION("""COMPUTED_VALUE"""),"Octavian")</f>
        <v>Octavian</v>
      </c>
      <c r="T327" s="7" t="str">
        <f ca="1">IFERROR(__xludf.DUMMYFUNCTION("""COMPUTED_VALUE"""),"http://www.ms.ro/2020/04/23/buletin-informativ-23-04-2020/")</f>
        <v>http://www.ms.ro/2020/04/23/buletin-informativ-23-04-2020/</v>
      </c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ht="12.5">
      <c r="A328" s="5">
        <f ca="1">IFERROR(__xludf.DUMMYFUNCTION("""COMPUTED_VALUE"""),9744)</f>
        <v>9744</v>
      </c>
      <c r="B328" s="5"/>
      <c r="C328" s="5" t="str">
        <f ca="1">IFERROR(__xludf.DUMMYFUNCTION("""COMPUTED_VALUE"""),"Bihor")</f>
        <v>Bihor</v>
      </c>
      <c r="D328" s="13">
        <f ca="1">IFERROR(__xludf.DUMMYFUNCTION("""COMPUTED_VALUE"""),43944)</f>
        <v>43944</v>
      </c>
      <c r="E328" s="5" t="str">
        <f ca="1">IFERROR(__xludf.DUMMYFUNCTION("""COMPUTED_VALUE"""),"Nu")</f>
        <v>Nu</v>
      </c>
      <c r="F328" s="5"/>
      <c r="G328" s="5"/>
      <c r="H328" s="6"/>
      <c r="I328" s="5"/>
      <c r="J328" s="5"/>
      <c r="K328" s="7" t="str">
        <f ca="1">IFERROR(__xludf.DUMMYFUNCTION("""COMPUTED_VALUE"""),"https://stirioficiale.ro/informatii/buletin-de-presa-23-aprilie-2020-ora-13-00")</f>
        <v>https://stirioficiale.ro/informatii/buletin-de-presa-23-aprilie-2020-ora-13-00</v>
      </c>
      <c r="L328" s="5"/>
      <c r="M328" s="5"/>
      <c r="N328" s="5"/>
      <c r="O328" s="5"/>
      <c r="P328" s="5"/>
      <c r="Q328" s="5"/>
      <c r="R328" s="5" t="str">
        <f ca="1">IFERROR(__xludf.DUMMYFUNCTION("""COMPUTED_VALUE"""),"România")</f>
        <v>România</v>
      </c>
      <c r="S328" s="5" t="str">
        <f ca="1">IFERROR(__xludf.DUMMYFUNCTION("""COMPUTED_VALUE"""),"Octavian")</f>
        <v>Octavian</v>
      </c>
      <c r="T328" s="7" t="str">
        <f ca="1">IFERROR(__xludf.DUMMYFUNCTION("""COMPUTED_VALUE"""),"http://www.ms.ro/2020/04/23/buletin-informativ-23-04-2020/")</f>
        <v>http://www.ms.ro/2020/04/23/buletin-informativ-23-04-2020/</v>
      </c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2.5">
      <c r="A329" s="5">
        <f ca="1">IFERROR(__xludf.DUMMYFUNCTION("""COMPUTED_VALUE"""),9745)</f>
        <v>9745</v>
      </c>
      <c r="B329" s="5"/>
      <c r="C329" s="5" t="str">
        <f ca="1">IFERROR(__xludf.DUMMYFUNCTION("""COMPUTED_VALUE"""),"Bihor")</f>
        <v>Bihor</v>
      </c>
      <c r="D329" s="13">
        <f ca="1">IFERROR(__xludf.DUMMYFUNCTION("""COMPUTED_VALUE"""),43944)</f>
        <v>43944</v>
      </c>
      <c r="E329" s="5" t="str">
        <f ca="1">IFERROR(__xludf.DUMMYFUNCTION("""COMPUTED_VALUE"""),"Nu")</f>
        <v>Nu</v>
      </c>
      <c r="F329" s="5"/>
      <c r="G329" s="5"/>
      <c r="H329" s="6"/>
      <c r="I329" s="5"/>
      <c r="J329" s="5"/>
      <c r="K329" s="7" t="str">
        <f ca="1">IFERROR(__xludf.DUMMYFUNCTION("""COMPUTED_VALUE"""),"https://stirioficiale.ro/informatii/buletin-de-presa-23-aprilie-2020-ora-13-00")</f>
        <v>https://stirioficiale.ro/informatii/buletin-de-presa-23-aprilie-2020-ora-13-00</v>
      </c>
      <c r="L329" s="5"/>
      <c r="M329" s="5"/>
      <c r="N329" s="5"/>
      <c r="O329" s="5"/>
      <c r="P329" s="5"/>
      <c r="Q329" s="5"/>
      <c r="R329" s="5" t="str">
        <f ca="1">IFERROR(__xludf.DUMMYFUNCTION("""COMPUTED_VALUE"""),"România")</f>
        <v>România</v>
      </c>
      <c r="S329" s="5" t="str">
        <f ca="1">IFERROR(__xludf.DUMMYFUNCTION("""COMPUTED_VALUE"""),"Octavian")</f>
        <v>Octavian</v>
      </c>
      <c r="T329" s="7" t="str">
        <f ca="1">IFERROR(__xludf.DUMMYFUNCTION("""COMPUTED_VALUE"""),"http://www.ms.ro/2020/04/23/buletin-informativ-23-04-2020/")</f>
        <v>http://www.ms.ro/2020/04/23/buletin-informativ-23-04-2020/</v>
      </c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ht="12.5">
      <c r="A330" s="5">
        <f ca="1">IFERROR(__xludf.DUMMYFUNCTION("""COMPUTED_VALUE"""),10134)</f>
        <v>10134</v>
      </c>
      <c r="B330" s="5"/>
      <c r="C330" s="5" t="str">
        <f ca="1">IFERROR(__xludf.DUMMYFUNCTION("""COMPUTED_VALUE"""),"Bihor")</f>
        <v>Bihor</v>
      </c>
      <c r="D330" s="13">
        <f ca="1">IFERROR(__xludf.DUMMYFUNCTION("""COMPUTED_VALUE"""),43945)</f>
        <v>43945</v>
      </c>
      <c r="E330" s="5" t="str">
        <f ca="1">IFERROR(__xludf.DUMMYFUNCTION("""COMPUTED_VALUE"""),"Nu")</f>
        <v>Nu</v>
      </c>
      <c r="F330" s="5"/>
      <c r="G330" s="5"/>
      <c r="H330" s="6"/>
      <c r="I330" s="5"/>
      <c r="J330" s="5"/>
      <c r="K330" s="7" t="str">
        <f ca="1">IFERROR(__xludf.DUMMYFUNCTION("""COMPUTED_VALUE"""),"https://stirioficiale.ro/informatii/buletin-de-presa-24-aprilie-2020-ora-13-00")</f>
        <v>https://stirioficiale.ro/informatii/buletin-de-presa-24-aprilie-2020-ora-13-00</v>
      </c>
      <c r="L330" s="5"/>
      <c r="M330" s="5"/>
      <c r="N330" s="5"/>
      <c r="O330" s="5"/>
      <c r="P330" s="5"/>
      <c r="Q330" s="5"/>
      <c r="R330" s="5" t="str">
        <f ca="1">IFERROR(__xludf.DUMMYFUNCTION("""COMPUTED_VALUE"""),"România")</f>
        <v>România</v>
      </c>
      <c r="S330" s="5" t="str">
        <f ca="1">IFERROR(__xludf.DUMMYFUNCTION("""COMPUTED_VALUE"""),"Daniel")</f>
        <v>Daniel</v>
      </c>
      <c r="T330" s="7" t="str">
        <f ca="1">IFERROR(__xludf.DUMMYFUNCTION("""COMPUTED_VALUE"""),"http://www.ms.ro/2020/04/24/buletin-informativ-24-04-2020/")</f>
        <v>http://www.ms.ro/2020/04/24/buletin-informativ-24-04-2020/</v>
      </c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2.5">
      <c r="A331" s="5">
        <f ca="1">IFERROR(__xludf.DUMMYFUNCTION("""COMPUTED_VALUE"""),10135)</f>
        <v>10135</v>
      </c>
      <c r="B331" s="5"/>
      <c r="C331" s="5" t="str">
        <f ca="1">IFERROR(__xludf.DUMMYFUNCTION("""COMPUTED_VALUE"""),"Bihor")</f>
        <v>Bihor</v>
      </c>
      <c r="D331" s="13">
        <f ca="1">IFERROR(__xludf.DUMMYFUNCTION("""COMPUTED_VALUE"""),43945)</f>
        <v>43945</v>
      </c>
      <c r="E331" s="5" t="str">
        <f ca="1">IFERROR(__xludf.DUMMYFUNCTION("""COMPUTED_VALUE"""),"Nu")</f>
        <v>Nu</v>
      </c>
      <c r="F331" s="5"/>
      <c r="G331" s="5"/>
      <c r="H331" s="6"/>
      <c r="I331" s="5"/>
      <c r="J331" s="5"/>
      <c r="K331" s="7" t="str">
        <f ca="1">IFERROR(__xludf.DUMMYFUNCTION("""COMPUTED_VALUE"""),"https://stirioficiale.ro/informatii/buletin-de-presa-24-aprilie-2020-ora-13-00")</f>
        <v>https://stirioficiale.ro/informatii/buletin-de-presa-24-aprilie-2020-ora-13-00</v>
      </c>
      <c r="L331" s="5"/>
      <c r="M331" s="5"/>
      <c r="N331" s="5"/>
      <c r="O331" s="5"/>
      <c r="P331" s="5"/>
      <c r="Q331" s="5"/>
      <c r="R331" s="5" t="str">
        <f ca="1">IFERROR(__xludf.DUMMYFUNCTION("""COMPUTED_VALUE"""),"România")</f>
        <v>România</v>
      </c>
      <c r="S331" s="5" t="str">
        <f ca="1">IFERROR(__xludf.DUMMYFUNCTION("""COMPUTED_VALUE"""),"Daniel")</f>
        <v>Daniel</v>
      </c>
      <c r="T331" s="7" t="str">
        <f ca="1">IFERROR(__xludf.DUMMYFUNCTION("""COMPUTED_VALUE"""),"http://www.ms.ro/2020/04/24/buletin-informativ-24-04-2020/")</f>
        <v>http://www.ms.ro/2020/04/24/buletin-informativ-24-04-2020/</v>
      </c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ht="12.5">
      <c r="A332" s="5">
        <f ca="1">IFERROR(__xludf.DUMMYFUNCTION("""COMPUTED_VALUE"""),10136)</f>
        <v>10136</v>
      </c>
      <c r="B332" s="5"/>
      <c r="C332" s="5" t="str">
        <f ca="1">IFERROR(__xludf.DUMMYFUNCTION("""COMPUTED_VALUE"""),"Bihor")</f>
        <v>Bihor</v>
      </c>
      <c r="D332" s="13">
        <f ca="1">IFERROR(__xludf.DUMMYFUNCTION("""COMPUTED_VALUE"""),43945)</f>
        <v>43945</v>
      </c>
      <c r="E332" s="5" t="str">
        <f ca="1">IFERROR(__xludf.DUMMYFUNCTION("""COMPUTED_VALUE"""),"Nu")</f>
        <v>Nu</v>
      </c>
      <c r="F332" s="5"/>
      <c r="G332" s="5"/>
      <c r="H332" s="6"/>
      <c r="I332" s="5"/>
      <c r="J332" s="5"/>
      <c r="K332" s="7" t="str">
        <f ca="1">IFERROR(__xludf.DUMMYFUNCTION("""COMPUTED_VALUE"""),"https://stirioficiale.ro/informatii/buletin-de-presa-24-aprilie-2020-ora-13-00")</f>
        <v>https://stirioficiale.ro/informatii/buletin-de-presa-24-aprilie-2020-ora-13-00</v>
      </c>
      <c r="L332" s="5"/>
      <c r="M332" s="5"/>
      <c r="N332" s="5"/>
      <c r="O332" s="5"/>
      <c r="P332" s="5"/>
      <c r="Q332" s="5"/>
      <c r="R332" s="5" t="str">
        <f ca="1">IFERROR(__xludf.DUMMYFUNCTION("""COMPUTED_VALUE"""),"România")</f>
        <v>România</v>
      </c>
      <c r="S332" s="5" t="str">
        <f ca="1">IFERROR(__xludf.DUMMYFUNCTION("""COMPUTED_VALUE"""),"Daniel")</f>
        <v>Daniel</v>
      </c>
      <c r="T332" s="7" t="str">
        <f ca="1">IFERROR(__xludf.DUMMYFUNCTION("""COMPUTED_VALUE"""),"http://www.ms.ro/2020/04/24/buletin-informativ-24-04-2020/")</f>
        <v>http://www.ms.ro/2020/04/24/buletin-informativ-24-04-2020/</v>
      </c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2.5">
      <c r="A333" s="5">
        <f ca="1">IFERROR(__xludf.DUMMYFUNCTION("""COMPUTED_VALUE"""),10137)</f>
        <v>10137</v>
      </c>
      <c r="B333" s="5"/>
      <c r="C333" s="5" t="str">
        <f ca="1">IFERROR(__xludf.DUMMYFUNCTION("""COMPUTED_VALUE"""),"Bihor")</f>
        <v>Bihor</v>
      </c>
      <c r="D333" s="13">
        <f ca="1">IFERROR(__xludf.DUMMYFUNCTION("""COMPUTED_VALUE"""),43945)</f>
        <v>43945</v>
      </c>
      <c r="E333" s="5" t="str">
        <f ca="1">IFERROR(__xludf.DUMMYFUNCTION("""COMPUTED_VALUE"""),"Nu")</f>
        <v>Nu</v>
      </c>
      <c r="F333" s="5"/>
      <c r="G333" s="5"/>
      <c r="H333" s="6"/>
      <c r="I333" s="5"/>
      <c r="J333" s="5"/>
      <c r="K333" s="7" t="str">
        <f ca="1">IFERROR(__xludf.DUMMYFUNCTION("""COMPUTED_VALUE"""),"https://stirioficiale.ro/informatii/buletin-de-presa-24-aprilie-2020-ora-13-00")</f>
        <v>https://stirioficiale.ro/informatii/buletin-de-presa-24-aprilie-2020-ora-13-00</v>
      </c>
      <c r="L333" s="5"/>
      <c r="M333" s="5"/>
      <c r="N333" s="5"/>
      <c r="O333" s="5"/>
      <c r="P333" s="5"/>
      <c r="Q333" s="5"/>
      <c r="R333" s="5" t="str">
        <f ca="1">IFERROR(__xludf.DUMMYFUNCTION("""COMPUTED_VALUE"""),"România")</f>
        <v>România</v>
      </c>
      <c r="S333" s="5" t="str">
        <f ca="1">IFERROR(__xludf.DUMMYFUNCTION("""COMPUTED_VALUE"""),"Daniel")</f>
        <v>Daniel</v>
      </c>
      <c r="T333" s="7" t="str">
        <f ca="1">IFERROR(__xludf.DUMMYFUNCTION("""COMPUTED_VALUE"""),"http://www.ms.ro/2020/04/24/buletin-informativ-24-04-2020/")</f>
        <v>http://www.ms.ro/2020/04/24/buletin-informativ-24-04-2020/</v>
      </c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ht="12.5">
      <c r="A334" s="5">
        <f ca="1">IFERROR(__xludf.DUMMYFUNCTION("""COMPUTED_VALUE"""),10138)</f>
        <v>10138</v>
      </c>
      <c r="B334" s="5"/>
      <c r="C334" s="5" t="str">
        <f ca="1">IFERROR(__xludf.DUMMYFUNCTION("""COMPUTED_VALUE"""),"Bihor")</f>
        <v>Bihor</v>
      </c>
      <c r="D334" s="13">
        <f ca="1">IFERROR(__xludf.DUMMYFUNCTION("""COMPUTED_VALUE"""),43945)</f>
        <v>43945</v>
      </c>
      <c r="E334" s="5" t="str">
        <f ca="1">IFERROR(__xludf.DUMMYFUNCTION("""COMPUTED_VALUE"""),"Nu")</f>
        <v>Nu</v>
      </c>
      <c r="F334" s="5"/>
      <c r="G334" s="5"/>
      <c r="H334" s="6"/>
      <c r="I334" s="5"/>
      <c r="J334" s="5"/>
      <c r="K334" s="7" t="str">
        <f ca="1">IFERROR(__xludf.DUMMYFUNCTION("""COMPUTED_VALUE"""),"https://stirioficiale.ro/informatii/buletin-de-presa-24-aprilie-2020-ora-13-00")</f>
        <v>https://stirioficiale.ro/informatii/buletin-de-presa-24-aprilie-2020-ora-13-00</v>
      </c>
      <c r="L334" s="5"/>
      <c r="M334" s="5"/>
      <c r="N334" s="5"/>
      <c r="O334" s="5"/>
      <c r="P334" s="5"/>
      <c r="Q334" s="5"/>
      <c r="R334" s="5" t="str">
        <f ca="1">IFERROR(__xludf.DUMMYFUNCTION("""COMPUTED_VALUE"""),"România")</f>
        <v>România</v>
      </c>
      <c r="S334" s="5" t="str">
        <f ca="1">IFERROR(__xludf.DUMMYFUNCTION("""COMPUTED_VALUE"""),"Daniel")</f>
        <v>Daniel</v>
      </c>
      <c r="T334" s="7" t="str">
        <f ca="1">IFERROR(__xludf.DUMMYFUNCTION("""COMPUTED_VALUE"""),"http://www.ms.ro/2020/04/24/buletin-informativ-24-04-2020/")</f>
        <v>http://www.ms.ro/2020/04/24/buletin-informativ-24-04-2020/</v>
      </c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2.5">
      <c r="A335" s="5">
        <f ca="1">IFERROR(__xludf.DUMMYFUNCTION("""COMPUTED_VALUE"""),10139)</f>
        <v>10139</v>
      </c>
      <c r="B335" s="5"/>
      <c r="C335" s="5" t="str">
        <f ca="1">IFERROR(__xludf.DUMMYFUNCTION("""COMPUTED_VALUE"""),"Bihor")</f>
        <v>Bihor</v>
      </c>
      <c r="D335" s="13">
        <f ca="1">IFERROR(__xludf.DUMMYFUNCTION("""COMPUTED_VALUE"""),43945)</f>
        <v>43945</v>
      </c>
      <c r="E335" s="5" t="str">
        <f ca="1">IFERROR(__xludf.DUMMYFUNCTION("""COMPUTED_VALUE"""),"Nu")</f>
        <v>Nu</v>
      </c>
      <c r="F335" s="5"/>
      <c r="G335" s="5"/>
      <c r="H335" s="6"/>
      <c r="I335" s="5"/>
      <c r="J335" s="5"/>
      <c r="K335" s="7" t="str">
        <f ca="1">IFERROR(__xludf.DUMMYFUNCTION("""COMPUTED_VALUE"""),"https://stirioficiale.ro/informatii/buletin-de-presa-24-aprilie-2020-ora-13-00")</f>
        <v>https://stirioficiale.ro/informatii/buletin-de-presa-24-aprilie-2020-ora-13-00</v>
      </c>
      <c r="L335" s="5"/>
      <c r="M335" s="5"/>
      <c r="N335" s="5"/>
      <c r="O335" s="5"/>
      <c r="P335" s="5"/>
      <c r="Q335" s="5"/>
      <c r="R335" s="5" t="str">
        <f ca="1">IFERROR(__xludf.DUMMYFUNCTION("""COMPUTED_VALUE"""),"România")</f>
        <v>România</v>
      </c>
      <c r="S335" s="5" t="str">
        <f ca="1">IFERROR(__xludf.DUMMYFUNCTION("""COMPUTED_VALUE"""),"Daniel")</f>
        <v>Daniel</v>
      </c>
      <c r="T335" s="7" t="str">
        <f ca="1">IFERROR(__xludf.DUMMYFUNCTION("""COMPUTED_VALUE"""),"http://www.ms.ro/2020/04/24/buletin-informativ-24-04-2020/")</f>
        <v>http://www.ms.ro/2020/04/24/buletin-informativ-24-04-2020/</v>
      </c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ht="12.5">
      <c r="A336" s="5">
        <f ca="1">IFERROR(__xludf.DUMMYFUNCTION("""COMPUTED_VALUE"""),10140)</f>
        <v>10140</v>
      </c>
      <c r="B336" s="5"/>
      <c r="C336" s="5" t="str">
        <f ca="1">IFERROR(__xludf.DUMMYFUNCTION("""COMPUTED_VALUE"""),"Bihor")</f>
        <v>Bihor</v>
      </c>
      <c r="D336" s="13">
        <f ca="1">IFERROR(__xludf.DUMMYFUNCTION("""COMPUTED_VALUE"""),43945)</f>
        <v>43945</v>
      </c>
      <c r="E336" s="5" t="str">
        <f ca="1">IFERROR(__xludf.DUMMYFUNCTION("""COMPUTED_VALUE"""),"Nu")</f>
        <v>Nu</v>
      </c>
      <c r="F336" s="5"/>
      <c r="G336" s="5"/>
      <c r="H336" s="6"/>
      <c r="I336" s="5"/>
      <c r="J336" s="5"/>
      <c r="K336" s="7" t="str">
        <f ca="1">IFERROR(__xludf.DUMMYFUNCTION("""COMPUTED_VALUE"""),"https://stirioficiale.ro/informatii/buletin-de-presa-24-aprilie-2020-ora-13-00")</f>
        <v>https://stirioficiale.ro/informatii/buletin-de-presa-24-aprilie-2020-ora-13-00</v>
      </c>
      <c r="L336" s="5"/>
      <c r="M336" s="5"/>
      <c r="N336" s="5"/>
      <c r="O336" s="5"/>
      <c r="P336" s="5"/>
      <c r="Q336" s="5"/>
      <c r="R336" s="5" t="str">
        <f ca="1">IFERROR(__xludf.DUMMYFUNCTION("""COMPUTED_VALUE"""),"România")</f>
        <v>România</v>
      </c>
      <c r="S336" s="5" t="str">
        <f ca="1">IFERROR(__xludf.DUMMYFUNCTION("""COMPUTED_VALUE"""),"Daniel")</f>
        <v>Daniel</v>
      </c>
      <c r="T336" s="7" t="str">
        <f ca="1">IFERROR(__xludf.DUMMYFUNCTION("""COMPUTED_VALUE"""),"http://www.ms.ro/2020/04/24/buletin-informativ-24-04-2020/")</f>
        <v>http://www.ms.ro/2020/04/24/buletin-informativ-24-04-2020/</v>
      </c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2.5">
      <c r="A337" s="5">
        <f ca="1">IFERROR(__xludf.DUMMYFUNCTION("""COMPUTED_VALUE"""),10141)</f>
        <v>10141</v>
      </c>
      <c r="B337" s="5"/>
      <c r="C337" s="5" t="str">
        <f ca="1">IFERROR(__xludf.DUMMYFUNCTION("""COMPUTED_VALUE"""),"Bihor")</f>
        <v>Bihor</v>
      </c>
      <c r="D337" s="13">
        <f ca="1">IFERROR(__xludf.DUMMYFUNCTION("""COMPUTED_VALUE"""),43945)</f>
        <v>43945</v>
      </c>
      <c r="E337" s="5" t="str">
        <f ca="1">IFERROR(__xludf.DUMMYFUNCTION("""COMPUTED_VALUE"""),"Nu")</f>
        <v>Nu</v>
      </c>
      <c r="F337" s="5"/>
      <c r="G337" s="5"/>
      <c r="H337" s="6"/>
      <c r="I337" s="5"/>
      <c r="J337" s="5"/>
      <c r="K337" s="7" t="str">
        <f ca="1">IFERROR(__xludf.DUMMYFUNCTION("""COMPUTED_VALUE"""),"https://stirioficiale.ro/informatii/buletin-de-presa-24-aprilie-2020-ora-13-00")</f>
        <v>https://stirioficiale.ro/informatii/buletin-de-presa-24-aprilie-2020-ora-13-00</v>
      </c>
      <c r="L337" s="5"/>
      <c r="M337" s="5"/>
      <c r="N337" s="5"/>
      <c r="O337" s="5"/>
      <c r="P337" s="5"/>
      <c r="Q337" s="5"/>
      <c r="R337" s="5" t="str">
        <f ca="1">IFERROR(__xludf.DUMMYFUNCTION("""COMPUTED_VALUE"""),"România")</f>
        <v>România</v>
      </c>
      <c r="S337" s="5" t="str">
        <f ca="1">IFERROR(__xludf.DUMMYFUNCTION("""COMPUTED_VALUE"""),"Daniel")</f>
        <v>Daniel</v>
      </c>
      <c r="T337" s="7" t="str">
        <f ca="1">IFERROR(__xludf.DUMMYFUNCTION("""COMPUTED_VALUE"""),"http://www.ms.ro/2020/04/24/buletin-informativ-24-04-2020/")</f>
        <v>http://www.ms.ro/2020/04/24/buletin-informativ-24-04-2020/</v>
      </c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t="12.5">
      <c r="A338" s="5">
        <f ca="1">IFERROR(__xludf.DUMMYFUNCTION("""COMPUTED_VALUE"""),10142)</f>
        <v>10142</v>
      </c>
      <c r="B338" s="5"/>
      <c r="C338" s="5" t="str">
        <f ca="1">IFERROR(__xludf.DUMMYFUNCTION("""COMPUTED_VALUE"""),"Bihor")</f>
        <v>Bihor</v>
      </c>
      <c r="D338" s="13">
        <f ca="1">IFERROR(__xludf.DUMMYFUNCTION("""COMPUTED_VALUE"""),43945)</f>
        <v>43945</v>
      </c>
      <c r="E338" s="5" t="str">
        <f ca="1">IFERROR(__xludf.DUMMYFUNCTION("""COMPUTED_VALUE"""),"Nu")</f>
        <v>Nu</v>
      </c>
      <c r="F338" s="5"/>
      <c r="G338" s="5"/>
      <c r="H338" s="6"/>
      <c r="I338" s="5"/>
      <c r="J338" s="5"/>
      <c r="K338" s="7" t="str">
        <f ca="1">IFERROR(__xludf.DUMMYFUNCTION("""COMPUTED_VALUE"""),"https://stirioficiale.ro/informatii/buletin-de-presa-24-aprilie-2020-ora-13-00")</f>
        <v>https://stirioficiale.ro/informatii/buletin-de-presa-24-aprilie-2020-ora-13-00</v>
      </c>
      <c r="L338" s="5"/>
      <c r="M338" s="5"/>
      <c r="N338" s="5"/>
      <c r="O338" s="5"/>
      <c r="P338" s="5"/>
      <c r="Q338" s="5"/>
      <c r="R338" s="5" t="str">
        <f ca="1">IFERROR(__xludf.DUMMYFUNCTION("""COMPUTED_VALUE"""),"România")</f>
        <v>România</v>
      </c>
      <c r="S338" s="5" t="str">
        <f ca="1">IFERROR(__xludf.DUMMYFUNCTION("""COMPUTED_VALUE"""),"Daniel")</f>
        <v>Daniel</v>
      </c>
      <c r="T338" s="7" t="str">
        <f ca="1">IFERROR(__xludf.DUMMYFUNCTION("""COMPUTED_VALUE"""),"http://www.ms.ro/2020/04/24/buletin-informativ-24-04-2020/")</f>
        <v>http://www.ms.ro/2020/04/24/buletin-informativ-24-04-2020/</v>
      </c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2.5">
      <c r="A339" s="5">
        <f ca="1">IFERROR(__xludf.DUMMYFUNCTION("""COMPUTED_VALUE"""),10143)</f>
        <v>10143</v>
      </c>
      <c r="B339" s="5"/>
      <c r="C339" s="5" t="str">
        <f ca="1">IFERROR(__xludf.DUMMYFUNCTION("""COMPUTED_VALUE"""),"Bihor")</f>
        <v>Bihor</v>
      </c>
      <c r="D339" s="13">
        <f ca="1">IFERROR(__xludf.DUMMYFUNCTION("""COMPUTED_VALUE"""),43945)</f>
        <v>43945</v>
      </c>
      <c r="E339" s="5" t="str">
        <f ca="1">IFERROR(__xludf.DUMMYFUNCTION("""COMPUTED_VALUE"""),"Nu")</f>
        <v>Nu</v>
      </c>
      <c r="F339" s="5"/>
      <c r="G339" s="5"/>
      <c r="H339" s="6"/>
      <c r="I339" s="5"/>
      <c r="J339" s="5"/>
      <c r="K339" s="7" t="str">
        <f ca="1">IFERROR(__xludf.DUMMYFUNCTION("""COMPUTED_VALUE"""),"https://stirioficiale.ro/informatii/buletin-de-presa-24-aprilie-2020-ora-13-00")</f>
        <v>https://stirioficiale.ro/informatii/buletin-de-presa-24-aprilie-2020-ora-13-00</v>
      </c>
      <c r="L339" s="5"/>
      <c r="M339" s="5"/>
      <c r="N339" s="5"/>
      <c r="O339" s="5"/>
      <c r="P339" s="5"/>
      <c r="Q339" s="5"/>
      <c r="R339" s="5" t="str">
        <f ca="1">IFERROR(__xludf.DUMMYFUNCTION("""COMPUTED_VALUE"""),"România")</f>
        <v>România</v>
      </c>
      <c r="S339" s="5" t="str">
        <f ca="1">IFERROR(__xludf.DUMMYFUNCTION("""COMPUTED_VALUE"""),"Daniel")</f>
        <v>Daniel</v>
      </c>
      <c r="T339" s="7" t="str">
        <f ca="1">IFERROR(__xludf.DUMMYFUNCTION("""COMPUTED_VALUE"""),"http://www.ms.ro/2020/04/24/buletin-informativ-24-04-2020/")</f>
        <v>http://www.ms.ro/2020/04/24/buletin-informativ-24-04-2020/</v>
      </c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t="12.5">
      <c r="A340" s="5">
        <f ca="1">IFERROR(__xludf.DUMMYFUNCTION("""COMPUTED_VALUE"""),10144)</f>
        <v>10144</v>
      </c>
      <c r="B340" s="5"/>
      <c r="C340" s="5" t="str">
        <f ca="1">IFERROR(__xludf.DUMMYFUNCTION("""COMPUTED_VALUE"""),"Bihor")</f>
        <v>Bihor</v>
      </c>
      <c r="D340" s="13">
        <f ca="1">IFERROR(__xludf.DUMMYFUNCTION("""COMPUTED_VALUE"""),43945)</f>
        <v>43945</v>
      </c>
      <c r="E340" s="5" t="str">
        <f ca="1">IFERROR(__xludf.DUMMYFUNCTION("""COMPUTED_VALUE"""),"Nu")</f>
        <v>Nu</v>
      </c>
      <c r="F340" s="5"/>
      <c r="G340" s="5"/>
      <c r="H340" s="6"/>
      <c r="I340" s="5"/>
      <c r="J340" s="5"/>
      <c r="K340" s="7" t="str">
        <f ca="1">IFERROR(__xludf.DUMMYFUNCTION("""COMPUTED_VALUE"""),"https://stirioficiale.ro/informatii/buletin-de-presa-24-aprilie-2020-ora-13-00")</f>
        <v>https://stirioficiale.ro/informatii/buletin-de-presa-24-aprilie-2020-ora-13-00</v>
      </c>
      <c r="L340" s="5"/>
      <c r="M340" s="5"/>
      <c r="N340" s="5"/>
      <c r="O340" s="5"/>
      <c r="P340" s="5"/>
      <c r="Q340" s="5"/>
      <c r="R340" s="5" t="str">
        <f ca="1">IFERROR(__xludf.DUMMYFUNCTION("""COMPUTED_VALUE"""),"România")</f>
        <v>România</v>
      </c>
      <c r="S340" s="5" t="str">
        <f ca="1">IFERROR(__xludf.DUMMYFUNCTION("""COMPUTED_VALUE"""),"Daniel")</f>
        <v>Daniel</v>
      </c>
      <c r="T340" s="7" t="str">
        <f ca="1">IFERROR(__xludf.DUMMYFUNCTION("""COMPUTED_VALUE"""),"http://www.ms.ro/2020/04/24/buletin-informativ-24-04-2020/")</f>
        <v>http://www.ms.ro/2020/04/24/buletin-informativ-24-04-2020/</v>
      </c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2.5">
      <c r="A341" s="5">
        <f ca="1">IFERROR(__xludf.DUMMYFUNCTION("""COMPUTED_VALUE"""),10145)</f>
        <v>10145</v>
      </c>
      <c r="B341" s="5"/>
      <c r="C341" s="5" t="str">
        <f ca="1">IFERROR(__xludf.DUMMYFUNCTION("""COMPUTED_VALUE"""),"Bihor")</f>
        <v>Bihor</v>
      </c>
      <c r="D341" s="13">
        <f ca="1">IFERROR(__xludf.DUMMYFUNCTION("""COMPUTED_VALUE"""),43945)</f>
        <v>43945</v>
      </c>
      <c r="E341" s="5" t="str">
        <f ca="1">IFERROR(__xludf.DUMMYFUNCTION("""COMPUTED_VALUE"""),"Nu")</f>
        <v>Nu</v>
      </c>
      <c r="F341" s="5"/>
      <c r="G341" s="5"/>
      <c r="H341" s="6"/>
      <c r="I341" s="5"/>
      <c r="J341" s="5"/>
      <c r="K341" s="7" t="str">
        <f ca="1">IFERROR(__xludf.DUMMYFUNCTION("""COMPUTED_VALUE"""),"https://stirioficiale.ro/informatii/buletin-de-presa-24-aprilie-2020-ora-13-00")</f>
        <v>https://stirioficiale.ro/informatii/buletin-de-presa-24-aprilie-2020-ora-13-00</v>
      </c>
      <c r="L341" s="5"/>
      <c r="M341" s="5"/>
      <c r="N341" s="5"/>
      <c r="O341" s="5"/>
      <c r="P341" s="5"/>
      <c r="Q341" s="5"/>
      <c r="R341" s="5" t="str">
        <f ca="1">IFERROR(__xludf.DUMMYFUNCTION("""COMPUTED_VALUE"""),"România")</f>
        <v>România</v>
      </c>
      <c r="S341" s="5" t="str">
        <f ca="1">IFERROR(__xludf.DUMMYFUNCTION("""COMPUTED_VALUE"""),"Daniel")</f>
        <v>Daniel</v>
      </c>
      <c r="T341" s="7" t="str">
        <f ca="1">IFERROR(__xludf.DUMMYFUNCTION("""COMPUTED_VALUE"""),"http://www.ms.ro/2020/04/24/buletin-informativ-24-04-2020/")</f>
        <v>http://www.ms.ro/2020/04/24/buletin-informativ-24-04-2020/</v>
      </c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ht="12.5">
      <c r="A342" s="5">
        <f ca="1">IFERROR(__xludf.DUMMYFUNCTION("""COMPUTED_VALUE"""),10449)</f>
        <v>10449</v>
      </c>
      <c r="B342" s="5"/>
      <c r="C342" s="5" t="str">
        <f ca="1">IFERROR(__xludf.DUMMYFUNCTION("""COMPUTED_VALUE"""),"Bihor")</f>
        <v>Bihor</v>
      </c>
      <c r="D342" s="13">
        <f ca="1">IFERROR(__xludf.DUMMYFUNCTION("""COMPUTED_VALUE"""),43946)</f>
        <v>43946</v>
      </c>
      <c r="E342" s="5" t="str">
        <f ca="1">IFERROR(__xludf.DUMMYFUNCTION("""COMPUTED_VALUE"""),"Nu")</f>
        <v>Nu</v>
      </c>
      <c r="F342" s="5"/>
      <c r="G342" s="5"/>
      <c r="H342" s="6"/>
      <c r="I342" s="5"/>
      <c r="J342" s="5"/>
      <c r="K342" s="7" t="str">
        <f ca="1">IFERROR(__xludf.DUMMYFUNCTION("""COMPUTED_VALUE"""),"https://stirioficiale.ro/informatii/buletin-de-presa-25-aprilie-2020-ora-13-00")</f>
        <v>https://stirioficiale.ro/informatii/buletin-de-presa-25-aprilie-2020-ora-13-00</v>
      </c>
      <c r="L342" s="5"/>
      <c r="M342" s="5"/>
      <c r="N342" s="5"/>
      <c r="O342" s="5"/>
      <c r="P342" s="5"/>
      <c r="Q342" s="5"/>
      <c r="R342" s="5" t="str">
        <f ca="1">IFERROR(__xludf.DUMMYFUNCTION("""COMPUTED_VALUE"""),"România")</f>
        <v>România</v>
      </c>
      <c r="S342" s="5" t="str">
        <f ca="1">IFERROR(__xludf.DUMMYFUNCTION("""COMPUTED_VALUE"""),"Octavian")</f>
        <v>Octavian</v>
      </c>
      <c r="T342" s="7" t="str">
        <f ca="1">IFERROR(__xludf.DUMMYFUNCTION("""COMPUTED_VALUE"""),"http://www.ms.ro/2020/04/25/buletin-informativ-25-04-2020/")</f>
        <v>http://www.ms.ro/2020/04/25/buletin-informativ-25-04-2020/</v>
      </c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2.5">
      <c r="A343" s="5">
        <f ca="1">IFERROR(__xludf.DUMMYFUNCTION("""COMPUTED_VALUE"""),10450)</f>
        <v>10450</v>
      </c>
      <c r="B343" s="5"/>
      <c r="C343" s="5" t="str">
        <f ca="1">IFERROR(__xludf.DUMMYFUNCTION("""COMPUTED_VALUE"""),"Bihor")</f>
        <v>Bihor</v>
      </c>
      <c r="D343" s="13">
        <f ca="1">IFERROR(__xludf.DUMMYFUNCTION("""COMPUTED_VALUE"""),43946)</f>
        <v>43946</v>
      </c>
      <c r="E343" s="5" t="str">
        <f ca="1">IFERROR(__xludf.DUMMYFUNCTION("""COMPUTED_VALUE"""),"Nu")</f>
        <v>Nu</v>
      </c>
      <c r="F343" s="5"/>
      <c r="G343" s="5"/>
      <c r="H343" s="6"/>
      <c r="I343" s="5"/>
      <c r="J343" s="5"/>
      <c r="K343" s="7" t="str">
        <f ca="1">IFERROR(__xludf.DUMMYFUNCTION("""COMPUTED_VALUE"""),"https://stirioficiale.ro/informatii/buletin-de-presa-25-aprilie-2020-ora-13-00")</f>
        <v>https://stirioficiale.ro/informatii/buletin-de-presa-25-aprilie-2020-ora-13-00</v>
      </c>
      <c r="L343" s="5"/>
      <c r="M343" s="5"/>
      <c r="N343" s="5"/>
      <c r="O343" s="5"/>
      <c r="P343" s="5"/>
      <c r="Q343" s="5"/>
      <c r="R343" s="5" t="str">
        <f ca="1">IFERROR(__xludf.DUMMYFUNCTION("""COMPUTED_VALUE"""),"România")</f>
        <v>România</v>
      </c>
      <c r="S343" s="5" t="str">
        <f ca="1">IFERROR(__xludf.DUMMYFUNCTION("""COMPUTED_VALUE"""),"Octavian")</f>
        <v>Octavian</v>
      </c>
      <c r="T343" s="7" t="str">
        <f ca="1">IFERROR(__xludf.DUMMYFUNCTION("""COMPUTED_VALUE"""),"http://www.ms.ro/2020/04/25/buletin-informativ-25-04-2020/")</f>
        <v>http://www.ms.ro/2020/04/25/buletin-informativ-25-04-2020/</v>
      </c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ht="12.5">
      <c r="A344" s="5">
        <f ca="1">IFERROR(__xludf.DUMMYFUNCTION("""COMPUTED_VALUE"""),10451)</f>
        <v>10451</v>
      </c>
      <c r="B344" s="5"/>
      <c r="C344" s="5" t="str">
        <f ca="1">IFERROR(__xludf.DUMMYFUNCTION("""COMPUTED_VALUE"""),"Bihor")</f>
        <v>Bihor</v>
      </c>
      <c r="D344" s="13">
        <f ca="1">IFERROR(__xludf.DUMMYFUNCTION("""COMPUTED_VALUE"""),43946)</f>
        <v>43946</v>
      </c>
      <c r="E344" s="5" t="str">
        <f ca="1">IFERROR(__xludf.DUMMYFUNCTION("""COMPUTED_VALUE"""),"Nu")</f>
        <v>Nu</v>
      </c>
      <c r="F344" s="5"/>
      <c r="G344" s="5"/>
      <c r="H344" s="6"/>
      <c r="I344" s="5"/>
      <c r="J344" s="5"/>
      <c r="K344" s="7" t="str">
        <f ca="1">IFERROR(__xludf.DUMMYFUNCTION("""COMPUTED_VALUE"""),"https://stirioficiale.ro/informatii/buletin-de-presa-25-aprilie-2020-ora-13-00")</f>
        <v>https://stirioficiale.ro/informatii/buletin-de-presa-25-aprilie-2020-ora-13-00</v>
      </c>
      <c r="L344" s="5"/>
      <c r="M344" s="5"/>
      <c r="N344" s="5"/>
      <c r="O344" s="5"/>
      <c r="P344" s="5"/>
      <c r="Q344" s="5"/>
      <c r="R344" s="5" t="str">
        <f ca="1">IFERROR(__xludf.DUMMYFUNCTION("""COMPUTED_VALUE"""),"România")</f>
        <v>România</v>
      </c>
      <c r="S344" s="5" t="str">
        <f ca="1">IFERROR(__xludf.DUMMYFUNCTION("""COMPUTED_VALUE"""),"Octavian")</f>
        <v>Octavian</v>
      </c>
      <c r="T344" s="7" t="str">
        <f ca="1">IFERROR(__xludf.DUMMYFUNCTION("""COMPUTED_VALUE"""),"http://www.ms.ro/2020/04/25/buletin-informativ-25-04-2020/")</f>
        <v>http://www.ms.ro/2020/04/25/buletin-informativ-25-04-2020/</v>
      </c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2.5">
      <c r="A345" s="5">
        <f ca="1">IFERROR(__xludf.DUMMYFUNCTION("""COMPUTED_VALUE"""),10452)</f>
        <v>10452</v>
      </c>
      <c r="B345" s="5"/>
      <c r="C345" s="5" t="str">
        <f ca="1">IFERROR(__xludf.DUMMYFUNCTION("""COMPUTED_VALUE"""),"Bihor")</f>
        <v>Bihor</v>
      </c>
      <c r="D345" s="13">
        <f ca="1">IFERROR(__xludf.DUMMYFUNCTION("""COMPUTED_VALUE"""),43946)</f>
        <v>43946</v>
      </c>
      <c r="E345" s="5" t="str">
        <f ca="1">IFERROR(__xludf.DUMMYFUNCTION("""COMPUTED_VALUE"""),"Nu")</f>
        <v>Nu</v>
      </c>
      <c r="F345" s="5"/>
      <c r="G345" s="5"/>
      <c r="H345" s="6"/>
      <c r="I345" s="5"/>
      <c r="J345" s="5"/>
      <c r="K345" s="7" t="str">
        <f ca="1">IFERROR(__xludf.DUMMYFUNCTION("""COMPUTED_VALUE"""),"https://stirioficiale.ro/informatii/buletin-de-presa-25-aprilie-2020-ora-13-00")</f>
        <v>https://stirioficiale.ro/informatii/buletin-de-presa-25-aprilie-2020-ora-13-00</v>
      </c>
      <c r="L345" s="5"/>
      <c r="M345" s="5"/>
      <c r="N345" s="5"/>
      <c r="O345" s="5"/>
      <c r="P345" s="5"/>
      <c r="Q345" s="5"/>
      <c r="R345" s="5" t="str">
        <f ca="1">IFERROR(__xludf.DUMMYFUNCTION("""COMPUTED_VALUE"""),"România")</f>
        <v>România</v>
      </c>
      <c r="S345" s="5" t="str">
        <f ca="1">IFERROR(__xludf.DUMMYFUNCTION("""COMPUTED_VALUE"""),"Octavian")</f>
        <v>Octavian</v>
      </c>
      <c r="T345" s="7" t="str">
        <f ca="1">IFERROR(__xludf.DUMMYFUNCTION("""COMPUTED_VALUE"""),"http://www.ms.ro/2020/04/25/buletin-informativ-25-04-2020/")</f>
        <v>http://www.ms.ro/2020/04/25/buletin-informativ-25-04-2020/</v>
      </c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ht="12.5">
      <c r="A346" s="5">
        <f ca="1">IFERROR(__xludf.DUMMYFUNCTION("""COMPUTED_VALUE"""),10676)</f>
        <v>10676</v>
      </c>
      <c r="B346" s="5"/>
      <c r="C346" s="5" t="str">
        <f ca="1">IFERROR(__xludf.DUMMYFUNCTION("""COMPUTED_VALUE"""),"Bihor")</f>
        <v>Bihor</v>
      </c>
      <c r="D346" s="13">
        <f ca="1">IFERROR(__xludf.DUMMYFUNCTION("""COMPUTED_VALUE"""),43947)</f>
        <v>43947</v>
      </c>
      <c r="E346" s="5" t="str">
        <f ca="1">IFERROR(__xludf.DUMMYFUNCTION("""COMPUTED_VALUE"""),"Nu")</f>
        <v>Nu</v>
      </c>
      <c r="F346" s="5"/>
      <c r="G346" s="5"/>
      <c r="H346" s="6"/>
      <c r="I346" s="5"/>
      <c r="J346" s="5"/>
      <c r="K346" s="7" t="str">
        <f ca="1">IFERROR(__xludf.DUMMYFUNCTION("""COMPUTED_VALUE"""),"https://stirioficiale.ro/informatii/buletin-de-presa-26-aprilie-2020-ora-13-00")</f>
        <v>https://stirioficiale.ro/informatii/buletin-de-presa-26-aprilie-2020-ora-13-00</v>
      </c>
      <c r="L346" s="5"/>
      <c r="M346" s="5"/>
      <c r="N346" s="5"/>
      <c r="O346" s="5"/>
      <c r="P346" s="5"/>
      <c r="Q346" s="5"/>
      <c r="R346" s="5" t="str">
        <f ca="1">IFERROR(__xludf.DUMMYFUNCTION("""COMPUTED_VALUE"""),"România")</f>
        <v>România</v>
      </c>
      <c r="S346" s="5" t="str">
        <f ca="1">IFERROR(__xludf.DUMMYFUNCTION("""COMPUTED_VALUE"""),"Octavian")</f>
        <v>Octavian</v>
      </c>
      <c r="T346" s="7" t="str">
        <f ca="1">IFERROR(__xludf.DUMMYFUNCTION("""COMPUTED_VALUE"""),"http://www.ms.ro/2020/04/26/buletin-informativ-26-04-2020/")</f>
        <v>http://www.ms.ro/2020/04/26/buletin-informativ-26-04-2020/</v>
      </c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2.5">
      <c r="A347" s="5">
        <f ca="1">IFERROR(__xludf.DUMMYFUNCTION("""COMPUTED_VALUE"""),10677)</f>
        <v>10677</v>
      </c>
      <c r="B347" s="5"/>
      <c r="C347" s="5" t="str">
        <f ca="1">IFERROR(__xludf.DUMMYFUNCTION("""COMPUTED_VALUE"""),"Bihor")</f>
        <v>Bihor</v>
      </c>
      <c r="D347" s="13">
        <f ca="1">IFERROR(__xludf.DUMMYFUNCTION("""COMPUTED_VALUE"""),43947)</f>
        <v>43947</v>
      </c>
      <c r="E347" s="5" t="str">
        <f ca="1">IFERROR(__xludf.DUMMYFUNCTION("""COMPUTED_VALUE"""),"Nu")</f>
        <v>Nu</v>
      </c>
      <c r="F347" s="5"/>
      <c r="G347" s="5"/>
      <c r="H347" s="6"/>
      <c r="I347" s="5"/>
      <c r="J347" s="5"/>
      <c r="K347" s="7" t="str">
        <f ca="1">IFERROR(__xludf.DUMMYFUNCTION("""COMPUTED_VALUE"""),"https://stirioficiale.ro/informatii/buletin-de-presa-26-aprilie-2020-ora-13-00")</f>
        <v>https://stirioficiale.ro/informatii/buletin-de-presa-26-aprilie-2020-ora-13-00</v>
      </c>
      <c r="L347" s="5"/>
      <c r="M347" s="5"/>
      <c r="N347" s="5"/>
      <c r="O347" s="5"/>
      <c r="P347" s="5"/>
      <c r="Q347" s="5"/>
      <c r="R347" s="5" t="str">
        <f ca="1">IFERROR(__xludf.DUMMYFUNCTION("""COMPUTED_VALUE"""),"România")</f>
        <v>România</v>
      </c>
      <c r="S347" s="5" t="str">
        <f ca="1">IFERROR(__xludf.DUMMYFUNCTION("""COMPUTED_VALUE"""),"Octavian")</f>
        <v>Octavian</v>
      </c>
      <c r="T347" s="7" t="str">
        <f ca="1">IFERROR(__xludf.DUMMYFUNCTION("""COMPUTED_VALUE"""),"http://www.ms.ro/2020/04/26/buletin-informativ-26-04-2020/")</f>
        <v>http://www.ms.ro/2020/04/26/buletin-informativ-26-04-2020/</v>
      </c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ht="12.5">
      <c r="A348" s="5">
        <f ca="1">IFERROR(__xludf.DUMMYFUNCTION("""COMPUTED_VALUE"""),10678)</f>
        <v>10678</v>
      </c>
      <c r="B348" s="5"/>
      <c r="C348" s="5" t="str">
        <f ca="1">IFERROR(__xludf.DUMMYFUNCTION("""COMPUTED_VALUE"""),"Bihor")</f>
        <v>Bihor</v>
      </c>
      <c r="D348" s="13">
        <f ca="1">IFERROR(__xludf.DUMMYFUNCTION("""COMPUTED_VALUE"""),43947)</f>
        <v>43947</v>
      </c>
      <c r="E348" s="5" t="str">
        <f ca="1">IFERROR(__xludf.DUMMYFUNCTION("""COMPUTED_VALUE"""),"Nu")</f>
        <v>Nu</v>
      </c>
      <c r="F348" s="5"/>
      <c r="G348" s="5"/>
      <c r="H348" s="6"/>
      <c r="I348" s="5"/>
      <c r="J348" s="5"/>
      <c r="K348" s="7" t="str">
        <f ca="1">IFERROR(__xludf.DUMMYFUNCTION("""COMPUTED_VALUE"""),"https://stirioficiale.ro/informatii/buletin-de-presa-26-aprilie-2020-ora-13-00")</f>
        <v>https://stirioficiale.ro/informatii/buletin-de-presa-26-aprilie-2020-ora-13-00</v>
      </c>
      <c r="L348" s="5"/>
      <c r="M348" s="5"/>
      <c r="N348" s="5"/>
      <c r="O348" s="5"/>
      <c r="P348" s="5"/>
      <c r="Q348" s="5"/>
      <c r="R348" s="5" t="str">
        <f ca="1">IFERROR(__xludf.DUMMYFUNCTION("""COMPUTED_VALUE"""),"România")</f>
        <v>România</v>
      </c>
      <c r="S348" s="5" t="str">
        <f ca="1">IFERROR(__xludf.DUMMYFUNCTION("""COMPUTED_VALUE"""),"Octavian")</f>
        <v>Octavian</v>
      </c>
      <c r="T348" s="7" t="str">
        <f ca="1">IFERROR(__xludf.DUMMYFUNCTION("""COMPUTED_VALUE"""),"http://www.ms.ro/2020/04/26/buletin-informativ-26-04-2020/")</f>
        <v>http://www.ms.ro/2020/04/26/buletin-informativ-26-04-2020/</v>
      </c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2.5">
      <c r="A349" s="5">
        <f ca="1">IFERROR(__xludf.DUMMYFUNCTION("""COMPUTED_VALUE"""),10679)</f>
        <v>10679</v>
      </c>
      <c r="B349" s="5"/>
      <c r="C349" s="5" t="str">
        <f ca="1">IFERROR(__xludf.DUMMYFUNCTION("""COMPUTED_VALUE"""),"Bihor")</f>
        <v>Bihor</v>
      </c>
      <c r="D349" s="13">
        <f ca="1">IFERROR(__xludf.DUMMYFUNCTION("""COMPUTED_VALUE"""),43947)</f>
        <v>43947</v>
      </c>
      <c r="E349" s="5" t="str">
        <f ca="1">IFERROR(__xludf.DUMMYFUNCTION("""COMPUTED_VALUE"""),"Nu")</f>
        <v>Nu</v>
      </c>
      <c r="F349" s="5"/>
      <c r="G349" s="5"/>
      <c r="H349" s="6"/>
      <c r="I349" s="5"/>
      <c r="J349" s="5"/>
      <c r="K349" s="7" t="str">
        <f ca="1">IFERROR(__xludf.DUMMYFUNCTION("""COMPUTED_VALUE"""),"https://stirioficiale.ro/informatii/buletin-de-presa-26-aprilie-2020-ora-13-00")</f>
        <v>https://stirioficiale.ro/informatii/buletin-de-presa-26-aprilie-2020-ora-13-00</v>
      </c>
      <c r="L349" s="5"/>
      <c r="M349" s="5"/>
      <c r="N349" s="5"/>
      <c r="O349" s="5"/>
      <c r="P349" s="5"/>
      <c r="Q349" s="5"/>
      <c r="R349" s="5" t="str">
        <f ca="1">IFERROR(__xludf.DUMMYFUNCTION("""COMPUTED_VALUE"""),"România")</f>
        <v>România</v>
      </c>
      <c r="S349" s="5" t="str">
        <f ca="1">IFERROR(__xludf.DUMMYFUNCTION("""COMPUTED_VALUE"""),"Octavian")</f>
        <v>Octavian</v>
      </c>
      <c r="T349" s="7" t="str">
        <f ca="1">IFERROR(__xludf.DUMMYFUNCTION("""COMPUTED_VALUE"""),"http://www.ms.ro/2020/04/26/buletin-informativ-26-04-2020/")</f>
        <v>http://www.ms.ro/2020/04/26/buletin-informativ-26-04-2020/</v>
      </c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ht="12.5">
      <c r="A350" s="5">
        <f ca="1">IFERROR(__xludf.DUMMYFUNCTION("""COMPUTED_VALUE"""),10680)</f>
        <v>10680</v>
      </c>
      <c r="B350" s="5"/>
      <c r="C350" s="5" t="str">
        <f ca="1">IFERROR(__xludf.DUMMYFUNCTION("""COMPUTED_VALUE"""),"Bihor")</f>
        <v>Bihor</v>
      </c>
      <c r="D350" s="13">
        <f ca="1">IFERROR(__xludf.DUMMYFUNCTION("""COMPUTED_VALUE"""),43947)</f>
        <v>43947</v>
      </c>
      <c r="E350" s="5" t="str">
        <f ca="1">IFERROR(__xludf.DUMMYFUNCTION("""COMPUTED_VALUE"""),"Nu")</f>
        <v>Nu</v>
      </c>
      <c r="F350" s="5"/>
      <c r="G350" s="5"/>
      <c r="H350" s="6"/>
      <c r="I350" s="5"/>
      <c r="J350" s="5"/>
      <c r="K350" s="7" t="str">
        <f ca="1">IFERROR(__xludf.DUMMYFUNCTION("""COMPUTED_VALUE"""),"https://stirioficiale.ro/informatii/buletin-de-presa-26-aprilie-2020-ora-13-00")</f>
        <v>https://stirioficiale.ro/informatii/buletin-de-presa-26-aprilie-2020-ora-13-00</v>
      </c>
      <c r="L350" s="5"/>
      <c r="M350" s="5"/>
      <c r="N350" s="5"/>
      <c r="O350" s="5"/>
      <c r="P350" s="5"/>
      <c r="Q350" s="5"/>
      <c r="R350" s="5" t="str">
        <f ca="1">IFERROR(__xludf.DUMMYFUNCTION("""COMPUTED_VALUE"""),"România")</f>
        <v>România</v>
      </c>
      <c r="S350" s="5" t="str">
        <f ca="1">IFERROR(__xludf.DUMMYFUNCTION("""COMPUTED_VALUE"""),"Octavian")</f>
        <v>Octavian</v>
      </c>
      <c r="T350" s="7" t="str">
        <f ca="1">IFERROR(__xludf.DUMMYFUNCTION("""COMPUTED_VALUE"""),"http://www.ms.ro/2020/04/26/buletin-informativ-26-04-2020/")</f>
        <v>http://www.ms.ro/2020/04/26/buletin-informativ-26-04-2020/</v>
      </c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2.5">
      <c r="A351" s="5">
        <f ca="1">IFERROR(__xludf.DUMMYFUNCTION("""COMPUTED_VALUE"""),10681)</f>
        <v>10681</v>
      </c>
      <c r="B351" s="5"/>
      <c r="C351" s="5" t="str">
        <f ca="1">IFERROR(__xludf.DUMMYFUNCTION("""COMPUTED_VALUE"""),"Bihor")</f>
        <v>Bihor</v>
      </c>
      <c r="D351" s="13">
        <f ca="1">IFERROR(__xludf.DUMMYFUNCTION("""COMPUTED_VALUE"""),43947)</f>
        <v>43947</v>
      </c>
      <c r="E351" s="5" t="str">
        <f ca="1">IFERROR(__xludf.DUMMYFUNCTION("""COMPUTED_VALUE"""),"Nu")</f>
        <v>Nu</v>
      </c>
      <c r="F351" s="5"/>
      <c r="G351" s="5"/>
      <c r="H351" s="6"/>
      <c r="I351" s="5"/>
      <c r="J351" s="5"/>
      <c r="K351" s="7" t="str">
        <f ca="1">IFERROR(__xludf.DUMMYFUNCTION("""COMPUTED_VALUE"""),"https://stirioficiale.ro/informatii/buletin-de-presa-26-aprilie-2020-ora-13-00")</f>
        <v>https://stirioficiale.ro/informatii/buletin-de-presa-26-aprilie-2020-ora-13-00</v>
      </c>
      <c r="L351" s="5"/>
      <c r="M351" s="5"/>
      <c r="N351" s="5"/>
      <c r="O351" s="5"/>
      <c r="P351" s="5"/>
      <c r="Q351" s="5"/>
      <c r="R351" s="5" t="str">
        <f ca="1">IFERROR(__xludf.DUMMYFUNCTION("""COMPUTED_VALUE"""),"România")</f>
        <v>România</v>
      </c>
      <c r="S351" s="5" t="str">
        <f ca="1">IFERROR(__xludf.DUMMYFUNCTION("""COMPUTED_VALUE"""),"Octavian")</f>
        <v>Octavian</v>
      </c>
      <c r="T351" s="7" t="str">
        <f ca="1">IFERROR(__xludf.DUMMYFUNCTION("""COMPUTED_VALUE"""),"http://www.ms.ro/2020/04/26/buletin-informativ-26-04-2020/")</f>
        <v>http://www.ms.ro/2020/04/26/buletin-informativ-26-04-2020/</v>
      </c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ht="12.5">
      <c r="A352" s="5">
        <f ca="1">IFERROR(__xludf.DUMMYFUNCTION("""COMPUTED_VALUE"""),10682)</f>
        <v>10682</v>
      </c>
      <c r="B352" s="5"/>
      <c r="C352" s="5" t="str">
        <f ca="1">IFERROR(__xludf.DUMMYFUNCTION("""COMPUTED_VALUE"""),"Bihor")</f>
        <v>Bihor</v>
      </c>
      <c r="D352" s="13">
        <f ca="1">IFERROR(__xludf.DUMMYFUNCTION("""COMPUTED_VALUE"""),43947)</f>
        <v>43947</v>
      </c>
      <c r="E352" s="5" t="str">
        <f ca="1">IFERROR(__xludf.DUMMYFUNCTION("""COMPUTED_VALUE"""),"Nu")</f>
        <v>Nu</v>
      </c>
      <c r="F352" s="5"/>
      <c r="G352" s="5"/>
      <c r="H352" s="6"/>
      <c r="I352" s="5"/>
      <c r="J352" s="5"/>
      <c r="K352" s="7" t="str">
        <f ca="1">IFERROR(__xludf.DUMMYFUNCTION("""COMPUTED_VALUE"""),"https://stirioficiale.ro/informatii/buletin-de-presa-26-aprilie-2020-ora-13-00")</f>
        <v>https://stirioficiale.ro/informatii/buletin-de-presa-26-aprilie-2020-ora-13-00</v>
      </c>
      <c r="L352" s="5"/>
      <c r="M352" s="5"/>
      <c r="N352" s="5"/>
      <c r="O352" s="5"/>
      <c r="P352" s="5"/>
      <c r="Q352" s="5"/>
      <c r="R352" s="5" t="str">
        <f ca="1">IFERROR(__xludf.DUMMYFUNCTION("""COMPUTED_VALUE"""),"România")</f>
        <v>România</v>
      </c>
      <c r="S352" s="5" t="str">
        <f ca="1">IFERROR(__xludf.DUMMYFUNCTION("""COMPUTED_VALUE"""),"Octavian")</f>
        <v>Octavian</v>
      </c>
      <c r="T352" s="7" t="str">
        <f ca="1">IFERROR(__xludf.DUMMYFUNCTION("""COMPUTED_VALUE"""),"http://www.ms.ro/2020/04/26/buletin-informativ-26-04-2020/")</f>
        <v>http://www.ms.ro/2020/04/26/buletin-informativ-26-04-2020/</v>
      </c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2.5">
      <c r="A353" s="5">
        <f ca="1">IFERROR(__xludf.DUMMYFUNCTION("""COMPUTED_VALUE"""),10683)</f>
        <v>10683</v>
      </c>
      <c r="B353" s="5"/>
      <c r="C353" s="5" t="str">
        <f ca="1">IFERROR(__xludf.DUMMYFUNCTION("""COMPUTED_VALUE"""),"Bihor")</f>
        <v>Bihor</v>
      </c>
      <c r="D353" s="13">
        <f ca="1">IFERROR(__xludf.DUMMYFUNCTION("""COMPUTED_VALUE"""),43947)</f>
        <v>43947</v>
      </c>
      <c r="E353" s="5" t="str">
        <f ca="1">IFERROR(__xludf.DUMMYFUNCTION("""COMPUTED_VALUE"""),"Nu")</f>
        <v>Nu</v>
      </c>
      <c r="F353" s="5"/>
      <c r="G353" s="5"/>
      <c r="H353" s="6"/>
      <c r="I353" s="5"/>
      <c r="J353" s="5"/>
      <c r="K353" s="7" t="str">
        <f ca="1">IFERROR(__xludf.DUMMYFUNCTION("""COMPUTED_VALUE"""),"https://stirioficiale.ro/informatii/buletin-de-presa-26-aprilie-2020-ora-13-00")</f>
        <v>https://stirioficiale.ro/informatii/buletin-de-presa-26-aprilie-2020-ora-13-00</v>
      </c>
      <c r="L353" s="5"/>
      <c r="M353" s="5"/>
      <c r="N353" s="5"/>
      <c r="O353" s="5"/>
      <c r="P353" s="5"/>
      <c r="Q353" s="5"/>
      <c r="R353" s="5" t="str">
        <f ca="1">IFERROR(__xludf.DUMMYFUNCTION("""COMPUTED_VALUE"""),"România")</f>
        <v>România</v>
      </c>
      <c r="S353" s="5" t="str">
        <f ca="1">IFERROR(__xludf.DUMMYFUNCTION("""COMPUTED_VALUE"""),"Octavian")</f>
        <v>Octavian</v>
      </c>
      <c r="T353" s="7" t="str">
        <f ca="1">IFERROR(__xludf.DUMMYFUNCTION("""COMPUTED_VALUE"""),"http://www.ms.ro/2020/04/26/buletin-informativ-26-04-2020/")</f>
        <v>http://www.ms.ro/2020/04/26/buletin-informativ-26-04-2020/</v>
      </c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ht="12.5">
      <c r="A354" s="5">
        <f ca="1">IFERROR(__xludf.DUMMYFUNCTION("""COMPUTED_VALUE"""),10684)</f>
        <v>10684</v>
      </c>
      <c r="B354" s="5"/>
      <c r="C354" s="5" t="str">
        <f ca="1">IFERROR(__xludf.DUMMYFUNCTION("""COMPUTED_VALUE"""),"Bihor")</f>
        <v>Bihor</v>
      </c>
      <c r="D354" s="13">
        <f ca="1">IFERROR(__xludf.DUMMYFUNCTION("""COMPUTED_VALUE"""),43947)</f>
        <v>43947</v>
      </c>
      <c r="E354" s="5" t="str">
        <f ca="1">IFERROR(__xludf.DUMMYFUNCTION("""COMPUTED_VALUE"""),"Nu")</f>
        <v>Nu</v>
      </c>
      <c r="F354" s="5"/>
      <c r="G354" s="5"/>
      <c r="H354" s="6"/>
      <c r="I354" s="5"/>
      <c r="J354" s="5"/>
      <c r="K354" s="7" t="str">
        <f ca="1">IFERROR(__xludf.DUMMYFUNCTION("""COMPUTED_VALUE"""),"https://stirioficiale.ro/informatii/buletin-de-presa-26-aprilie-2020-ora-13-00")</f>
        <v>https://stirioficiale.ro/informatii/buletin-de-presa-26-aprilie-2020-ora-13-00</v>
      </c>
      <c r="L354" s="5"/>
      <c r="M354" s="5"/>
      <c r="N354" s="5"/>
      <c r="O354" s="5"/>
      <c r="P354" s="5"/>
      <c r="Q354" s="5"/>
      <c r="R354" s="5" t="str">
        <f ca="1">IFERROR(__xludf.DUMMYFUNCTION("""COMPUTED_VALUE"""),"România")</f>
        <v>România</v>
      </c>
      <c r="S354" s="5" t="str">
        <f ca="1">IFERROR(__xludf.DUMMYFUNCTION("""COMPUTED_VALUE"""),"Octavian")</f>
        <v>Octavian</v>
      </c>
      <c r="T354" s="7" t="str">
        <f ca="1">IFERROR(__xludf.DUMMYFUNCTION("""COMPUTED_VALUE"""),"http://www.ms.ro/2020/04/26/buletin-informativ-26-04-2020/")</f>
        <v>http://www.ms.ro/2020/04/26/buletin-informativ-26-04-2020/</v>
      </c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2.5">
      <c r="A355" s="5">
        <f ca="1">IFERROR(__xludf.DUMMYFUNCTION("""COMPUTED_VALUE"""),10685)</f>
        <v>10685</v>
      </c>
      <c r="B355" s="5"/>
      <c r="C355" s="5" t="str">
        <f ca="1">IFERROR(__xludf.DUMMYFUNCTION("""COMPUTED_VALUE"""),"Bihor")</f>
        <v>Bihor</v>
      </c>
      <c r="D355" s="13">
        <f ca="1">IFERROR(__xludf.DUMMYFUNCTION("""COMPUTED_VALUE"""),43947)</f>
        <v>43947</v>
      </c>
      <c r="E355" s="5" t="str">
        <f ca="1">IFERROR(__xludf.DUMMYFUNCTION("""COMPUTED_VALUE"""),"Nu")</f>
        <v>Nu</v>
      </c>
      <c r="F355" s="5"/>
      <c r="G355" s="5"/>
      <c r="H355" s="6"/>
      <c r="I355" s="5"/>
      <c r="J355" s="5"/>
      <c r="K355" s="7" t="str">
        <f ca="1">IFERROR(__xludf.DUMMYFUNCTION("""COMPUTED_VALUE"""),"https://stirioficiale.ro/informatii/buletin-de-presa-26-aprilie-2020-ora-13-00")</f>
        <v>https://stirioficiale.ro/informatii/buletin-de-presa-26-aprilie-2020-ora-13-00</v>
      </c>
      <c r="L355" s="5"/>
      <c r="M355" s="5"/>
      <c r="N355" s="5"/>
      <c r="O355" s="5"/>
      <c r="P355" s="5"/>
      <c r="Q355" s="5"/>
      <c r="R355" s="5" t="str">
        <f ca="1">IFERROR(__xludf.DUMMYFUNCTION("""COMPUTED_VALUE"""),"România")</f>
        <v>România</v>
      </c>
      <c r="S355" s="5" t="str">
        <f ca="1">IFERROR(__xludf.DUMMYFUNCTION("""COMPUTED_VALUE"""),"Octavian")</f>
        <v>Octavian</v>
      </c>
      <c r="T355" s="7" t="str">
        <f ca="1">IFERROR(__xludf.DUMMYFUNCTION("""COMPUTED_VALUE"""),"http://www.ms.ro/2020/04/26/buletin-informativ-26-04-2020/")</f>
        <v>http://www.ms.ro/2020/04/26/buletin-informativ-26-04-2020/</v>
      </c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ht="12.5">
      <c r="A356" s="5">
        <f ca="1">IFERROR(__xludf.DUMMYFUNCTION("""COMPUTED_VALUE"""),10686)</f>
        <v>10686</v>
      </c>
      <c r="B356" s="5"/>
      <c r="C356" s="5" t="str">
        <f ca="1">IFERROR(__xludf.DUMMYFUNCTION("""COMPUTED_VALUE"""),"Bihor")</f>
        <v>Bihor</v>
      </c>
      <c r="D356" s="13">
        <f ca="1">IFERROR(__xludf.DUMMYFUNCTION("""COMPUTED_VALUE"""),43947)</f>
        <v>43947</v>
      </c>
      <c r="E356" s="5" t="str">
        <f ca="1">IFERROR(__xludf.DUMMYFUNCTION("""COMPUTED_VALUE"""),"Nu")</f>
        <v>Nu</v>
      </c>
      <c r="F356" s="5"/>
      <c r="G356" s="5"/>
      <c r="H356" s="6"/>
      <c r="I356" s="5"/>
      <c r="J356" s="5"/>
      <c r="K356" s="7" t="str">
        <f ca="1">IFERROR(__xludf.DUMMYFUNCTION("""COMPUTED_VALUE"""),"https://stirioficiale.ro/informatii/buletin-de-presa-26-aprilie-2020-ora-13-00")</f>
        <v>https://stirioficiale.ro/informatii/buletin-de-presa-26-aprilie-2020-ora-13-00</v>
      </c>
      <c r="L356" s="5"/>
      <c r="M356" s="5"/>
      <c r="N356" s="5"/>
      <c r="O356" s="5"/>
      <c r="P356" s="5"/>
      <c r="Q356" s="5"/>
      <c r="R356" s="5" t="str">
        <f ca="1">IFERROR(__xludf.DUMMYFUNCTION("""COMPUTED_VALUE"""),"România")</f>
        <v>România</v>
      </c>
      <c r="S356" s="5" t="str">
        <f ca="1">IFERROR(__xludf.DUMMYFUNCTION("""COMPUTED_VALUE"""),"Octavian")</f>
        <v>Octavian</v>
      </c>
      <c r="T356" s="7" t="str">
        <f ca="1">IFERROR(__xludf.DUMMYFUNCTION("""COMPUTED_VALUE"""),"http://www.ms.ro/2020/04/26/buletin-informativ-26-04-2020/")</f>
        <v>http://www.ms.ro/2020/04/26/buletin-informativ-26-04-2020/</v>
      </c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2.5">
      <c r="A357" s="5">
        <f ca="1">IFERROR(__xludf.DUMMYFUNCTION("""COMPUTED_VALUE"""),10687)</f>
        <v>10687</v>
      </c>
      <c r="B357" s="5"/>
      <c r="C357" s="5" t="str">
        <f ca="1">IFERROR(__xludf.DUMMYFUNCTION("""COMPUTED_VALUE"""),"Bihor")</f>
        <v>Bihor</v>
      </c>
      <c r="D357" s="13">
        <f ca="1">IFERROR(__xludf.DUMMYFUNCTION("""COMPUTED_VALUE"""),43947)</f>
        <v>43947</v>
      </c>
      <c r="E357" s="5" t="str">
        <f ca="1">IFERROR(__xludf.DUMMYFUNCTION("""COMPUTED_VALUE"""),"Nu")</f>
        <v>Nu</v>
      </c>
      <c r="F357" s="5"/>
      <c r="G357" s="5"/>
      <c r="H357" s="6"/>
      <c r="I357" s="5"/>
      <c r="J357" s="5"/>
      <c r="K357" s="7" t="str">
        <f ca="1">IFERROR(__xludf.DUMMYFUNCTION("""COMPUTED_VALUE"""),"https://stirioficiale.ro/informatii/buletin-de-presa-26-aprilie-2020-ora-13-00")</f>
        <v>https://stirioficiale.ro/informatii/buletin-de-presa-26-aprilie-2020-ora-13-00</v>
      </c>
      <c r="L357" s="5"/>
      <c r="M357" s="5"/>
      <c r="N357" s="5"/>
      <c r="O357" s="5"/>
      <c r="P357" s="5"/>
      <c r="Q357" s="5"/>
      <c r="R357" s="5" t="str">
        <f ca="1">IFERROR(__xludf.DUMMYFUNCTION("""COMPUTED_VALUE"""),"România")</f>
        <v>România</v>
      </c>
      <c r="S357" s="5" t="str">
        <f ca="1">IFERROR(__xludf.DUMMYFUNCTION("""COMPUTED_VALUE"""),"Octavian")</f>
        <v>Octavian</v>
      </c>
      <c r="T357" s="7" t="str">
        <f ca="1">IFERROR(__xludf.DUMMYFUNCTION("""COMPUTED_VALUE"""),"http://www.ms.ro/2020/04/26/buletin-informativ-26-04-2020/")</f>
        <v>http://www.ms.ro/2020/04/26/buletin-informativ-26-04-2020/</v>
      </c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ht="12.5">
      <c r="A358" s="5">
        <f ca="1">IFERROR(__xludf.DUMMYFUNCTION("""COMPUTED_VALUE"""),11073)</f>
        <v>11073</v>
      </c>
      <c r="B358" s="5"/>
      <c r="C358" s="5" t="str">
        <f ca="1">IFERROR(__xludf.DUMMYFUNCTION("""COMPUTED_VALUE"""),"Bihor")</f>
        <v>Bihor</v>
      </c>
      <c r="D358" s="13">
        <f ca="1">IFERROR(__xludf.DUMMYFUNCTION("""COMPUTED_VALUE"""),43948)</f>
        <v>43948</v>
      </c>
      <c r="E358" s="5" t="str">
        <f ca="1">IFERROR(__xludf.DUMMYFUNCTION("""COMPUTED_VALUE"""),"Nu")</f>
        <v>Nu</v>
      </c>
      <c r="F358" s="5"/>
      <c r="G358" s="5"/>
      <c r="H358" s="6"/>
      <c r="I358" s="5"/>
      <c r="J358" s="5"/>
      <c r="K358" s="7" t="str">
        <f ca="1">IFERROR(__xludf.DUMMYFUNCTION("""COMPUTED_VALUE"""),"https://stirioficiale.ro/informatii/buletin-de-presa-27-aprilie-2020-ora-13-00")</f>
        <v>https://stirioficiale.ro/informatii/buletin-de-presa-27-aprilie-2020-ora-13-00</v>
      </c>
      <c r="L358" s="5"/>
      <c r="M358" s="5"/>
      <c r="N358" s="5"/>
      <c r="O358" s="5"/>
      <c r="P358" s="5"/>
      <c r="Q358" s="5"/>
      <c r="R358" s="5" t="str">
        <f ca="1">IFERROR(__xludf.DUMMYFUNCTION("""COMPUTED_VALUE"""),"România")</f>
        <v>România</v>
      </c>
      <c r="S358" s="5" t="str">
        <f ca="1">IFERROR(__xludf.DUMMYFUNCTION("""COMPUTED_VALUE"""),"Octavian")</f>
        <v>Octavian</v>
      </c>
      <c r="T358" s="7" t="str">
        <f ca="1">IFERROR(__xludf.DUMMYFUNCTION("""COMPUTED_VALUE"""),"http://www.ms.ro/2020/04/27/buletin-informativ-27-04-2020/")</f>
        <v>http://www.ms.ro/2020/04/27/buletin-informativ-27-04-2020/</v>
      </c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2.5">
      <c r="A359" s="5">
        <f ca="1">IFERROR(__xludf.DUMMYFUNCTION("""COMPUTED_VALUE"""),11074)</f>
        <v>11074</v>
      </c>
      <c r="B359" s="5"/>
      <c r="C359" s="5" t="str">
        <f ca="1">IFERROR(__xludf.DUMMYFUNCTION("""COMPUTED_VALUE"""),"Bihor")</f>
        <v>Bihor</v>
      </c>
      <c r="D359" s="13">
        <f ca="1">IFERROR(__xludf.DUMMYFUNCTION("""COMPUTED_VALUE"""),43948)</f>
        <v>43948</v>
      </c>
      <c r="E359" s="5" t="str">
        <f ca="1">IFERROR(__xludf.DUMMYFUNCTION("""COMPUTED_VALUE"""),"Nu")</f>
        <v>Nu</v>
      </c>
      <c r="F359" s="5"/>
      <c r="G359" s="5"/>
      <c r="H359" s="6"/>
      <c r="I359" s="5"/>
      <c r="J359" s="5"/>
      <c r="K359" s="7" t="str">
        <f ca="1">IFERROR(__xludf.DUMMYFUNCTION("""COMPUTED_VALUE"""),"https://stirioficiale.ro/informatii/buletin-de-presa-27-aprilie-2020-ora-13-00")</f>
        <v>https://stirioficiale.ro/informatii/buletin-de-presa-27-aprilie-2020-ora-13-00</v>
      </c>
      <c r="L359" s="5"/>
      <c r="M359" s="5"/>
      <c r="N359" s="5"/>
      <c r="O359" s="5"/>
      <c r="P359" s="5"/>
      <c r="Q359" s="5"/>
      <c r="R359" s="5" t="str">
        <f ca="1">IFERROR(__xludf.DUMMYFUNCTION("""COMPUTED_VALUE"""),"România")</f>
        <v>România</v>
      </c>
      <c r="S359" s="5" t="str">
        <f ca="1">IFERROR(__xludf.DUMMYFUNCTION("""COMPUTED_VALUE"""),"Octavian")</f>
        <v>Octavian</v>
      </c>
      <c r="T359" s="7" t="str">
        <f ca="1">IFERROR(__xludf.DUMMYFUNCTION("""COMPUTED_VALUE"""),"http://www.ms.ro/2020/04/27/buletin-informativ-27-04-2020/")</f>
        <v>http://www.ms.ro/2020/04/27/buletin-informativ-27-04-2020/</v>
      </c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ht="12.5">
      <c r="A360" s="5">
        <f ca="1">IFERROR(__xludf.DUMMYFUNCTION("""COMPUTED_VALUE"""),11075)</f>
        <v>11075</v>
      </c>
      <c r="B360" s="5"/>
      <c r="C360" s="5" t="str">
        <f ca="1">IFERROR(__xludf.DUMMYFUNCTION("""COMPUTED_VALUE"""),"Bihor")</f>
        <v>Bihor</v>
      </c>
      <c r="D360" s="13">
        <f ca="1">IFERROR(__xludf.DUMMYFUNCTION("""COMPUTED_VALUE"""),43948)</f>
        <v>43948</v>
      </c>
      <c r="E360" s="5" t="str">
        <f ca="1">IFERROR(__xludf.DUMMYFUNCTION("""COMPUTED_VALUE"""),"Nu")</f>
        <v>Nu</v>
      </c>
      <c r="F360" s="5"/>
      <c r="G360" s="5"/>
      <c r="H360" s="6"/>
      <c r="I360" s="5"/>
      <c r="J360" s="5"/>
      <c r="K360" s="7" t="str">
        <f ca="1">IFERROR(__xludf.DUMMYFUNCTION("""COMPUTED_VALUE"""),"https://stirioficiale.ro/informatii/buletin-de-presa-27-aprilie-2020-ora-13-00")</f>
        <v>https://stirioficiale.ro/informatii/buletin-de-presa-27-aprilie-2020-ora-13-00</v>
      </c>
      <c r="L360" s="5"/>
      <c r="M360" s="5"/>
      <c r="N360" s="5"/>
      <c r="O360" s="5"/>
      <c r="P360" s="5"/>
      <c r="Q360" s="5"/>
      <c r="R360" s="5" t="str">
        <f ca="1">IFERROR(__xludf.DUMMYFUNCTION("""COMPUTED_VALUE"""),"România")</f>
        <v>România</v>
      </c>
      <c r="S360" s="5" t="str">
        <f ca="1">IFERROR(__xludf.DUMMYFUNCTION("""COMPUTED_VALUE"""),"Octavian")</f>
        <v>Octavian</v>
      </c>
      <c r="T360" s="7" t="str">
        <f ca="1">IFERROR(__xludf.DUMMYFUNCTION("""COMPUTED_VALUE"""),"http://www.ms.ro/2020/04/27/buletin-informativ-27-04-2020/")</f>
        <v>http://www.ms.ro/2020/04/27/buletin-informativ-27-04-2020/</v>
      </c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2.5">
      <c r="A361" s="5">
        <f ca="1">IFERROR(__xludf.DUMMYFUNCTION("""COMPUTED_VALUE"""),11076)</f>
        <v>11076</v>
      </c>
      <c r="B361" s="5"/>
      <c r="C361" s="5" t="str">
        <f ca="1">IFERROR(__xludf.DUMMYFUNCTION("""COMPUTED_VALUE"""),"Bihor")</f>
        <v>Bihor</v>
      </c>
      <c r="D361" s="13">
        <f ca="1">IFERROR(__xludf.DUMMYFUNCTION("""COMPUTED_VALUE"""),43948)</f>
        <v>43948</v>
      </c>
      <c r="E361" s="5" t="str">
        <f ca="1">IFERROR(__xludf.DUMMYFUNCTION("""COMPUTED_VALUE"""),"Nu")</f>
        <v>Nu</v>
      </c>
      <c r="F361" s="5"/>
      <c r="G361" s="5"/>
      <c r="H361" s="6"/>
      <c r="I361" s="5"/>
      <c r="J361" s="5"/>
      <c r="K361" s="7" t="str">
        <f ca="1">IFERROR(__xludf.DUMMYFUNCTION("""COMPUTED_VALUE"""),"https://stirioficiale.ro/informatii/buletin-de-presa-27-aprilie-2020-ora-13-00")</f>
        <v>https://stirioficiale.ro/informatii/buletin-de-presa-27-aprilie-2020-ora-13-00</v>
      </c>
      <c r="L361" s="5"/>
      <c r="M361" s="5"/>
      <c r="N361" s="5"/>
      <c r="O361" s="5"/>
      <c r="P361" s="5"/>
      <c r="Q361" s="5"/>
      <c r="R361" s="5" t="str">
        <f ca="1">IFERROR(__xludf.DUMMYFUNCTION("""COMPUTED_VALUE"""),"România")</f>
        <v>România</v>
      </c>
      <c r="S361" s="5" t="str">
        <f ca="1">IFERROR(__xludf.DUMMYFUNCTION("""COMPUTED_VALUE"""),"Octavian")</f>
        <v>Octavian</v>
      </c>
      <c r="T361" s="7" t="str">
        <f ca="1">IFERROR(__xludf.DUMMYFUNCTION("""COMPUTED_VALUE"""),"http://www.ms.ro/2020/04/27/buletin-informativ-27-04-2020/")</f>
        <v>http://www.ms.ro/2020/04/27/buletin-informativ-27-04-2020/</v>
      </c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ht="12.5">
      <c r="A362" s="5">
        <f ca="1">IFERROR(__xludf.DUMMYFUNCTION("""COMPUTED_VALUE"""),11077)</f>
        <v>11077</v>
      </c>
      <c r="B362" s="5"/>
      <c r="C362" s="5" t="str">
        <f ca="1">IFERROR(__xludf.DUMMYFUNCTION("""COMPUTED_VALUE"""),"Bihor")</f>
        <v>Bihor</v>
      </c>
      <c r="D362" s="13">
        <f ca="1">IFERROR(__xludf.DUMMYFUNCTION("""COMPUTED_VALUE"""),43948)</f>
        <v>43948</v>
      </c>
      <c r="E362" s="5" t="str">
        <f ca="1">IFERROR(__xludf.DUMMYFUNCTION("""COMPUTED_VALUE"""),"Nu")</f>
        <v>Nu</v>
      </c>
      <c r="F362" s="5"/>
      <c r="G362" s="5"/>
      <c r="H362" s="6"/>
      <c r="I362" s="5"/>
      <c r="J362" s="5"/>
      <c r="K362" s="7" t="str">
        <f ca="1">IFERROR(__xludf.DUMMYFUNCTION("""COMPUTED_VALUE"""),"https://stirioficiale.ro/informatii/buletin-de-presa-27-aprilie-2020-ora-13-00")</f>
        <v>https://stirioficiale.ro/informatii/buletin-de-presa-27-aprilie-2020-ora-13-00</v>
      </c>
      <c r="L362" s="5"/>
      <c r="M362" s="5"/>
      <c r="N362" s="5"/>
      <c r="O362" s="5"/>
      <c r="P362" s="5"/>
      <c r="Q362" s="5"/>
      <c r="R362" s="5" t="str">
        <f ca="1">IFERROR(__xludf.DUMMYFUNCTION("""COMPUTED_VALUE"""),"România")</f>
        <v>România</v>
      </c>
      <c r="S362" s="5" t="str">
        <f ca="1">IFERROR(__xludf.DUMMYFUNCTION("""COMPUTED_VALUE"""),"Octavian")</f>
        <v>Octavian</v>
      </c>
      <c r="T362" s="7" t="str">
        <f ca="1">IFERROR(__xludf.DUMMYFUNCTION("""COMPUTED_VALUE"""),"http://www.ms.ro/2020/04/27/buletin-informativ-27-04-2020/")</f>
        <v>http://www.ms.ro/2020/04/27/buletin-informativ-27-04-2020/</v>
      </c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2.5">
      <c r="A363" s="5">
        <f ca="1">IFERROR(__xludf.DUMMYFUNCTION("""COMPUTED_VALUE"""),11078)</f>
        <v>11078</v>
      </c>
      <c r="B363" s="5"/>
      <c r="C363" s="5" t="str">
        <f ca="1">IFERROR(__xludf.DUMMYFUNCTION("""COMPUTED_VALUE"""),"Bihor")</f>
        <v>Bihor</v>
      </c>
      <c r="D363" s="13">
        <f ca="1">IFERROR(__xludf.DUMMYFUNCTION("""COMPUTED_VALUE"""),43948)</f>
        <v>43948</v>
      </c>
      <c r="E363" s="5" t="str">
        <f ca="1">IFERROR(__xludf.DUMMYFUNCTION("""COMPUTED_VALUE"""),"Nu")</f>
        <v>Nu</v>
      </c>
      <c r="F363" s="5"/>
      <c r="G363" s="5"/>
      <c r="H363" s="6"/>
      <c r="I363" s="5"/>
      <c r="J363" s="5"/>
      <c r="K363" s="7" t="str">
        <f ca="1">IFERROR(__xludf.DUMMYFUNCTION("""COMPUTED_VALUE"""),"https://stirioficiale.ro/informatii/buletin-de-presa-27-aprilie-2020-ora-13-00")</f>
        <v>https://stirioficiale.ro/informatii/buletin-de-presa-27-aprilie-2020-ora-13-00</v>
      </c>
      <c r="L363" s="5"/>
      <c r="M363" s="5"/>
      <c r="N363" s="5"/>
      <c r="O363" s="5"/>
      <c r="P363" s="5"/>
      <c r="Q363" s="5"/>
      <c r="R363" s="5" t="str">
        <f ca="1">IFERROR(__xludf.DUMMYFUNCTION("""COMPUTED_VALUE"""),"România")</f>
        <v>România</v>
      </c>
      <c r="S363" s="5" t="str">
        <f ca="1">IFERROR(__xludf.DUMMYFUNCTION("""COMPUTED_VALUE"""),"Octavian")</f>
        <v>Octavian</v>
      </c>
      <c r="T363" s="7" t="str">
        <f ca="1">IFERROR(__xludf.DUMMYFUNCTION("""COMPUTED_VALUE"""),"http://www.ms.ro/2020/04/27/buletin-informativ-27-04-2020/")</f>
        <v>http://www.ms.ro/2020/04/27/buletin-informativ-27-04-2020/</v>
      </c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ht="12.5">
      <c r="A364" s="5">
        <f ca="1">IFERROR(__xludf.DUMMYFUNCTION("""COMPUTED_VALUE"""),11079)</f>
        <v>11079</v>
      </c>
      <c r="B364" s="5"/>
      <c r="C364" s="5" t="str">
        <f ca="1">IFERROR(__xludf.DUMMYFUNCTION("""COMPUTED_VALUE"""),"Bihor")</f>
        <v>Bihor</v>
      </c>
      <c r="D364" s="13">
        <f ca="1">IFERROR(__xludf.DUMMYFUNCTION("""COMPUTED_VALUE"""),43948)</f>
        <v>43948</v>
      </c>
      <c r="E364" s="5" t="str">
        <f ca="1">IFERROR(__xludf.DUMMYFUNCTION("""COMPUTED_VALUE"""),"Nu")</f>
        <v>Nu</v>
      </c>
      <c r="F364" s="5"/>
      <c r="G364" s="5"/>
      <c r="H364" s="6"/>
      <c r="I364" s="5"/>
      <c r="J364" s="5"/>
      <c r="K364" s="7" t="str">
        <f ca="1">IFERROR(__xludf.DUMMYFUNCTION("""COMPUTED_VALUE"""),"https://stirioficiale.ro/informatii/buletin-de-presa-27-aprilie-2020-ora-13-00")</f>
        <v>https://stirioficiale.ro/informatii/buletin-de-presa-27-aprilie-2020-ora-13-00</v>
      </c>
      <c r="L364" s="5"/>
      <c r="M364" s="5"/>
      <c r="N364" s="5"/>
      <c r="O364" s="5"/>
      <c r="P364" s="5"/>
      <c r="Q364" s="5"/>
      <c r="R364" s="5" t="str">
        <f ca="1">IFERROR(__xludf.DUMMYFUNCTION("""COMPUTED_VALUE"""),"România")</f>
        <v>România</v>
      </c>
      <c r="S364" s="5" t="str">
        <f ca="1">IFERROR(__xludf.DUMMYFUNCTION("""COMPUTED_VALUE"""),"Octavian")</f>
        <v>Octavian</v>
      </c>
      <c r="T364" s="7" t="str">
        <f ca="1">IFERROR(__xludf.DUMMYFUNCTION("""COMPUTED_VALUE"""),"http://www.ms.ro/2020/04/27/buletin-informativ-27-04-2020/")</f>
        <v>http://www.ms.ro/2020/04/27/buletin-informativ-27-04-2020/</v>
      </c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2.5">
      <c r="A365" s="5">
        <f ca="1">IFERROR(__xludf.DUMMYFUNCTION("""COMPUTED_VALUE"""),11080)</f>
        <v>11080</v>
      </c>
      <c r="B365" s="5"/>
      <c r="C365" s="5" t="str">
        <f ca="1">IFERROR(__xludf.DUMMYFUNCTION("""COMPUTED_VALUE"""),"Bihor")</f>
        <v>Bihor</v>
      </c>
      <c r="D365" s="13">
        <f ca="1">IFERROR(__xludf.DUMMYFUNCTION("""COMPUTED_VALUE"""),43948)</f>
        <v>43948</v>
      </c>
      <c r="E365" s="5" t="str">
        <f ca="1">IFERROR(__xludf.DUMMYFUNCTION("""COMPUTED_VALUE"""),"Nu")</f>
        <v>Nu</v>
      </c>
      <c r="F365" s="5"/>
      <c r="G365" s="5"/>
      <c r="H365" s="6"/>
      <c r="I365" s="5"/>
      <c r="J365" s="5"/>
      <c r="K365" s="7" t="str">
        <f ca="1">IFERROR(__xludf.DUMMYFUNCTION("""COMPUTED_VALUE"""),"https://stirioficiale.ro/informatii/buletin-de-presa-27-aprilie-2020-ora-13-00")</f>
        <v>https://stirioficiale.ro/informatii/buletin-de-presa-27-aprilie-2020-ora-13-00</v>
      </c>
      <c r="L365" s="5"/>
      <c r="M365" s="5"/>
      <c r="N365" s="5"/>
      <c r="O365" s="5"/>
      <c r="P365" s="5"/>
      <c r="Q365" s="5"/>
      <c r="R365" s="5" t="str">
        <f ca="1">IFERROR(__xludf.DUMMYFUNCTION("""COMPUTED_VALUE"""),"România")</f>
        <v>România</v>
      </c>
      <c r="S365" s="5" t="str">
        <f ca="1">IFERROR(__xludf.DUMMYFUNCTION("""COMPUTED_VALUE"""),"Octavian")</f>
        <v>Octavian</v>
      </c>
      <c r="T365" s="7" t="str">
        <f ca="1">IFERROR(__xludf.DUMMYFUNCTION("""COMPUTED_VALUE"""),"http://www.ms.ro/2020/04/27/buletin-informativ-27-04-2020/")</f>
        <v>http://www.ms.ro/2020/04/27/buletin-informativ-27-04-2020/</v>
      </c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ht="12.5">
      <c r="A366" s="5">
        <f ca="1">IFERROR(__xludf.DUMMYFUNCTION("""COMPUTED_VALUE"""),11081)</f>
        <v>11081</v>
      </c>
      <c r="B366" s="5"/>
      <c r="C366" s="5" t="str">
        <f ca="1">IFERROR(__xludf.DUMMYFUNCTION("""COMPUTED_VALUE"""),"Bihor")</f>
        <v>Bihor</v>
      </c>
      <c r="D366" s="13">
        <f ca="1">IFERROR(__xludf.DUMMYFUNCTION("""COMPUTED_VALUE"""),43948)</f>
        <v>43948</v>
      </c>
      <c r="E366" s="5" t="str">
        <f ca="1">IFERROR(__xludf.DUMMYFUNCTION("""COMPUTED_VALUE"""),"Nu")</f>
        <v>Nu</v>
      </c>
      <c r="F366" s="5"/>
      <c r="G366" s="5"/>
      <c r="H366" s="6"/>
      <c r="I366" s="5"/>
      <c r="J366" s="5"/>
      <c r="K366" s="7" t="str">
        <f ca="1">IFERROR(__xludf.DUMMYFUNCTION("""COMPUTED_VALUE"""),"https://stirioficiale.ro/informatii/buletin-de-presa-27-aprilie-2020-ora-13-00")</f>
        <v>https://stirioficiale.ro/informatii/buletin-de-presa-27-aprilie-2020-ora-13-00</v>
      </c>
      <c r="L366" s="5"/>
      <c r="M366" s="5"/>
      <c r="N366" s="5"/>
      <c r="O366" s="5"/>
      <c r="P366" s="5"/>
      <c r="Q366" s="5"/>
      <c r="R366" s="5" t="str">
        <f ca="1">IFERROR(__xludf.DUMMYFUNCTION("""COMPUTED_VALUE"""),"România")</f>
        <v>România</v>
      </c>
      <c r="S366" s="5" t="str">
        <f ca="1">IFERROR(__xludf.DUMMYFUNCTION("""COMPUTED_VALUE"""),"Octavian")</f>
        <v>Octavian</v>
      </c>
      <c r="T366" s="7" t="str">
        <f ca="1">IFERROR(__xludf.DUMMYFUNCTION("""COMPUTED_VALUE"""),"http://www.ms.ro/2020/04/27/buletin-informativ-27-04-2020/")</f>
        <v>http://www.ms.ro/2020/04/27/buletin-informativ-27-04-2020/</v>
      </c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2.5">
      <c r="A367" s="5">
        <f ca="1">IFERROR(__xludf.DUMMYFUNCTION("""COMPUTED_VALUE"""),11082)</f>
        <v>11082</v>
      </c>
      <c r="B367" s="5"/>
      <c r="C367" s="5" t="str">
        <f ca="1">IFERROR(__xludf.DUMMYFUNCTION("""COMPUTED_VALUE"""),"Bihor")</f>
        <v>Bihor</v>
      </c>
      <c r="D367" s="13">
        <f ca="1">IFERROR(__xludf.DUMMYFUNCTION("""COMPUTED_VALUE"""),43948)</f>
        <v>43948</v>
      </c>
      <c r="E367" s="5" t="str">
        <f ca="1">IFERROR(__xludf.DUMMYFUNCTION("""COMPUTED_VALUE"""),"Nu")</f>
        <v>Nu</v>
      </c>
      <c r="F367" s="5"/>
      <c r="G367" s="5"/>
      <c r="H367" s="6"/>
      <c r="I367" s="5"/>
      <c r="J367" s="5"/>
      <c r="K367" s="7" t="str">
        <f ca="1">IFERROR(__xludf.DUMMYFUNCTION("""COMPUTED_VALUE"""),"https://stirioficiale.ro/informatii/buletin-de-presa-27-aprilie-2020-ora-13-00")</f>
        <v>https://stirioficiale.ro/informatii/buletin-de-presa-27-aprilie-2020-ora-13-00</v>
      </c>
      <c r="L367" s="5"/>
      <c r="M367" s="5"/>
      <c r="N367" s="5"/>
      <c r="O367" s="5"/>
      <c r="P367" s="5"/>
      <c r="Q367" s="5"/>
      <c r="R367" s="5" t="str">
        <f ca="1">IFERROR(__xludf.DUMMYFUNCTION("""COMPUTED_VALUE"""),"România")</f>
        <v>România</v>
      </c>
      <c r="S367" s="5" t="str">
        <f ca="1">IFERROR(__xludf.DUMMYFUNCTION("""COMPUTED_VALUE"""),"Octavian")</f>
        <v>Octavian</v>
      </c>
      <c r="T367" s="7" t="str">
        <f ca="1">IFERROR(__xludf.DUMMYFUNCTION("""COMPUTED_VALUE"""),"http://www.ms.ro/2020/04/27/buletin-informativ-27-04-2020/")</f>
        <v>http://www.ms.ro/2020/04/27/buletin-informativ-27-04-2020/</v>
      </c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ht="12.5">
      <c r="A368" s="5">
        <f ca="1">IFERROR(__xludf.DUMMYFUNCTION("""COMPUTED_VALUE"""),11083)</f>
        <v>11083</v>
      </c>
      <c r="B368" s="5"/>
      <c r="C368" s="5" t="str">
        <f ca="1">IFERROR(__xludf.DUMMYFUNCTION("""COMPUTED_VALUE"""),"Bihor")</f>
        <v>Bihor</v>
      </c>
      <c r="D368" s="13">
        <f ca="1">IFERROR(__xludf.DUMMYFUNCTION("""COMPUTED_VALUE"""),43948)</f>
        <v>43948</v>
      </c>
      <c r="E368" s="5" t="str">
        <f ca="1">IFERROR(__xludf.DUMMYFUNCTION("""COMPUTED_VALUE"""),"Nu")</f>
        <v>Nu</v>
      </c>
      <c r="F368" s="5"/>
      <c r="G368" s="5"/>
      <c r="H368" s="6"/>
      <c r="I368" s="5"/>
      <c r="J368" s="5"/>
      <c r="K368" s="7" t="str">
        <f ca="1">IFERROR(__xludf.DUMMYFUNCTION("""COMPUTED_VALUE"""),"https://stirioficiale.ro/informatii/buletin-de-presa-27-aprilie-2020-ora-13-00")</f>
        <v>https://stirioficiale.ro/informatii/buletin-de-presa-27-aprilie-2020-ora-13-00</v>
      </c>
      <c r="L368" s="5"/>
      <c r="M368" s="5"/>
      <c r="N368" s="5"/>
      <c r="O368" s="5"/>
      <c r="P368" s="5"/>
      <c r="Q368" s="5"/>
      <c r="R368" s="5" t="str">
        <f ca="1">IFERROR(__xludf.DUMMYFUNCTION("""COMPUTED_VALUE"""),"România")</f>
        <v>România</v>
      </c>
      <c r="S368" s="5" t="str">
        <f ca="1">IFERROR(__xludf.DUMMYFUNCTION("""COMPUTED_VALUE"""),"Octavian")</f>
        <v>Octavian</v>
      </c>
      <c r="T368" s="7" t="str">
        <f ca="1">IFERROR(__xludf.DUMMYFUNCTION("""COMPUTED_VALUE"""),"http://www.ms.ro/2020/04/27/buletin-informativ-27-04-2020/")</f>
        <v>http://www.ms.ro/2020/04/27/buletin-informativ-27-04-2020/</v>
      </c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2.5">
      <c r="A369" s="5">
        <f ca="1">IFERROR(__xludf.DUMMYFUNCTION("""COMPUTED_VALUE"""),11084)</f>
        <v>11084</v>
      </c>
      <c r="B369" s="5"/>
      <c r="C369" s="5" t="str">
        <f ca="1">IFERROR(__xludf.DUMMYFUNCTION("""COMPUTED_VALUE"""),"Bihor")</f>
        <v>Bihor</v>
      </c>
      <c r="D369" s="13">
        <f ca="1">IFERROR(__xludf.DUMMYFUNCTION("""COMPUTED_VALUE"""),43948)</f>
        <v>43948</v>
      </c>
      <c r="E369" s="5" t="str">
        <f ca="1">IFERROR(__xludf.DUMMYFUNCTION("""COMPUTED_VALUE"""),"Nu")</f>
        <v>Nu</v>
      </c>
      <c r="F369" s="5"/>
      <c r="G369" s="5"/>
      <c r="H369" s="6"/>
      <c r="I369" s="5"/>
      <c r="J369" s="5"/>
      <c r="K369" s="7" t="str">
        <f ca="1">IFERROR(__xludf.DUMMYFUNCTION("""COMPUTED_VALUE"""),"https://stirioficiale.ro/informatii/buletin-de-presa-27-aprilie-2020-ora-13-00")</f>
        <v>https://stirioficiale.ro/informatii/buletin-de-presa-27-aprilie-2020-ora-13-00</v>
      </c>
      <c r="L369" s="5"/>
      <c r="M369" s="5"/>
      <c r="N369" s="5"/>
      <c r="O369" s="5"/>
      <c r="P369" s="5"/>
      <c r="Q369" s="5"/>
      <c r="R369" s="5" t="str">
        <f ca="1">IFERROR(__xludf.DUMMYFUNCTION("""COMPUTED_VALUE"""),"România")</f>
        <v>România</v>
      </c>
      <c r="S369" s="5" t="str">
        <f ca="1">IFERROR(__xludf.DUMMYFUNCTION("""COMPUTED_VALUE"""),"Octavian")</f>
        <v>Octavian</v>
      </c>
      <c r="T369" s="7" t="str">
        <f ca="1">IFERROR(__xludf.DUMMYFUNCTION("""COMPUTED_VALUE"""),"http://www.ms.ro/2020/04/27/buletin-informativ-27-04-2020/")</f>
        <v>http://www.ms.ro/2020/04/27/buletin-informativ-27-04-2020/</v>
      </c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ht="12.5">
      <c r="A370" s="5">
        <f ca="1">IFERROR(__xludf.DUMMYFUNCTION("""COMPUTED_VALUE"""),11085)</f>
        <v>11085</v>
      </c>
      <c r="B370" s="5"/>
      <c r="C370" s="5" t="str">
        <f ca="1">IFERROR(__xludf.DUMMYFUNCTION("""COMPUTED_VALUE"""),"Bihor")</f>
        <v>Bihor</v>
      </c>
      <c r="D370" s="13">
        <f ca="1">IFERROR(__xludf.DUMMYFUNCTION("""COMPUTED_VALUE"""),43948)</f>
        <v>43948</v>
      </c>
      <c r="E370" s="5" t="str">
        <f ca="1">IFERROR(__xludf.DUMMYFUNCTION("""COMPUTED_VALUE"""),"Nu")</f>
        <v>Nu</v>
      </c>
      <c r="F370" s="5"/>
      <c r="G370" s="5"/>
      <c r="H370" s="6"/>
      <c r="I370" s="5"/>
      <c r="J370" s="5"/>
      <c r="K370" s="7" t="str">
        <f ca="1">IFERROR(__xludf.DUMMYFUNCTION("""COMPUTED_VALUE"""),"https://stirioficiale.ro/informatii/buletin-de-presa-27-aprilie-2020-ora-13-00")</f>
        <v>https://stirioficiale.ro/informatii/buletin-de-presa-27-aprilie-2020-ora-13-00</v>
      </c>
      <c r="L370" s="5"/>
      <c r="M370" s="5"/>
      <c r="N370" s="5"/>
      <c r="O370" s="5"/>
      <c r="P370" s="5"/>
      <c r="Q370" s="5"/>
      <c r="R370" s="5" t="str">
        <f ca="1">IFERROR(__xludf.DUMMYFUNCTION("""COMPUTED_VALUE"""),"România")</f>
        <v>România</v>
      </c>
      <c r="S370" s="5" t="str">
        <f ca="1">IFERROR(__xludf.DUMMYFUNCTION("""COMPUTED_VALUE"""),"Octavian")</f>
        <v>Octavian</v>
      </c>
      <c r="T370" s="7" t="str">
        <f ca="1">IFERROR(__xludf.DUMMYFUNCTION("""COMPUTED_VALUE"""),"http://www.ms.ro/2020/04/27/buletin-informativ-27-04-2020/")</f>
        <v>http://www.ms.ro/2020/04/27/buletin-informativ-27-04-2020/</v>
      </c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2.5">
      <c r="A371" s="5">
        <f ca="1">IFERROR(__xludf.DUMMYFUNCTION("""COMPUTED_VALUE"""),11086)</f>
        <v>11086</v>
      </c>
      <c r="B371" s="5"/>
      <c r="C371" s="5" t="str">
        <f ca="1">IFERROR(__xludf.DUMMYFUNCTION("""COMPUTED_VALUE"""),"Bihor")</f>
        <v>Bihor</v>
      </c>
      <c r="D371" s="13">
        <f ca="1">IFERROR(__xludf.DUMMYFUNCTION("""COMPUTED_VALUE"""),43948)</f>
        <v>43948</v>
      </c>
      <c r="E371" s="5" t="str">
        <f ca="1">IFERROR(__xludf.DUMMYFUNCTION("""COMPUTED_VALUE"""),"Nu")</f>
        <v>Nu</v>
      </c>
      <c r="F371" s="5"/>
      <c r="G371" s="5"/>
      <c r="H371" s="6"/>
      <c r="I371" s="5"/>
      <c r="J371" s="5"/>
      <c r="K371" s="7" t="str">
        <f ca="1">IFERROR(__xludf.DUMMYFUNCTION("""COMPUTED_VALUE"""),"https://stirioficiale.ro/informatii/buletin-de-presa-27-aprilie-2020-ora-13-00")</f>
        <v>https://stirioficiale.ro/informatii/buletin-de-presa-27-aprilie-2020-ora-13-00</v>
      </c>
      <c r="L371" s="5"/>
      <c r="M371" s="5"/>
      <c r="N371" s="5"/>
      <c r="O371" s="5"/>
      <c r="P371" s="5"/>
      <c r="Q371" s="5"/>
      <c r="R371" s="5" t="str">
        <f ca="1">IFERROR(__xludf.DUMMYFUNCTION("""COMPUTED_VALUE"""),"România")</f>
        <v>România</v>
      </c>
      <c r="S371" s="5" t="str">
        <f ca="1">IFERROR(__xludf.DUMMYFUNCTION("""COMPUTED_VALUE"""),"Octavian")</f>
        <v>Octavian</v>
      </c>
      <c r="T371" s="7" t="str">
        <f ca="1">IFERROR(__xludf.DUMMYFUNCTION("""COMPUTED_VALUE"""),"http://www.ms.ro/2020/04/27/buletin-informativ-27-04-2020/")</f>
        <v>http://www.ms.ro/2020/04/27/buletin-informativ-27-04-2020/</v>
      </c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ht="12.5">
      <c r="A372" s="5">
        <f ca="1">IFERROR(__xludf.DUMMYFUNCTION("""COMPUTED_VALUE"""),11087)</f>
        <v>11087</v>
      </c>
      <c r="B372" s="5"/>
      <c r="C372" s="5" t="str">
        <f ca="1">IFERROR(__xludf.DUMMYFUNCTION("""COMPUTED_VALUE"""),"Bihor")</f>
        <v>Bihor</v>
      </c>
      <c r="D372" s="13">
        <f ca="1">IFERROR(__xludf.DUMMYFUNCTION("""COMPUTED_VALUE"""),43948)</f>
        <v>43948</v>
      </c>
      <c r="E372" s="5" t="str">
        <f ca="1">IFERROR(__xludf.DUMMYFUNCTION("""COMPUTED_VALUE"""),"Nu")</f>
        <v>Nu</v>
      </c>
      <c r="F372" s="5"/>
      <c r="G372" s="5"/>
      <c r="H372" s="6"/>
      <c r="I372" s="5"/>
      <c r="J372" s="5"/>
      <c r="K372" s="7" t="str">
        <f ca="1">IFERROR(__xludf.DUMMYFUNCTION("""COMPUTED_VALUE"""),"https://stirioficiale.ro/informatii/buletin-de-presa-27-aprilie-2020-ora-13-00")</f>
        <v>https://stirioficiale.ro/informatii/buletin-de-presa-27-aprilie-2020-ora-13-00</v>
      </c>
      <c r="L372" s="5"/>
      <c r="M372" s="5"/>
      <c r="N372" s="5"/>
      <c r="O372" s="5"/>
      <c r="P372" s="5"/>
      <c r="Q372" s="5"/>
      <c r="R372" s="5" t="str">
        <f ca="1">IFERROR(__xludf.DUMMYFUNCTION("""COMPUTED_VALUE"""),"România")</f>
        <v>România</v>
      </c>
      <c r="S372" s="5" t="str">
        <f ca="1">IFERROR(__xludf.DUMMYFUNCTION("""COMPUTED_VALUE"""),"Octavian")</f>
        <v>Octavian</v>
      </c>
      <c r="T372" s="7" t="str">
        <f ca="1">IFERROR(__xludf.DUMMYFUNCTION("""COMPUTED_VALUE"""),"http://www.ms.ro/2020/04/27/buletin-informativ-27-04-2020/")</f>
        <v>http://www.ms.ro/2020/04/27/buletin-informativ-27-04-2020/</v>
      </c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2.5">
      <c r="A373" s="5">
        <f ca="1">IFERROR(__xludf.DUMMYFUNCTION("""COMPUTED_VALUE"""),11088)</f>
        <v>11088</v>
      </c>
      <c r="B373" s="5"/>
      <c r="C373" s="5" t="str">
        <f ca="1">IFERROR(__xludf.DUMMYFUNCTION("""COMPUTED_VALUE"""),"Bihor")</f>
        <v>Bihor</v>
      </c>
      <c r="D373" s="13">
        <f ca="1">IFERROR(__xludf.DUMMYFUNCTION("""COMPUTED_VALUE"""),43948)</f>
        <v>43948</v>
      </c>
      <c r="E373" s="5" t="str">
        <f ca="1">IFERROR(__xludf.DUMMYFUNCTION("""COMPUTED_VALUE"""),"Nu")</f>
        <v>Nu</v>
      </c>
      <c r="F373" s="5"/>
      <c r="G373" s="5"/>
      <c r="H373" s="6"/>
      <c r="I373" s="5"/>
      <c r="J373" s="5"/>
      <c r="K373" s="7" t="str">
        <f ca="1">IFERROR(__xludf.DUMMYFUNCTION("""COMPUTED_VALUE"""),"https://stirioficiale.ro/informatii/buletin-de-presa-27-aprilie-2020-ora-13-00")</f>
        <v>https://stirioficiale.ro/informatii/buletin-de-presa-27-aprilie-2020-ora-13-00</v>
      </c>
      <c r="L373" s="5"/>
      <c r="M373" s="5"/>
      <c r="N373" s="5"/>
      <c r="O373" s="5"/>
      <c r="P373" s="5"/>
      <c r="Q373" s="5"/>
      <c r="R373" s="5" t="str">
        <f ca="1">IFERROR(__xludf.DUMMYFUNCTION("""COMPUTED_VALUE"""),"România")</f>
        <v>România</v>
      </c>
      <c r="S373" s="5" t="str">
        <f ca="1">IFERROR(__xludf.DUMMYFUNCTION("""COMPUTED_VALUE"""),"Octavian")</f>
        <v>Octavian</v>
      </c>
      <c r="T373" s="7" t="str">
        <f ca="1">IFERROR(__xludf.DUMMYFUNCTION("""COMPUTED_VALUE"""),"http://www.ms.ro/2020/04/27/buletin-informativ-27-04-2020/")</f>
        <v>http://www.ms.ro/2020/04/27/buletin-informativ-27-04-2020/</v>
      </c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ht="12.5">
      <c r="A374" s="5">
        <f ca="1">IFERROR(__xludf.DUMMYFUNCTION("""COMPUTED_VALUE"""),11089)</f>
        <v>11089</v>
      </c>
      <c r="B374" s="5"/>
      <c r="C374" s="5" t="str">
        <f ca="1">IFERROR(__xludf.DUMMYFUNCTION("""COMPUTED_VALUE"""),"Bihor")</f>
        <v>Bihor</v>
      </c>
      <c r="D374" s="13">
        <f ca="1">IFERROR(__xludf.DUMMYFUNCTION("""COMPUTED_VALUE"""),43948)</f>
        <v>43948</v>
      </c>
      <c r="E374" s="5" t="str">
        <f ca="1">IFERROR(__xludf.DUMMYFUNCTION("""COMPUTED_VALUE"""),"Nu")</f>
        <v>Nu</v>
      </c>
      <c r="F374" s="5"/>
      <c r="G374" s="5"/>
      <c r="H374" s="6"/>
      <c r="I374" s="5"/>
      <c r="J374" s="5"/>
      <c r="K374" s="7" t="str">
        <f ca="1">IFERROR(__xludf.DUMMYFUNCTION("""COMPUTED_VALUE"""),"https://stirioficiale.ro/informatii/buletin-de-presa-27-aprilie-2020-ora-13-00")</f>
        <v>https://stirioficiale.ro/informatii/buletin-de-presa-27-aprilie-2020-ora-13-00</v>
      </c>
      <c r="L374" s="5"/>
      <c r="M374" s="5"/>
      <c r="N374" s="5"/>
      <c r="O374" s="5"/>
      <c r="P374" s="5"/>
      <c r="Q374" s="5"/>
      <c r="R374" s="5" t="str">
        <f ca="1">IFERROR(__xludf.DUMMYFUNCTION("""COMPUTED_VALUE"""),"România")</f>
        <v>România</v>
      </c>
      <c r="S374" s="5" t="str">
        <f ca="1">IFERROR(__xludf.DUMMYFUNCTION("""COMPUTED_VALUE"""),"Octavian")</f>
        <v>Octavian</v>
      </c>
      <c r="T374" s="7" t="str">
        <f ca="1">IFERROR(__xludf.DUMMYFUNCTION("""COMPUTED_VALUE"""),"http://www.ms.ro/2020/04/27/buletin-informativ-27-04-2020/")</f>
        <v>http://www.ms.ro/2020/04/27/buletin-informativ-27-04-2020/</v>
      </c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2.5">
      <c r="A375" s="5">
        <f ca="1">IFERROR(__xludf.DUMMYFUNCTION("""COMPUTED_VALUE"""),11090)</f>
        <v>11090</v>
      </c>
      <c r="B375" s="5"/>
      <c r="C375" s="5" t="str">
        <f ca="1">IFERROR(__xludf.DUMMYFUNCTION("""COMPUTED_VALUE"""),"Bihor")</f>
        <v>Bihor</v>
      </c>
      <c r="D375" s="13">
        <f ca="1">IFERROR(__xludf.DUMMYFUNCTION("""COMPUTED_VALUE"""),43948)</f>
        <v>43948</v>
      </c>
      <c r="E375" s="5" t="str">
        <f ca="1">IFERROR(__xludf.DUMMYFUNCTION("""COMPUTED_VALUE"""),"Nu")</f>
        <v>Nu</v>
      </c>
      <c r="F375" s="5"/>
      <c r="G375" s="5"/>
      <c r="H375" s="6"/>
      <c r="I375" s="5"/>
      <c r="J375" s="5"/>
      <c r="K375" s="7" t="str">
        <f ca="1">IFERROR(__xludf.DUMMYFUNCTION("""COMPUTED_VALUE"""),"https://stirioficiale.ro/informatii/buletin-de-presa-27-aprilie-2020-ora-13-00")</f>
        <v>https://stirioficiale.ro/informatii/buletin-de-presa-27-aprilie-2020-ora-13-00</v>
      </c>
      <c r="L375" s="5"/>
      <c r="M375" s="5"/>
      <c r="N375" s="5"/>
      <c r="O375" s="5"/>
      <c r="P375" s="5"/>
      <c r="Q375" s="5"/>
      <c r="R375" s="5" t="str">
        <f ca="1">IFERROR(__xludf.DUMMYFUNCTION("""COMPUTED_VALUE"""),"România")</f>
        <v>România</v>
      </c>
      <c r="S375" s="5" t="str">
        <f ca="1">IFERROR(__xludf.DUMMYFUNCTION("""COMPUTED_VALUE"""),"Octavian")</f>
        <v>Octavian</v>
      </c>
      <c r="T375" s="7" t="str">
        <f ca="1">IFERROR(__xludf.DUMMYFUNCTION("""COMPUTED_VALUE"""),"http://www.ms.ro/2020/04/27/buletin-informativ-27-04-2020/")</f>
        <v>http://www.ms.ro/2020/04/27/buletin-informativ-27-04-2020/</v>
      </c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ht="12.5">
      <c r="A376" s="5">
        <f ca="1">IFERROR(__xludf.DUMMYFUNCTION("""COMPUTED_VALUE"""),11091)</f>
        <v>11091</v>
      </c>
      <c r="B376" s="5"/>
      <c r="C376" s="5" t="str">
        <f ca="1">IFERROR(__xludf.DUMMYFUNCTION("""COMPUTED_VALUE"""),"Bihor")</f>
        <v>Bihor</v>
      </c>
      <c r="D376" s="13">
        <f ca="1">IFERROR(__xludf.DUMMYFUNCTION("""COMPUTED_VALUE"""),43948)</f>
        <v>43948</v>
      </c>
      <c r="E376" s="5" t="str">
        <f ca="1">IFERROR(__xludf.DUMMYFUNCTION("""COMPUTED_VALUE"""),"Nu")</f>
        <v>Nu</v>
      </c>
      <c r="F376" s="5"/>
      <c r="G376" s="5"/>
      <c r="H376" s="6"/>
      <c r="I376" s="5"/>
      <c r="J376" s="5"/>
      <c r="K376" s="7" t="str">
        <f ca="1">IFERROR(__xludf.DUMMYFUNCTION("""COMPUTED_VALUE"""),"https://stirioficiale.ro/informatii/buletin-de-presa-27-aprilie-2020-ora-13-00")</f>
        <v>https://stirioficiale.ro/informatii/buletin-de-presa-27-aprilie-2020-ora-13-00</v>
      </c>
      <c r="L376" s="5"/>
      <c r="M376" s="5"/>
      <c r="N376" s="5"/>
      <c r="O376" s="5"/>
      <c r="P376" s="5"/>
      <c r="Q376" s="5"/>
      <c r="R376" s="5" t="str">
        <f ca="1">IFERROR(__xludf.DUMMYFUNCTION("""COMPUTED_VALUE"""),"România")</f>
        <v>România</v>
      </c>
      <c r="S376" s="5" t="str">
        <f ca="1">IFERROR(__xludf.DUMMYFUNCTION("""COMPUTED_VALUE"""),"Octavian")</f>
        <v>Octavian</v>
      </c>
      <c r="T376" s="7" t="str">
        <f ca="1">IFERROR(__xludf.DUMMYFUNCTION("""COMPUTED_VALUE"""),"http://www.ms.ro/2020/04/27/buletin-informativ-27-04-2020/")</f>
        <v>http://www.ms.ro/2020/04/27/buletin-informativ-27-04-2020/</v>
      </c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2.5">
      <c r="A377" s="5">
        <f ca="1">IFERROR(__xludf.DUMMYFUNCTION("""COMPUTED_VALUE"""),11092)</f>
        <v>11092</v>
      </c>
      <c r="B377" s="5"/>
      <c r="C377" s="5" t="str">
        <f ca="1">IFERROR(__xludf.DUMMYFUNCTION("""COMPUTED_VALUE"""),"Bihor")</f>
        <v>Bihor</v>
      </c>
      <c r="D377" s="13">
        <f ca="1">IFERROR(__xludf.DUMMYFUNCTION("""COMPUTED_VALUE"""),43948)</f>
        <v>43948</v>
      </c>
      <c r="E377" s="5" t="str">
        <f ca="1">IFERROR(__xludf.DUMMYFUNCTION("""COMPUTED_VALUE"""),"Nu")</f>
        <v>Nu</v>
      </c>
      <c r="F377" s="5"/>
      <c r="G377" s="5"/>
      <c r="H377" s="6"/>
      <c r="I377" s="5"/>
      <c r="J377" s="5"/>
      <c r="K377" s="7" t="str">
        <f ca="1">IFERROR(__xludf.DUMMYFUNCTION("""COMPUTED_VALUE"""),"https://stirioficiale.ro/informatii/buletin-de-presa-27-aprilie-2020-ora-13-00")</f>
        <v>https://stirioficiale.ro/informatii/buletin-de-presa-27-aprilie-2020-ora-13-00</v>
      </c>
      <c r="L377" s="5"/>
      <c r="M377" s="5"/>
      <c r="N377" s="5"/>
      <c r="O377" s="5"/>
      <c r="P377" s="5"/>
      <c r="Q377" s="5"/>
      <c r="R377" s="5" t="str">
        <f ca="1">IFERROR(__xludf.DUMMYFUNCTION("""COMPUTED_VALUE"""),"România")</f>
        <v>România</v>
      </c>
      <c r="S377" s="5" t="str">
        <f ca="1">IFERROR(__xludf.DUMMYFUNCTION("""COMPUTED_VALUE"""),"Octavian")</f>
        <v>Octavian</v>
      </c>
      <c r="T377" s="7" t="str">
        <f ca="1">IFERROR(__xludf.DUMMYFUNCTION("""COMPUTED_VALUE"""),"http://www.ms.ro/2020/04/27/buletin-informativ-27-04-2020/")</f>
        <v>http://www.ms.ro/2020/04/27/buletin-informativ-27-04-2020/</v>
      </c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ht="12.5">
      <c r="A378" s="5">
        <f ca="1">IFERROR(__xludf.DUMMYFUNCTION("""COMPUTED_VALUE"""),11093)</f>
        <v>11093</v>
      </c>
      <c r="B378" s="5"/>
      <c r="C378" s="5" t="str">
        <f ca="1">IFERROR(__xludf.DUMMYFUNCTION("""COMPUTED_VALUE"""),"Bihor")</f>
        <v>Bihor</v>
      </c>
      <c r="D378" s="13">
        <f ca="1">IFERROR(__xludf.DUMMYFUNCTION("""COMPUTED_VALUE"""),43948)</f>
        <v>43948</v>
      </c>
      <c r="E378" s="5" t="str">
        <f ca="1">IFERROR(__xludf.DUMMYFUNCTION("""COMPUTED_VALUE"""),"Nu")</f>
        <v>Nu</v>
      </c>
      <c r="F378" s="5"/>
      <c r="G378" s="5"/>
      <c r="H378" s="6"/>
      <c r="I378" s="5"/>
      <c r="J378" s="5"/>
      <c r="K378" s="7" t="str">
        <f ca="1">IFERROR(__xludf.DUMMYFUNCTION("""COMPUTED_VALUE"""),"https://stirioficiale.ro/informatii/buletin-de-presa-27-aprilie-2020-ora-13-00")</f>
        <v>https://stirioficiale.ro/informatii/buletin-de-presa-27-aprilie-2020-ora-13-00</v>
      </c>
      <c r="L378" s="5"/>
      <c r="M378" s="5"/>
      <c r="N378" s="5"/>
      <c r="O378" s="5"/>
      <c r="P378" s="5"/>
      <c r="Q378" s="5"/>
      <c r="R378" s="5" t="str">
        <f ca="1">IFERROR(__xludf.DUMMYFUNCTION("""COMPUTED_VALUE"""),"România")</f>
        <v>România</v>
      </c>
      <c r="S378" s="5" t="str">
        <f ca="1">IFERROR(__xludf.DUMMYFUNCTION("""COMPUTED_VALUE"""),"Octavian")</f>
        <v>Octavian</v>
      </c>
      <c r="T378" s="7" t="str">
        <f ca="1">IFERROR(__xludf.DUMMYFUNCTION("""COMPUTED_VALUE"""),"http://www.ms.ro/2020/04/27/buletin-informativ-27-04-2020/")</f>
        <v>http://www.ms.ro/2020/04/27/buletin-informativ-27-04-2020/</v>
      </c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2.5">
      <c r="A379" s="5">
        <f ca="1">IFERROR(__xludf.DUMMYFUNCTION("""COMPUTED_VALUE"""),11094)</f>
        <v>11094</v>
      </c>
      <c r="B379" s="5"/>
      <c r="C379" s="5" t="str">
        <f ca="1">IFERROR(__xludf.DUMMYFUNCTION("""COMPUTED_VALUE"""),"Bihor")</f>
        <v>Bihor</v>
      </c>
      <c r="D379" s="13">
        <f ca="1">IFERROR(__xludf.DUMMYFUNCTION("""COMPUTED_VALUE"""),43948)</f>
        <v>43948</v>
      </c>
      <c r="E379" s="5" t="str">
        <f ca="1">IFERROR(__xludf.DUMMYFUNCTION("""COMPUTED_VALUE"""),"Nu")</f>
        <v>Nu</v>
      </c>
      <c r="F379" s="5"/>
      <c r="G379" s="5"/>
      <c r="H379" s="6"/>
      <c r="I379" s="5"/>
      <c r="J379" s="5"/>
      <c r="K379" s="7" t="str">
        <f ca="1">IFERROR(__xludf.DUMMYFUNCTION("""COMPUTED_VALUE"""),"https://stirioficiale.ro/informatii/buletin-de-presa-27-aprilie-2020-ora-13-00")</f>
        <v>https://stirioficiale.ro/informatii/buletin-de-presa-27-aprilie-2020-ora-13-00</v>
      </c>
      <c r="L379" s="5"/>
      <c r="M379" s="5"/>
      <c r="N379" s="5"/>
      <c r="O379" s="5"/>
      <c r="P379" s="5"/>
      <c r="Q379" s="5"/>
      <c r="R379" s="5" t="str">
        <f ca="1">IFERROR(__xludf.DUMMYFUNCTION("""COMPUTED_VALUE"""),"România")</f>
        <v>România</v>
      </c>
      <c r="S379" s="5" t="str">
        <f ca="1">IFERROR(__xludf.DUMMYFUNCTION("""COMPUTED_VALUE"""),"Octavian")</f>
        <v>Octavian</v>
      </c>
      <c r="T379" s="7" t="str">
        <f ca="1">IFERROR(__xludf.DUMMYFUNCTION("""COMPUTED_VALUE"""),"http://www.ms.ro/2020/04/27/buletin-informativ-27-04-2020/")</f>
        <v>http://www.ms.ro/2020/04/27/buletin-informativ-27-04-2020/</v>
      </c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ht="12.5">
      <c r="A380" s="5">
        <f ca="1">IFERROR(__xludf.DUMMYFUNCTION("""COMPUTED_VALUE"""),11095)</f>
        <v>11095</v>
      </c>
      <c r="B380" s="5"/>
      <c r="C380" s="5" t="str">
        <f ca="1">IFERROR(__xludf.DUMMYFUNCTION("""COMPUTED_VALUE"""),"Bihor")</f>
        <v>Bihor</v>
      </c>
      <c r="D380" s="13">
        <f ca="1">IFERROR(__xludf.DUMMYFUNCTION("""COMPUTED_VALUE"""),43948)</f>
        <v>43948</v>
      </c>
      <c r="E380" s="5" t="str">
        <f ca="1">IFERROR(__xludf.DUMMYFUNCTION("""COMPUTED_VALUE"""),"Nu")</f>
        <v>Nu</v>
      </c>
      <c r="F380" s="5"/>
      <c r="G380" s="5"/>
      <c r="H380" s="6"/>
      <c r="I380" s="5"/>
      <c r="J380" s="5"/>
      <c r="K380" s="7" t="str">
        <f ca="1">IFERROR(__xludf.DUMMYFUNCTION("""COMPUTED_VALUE"""),"https://stirioficiale.ro/informatii/buletin-de-presa-27-aprilie-2020-ora-13-00")</f>
        <v>https://stirioficiale.ro/informatii/buletin-de-presa-27-aprilie-2020-ora-13-00</v>
      </c>
      <c r="L380" s="5"/>
      <c r="M380" s="5"/>
      <c r="N380" s="5"/>
      <c r="O380" s="5"/>
      <c r="P380" s="5"/>
      <c r="Q380" s="5"/>
      <c r="R380" s="5" t="str">
        <f ca="1">IFERROR(__xludf.DUMMYFUNCTION("""COMPUTED_VALUE"""),"România")</f>
        <v>România</v>
      </c>
      <c r="S380" s="5" t="str">
        <f ca="1">IFERROR(__xludf.DUMMYFUNCTION("""COMPUTED_VALUE"""),"Octavian")</f>
        <v>Octavian</v>
      </c>
      <c r="T380" s="7" t="str">
        <f ca="1">IFERROR(__xludf.DUMMYFUNCTION("""COMPUTED_VALUE"""),"http://www.ms.ro/2020/04/27/buletin-informativ-27-04-2020/")</f>
        <v>http://www.ms.ro/2020/04/27/buletin-informativ-27-04-2020/</v>
      </c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2.5">
      <c r="A381" s="5">
        <f ca="1">IFERROR(__xludf.DUMMYFUNCTION("""COMPUTED_VALUE"""),11096)</f>
        <v>11096</v>
      </c>
      <c r="B381" s="5"/>
      <c r="C381" s="5" t="str">
        <f ca="1">IFERROR(__xludf.DUMMYFUNCTION("""COMPUTED_VALUE"""),"Bihor")</f>
        <v>Bihor</v>
      </c>
      <c r="D381" s="13">
        <f ca="1">IFERROR(__xludf.DUMMYFUNCTION("""COMPUTED_VALUE"""),43948)</f>
        <v>43948</v>
      </c>
      <c r="E381" s="5" t="str">
        <f ca="1">IFERROR(__xludf.DUMMYFUNCTION("""COMPUTED_VALUE"""),"Nu")</f>
        <v>Nu</v>
      </c>
      <c r="F381" s="5"/>
      <c r="G381" s="5"/>
      <c r="H381" s="6"/>
      <c r="I381" s="5"/>
      <c r="J381" s="5"/>
      <c r="K381" s="7" t="str">
        <f ca="1">IFERROR(__xludf.DUMMYFUNCTION("""COMPUTED_VALUE"""),"https://stirioficiale.ro/informatii/buletin-de-presa-27-aprilie-2020-ora-13-00")</f>
        <v>https://stirioficiale.ro/informatii/buletin-de-presa-27-aprilie-2020-ora-13-00</v>
      </c>
      <c r="L381" s="5"/>
      <c r="M381" s="5"/>
      <c r="N381" s="5"/>
      <c r="O381" s="5"/>
      <c r="P381" s="5"/>
      <c r="Q381" s="5"/>
      <c r="R381" s="5" t="str">
        <f ca="1">IFERROR(__xludf.DUMMYFUNCTION("""COMPUTED_VALUE"""),"România")</f>
        <v>România</v>
      </c>
      <c r="S381" s="5" t="str">
        <f ca="1">IFERROR(__xludf.DUMMYFUNCTION("""COMPUTED_VALUE"""),"Octavian")</f>
        <v>Octavian</v>
      </c>
      <c r="T381" s="7" t="str">
        <f ca="1">IFERROR(__xludf.DUMMYFUNCTION("""COMPUTED_VALUE"""),"http://www.ms.ro/2020/04/27/buletin-informativ-27-04-2020/")</f>
        <v>http://www.ms.ro/2020/04/27/buletin-informativ-27-04-2020/</v>
      </c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ht="12.5">
      <c r="A382" s="5">
        <f ca="1">IFERROR(__xludf.DUMMYFUNCTION("""COMPUTED_VALUE"""),11097)</f>
        <v>11097</v>
      </c>
      <c r="B382" s="5"/>
      <c r="C382" s="5" t="str">
        <f ca="1">IFERROR(__xludf.DUMMYFUNCTION("""COMPUTED_VALUE"""),"Bihor")</f>
        <v>Bihor</v>
      </c>
      <c r="D382" s="13">
        <f ca="1">IFERROR(__xludf.DUMMYFUNCTION("""COMPUTED_VALUE"""),43948)</f>
        <v>43948</v>
      </c>
      <c r="E382" s="5" t="str">
        <f ca="1">IFERROR(__xludf.DUMMYFUNCTION("""COMPUTED_VALUE"""),"Nu")</f>
        <v>Nu</v>
      </c>
      <c r="F382" s="5"/>
      <c r="G382" s="5"/>
      <c r="H382" s="6"/>
      <c r="I382" s="5"/>
      <c r="J382" s="5"/>
      <c r="K382" s="7" t="str">
        <f ca="1">IFERROR(__xludf.DUMMYFUNCTION("""COMPUTED_VALUE"""),"https://stirioficiale.ro/informatii/buletin-de-presa-27-aprilie-2020-ora-13-00")</f>
        <v>https://stirioficiale.ro/informatii/buletin-de-presa-27-aprilie-2020-ora-13-00</v>
      </c>
      <c r="L382" s="5"/>
      <c r="M382" s="5"/>
      <c r="N382" s="5"/>
      <c r="O382" s="5"/>
      <c r="P382" s="5"/>
      <c r="Q382" s="5"/>
      <c r="R382" s="5" t="str">
        <f ca="1">IFERROR(__xludf.DUMMYFUNCTION("""COMPUTED_VALUE"""),"România")</f>
        <v>România</v>
      </c>
      <c r="S382" s="5" t="str">
        <f ca="1">IFERROR(__xludf.DUMMYFUNCTION("""COMPUTED_VALUE"""),"Octavian")</f>
        <v>Octavian</v>
      </c>
      <c r="T382" s="7" t="str">
        <f ca="1">IFERROR(__xludf.DUMMYFUNCTION("""COMPUTED_VALUE"""),"http://www.ms.ro/2020/04/27/buletin-informativ-27-04-2020/")</f>
        <v>http://www.ms.ro/2020/04/27/buletin-informativ-27-04-2020/</v>
      </c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2.5">
      <c r="A383" s="5">
        <f ca="1">IFERROR(__xludf.DUMMYFUNCTION("""COMPUTED_VALUE"""),11098)</f>
        <v>11098</v>
      </c>
      <c r="B383" s="5"/>
      <c r="C383" s="5" t="str">
        <f ca="1">IFERROR(__xludf.DUMMYFUNCTION("""COMPUTED_VALUE"""),"Bihor")</f>
        <v>Bihor</v>
      </c>
      <c r="D383" s="13">
        <f ca="1">IFERROR(__xludf.DUMMYFUNCTION("""COMPUTED_VALUE"""),43948)</f>
        <v>43948</v>
      </c>
      <c r="E383" s="5" t="str">
        <f ca="1">IFERROR(__xludf.DUMMYFUNCTION("""COMPUTED_VALUE"""),"Nu")</f>
        <v>Nu</v>
      </c>
      <c r="F383" s="5"/>
      <c r="G383" s="5"/>
      <c r="H383" s="6"/>
      <c r="I383" s="5"/>
      <c r="J383" s="5"/>
      <c r="K383" s="7" t="str">
        <f ca="1">IFERROR(__xludf.DUMMYFUNCTION("""COMPUTED_VALUE"""),"https://stirioficiale.ro/informatii/buletin-de-presa-27-aprilie-2020-ora-13-00")</f>
        <v>https://stirioficiale.ro/informatii/buletin-de-presa-27-aprilie-2020-ora-13-00</v>
      </c>
      <c r="L383" s="5"/>
      <c r="M383" s="5"/>
      <c r="N383" s="5"/>
      <c r="O383" s="5"/>
      <c r="P383" s="5"/>
      <c r="Q383" s="5"/>
      <c r="R383" s="5" t="str">
        <f ca="1">IFERROR(__xludf.DUMMYFUNCTION("""COMPUTED_VALUE"""),"România")</f>
        <v>România</v>
      </c>
      <c r="S383" s="5" t="str">
        <f ca="1">IFERROR(__xludf.DUMMYFUNCTION("""COMPUTED_VALUE"""),"Octavian")</f>
        <v>Octavian</v>
      </c>
      <c r="T383" s="7" t="str">
        <f ca="1">IFERROR(__xludf.DUMMYFUNCTION("""COMPUTED_VALUE"""),"http://www.ms.ro/2020/04/27/buletin-informativ-27-04-2020/")</f>
        <v>http://www.ms.ro/2020/04/27/buletin-informativ-27-04-2020/</v>
      </c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ht="12.5">
      <c r="A384" s="5">
        <f ca="1">IFERROR(__xludf.DUMMYFUNCTION("""COMPUTED_VALUE"""),11099)</f>
        <v>11099</v>
      </c>
      <c r="B384" s="5"/>
      <c r="C384" s="5" t="str">
        <f ca="1">IFERROR(__xludf.DUMMYFUNCTION("""COMPUTED_VALUE"""),"Bihor")</f>
        <v>Bihor</v>
      </c>
      <c r="D384" s="13">
        <f ca="1">IFERROR(__xludf.DUMMYFUNCTION("""COMPUTED_VALUE"""),43948)</f>
        <v>43948</v>
      </c>
      <c r="E384" s="5" t="str">
        <f ca="1">IFERROR(__xludf.DUMMYFUNCTION("""COMPUTED_VALUE"""),"Nu")</f>
        <v>Nu</v>
      </c>
      <c r="F384" s="5"/>
      <c r="G384" s="5"/>
      <c r="H384" s="6"/>
      <c r="I384" s="5"/>
      <c r="J384" s="5"/>
      <c r="K384" s="7" t="str">
        <f ca="1">IFERROR(__xludf.DUMMYFUNCTION("""COMPUTED_VALUE"""),"https://stirioficiale.ro/informatii/buletin-de-presa-27-aprilie-2020-ora-13-00")</f>
        <v>https://stirioficiale.ro/informatii/buletin-de-presa-27-aprilie-2020-ora-13-00</v>
      </c>
      <c r="L384" s="5"/>
      <c r="M384" s="5"/>
      <c r="N384" s="5"/>
      <c r="O384" s="5"/>
      <c r="P384" s="5"/>
      <c r="Q384" s="5"/>
      <c r="R384" s="5" t="str">
        <f ca="1">IFERROR(__xludf.DUMMYFUNCTION("""COMPUTED_VALUE"""),"România")</f>
        <v>România</v>
      </c>
      <c r="S384" s="5" t="str">
        <f ca="1">IFERROR(__xludf.DUMMYFUNCTION("""COMPUTED_VALUE"""),"Octavian")</f>
        <v>Octavian</v>
      </c>
      <c r="T384" s="7" t="str">
        <f ca="1">IFERROR(__xludf.DUMMYFUNCTION("""COMPUTED_VALUE"""),"http://www.ms.ro/2020/04/27/buletin-informativ-27-04-2020/")</f>
        <v>http://www.ms.ro/2020/04/27/buletin-informativ-27-04-2020/</v>
      </c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2.5">
      <c r="A385" s="5">
        <f ca="1">IFERROR(__xludf.DUMMYFUNCTION("""COMPUTED_VALUE"""),11100)</f>
        <v>11100</v>
      </c>
      <c r="B385" s="5"/>
      <c r="C385" s="5" t="str">
        <f ca="1">IFERROR(__xludf.DUMMYFUNCTION("""COMPUTED_VALUE"""),"Bihor")</f>
        <v>Bihor</v>
      </c>
      <c r="D385" s="13">
        <f ca="1">IFERROR(__xludf.DUMMYFUNCTION("""COMPUTED_VALUE"""),43948)</f>
        <v>43948</v>
      </c>
      <c r="E385" s="5" t="str">
        <f ca="1">IFERROR(__xludf.DUMMYFUNCTION("""COMPUTED_VALUE"""),"Nu")</f>
        <v>Nu</v>
      </c>
      <c r="F385" s="5"/>
      <c r="G385" s="5"/>
      <c r="H385" s="6"/>
      <c r="I385" s="5"/>
      <c r="J385" s="5"/>
      <c r="K385" s="7" t="str">
        <f ca="1">IFERROR(__xludf.DUMMYFUNCTION("""COMPUTED_VALUE"""),"https://stirioficiale.ro/informatii/buletin-de-presa-27-aprilie-2020-ora-13-00")</f>
        <v>https://stirioficiale.ro/informatii/buletin-de-presa-27-aprilie-2020-ora-13-00</v>
      </c>
      <c r="L385" s="5"/>
      <c r="M385" s="5"/>
      <c r="N385" s="5"/>
      <c r="O385" s="5"/>
      <c r="P385" s="5"/>
      <c r="Q385" s="5"/>
      <c r="R385" s="5" t="str">
        <f ca="1">IFERROR(__xludf.DUMMYFUNCTION("""COMPUTED_VALUE"""),"România")</f>
        <v>România</v>
      </c>
      <c r="S385" s="5" t="str">
        <f ca="1">IFERROR(__xludf.DUMMYFUNCTION("""COMPUTED_VALUE"""),"Octavian")</f>
        <v>Octavian</v>
      </c>
      <c r="T385" s="7" t="str">
        <f ca="1">IFERROR(__xludf.DUMMYFUNCTION("""COMPUTED_VALUE"""),"http://www.ms.ro/2020/04/27/buletin-informativ-27-04-2020/")</f>
        <v>http://www.ms.ro/2020/04/27/buletin-informativ-27-04-2020/</v>
      </c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ht="12.5">
      <c r="A386" s="5">
        <f ca="1">IFERROR(__xludf.DUMMYFUNCTION("""COMPUTED_VALUE"""),11101)</f>
        <v>11101</v>
      </c>
      <c r="B386" s="5"/>
      <c r="C386" s="5" t="str">
        <f ca="1">IFERROR(__xludf.DUMMYFUNCTION("""COMPUTED_VALUE"""),"Bihor")</f>
        <v>Bihor</v>
      </c>
      <c r="D386" s="13">
        <f ca="1">IFERROR(__xludf.DUMMYFUNCTION("""COMPUTED_VALUE"""),43948)</f>
        <v>43948</v>
      </c>
      <c r="E386" s="5" t="str">
        <f ca="1">IFERROR(__xludf.DUMMYFUNCTION("""COMPUTED_VALUE"""),"Nu")</f>
        <v>Nu</v>
      </c>
      <c r="F386" s="5"/>
      <c r="G386" s="5"/>
      <c r="H386" s="6"/>
      <c r="I386" s="5"/>
      <c r="J386" s="5"/>
      <c r="K386" s="7" t="str">
        <f ca="1">IFERROR(__xludf.DUMMYFUNCTION("""COMPUTED_VALUE"""),"https://stirioficiale.ro/informatii/buletin-de-presa-27-aprilie-2020-ora-13-00")</f>
        <v>https://stirioficiale.ro/informatii/buletin-de-presa-27-aprilie-2020-ora-13-00</v>
      </c>
      <c r="L386" s="5"/>
      <c r="M386" s="5"/>
      <c r="N386" s="5"/>
      <c r="O386" s="5"/>
      <c r="P386" s="5"/>
      <c r="Q386" s="5"/>
      <c r="R386" s="5" t="str">
        <f ca="1">IFERROR(__xludf.DUMMYFUNCTION("""COMPUTED_VALUE"""),"România")</f>
        <v>România</v>
      </c>
      <c r="S386" s="5" t="str">
        <f ca="1">IFERROR(__xludf.DUMMYFUNCTION("""COMPUTED_VALUE"""),"Octavian")</f>
        <v>Octavian</v>
      </c>
      <c r="T386" s="7" t="str">
        <f ca="1">IFERROR(__xludf.DUMMYFUNCTION("""COMPUTED_VALUE"""),"http://www.ms.ro/2020/04/27/buletin-informativ-27-04-2020/")</f>
        <v>http://www.ms.ro/2020/04/27/buletin-informativ-27-04-2020/</v>
      </c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2.5">
      <c r="A387" s="5">
        <f ca="1">IFERROR(__xludf.DUMMYFUNCTION("""COMPUTED_VALUE"""),11102)</f>
        <v>11102</v>
      </c>
      <c r="B387" s="5"/>
      <c r="C387" s="5" t="str">
        <f ca="1">IFERROR(__xludf.DUMMYFUNCTION("""COMPUTED_VALUE"""),"Bihor")</f>
        <v>Bihor</v>
      </c>
      <c r="D387" s="13">
        <f ca="1">IFERROR(__xludf.DUMMYFUNCTION("""COMPUTED_VALUE"""),43948)</f>
        <v>43948</v>
      </c>
      <c r="E387" s="5" t="str">
        <f ca="1">IFERROR(__xludf.DUMMYFUNCTION("""COMPUTED_VALUE"""),"Nu")</f>
        <v>Nu</v>
      </c>
      <c r="F387" s="5"/>
      <c r="G387" s="5"/>
      <c r="H387" s="6"/>
      <c r="I387" s="5"/>
      <c r="J387" s="5"/>
      <c r="K387" s="7" t="str">
        <f ca="1">IFERROR(__xludf.DUMMYFUNCTION("""COMPUTED_VALUE"""),"https://stirioficiale.ro/informatii/buletin-de-presa-27-aprilie-2020-ora-13-00")</f>
        <v>https://stirioficiale.ro/informatii/buletin-de-presa-27-aprilie-2020-ora-13-00</v>
      </c>
      <c r="L387" s="5"/>
      <c r="M387" s="5"/>
      <c r="N387" s="5"/>
      <c r="O387" s="5"/>
      <c r="P387" s="5"/>
      <c r="Q387" s="5"/>
      <c r="R387" s="5" t="str">
        <f ca="1">IFERROR(__xludf.DUMMYFUNCTION("""COMPUTED_VALUE"""),"România")</f>
        <v>România</v>
      </c>
      <c r="S387" s="5" t="str">
        <f ca="1">IFERROR(__xludf.DUMMYFUNCTION("""COMPUTED_VALUE"""),"Octavian")</f>
        <v>Octavian</v>
      </c>
      <c r="T387" s="7" t="str">
        <f ca="1">IFERROR(__xludf.DUMMYFUNCTION("""COMPUTED_VALUE"""),"http://www.ms.ro/2020/04/27/buletin-informativ-27-04-2020/")</f>
        <v>http://www.ms.ro/2020/04/27/buletin-informativ-27-04-2020/</v>
      </c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ht="12.5">
      <c r="A388" s="5">
        <f ca="1">IFERROR(__xludf.DUMMYFUNCTION("""COMPUTED_VALUE"""),11103)</f>
        <v>11103</v>
      </c>
      <c r="B388" s="5"/>
      <c r="C388" s="5" t="str">
        <f ca="1">IFERROR(__xludf.DUMMYFUNCTION("""COMPUTED_VALUE"""),"Bihor")</f>
        <v>Bihor</v>
      </c>
      <c r="D388" s="13">
        <f ca="1">IFERROR(__xludf.DUMMYFUNCTION("""COMPUTED_VALUE"""),43948)</f>
        <v>43948</v>
      </c>
      <c r="E388" s="5" t="str">
        <f ca="1">IFERROR(__xludf.DUMMYFUNCTION("""COMPUTED_VALUE"""),"Nu")</f>
        <v>Nu</v>
      </c>
      <c r="F388" s="5"/>
      <c r="G388" s="5"/>
      <c r="H388" s="6"/>
      <c r="I388" s="5"/>
      <c r="J388" s="5"/>
      <c r="K388" s="7" t="str">
        <f ca="1">IFERROR(__xludf.DUMMYFUNCTION("""COMPUTED_VALUE"""),"https://stirioficiale.ro/informatii/buletin-de-presa-27-aprilie-2020-ora-13-00")</f>
        <v>https://stirioficiale.ro/informatii/buletin-de-presa-27-aprilie-2020-ora-13-00</v>
      </c>
      <c r="L388" s="5"/>
      <c r="M388" s="5"/>
      <c r="N388" s="5"/>
      <c r="O388" s="5"/>
      <c r="P388" s="5"/>
      <c r="Q388" s="5"/>
      <c r="R388" s="5" t="str">
        <f ca="1">IFERROR(__xludf.DUMMYFUNCTION("""COMPUTED_VALUE"""),"România")</f>
        <v>România</v>
      </c>
      <c r="S388" s="5" t="str">
        <f ca="1">IFERROR(__xludf.DUMMYFUNCTION("""COMPUTED_VALUE"""),"Octavian")</f>
        <v>Octavian</v>
      </c>
      <c r="T388" s="7" t="str">
        <f ca="1">IFERROR(__xludf.DUMMYFUNCTION("""COMPUTED_VALUE"""),"http://www.ms.ro/2020/04/27/buletin-informativ-27-04-2020/")</f>
        <v>http://www.ms.ro/2020/04/27/buletin-informativ-27-04-2020/</v>
      </c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2.5">
      <c r="A389" s="5">
        <f ca="1">IFERROR(__xludf.DUMMYFUNCTION("""COMPUTED_VALUE"""),11104)</f>
        <v>11104</v>
      </c>
      <c r="B389" s="5"/>
      <c r="C389" s="5" t="str">
        <f ca="1">IFERROR(__xludf.DUMMYFUNCTION("""COMPUTED_VALUE"""),"Bihor")</f>
        <v>Bihor</v>
      </c>
      <c r="D389" s="13">
        <f ca="1">IFERROR(__xludf.DUMMYFUNCTION("""COMPUTED_VALUE"""),43948)</f>
        <v>43948</v>
      </c>
      <c r="E389" s="5" t="str">
        <f ca="1">IFERROR(__xludf.DUMMYFUNCTION("""COMPUTED_VALUE"""),"Nu")</f>
        <v>Nu</v>
      </c>
      <c r="F389" s="5"/>
      <c r="G389" s="5"/>
      <c r="H389" s="6"/>
      <c r="I389" s="5"/>
      <c r="J389" s="5"/>
      <c r="K389" s="7" t="str">
        <f ca="1">IFERROR(__xludf.DUMMYFUNCTION("""COMPUTED_VALUE"""),"https://stirioficiale.ro/informatii/buletin-de-presa-27-aprilie-2020-ora-13-00")</f>
        <v>https://stirioficiale.ro/informatii/buletin-de-presa-27-aprilie-2020-ora-13-00</v>
      </c>
      <c r="L389" s="5"/>
      <c r="M389" s="5"/>
      <c r="N389" s="5"/>
      <c r="O389" s="5"/>
      <c r="P389" s="5"/>
      <c r="Q389" s="5"/>
      <c r="R389" s="5" t="str">
        <f ca="1">IFERROR(__xludf.DUMMYFUNCTION("""COMPUTED_VALUE"""),"România")</f>
        <v>România</v>
      </c>
      <c r="S389" s="5" t="str">
        <f ca="1">IFERROR(__xludf.DUMMYFUNCTION("""COMPUTED_VALUE"""),"Octavian")</f>
        <v>Octavian</v>
      </c>
      <c r="T389" s="7" t="str">
        <f ca="1">IFERROR(__xludf.DUMMYFUNCTION("""COMPUTED_VALUE"""),"http://www.ms.ro/2020/04/27/buletin-informativ-27-04-2020/")</f>
        <v>http://www.ms.ro/2020/04/27/buletin-informativ-27-04-2020/</v>
      </c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ht="12.5">
      <c r="A390" s="5">
        <f ca="1">IFERROR(__xludf.DUMMYFUNCTION("""COMPUTED_VALUE"""),11105)</f>
        <v>11105</v>
      </c>
      <c r="B390" s="5"/>
      <c r="C390" s="5" t="str">
        <f ca="1">IFERROR(__xludf.DUMMYFUNCTION("""COMPUTED_VALUE"""),"Bihor")</f>
        <v>Bihor</v>
      </c>
      <c r="D390" s="13">
        <f ca="1">IFERROR(__xludf.DUMMYFUNCTION("""COMPUTED_VALUE"""),43948)</f>
        <v>43948</v>
      </c>
      <c r="E390" s="5" t="str">
        <f ca="1">IFERROR(__xludf.DUMMYFUNCTION("""COMPUTED_VALUE"""),"Nu")</f>
        <v>Nu</v>
      </c>
      <c r="F390" s="5"/>
      <c r="G390" s="5"/>
      <c r="H390" s="6"/>
      <c r="I390" s="5"/>
      <c r="J390" s="5"/>
      <c r="K390" s="7" t="str">
        <f ca="1">IFERROR(__xludf.DUMMYFUNCTION("""COMPUTED_VALUE"""),"https://stirioficiale.ro/informatii/buletin-de-presa-27-aprilie-2020-ora-13-00")</f>
        <v>https://stirioficiale.ro/informatii/buletin-de-presa-27-aprilie-2020-ora-13-00</v>
      </c>
      <c r="L390" s="5"/>
      <c r="M390" s="5"/>
      <c r="N390" s="5"/>
      <c r="O390" s="5"/>
      <c r="P390" s="5"/>
      <c r="Q390" s="5"/>
      <c r="R390" s="5" t="str">
        <f ca="1">IFERROR(__xludf.DUMMYFUNCTION("""COMPUTED_VALUE"""),"România")</f>
        <v>România</v>
      </c>
      <c r="S390" s="5" t="str">
        <f ca="1">IFERROR(__xludf.DUMMYFUNCTION("""COMPUTED_VALUE"""),"Octavian")</f>
        <v>Octavian</v>
      </c>
      <c r="T390" s="7" t="str">
        <f ca="1">IFERROR(__xludf.DUMMYFUNCTION("""COMPUTED_VALUE"""),"http://www.ms.ro/2020/04/27/buletin-informativ-27-04-2020/")</f>
        <v>http://www.ms.ro/2020/04/27/buletin-informativ-27-04-2020/</v>
      </c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2.5">
      <c r="A391" s="5">
        <f ca="1">IFERROR(__xludf.DUMMYFUNCTION("""COMPUTED_VALUE"""),11106)</f>
        <v>11106</v>
      </c>
      <c r="B391" s="5"/>
      <c r="C391" s="5" t="str">
        <f ca="1">IFERROR(__xludf.DUMMYFUNCTION("""COMPUTED_VALUE"""),"Bihor")</f>
        <v>Bihor</v>
      </c>
      <c r="D391" s="13">
        <f ca="1">IFERROR(__xludf.DUMMYFUNCTION("""COMPUTED_VALUE"""),43948)</f>
        <v>43948</v>
      </c>
      <c r="E391" s="5" t="str">
        <f ca="1">IFERROR(__xludf.DUMMYFUNCTION("""COMPUTED_VALUE"""),"Nu")</f>
        <v>Nu</v>
      </c>
      <c r="F391" s="5"/>
      <c r="G391" s="5"/>
      <c r="H391" s="6"/>
      <c r="I391" s="5"/>
      <c r="J391" s="5"/>
      <c r="K391" s="7" t="str">
        <f ca="1">IFERROR(__xludf.DUMMYFUNCTION("""COMPUTED_VALUE"""),"https://stirioficiale.ro/informatii/buletin-de-presa-27-aprilie-2020-ora-13-00")</f>
        <v>https://stirioficiale.ro/informatii/buletin-de-presa-27-aprilie-2020-ora-13-00</v>
      </c>
      <c r="L391" s="5"/>
      <c r="M391" s="5"/>
      <c r="N391" s="5"/>
      <c r="O391" s="5"/>
      <c r="P391" s="5"/>
      <c r="Q391" s="5"/>
      <c r="R391" s="5" t="str">
        <f ca="1">IFERROR(__xludf.DUMMYFUNCTION("""COMPUTED_VALUE"""),"România")</f>
        <v>România</v>
      </c>
      <c r="S391" s="5" t="str">
        <f ca="1">IFERROR(__xludf.DUMMYFUNCTION("""COMPUTED_VALUE"""),"Octavian")</f>
        <v>Octavian</v>
      </c>
      <c r="T391" s="7" t="str">
        <f ca="1">IFERROR(__xludf.DUMMYFUNCTION("""COMPUTED_VALUE"""),"http://www.ms.ro/2020/04/27/buletin-informativ-27-04-2020/")</f>
        <v>http://www.ms.ro/2020/04/27/buletin-informativ-27-04-2020/</v>
      </c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ht="12.5">
      <c r="A392" s="5">
        <f ca="1">IFERROR(__xludf.DUMMYFUNCTION("""COMPUTED_VALUE"""),11107)</f>
        <v>11107</v>
      </c>
      <c r="B392" s="5"/>
      <c r="C392" s="5" t="str">
        <f ca="1">IFERROR(__xludf.DUMMYFUNCTION("""COMPUTED_VALUE"""),"Bihor")</f>
        <v>Bihor</v>
      </c>
      <c r="D392" s="13">
        <f ca="1">IFERROR(__xludf.DUMMYFUNCTION("""COMPUTED_VALUE"""),43948)</f>
        <v>43948</v>
      </c>
      <c r="E392" s="5" t="str">
        <f ca="1">IFERROR(__xludf.DUMMYFUNCTION("""COMPUTED_VALUE"""),"Nu")</f>
        <v>Nu</v>
      </c>
      <c r="F392" s="5"/>
      <c r="G392" s="5"/>
      <c r="H392" s="6"/>
      <c r="I392" s="5"/>
      <c r="J392" s="5"/>
      <c r="K392" s="7" t="str">
        <f ca="1">IFERROR(__xludf.DUMMYFUNCTION("""COMPUTED_VALUE"""),"https://stirioficiale.ro/informatii/buletin-de-presa-27-aprilie-2020-ora-13-00")</f>
        <v>https://stirioficiale.ro/informatii/buletin-de-presa-27-aprilie-2020-ora-13-00</v>
      </c>
      <c r="L392" s="5"/>
      <c r="M392" s="5"/>
      <c r="N392" s="5"/>
      <c r="O392" s="5"/>
      <c r="P392" s="5"/>
      <c r="Q392" s="5"/>
      <c r="R392" s="5" t="str">
        <f ca="1">IFERROR(__xludf.DUMMYFUNCTION("""COMPUTED_VALUE"""),"România")</f>
        <v>România</v>
      </c>
      <c r="S392" s="5" t="str">
        <f ca="1">IFERROR(__xludf.DUMMYFUNCTION("""COMPUTED_VALUE"""),"Octavian")</f>
        <v>Octavian</v>
      </c>
      <c r="T392" s="7" t="str">
        <f ca="1">IFERROR(__xludf.DUMMYFUNCTION("""COMPUTED_VALUE"""),"http://www.ms.ro/2020/04/27/buletin-informativ-27-04-2020/")</f>
        <v>http://www.ms.ro/2020/04/27/buletin-informativ-27-04-2020/</v>
      </c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2.5">
      <c r="A393" s="5">
        <f ca="1">IFERROR(__xludf.DUMMYFUNCTION("""COMPUTED_VALUE"""),11108)</f>
        <v>11108</v>
      </c>
      <c r="B393" s="5"/>
      <c r="C393" s="5" t="str">
        <f ca="1">IFERROR(__xludf.DUMMYFUNCTION("""COMPUTED_VALUE"""),"Bihor")</f>
        <v>Bihor</v>
      </c>
      <c r="D393" s="13">
        <f ca="1">IFERROR(__xludf.DUMMYFUNCTION("""COMPUTED_VALUE"""),43948)</f>
        <v>43948</v>
      </c>
      <c r="E393" s="5" t="str">
        <f ca="1">IFERROR(__xludf.DUMMYFUNCTION("""COMPUTED_VALUE"""),"Nu")</f>
        <v>Nu</v>
      </c>
      <c r="F393" s="5"/>
      <c r="G393" s="5"/>
      <c r="H393" s="6"/>
      <c r="I393" s="5"/>
      <c r="J393" s="5"/>
      <c r="K393" s="7" t="str">
        <f ca="1">IFERROR(__xludf.DUMMYFUNCTION("""COMPUTED_VALUE"""),"https://stirioficiale.ro/informatii/buletin-de-presa-27-aprilie-2020-ora-13-00")</f>
        <v>https://stirioficiale.ro/informatii/buletin-de-presa-27-aprilie-2020-ora-13-00</v>
      </c>
      <c r="L393" s="5"/>
      <c r="M393" s="5"/>
      <c r="N393" s="5"/>
      <c r="O393" s="5"/>
      <c r="P393" s="5"/>
      <c r="Q393" s="5"/>
      <c r="R393" s="5" t="str">
        <f ca="1">IFERROR(__xludf.DUMMYFUNCTION("""COMPUTED_VALUE"""),"România")</f>
        <v>România</v>
      </c>
      <c r="S393" s="5" t="str">
        <f ca="1">IFERROR(__xludf.DUMMYFUNCTION("""COMPUTED_VALUE"""),"Octavian")</f>
        <v>Octavian</v>
      </c>
      <c r="T393" s="7" t="str">
        <f ca="1">IFERROR(__xludf.DUMMYFUNCTION("""COMPUTED_VALUE"""),"http://www.ms.ro/2020/04/27/buletin-informativ-27-04-2020/")</f>
        <v>http://www.ms.ro/2020/04/27/buletin-informativ-27-04-2020/</v>
      </c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ht="12.5">
      <c r="A394" s="5">
        <f ca="1">IFERROR(__xludf.DUMMYFUNCTION("""COMPUTED_VALUE"""),11109)</f>
        <v>11109</v>
      </c>
      <c r="B394" s="5"/>
      <c r="C394" s="5" t="str">
        <f ca="1">IFERROR(__xludf.DUMMYFUNCTION("""COMPUTED_VALUE"""),"Bihor")</f>
        <v>Bihor</v>
      </c>
      <c r="D394" s="13">
        <f ca="1">IFERROR(__xludf.DUMMYFUNCTION("""COMPUTED_VALUE"""),43948)</f>
        <v>43948</v>
      </c>
      <c r="E394" s="5" t="str">
        <f ca="1">IFERROR(__xludf.DUMMYFUNCTION("""COMPUTED_VALUE"""),"Nu")</f>
        <v>Nu</v>
      </c>
      <c r="F394" s="5"/>
      <c r="G394" s="5"/>
      <c r="H394" s="6"/>
      <c r="I394" s="5"/>
      <c r="J394" s="5"/>
      <c r="K394" s="7" t="str">
        <f ca="1">IFERROR(__xludf.DUMMYFUNCTION("""COMPUTED_VALUE"""),"https://stirioficiale.ro/informatii/buletin-de-presa-27-aprilie-2020-ora-13-00")</f>
        <v>https://stirioficiale.ro/informatii/buletin-de-presa-27-aprilie-2020-ora-13-00</v>
      </c>
      <c r="L394" s="5"/>
      <c r="M394" s="5"/>
      <c r="N394" s="5"/>
      <c r="O394" s="5"/>
      <c r="P394" s="5"/>
      <c r="Q394" s="5"/>
      <c r="R394" s="5" t="str">
        <f ca="1">IFERROR(__xludf.DUMMYFUNCTION("""COMPUTED_VALUE"""),"România")</f>
        <v>România</v>
      </c>
      <c r="S394" s="5" t="str">
        <f ca="1">IFERROR(__xludf.DUMMYFUNCTION("""COMPUTED_VALUE"""),"Octavian")</f>
        <v>Octavian</v>
      </c>
      <c r="T394" s="7" t="str">
        <f ca="1">IFERROR(__xludf.DUMMYFUNCTION("""COMPUTED_VALUE"""),"http://www.ms.ro/2020/04/27/buletin-informativ-27-04-2020/")</f>
        <v>http://www.ms.ro/2020/04/27/buletin-informativ-27-04-2020/</v>
      </c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2.5">
      <c r="A395" s="5">
        <f ca="1">IFERROR(__xludf.DUMMYFUNCTION("""COMPUTED_VALUE"""),11110)</f>
        <v>11110</v>
      </c>
      <c r="B395" s="5"/>
      <c r="C395" s="5" t="str">
        <f ca="1">IFERROR(__xludf.DUMMYFUNCTION("""COMPUTED_VALUE"""),"Bihor")</f>
        <v>Bihor</v>
      </c>
      <c r="D395" s="13">
        <f ca="1">IFERROR(__xludf.DUMMYFUNCTION("""COMPUTED_VALUE"""),43948)</f>
        <v>43948</v>
      </c>
      <c r="E395" s="5" t="str">
        <f ca="1">IFERROR(__xludf.DUMMYFUNCTION("""COMPUTED_VALUE"""),"Nu")</f>
        <v>Nu</v>
      </c>
      <c r="F395" s="5"/>
      <c r="G395" s="5"/>
      <c r="H395" s="6"/>
      <c r="I395" s="5"/>
      <c r="J395" s="5"/>
      <c r="K395" s="7" t="str">
        <f ca="1">IFERROR(__xludf.DUMMYFUNCTION("""COMPUTED_VALUE"""),"https://stirioficiale.ro/informatii/buletin-de-presa-27-aprilie-2020-ora-13-00")</f>
        <v>https://stirioficiale.ro/informatii/buletin-de-presa-27-aprilie-2020-ora-13-00</v>
      </c>
      <c r="L395" s="5"/>
      <c r="M395" s="5"/>
      <c r="N395" s="5"/>
      <c r="O395" s="5"/>
      <c r="P395" s="5"/>
      <c r="Q395" s="5"/>
      <c r="R395" s="5" t="str">
        <f ca="1">IFERROR(__xludf.DUMMYFUNCTION("""COMPUTED_VALUE"""),"România")</f>
        <v>România</v>
      </c>
      <c r="S395" s="5" t="str">
        <f ca="1">IFERROR(__xludf.DUMMYFUNCTION("""COMPUTED_VALUE"""),"Octavian")</f>
        <v>Octavian</v>
      </c>
      <c r="T395" s="7" t="str">
        <f ca="1">IFERROR(__xludf.DUMMYFUNCTION("""COMPUTED_VALUE"""),"http://www.ms.ro/2020/04/27/buletin-informativ-27-04-2020/")</f>
        <v>http://www.ms.ro/2020/04/27/buletin-informativ-27-04-2020/</v>
      </c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ht="12.5">
      <c r="A396" s="5">
        <f ca="1">IFERROR(__xludf.DUMMYFUNCTION("""COMPUTED_VALUE"""),11111)</f>
        <v>11111</v>
      </c>
      <c r="B396" s="5"/>
      <c r="C396" s="5" t="str">
        <f ca="1">IFERROR(__xludf.DUMMYFUNCTION("""COMPUTED_VALUE"""),"Bihor")</f>
        <v>Bihor</v>
      </c>
      <c r="D396" s="13">
        <f ca="1">IFERROR(__xludf.DUMMYFUNCTION("""COMPUTED_VALUE"""),43948)</f>
        <v>43948</v>
      </c>
      <c r="E396" s="5" t="str">
        <f ca="1">IFERROR(__xludf.DUMMYFUNCTION("""COMPUTED_VALUE"""),"Nu")</f>
        <v>Nu</v>
      </c>
      <c r="F396" s="5"/>
      <c r="G396" s="5"/>
      <c r="H396" s="6"/>
      <c r="I396" s="5"/>
      <c r="J396" s="5"/>
      <c r="K396" s="7" t="str">
        <f ca="1">IFERROR(__xludf.DUMMYFUNCTION("""COMPUTED_VALUE"""),"https://stirioficiale.ro/informatii/buletin-de-presa-27-aprilie-2020-ora-13-00")</f>
        <v>https://stirioficiale.ro/informatii/buletin-de-presa-27-aprilie-2020-ora-13-00</v>
      </c>
      <c r="L396" s="5"/>
      <c r="M396" s="5"/>
      <c r="N396" s="5"/>
      <c r="O396" s="5"/>
      <c r="P396" s="5"/>
      <c r="Q396" s="5"/>
      <c r="R396" s="5" t="str">
        <f ca="1">IFERROR(__xludf.DUMMYFUNCTION("""COMPUTED_VALUE"""),"România")</f>
        <v>România</v>
      </c>
      <c r="S396" s="5" t="str">
        <f ca="1">IFERROR(__xludf.DUMMYFUNCTION("""COMPUTED_VALUE"""),"Octavian")</f>
        <v>Octavian</v>
      </c>
      <c r="T396" s="7" t="str">
        <f ca="1">IFERROR(__xludf.DUMMYFUNCTION("""COMPUTED_VALUE"""),"http://www.ms.ro/2020/04/27/buletin-informativ-27-04-2020/")</f>
        <v>http://www.ms.ro/2020/04/27/buletin-informativ-27-04-2020/</v>
      </c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2.5">
      <c r="A397" s="5">
        <f ca="1">IFERROR(__xludf.DUMMYFUNCTION("""COMPUTED_VALUE"""),11112)</f>
        <v>11112</v>
      </c>
      <c r="B397" s="5"/>
      <c r="C397" s="5" t="str">
        <f ca="1">IFERROR(__xludf.DUMMYFUNCTION("""COMPUTED_VALUE"""),"Bihor")</f>
        <v>Bihor</v>
      </c>
      <c r="D397" s="13">
        <f ca="1">IFERROR(__xludf.DUMMYFUNCTION("""COMPUTED_VALUE"""),43948)</f>
        <v>43948</v>
      </c>
      <c r="E397" s="5" t="str">
        <f ca="1">IFERROR(__xludf.DUMMYFUNCTION("""COMPUTED_VALUE"""),"Nu")</f>
        <v>Nu</v>
      </c>
      <c r="F397" s="5"/>
      <c r="G397" s="5"/>
      <c r="H397" s="6"/>
      <c r="I397" s="5"/>
      <c r="J397" s="5"/>
      <c r="K397" s="7" t="str">
        <f ca="1">IFERROR(__xludf.DUMMYFUNCTION("""COMPUTED_VALUE"""),"https://stirioficiale.ro/informatii/buletin-de-presa-27-aprilie-2020-ora-13-00")</f>
        <v>https://stirioficiale.ro/informatii/buletin-de-presa-27-aprilie-2020-ora-13-00</v>
      </c>
      <c r="L397" s="5"/>
      <c r="M397" s="5"/>
      <c r="N397" s="5"/>
      <c r="O397" s="5"/>
      <c r="P397" s="5"/>
      <c r="Q397" s="5"/>
      <c r="R397" s="5" t="str">
        <f ca="1">IFERROR(__xludf.DUMMYFUNCTION("""COMPUTED_VALUE"""),"România")</f>
        <v>România</v>
      </c>
      <c r="S397" s="5" t="str">
        <f ca="1">IFERROR(__xludf.DUMMYFUNCTION("""COMPUTED_VALUE"""),"Octavian")</f>
        <v>Octavian</v>
      </c>
      <c r="T397" s="7" t="str">
        <f ca="1">IFERROR(__xludf.DUMMYFUNCTION("""COMPUTED_VALUE"""),"http://www.ms.ro/2020/04/27/buletin-informativ-27-04-2020/")</f>
        <v>http://www.ms.ro/2020/04/27/buletin-informativ-27-04-2020/</v>
      </c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ht="12.5">
      <c r="A398" s="5">
        <f ca="1">IFERROR(__xludf.DUMMYFUNCTION("""COMPUTED_VALUE"""),11372)</f>
        <v>11372</v>
      </c>
      <c r="B398" s="5"/>
      <c r="C398" s="5" t="str">
        <f ca="1">IFERROR(__xludf.DUMMYFUNCTION("""COMPUTED_VALUE"""),"Bihor")</f>
        <v>Bihor</v>
      </c>
      <c r="D398" s="13">
        <f ca="1">IFERROR(__xludf.DUMMYFUNCTION("""COMPUTED_VALUE"""),43949)</f>
        <v>43949</v>
      </c>
      <c r="E398" s="5" t="str">
        <f ca="1">IFERROR(__xludf.DUMMYFUNCTION("""COMPUTED_VALUE"""),"Nu")</f>
        <v>Nu</v>
      </c>
      <c r="F398" s="5"/>
      <c r="G398" s="5"/>
      <c r="H398" s="6"/>
      <c r="I398" s="5"/>
      <c r="J398" s="5"/>
      <c r="K398" s="7" t="str">
        <f ca="1">IFERROR(__xludf.DUMMYFUNCTION("""COMPUTED_VALUE"""),"https://stirioficiale.ro/informatii/buletin-de-presa-28-aprilie-2020-ora-13-00")</f>
        <v>https://stirioficiale.ro/informatii/buletin-de-presa-28-aprilie-2020-ora-13-00</v>
      </c>
      <c r="L398" s="5"/>
      <c r="M398" s="5"/>
      <c r="N398" s="5"/>
      <c r="O398" s="5"/>
      <c r="P398" s="5"/>
      <c r="Q398" s="5"/>
      <c r="R398" s="5" t="str">
        <f ca="1">IFERROR(__xludf.DUMMYFUNCTION("""COMPUTED_VALUE"""),"România")</f>
        <v>România</v>
      </c>
      <c r="S398" s="5" t="str">
        <f ca="1">IFERROR(__xludf.DUMMYFUNCTION("""COMPUTED_VALUE"""),"Octavian")</f>
        <v>Octavian</v>
      </c>
      <c r="T398" s="7" t="str">
        <f ca="1">IFERROR(__xludf.DUMMYFUNCTION("""COMPUTED_VALUE"""),"http://www.ms.ro/2020/04/28/buletin-informativ-28-04-2020/")</f>
        <v>http://www.ms.ro/2020/04/28/buletin-informativ-28-04-2020/</v>
      </c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2.5">
      <c r="A399" s="5">
        <f ca="1">IFERROR(__xludf.DUMMYFUNCTION("""COMPUTED_VALUE"""),11373)</f>
        <v>11373</v>
      </c>
      <c r="B399" s="5"/>
      <c r="C399" s="5" t="str">
        <f ca="1">IFERROR(__xludf.DUMMYFUNCTION("""COMPUTED_VALUE"""),"Bihor")</f>
        <v>Bihor</v>
      </c>
      <c r="D399" s="13">
        <f ca="1">IFERROR(__xludf.DUMMYFUNCTION("""COMPUTED_VALUE"""),43949)</f>
        <v>43949</v>
      </c>
      <c r="E399" s="5" t="str">
        <f ca="1">IFERROR(__xludf.DUMMYFUNCTION("""COMPUTED_VALUE"""),"Nu")</f>
        <v>Nu</v>
      </c>
      <c r="F399" s="5"/>
      <c r="G399" s="5"/>
      <c r="H399" s="6"/>
      <c r="I399" s="5"/>
      <c r="J399" s="5"/>
      <c r="K399" s="7" t="str">
        <f ca="1">IFERROR(__xludf.DUMMYFUNCTION("""COMPUTED_VALUE"""),"https://stirioficiale.ro/informatii/buletin-de-presa-28-aprilie-2020-ora-13-00")</f>
        <v>https://stirioficiale.ro/informatii/buletin-de-presa-28-aprilie-2020-ora-13-00</v>
      </c>
      <c r="L399" s="5"/>
      <c r="M399" s="5"/>
      <c r="N399" s="5"/>
      <c r="O399" s="5"/>
      <c r="P399" s="5"/>
      <c r="Q399" s="5"/>
      <c r="R399" s="5" t="str">
        <f ca="1">IFERROR(__xludf.DUMMYFUNCTION("""COMPUTED_VALUE"""),"România")</f>
        <v>România</v>
      </c>
      <c r="S399" s="5" t="str">
        <f ca="1">IFERROR(__xludf.DUMMYFUNCTION("""COMPUTED_VALUE"""),"Octavian")</f>
        <v>Octavian</v>
      </c>
      <c r="T399" s="7" t="str">
        <f ca="1">IFERROR(__xludf.DUMMYFUNCTION("""COMPUTED_VALUE"""),"http://www.ms.ro/2020/04/28/buletin-informativ-28-04-2020/")</f>
        <v>http://www.ms.ro/2020/04/28/buletin-informativ-28-04-2020/</v>
      </c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ht="12.5">
      <c r="A400" s="5">
        <f ca="1">IFERROR(__xludf.DUMMYFUNCTION("""COMPUTED_VALUE"""),11374)</f>
        <v>11374</v>
      </c>
      <c r="B400" s="5"/>
      <c r="C400" s="5" t="str">
        <f ca="1">IFERROR(__xludf.DUMMYFUNCTION("""COMPUTED_VALUE"""),"Bihor")</f>
        <v>Bihor</v>
      </c>
      <c r="D400" s="13">
        <f ca="1">IFERROR(__xludf.DUMMYFUNCTION("""COMPUTED_VALUE"""),43949)</f>
        <v>43949</v>
      </c>
      <c r="E400" s="5" t="str">
        <f ca="1">IFERROR(__xludf.DUMMYFUNCTION("""COMPUTED_VALUE"""),"Nu")</f>
        <v>Nu</v>
      </c>
      <c r="F400" s="5"/>
      <c r="G400" s="5"/>
      <c r="H400" s="6"/>
      <c r="I400" s="5"/>
      <c r="J400" s="5"/>
      <c r="K400" s="7" t="str">
        <f ca="1">IFERROR(__xludf.DUMMYFUNCTION("""COMPUTED_VALUE"""),"https://stirioficiale.ro/informatii/buletin-de-presa-28-aprilie-2020-ora-13-00")</f>
        <v>https://stirioficiale.ro/informatii/buletin-de-presa-28-aprilie-2020-ora-13-00</v>
      </c>
      <c r="L400" s="5"/>
      <c r="M400" s="5"/>
      <c r="N400" s="5"/>
      <c r="O400" s="5"/>
      <c r="P400" s="5"/>
      <c r="Q400" s="5"/>
      <c r="R400" s="5" t="str">
        <f ca="1">IFERROR(__xludf.DUMMYFUNCTION("""COMPUTED_VALUE"""),"România")</f>
        <v>România</v>
      </c>
      <c r="S400" s="5" t="str">
        <f ca="1">IFERROR(__xludf.DUMMYFUNCTION("""COMPUTED_VALUE"""),"Octavian")</f>
        <v>Octavian</v>
      </c>
      <c r="T400" s="7" t="str">
        <f ca="1">IFERROR(__xludf.DUMMYFUNCTION("""COMPUTED_VALUE"""),"http://www.ms.ro/2020/04/28/buletin-informativ-28-04-2020/")</f>
        <v>http://www.ms.ro/2020/04/28/buletin-informativ-28-04-2020/</v>
      </c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2.5">
      <c r="A401" s="5">
        <f ca="1">IFERROR(__xludf.DUMMYFUNCTION("""COMPUTED_VALUE"""),11375)</f>
        <v>11375</v>
      </c>
      <c r="B401" s="5"/>
      <c r="C401" s="5" t="str">
        <f ca="1">IFERROR(__xludf.DUMMYFUNCTION("""COMPUTED_VALUE"""),"Bihor")</f>
        <v>Bihor</v>
      </c>
      <c r="D401" s="13">
        <f ca="1">IFERROR(__xludf.DUMMYFUNCTION("""COMPUTED_VALUE"""),43949)</f>
        <v>43949</v>
      </c>
      <c r="E401" s="5" t="str">
        <f ca="1">IFERROR(__xludf.DUMMYFUNCTION("""COMPUTED_VALUE"""),"Nu")</f>
        <v>Nu</v>
      </c>
      <c r="F401" s="5"/>
      <c r="G401" s="5"/>
      <c r="H401" s="6"/>
      <c r="I401" s="5"/>
      <c r="J401" s="5"/>
      <c r="K401" s="7" t="str">
        <f ca="1">IFERROR(__xludf.DUMMYFUNCTION("""COMPUTED_VALUE"""),"https://stirioficiale.ro/informatii/buletin-de-presa-28-aprilie-2020-ora-13-00")</f>
        <v>https://stirioficiale.ro/informatii/buletin-de-presa-28-aprilie-2020-ora-13-00</v>
      </c>
      <c r="L401" s="5"/>
      <c r="M401" s="5"/>
      <c r="N401" s="5"/>
      <c r="O401" s="5"/>
      <c r="P401" s="5"/>
      <c r="Q401" s="5"/>
      <c r="R401" s="5" t="str">
        <f ca="1">IFERROR(__xludf.DUMMYFUNCTION("""COMPUTED_VALUE"""),"România")</f>
        <v>România</v>
      </c>
      <c r="S401" s="5" t="str">
        <f ca="1">IFERROR(__xludf.DUMMYFUNCTION("""COMPUTED_VALUE"""),"Octavian")</f>
        <v>Octavian</v>
      </c>
      <c r="T401" s="7" t="str">
        <f ca="1">IFERROR(__xludf.DUMMYFUNCTION("""COMPUTED_VALUE"""),"http://www.ms.ro/2020/04/28/buletin-informativ-28-04-2020/")</f>
        <v>http://www.ms.ro/2020/04/28/buletin-informativ-28-04-2020/</v>
      </c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ht="12.5">
      <c r="A402" s="5">
        <f ca="1">IFERROR(__xludf.DUMMYFUNCTION("""COMPUTED_VALUE"""),11376)</f>
        <v>11376</v>
      </c>
      <c r="B402" s="5"/>
      <c r="C402" s="5" t="str">
        <f ca="1">IFERROR(__xludf.DUMMYFUNCTION("""COMPUTED_VALUE"""),"Bihor")</f>
        <v>Bihor</v>
      </c>
      <c r="D402" s="13">
        <f ca="1">IFERROR(__xludf.DUMMYFUNCTION("""COMPUTED_VALUE"""),43949)</f>
        <v>43949</v>
      </c>
      <c r="E402" s="5" t="str">
        <f ca="1">IFERROR(__xludf.DUMMYFUNCTION("""COMPUTED_VALUE"""),"Nu")</f>
        <v>Nu</v>
      </c>
      <c r="F402" s="5"/>
      <c r="G402" s="5"/>
      <c r="H402" s="6"/>
      <c r="I402" s="5"/>
      <c r="J402" s="5"/>
      <c r="K402" s="7" t="str">
        <f ca="1">IFERROR(__xludf.DUMMYFUNCTION("""COMPUTED_VALUE"""),"https://stirioficiale.ro/informatii/buletin-de-presa-28-aprilie-2020-ora-13-00")</f>
        <v>https://stirioficiale.ro/informatii/buletin-de-presa-28-aprilie-2020-ora-13-00</v>
      </c>
      <c r="L402" s="5"/>
      <c r="M402" s="5"/>
      <c r="N402" s="5"/>
      <c r="O402" s="5"/>
      <c r="P402" s="5"/>
      <c r="Q402" s="5"/>
      <c r="R402" s="5" t="str">
        <f ca="1">IFERROR(__xludf.DUMMYFUNCTION("""COMPUTED_VALUE"""),"România")</f>
        <v>România</v>
      </c>
      <c r="S402" s="5" t="str">
        <f ca="1">IFERROR(__xludf.DUMMYFUNCTION("""COMPUTED_VALUE"""),"Octavian")</f>
        <v>Octavian</v>
      </c>
      <c r="T402" s="7" t="str">
        <f ca="1">IFERROR(__xludf.DUMMYFUNCTION("""COMPUTED_VALUE"""),"http://www.ms.ro/2020/04/28/buletin-informativ-28-04-2020/")</f>
        <v>http://www.ms.ro/2020/04/28/buletin-informativ-28-04-2020/</v>
      </c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2.5">
      <c r="A403" s="5">
        <f ca="1">IFERROR(__xludf.DUMMYFUNCTION("""COMPUTED_VALUE"""),11377)</f>
        <v>11377</v>
      </c>
      <c r="B403" s="5"/>
      <c r="C403" s="5" t="str">
        <f ca="1">IFERROR(__xludf.DUMMYFUNCTION("""COMPUTED_VALUE"""),"Bihor")</f>
        <v>Bihor</v>
      </c>
      <c r="D403" s="13">
        <f ca="1">IFERROR(__xludf.DUMMYFUNCTION("""COMPUTED_VALUE"""),43949)</f>
        <v>43949</v>
      </c>
      <c r="E403" s="5" t="str">
        <f ca="1">IFERROR(__xludf.DUMMYFUNCTION("""COMPUTED_VALUE"""),"Nu")</f>
        <v>Nu</v>
      </c>
      <c r="F403" s="5"/>
      <c r="G403" s="5"/>
      <c r="H403" s="6"/>
      <c r="I403" s="5"/>
      <c r="J403" s="5"/>
      <c r="K403" s="7" t="str">
        <f ca="1">IFERROR(__xludf.DUMMYFUNCTION("""COMPUTED_VALUE"""),"https://stirioficiale.ro/informatii/buletin-de-presa-28-aprilie-2020-ora-13-00")</f>
        <v>https://stirioficiale.ro/informatii/buletin-de-presa-28-aprilie-2020-ora-13-00</v>
      </c>
      <c r="L403" s="5"/>
      <c r="M403" s="5"/>
      <c r="N403" s="5"/>
      <c r="O403" s="5"/>
      <c r="P403" s="5"/>
      <c r="Q403" s="5"/>
      <c r="R403" s="5" t="str">
        <f ca="1">IFERROR(__xludf.DUMMYFUNCTION("""COMPUTED_VALUE"""),"România")</f>
        <v>România</v>
      </c>
      <c r="S403" s="5" t="str">
        <f ca="1">IFERROR(__xludf.DUMMYFUNCTION("""COMPUTED_VALUE"""),"Octavian")</f>
        <v>Octavian</v>
      </c>
      <c r="T403" s="7" t="str">
        <f ca="1">IFERROR(__xludf.DUMMYFUNCTION("""COMPUTED_VALUE"""),"http://www.ms.ro/2020/04/28/buletin-informativ-28-04-2020/")</f>
        <v>http://www.ms.ro/2020/04/28/buletin-informativ-28-04-2020/</v>
      </c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ht="12.5">
      <c r="A404" s="5">
        <f ca="1">IFERROR(__xludf.DUMMYFUNCTION("""COMPUTED_VALUE"""),11378)</f>
        <v>11378</v>
      </c>
      <c r="B404" s="5"/>
      <c r="C404" s="5" t="str">
        <f ca="1">IFERROR(__xludf.DUMMYFUNCTION("""COMPUTED_VALUE"""),"Bihor")</f>
        <v>Bihor</v>
      </c>
      <c r="D404" s="13">
        <f ca="1">IFERROR(__xludf.DUMMYFUNCTION("""COMPUTED_VALUE"""),43949)</f>
        <v>43949</v>
      </c>
      <c r="E404" s="5" t="str">
        <f ca="1">IFERROR(__xludf.DUMMYFUNCTION("""COMPUTED_VALUE"""),"Nu")</f>
        <v>Nu</v>
      </c>
      <c r="F404" s="5"/>
      <c r="G404" s="5"/>
      <c r="H404" s="6"/>
      <c r="I404" s="5"/>
      <c r="J404" s="5"/>
      <c r="K404" s="7" t="str">
        <f ca="1">IFERROR(__xludf.DUMMYFUNCTION("""COMPUTED_VALUE"""),"https://stirioficiale.ro/informatii/buletin-de-presa-28-aprilie-2020-ora-13-00")</f>
        <v>https://stirioficiale.ro/informatii/buletin-de-presa-28-aprilie-2020-ora-13-00</v>
      </c>
      <c r="L404" s="5"/>
      <c r="M404" s="5"/>
      <c r="N404" s="5"/>
      <c r="O404" s="5"/>
      <c r="P404" s="5"/>
      <c r="Q404" s="5"/>
      <c r="R404" s="5" t="str">
        <f ca="1">IFERROR(__xludf.DUMMYFUNCTION("""COMPUTED_VALUE"""),"România")</f>
        <v>România</v>
      </c>
      <c r="S404" s="5" t="str">
        <f ca="1">IFERROR(__xludf.DUMMYFUNCTION("""COMPUTED_VALUE"""),"Octavian")</f>
        <v>Octavian</v>
      </c>
      <c r="T404" s="7" t="str">
        <f ca="1">IFERROR(__xludf.DUMMYFUNCTION("""COMPUTED_VALUE"""),"http://www.ms.ro/2020/04/28/buletin-informativ-28-04-2020/")</f>
        <v>http://www.ms.ro/2020/04/28/buletin-informativ-28-04-2020/</v>
      </c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2.5">
      <c r="A405" s="5">
        <f ca="1">IFERROR(__xludf.DUMMYFUNCTION("""COMPUTED_VALUE"""),11379)</f>
        <v>11379</v>
      </c>
      <c r="B405" s="5"/>
      <c r="C405" s="5" t="str">
        <f ca="1">IFERROR(__xludf.DUMMYFUNCTION("""COMPUTED_VALUE"""),"Bihor")</f>
        <v>Bihor</v>
      </c>
      <c r="D405" s="13">
        <f ca="1">IFERROR(__xludf.DUMMYFUNCTION("""COMPUTED_VALUE"""),43949)</f>
        <v>43949</v>
      </c>
      <c r="E405" s="5" t="str">
        <f ca="1">IFERROR(__xludf.DUMMYFUNCTION("""COMPUTED_VALUE"""),"Nu")</f>
        <v>Nu</v>
      </c>
      <c r="F405" s="5"/>
      <c r="G405" s="5"/>
      <c r="H405" s="6"/>
      <c r="I405" s="5"/>
      <c r="J405" s="5"/>
      <c r="K405" s="7" t="str">
        <f ca="1">IFERROR(__xludf.DUMMYFUNCTION("""COMPUTED_VALUE"""),"https://stirioficiale.ro/informatii/buletin-de-presa-28-aprilie-2020-ora-13-00")</f>
        <v>https://stirioficiale.ro/informatii/buletin-de-presa-28-aprilie-2020-ora-13-00</v>
      </c>
      <c r="L405" s="5"/>
      <c r="M405" s="5"/>
      <c r="N405" s="5"/>
      <c r="O405" s="5"/>
      <c r="P405" s="5"/>
      <c r="Q405" s="5"/>
      <c r="R405" s="5" t="str">
        <f ca="1">IFERROR(__xludf.DUMMYFUNCTION("""COMPUTED_VALUE"""),"România")</f>
        <v>România</v>
      </c>
      <c r="S405" s="5" t="str">
        <f ca="1">IFERROR(__xludf.DUMMYFUNCTION("""COMPUTED_VALUE"""),"Octavian")</f>
        <v>Octavian</v>
      </c>
      <c r="T405" s="7" t="str">
        <f ca="1">IFERROR(__xludf.DUMMYFUNCTION("""COMPUTED_VALUE"""),"http://www.ms.ro/2020/04/28/buletin-informativ-28-04-2020/")</f>
        <v>http://www.ms.ro/2020/04/28/buletin-informativ-28-04-2020/</v>
      </c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ht="12.5">
      <c r="A406" s="5">
        <f ca="1">IFERROR(__xludf.DUMMYFUNCTION("""COMPUTED_VALUE"""),11380)</f>
        <v>11380</v>
      </c>
      <c r="B406" s="5"/>
      <c r="C406" s="5" t="str">
        <f ca="1">IFERROR(__xludf.DUMMYFUNCTION("""COMPUTED_VALUE"""),"Bihor")</f>
        <v>Bihor</v>
      </c>
      <c r="D406" s="13">
        <f ca="1">IFERROR(__xludf.DUMMYFUNCTION("""COMPUTED_VALUE"""),43949)</f>
        <v>43949</v>
      </c>
      <c r="E406" s="5" t="str">
        <f ca="1">IFERROR(__xludf.DUMMYFUNCTION("""COMPUTED_VALUE"""),"Nu")</f>
        <v>Nu</v>
      </c>
      <c r="F406" s="5"/>
      <c r="G406" s="5"/>
      <c r="H406" s="6"/>
      <c r="I406" s="5"/>
      <c r="J406" s="5"/>
      <c r="K406" s="7" t="str">
        <f ca="1">IFERROR(__xludf.DUMMYFUNCTION("""COMPUTED_VALUE"""),"https://stirioficiale.ro/informatii/buletin-de-presa-28-aprilie-2020-ora-13-00")</f>
        <v>https://stirioficiale.ro/informatii/buletin-de-presa-28-aprilie-2020-ora-13-00</v>
      </c>
      <c r="L406" s="5"/>
      <c r="M406" s="5"/>
      <c r="N406" s="5"/>
      <c r="O406" s="5"/>
      <c r="P406" s="5"/>
      <c r="Q406" s="5"/>
      <c r="R406" s="5" t="str">
        <f ca="1">IFERROR(__xludf.DUMMYFUNCTION("""COMPUTED_VALUE"""),"România")</f>
        <v>România</v>
      </c>
      <c r="S406" s="5" t="str">
        <f ca="1">IFERROR(__xludf.DUMMYFUNCTION("""COMPUTED_VALUE"""),"Octavian")</f>
        <v>Octavian</v>
      </c>
      <c r="T406" s="7" t="str">
        <f ca="1">IFERROR(__xludf.DUMMYFUNCTION("""COMPUTED_VALUE"""),"http://www.ms.ro/2020/04/28/buletin-informativ-28-04-2020/")</f>
        <v>http://www.ms.ro/2020/04/28/buletin-informativ-28-04-2020/</v>
      </c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2.5">
      <c r="A407" s="5">
        <f ca="1">IFERROR(__xludf.DUMMYFUNCTION("""COMPUTED_VALUE"""),11381)</f>
        <v>11381</v>
      </c>
      <c r="B407" s="5"/>
      <c r="C407" s="5" t="str">
        <f ca="1">IFERROR(__xludf.DUMMYFUNCTION("""COMPUTED_VALUE"""),"Bihor")</f>
        <v>Bihor</v>
      </c>
      <c r="D407" s="13">
        <f ca="1">IFERROR(__xludf.DUMMYFUNCTION("""COMPUTED_VALUE"""),43949)</f>
        <v>43949</v>
      </c>
      <c r="E407" s="5" t="str">
        <f ca="1">IFERROR(__xludf.DUMMYFUNCTION("""COMPUTED_VALUE"""),"Nu")</f>
        <v>Nu</v>
      </c>
      <c r="F407" s="5"/>
      <c r="G407" s="5"/>
      <c r="H407" s="6"/>
      <c r="I407" s="5"/>
      <c r="J407" s="5"/>
      <c r="K407" s="7" t="str">
        <f ca="1">IFERROR(__xludf.DUMMYFUNCTION("""COMPUTED_VALUE"""),"https://stirioficiale.ro/informatii/buletin-de-presa-28-aprilie-2020-ora-13-00")</f>
        <v>https://stirioficiale.ro/informatii/buletin-de-presa-28-aprilie-2020-ora-13-00</v>
      </c>
      <c r="L407" s="5"/>
      <c r="M407" s="5"/>
      <c r="N407" s="5"/>
      <c r="O407" s="5"/>
      <c r="P407" s="5"/>
      <c r="Q407" s="5"/>
      <c r="R407" s="5" t="str">
        <f ca="1">IFERROR(__xludf.DUMMYFUNCTION("""COMPUTED_VALUE"""),"România")</f>
        <v>România</v>
      </c>
      <c r="S407" s="5" t="str">
        <f ca="1">IFERROR(__xludf.DUMMYFUNCTION("""COMPUTED_VALUE"""),"Octavian")</f>
        <v>Octavian</v>
      </c>
      <c r="T407" s="7" t="str">
        <f ca="1">IFERROR(__xludf.DUMMYFUNCTION("""COMPUTED_VALUE"""),"http://www.ms.ro/2020/04/28/buletin-informativ-28-04-2020/")</f>
        <v>http://www.ms.ro/2020/04/28/buletin-informativ-28-04-2020/</v>
      </c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ht="12.5">
      <c r="A408" s="5">
        <f ca="1">IFERROR(__xludf.DUMMYFUNCTION("""COMPUTED_VALUE"""),11382)</f>
        <v>11382</v>
      </c>
      <c r="B408" s="5"/>
      <c r="C408" s="5" t="str">
        <f ca="1">IFERROR(__xludf.DUMMYFUNCTION("""COMPUTED_VALUE"""),"Bihor")</f>
        <v>Bihor</v>
      </c>
      <c r="D408" s="13">
        <f ca="1">IFERROR(__xludf.DUMMYFUNCTION("""COMPUTED_VALUE"""),43949)</f>
        <v>43949</v>
      </c>
      <c r="E408" s="5" t="str">
        <f ca="1">IFERROR(__xludf.DUMMYFUNCTION("""COMPUTED_VALUE"""),"Nu")</f>
        <v>Nu</v>
      </c>
      <c r="F408" s="5"/>
      <c r="G408" s="5"/>
      <c r="H408" s="6"/>
      <c r="I408" s="5"/>
      <c r="J408" s="5"/>
      <c r="K408" s="7" t="str">
        <f ca="1">IFERROR(__xludf.DUMMYFUNCTION("""COMPUTED_VALUE"""),"https://stirioficiale.ro/informatii/buletin-de-presa-28-aprilie-2020-ora-13-00")</f>
        <v>https://stirioficiale.ro/informatii/buletin-de-presa-28-aprilie-2020-ora-13-00</v>
      </c>
      <c r="L408" s="5"/>
      <c r="M408" s="5"/>
      <c r="N408" s="5"/>
      <c r="O408" s="5"/>
      <c r="P408" s="5"/>
      <c r="Q408" s="5"/>
      <c r="R408" s="5" t="str">
        <f ca="1">IFERROR(__xludf.DUMMYFUNCTION("""COMPUTED_VALUE"""),"România")</f>
        <v>România</v>
      </c>
      <c r="S408" s="5" t="str">
        <f ca="1">IFERROR(__xludf.DUMMYFUNCTION("""COMPUTED_VALUE"""),"Octavian")</f>
        <v>Octavian</v>
      </c>
      <c r="T408" s="7" t="str">
        <f ca="1">IFERROR(__xludf.DUMMYFUNCTION("""COMPUTED_VALUE"""),"http://www.ms.ro/2020/04/28/buletin-informativ-28-04-2020/")</f>
        <v>http://www.ms.ro/2020/04/28/buletin-informativ-28-04-2020/</v>
      </c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2.5">
      <c r="A409" s="5">
        <f ca="1">IFERROR(__xludf.DUMMYFUNCTION("""COMPUTED_VALUE"""),11383)</f>
        <v>11383</v>
      </c>
      <c r="B409" s="5"/>
      <c r="C409" s="5" t="str">
        <f ca="1">IFERROR(__xludf.DUMMYFUNCTION("""COMPUTED_VALUE"""),"Bihor")</f>
        <v>Bihor</v>
      </c>
      <c r="D409" s="13">
        <f ca="1">IFERROR(__xludf.DUMMYFUNCTION("""COMPUTED_VALUE"""),43949)</f>
        <v>43949</v>
      </c>
      <c r="E409" s="5" t="str">
        <f ca="1">IFERROR(__xludf.DUMMYFUNCTION("""COMPUTED_VALUE"""),"Nu")</f>
        <v>Nu</v>
      </c>
      <c r="F409" s="5"/>
      <c r="G409" s="5"/>
      <c r="H409" s="6"/>
      <c r="I409" s="5"/>
      <c r="J409" s="5"/>
      <c r="K409" s="7" t="str">
        <f ca="1">IFERROR(__xludf.DUMMYFUNCTION("""COMPUTED_VALUE"""),"https://stirioficiale.ro/informatii/buletin-de-presa-28-aprilie-2020-ora-13-00")</f>
        <v>https://stirioficiale.ro/informatii/buletin-de-presa-28-aprilie-2020-ora-13-00</v>
      </c>
      <c r="L409" s="5"/>
      <c r="M409" s="5"/>
      <c r="N409" s="5"/>
      <c r="O409" s="5"/>
      <c r="P409" s="5"/>
      <c r="Q409" s="5"/>
      <c r="R409" s="5" t="str">
        <f ca="1">IFERROR(__xludf.DUMMYFUNCTION("""COMPUTED_VALUE"""),"România")</f>
        <v>România</v>
      </c>
      <c r="S409" s="5" t="str">
        <f ca="1">IFERROR(__xludf.DUMMYFUNCTION("""COMPUTED_VALUE"""),"Octavian")</f>
        <v>Octavian</v>
      </c>
      <c r="T409" s="7" t="str">
        <f ca="1">IFERROR(__xludf.DUMMYFUNCTION("""COMPUTED_VALUE"""),"http://www.ms.ro/2020/04/28/buletin-informativ-28-04-2020/")</f>
        <v>http://www.ms.ro/2020/04/28/buletin-informativ-28-04-2020/</v>
      </c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ht="12.5">
      <c r="A410" s="5">
        <f ca="1">IFERROR(__xludf.DUMMYFUNCTION("""COMPUTED_VALUE"""),11384)</f>
        <v>11384</v>
      </c>
      <c r="B410" s="5"/>
      <c r="C410" s="5" t="str">
        <f ca="1">IFERROR(__xludf.DUMMYFUNCTION("""COMPUTED_VALUE"""),"Bihor")</f>
        <v>Bihor</v>
      </c>
      <c r="D410" s="13">
        <f ca="1">IFERROR(__xludf.DUMMYFUNCTION("""COMPUTED_VALUE"""),43949)</f>
        <v>43949</v>
      </c>
      <c r="E410" s="5" t="str">
        <f ca="1">IFERROR(__xludf.DUMMYFUNCTION("""COMPUTED_VALUE"""),"Nu")</f>
        <v>Nu</v>
      </c>
      <c r="F410" s="5"/>
      <c r="G410" s="5"/>
      <c r="H410" s="6"/>
      <c r="I410" s="5"/>
      <c r="J410" s="5"/>
      <c r="K410" s="7" t="str">
        <f ca="1">IFERROR(__xludf.DUMMYFUNCTION("""COMPUTED_VALUE"""),"https://stirioficiale.ro/informatii/buletin-de-presa-28-aprilie-2020-ora-13-00")</f>
        <v>https://stirioficiale.ro/informatii/buletin-de-presa-28-aprilie-2020-ora-13-00</v>
      </c>
      <c r="L410" s="5"/>
      <c r="M410" s="5"/>
      <c r="N410" s="5"/>
      <c r="O410" s="5"/>
      <c r="P410" s="5"/>
      <c r="Q410" s="5"/>
      <c r="R410" s="5" t="str">
        <f ca="1">IFERROR(__xludf.DUMMYFUNCTION("""COMPUTED_VALUE"""),"România")</f>
        <v>România</v>
      </c>
      <c r="S410" s="5" t="str">
        <f ca="1">IFERROR(__xludf.DUMMYFUNCTION("""COMPUTED_VALUE"""),"Octavian")</f>
        <v>Octavian</v>
      </c>
      <c r="T410" s="7" t="str">
        <f ca="1">IFERROR(__xludf.DUMMYFUNCTION("""COMPUTED_VALUE"""),"http://www.ms.ro/2020/04/28/buletin-informativ-28-04-2020/")</f>
        <v>http://www.ms.ro/2020/04/28/buletin-informativ-28-04-2020/</v>
      </c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2.5">
      <c r="A411" s="5">
        <f ca="1">IFERROR(__xludf.DUMMYFUNCTION("""COMPUTED_VALUE"""),11385)</f>
        <v>11385</v>
      </c>
      <c r="B411" s="5"/>
      <c r="C411" s="5" t="str">
        <f ca="1">IFERROR(__xludf.DUMMYFUNCTION("""COMPUTED_VALUE"""),"Bihor")</f>
        <v>Bihor</v>
      </c>
      <c r="D411" s="13">
        <f ca="1">IFERROR(__xludf.DUMMYFUNCTION("""COMPUTED_VALUE"""),43949)</f>
        <v>43949</v>
      </c>
      <c r="E411" s="5" t="str">
        <f ca="1">IFERROR(__xludf.DUMMYFUNCTION("""COMPUTED_VALUE"""),"Nu")</f>
        <v>Nu</v>
      </c>
      <c r="F411" s="5"/>
      <c r="G411" s="5"/>
      <c r="H411" s="6"/>
      <c r="I411" s="5"/>
      <c r="J411" s="5"/>
      <c r="K411" s="7" t="str">
        <f ca="1">IFERROR(__xludf.DUMMYFUNCTION("""COMPUTED_VALUE"""),"https://stirioficiale.ro/informatii/buletin-de-presa-28-aprilie-2020-ora-13-00")</f>
        <v>https://stirioficiale.ro/informatii/buletin-de-presa-28-aprilie-2020-ora-13-00</v>
      </c>
      <c r="L411" s="5"/>
      <c r="M411" s="5"/>
      <c r="N411" s="5"/>
      <c r="O411" s="5"/>
      <c r="P411" s="5"/>
      <c r="Q411" s="5"/>
      <c r="R411" s="5" t="str">
        <f ca="1">IFERROR(__xludf.DUMMYFUNCTION("""COMPUTED_VALUE"""),"România")</f>
        <v>România</v>
      </c>
      <c r="S411" s="5" t="str">
        <f ca="1">IFERROR(__xludf.DUMMYFUNCTION("""COMPUTED_VALUE"""),"Octavian")</f>
        <v>Octavian</v>
      </c>
      <c r="T411" s="7" t="str">
        <f ca="1">IFERROR(__xludf.DUMMYFUNCTION("""COMPUTED_VALUE"""),"http://www.ms.ro/2020/04/28/buletin-informativ-28-04-2020/")</f>
        <v>http://www.ms.ro/2020/04/28/buletin-informativ-28-04-2020/</v>
      </c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ht="12.5">
      <c r="A412" s="5">
        <f ca="1">IFERROR(__xludf.DUMMYFUNCTION("""COMPUTED_VALUE"""),11386)</f>
        <v>11386</v>
      </c>
      <c r="B412" s="5"/>
      <c r="C412" s="5" t="str">
        <f ca="1">IFERROR(__xludf.DUMMYFUNCTION("""COMPUTED_VALUE"""),"Bihor")</f>
        <v>Bihor</v>
      </c>
      <c r="D412" s="13">
        <f ca="1">IFERROR(__xludf.DUMMYFUNCTION("""COMPUTED_VALUE"""),43949)</f>
        <v>43949</v>
      </c>
      <c r="E412" s="5" t="str">
        <f ca="1">IFERROR(__xludf.DUMMYFUNCTION("""COMPUTED_VALUE"""),"Nu")</f>
        <v>Nu</v>
      </c>
      <c r="F412" s="5"/>
      <c r="G412" s="5"/>
      <c r="H412" s="6"/>
      <c r="I412" s="5"/>
      <c r="J412" s="5"/>
      <c r="K412" s="7" t="str">
        <f ca="1">IFERROR(__xludf.DUMMYFUNCTION("""COMPUTED_VALUE"""),"https://stirioficiale.ro/informatii/buletin-de-presa-28-aprilie-2020-ora-13-00")</f>
        <v>https://stirioficiale.ro/informatii/buletin-de-presa-28-aprilie-2020-ora-13-00</v>
      </c>
      <c r="L412" s="5"/>
      <c r="M412" s="5"/>
      <c r="N412" s="5"/>
      <c r="O412" s="5"/>
      <c r="P412" s="5"/>
      <c r="Q412" s="5"/>
      <c r="R412" s="5" t="str">
        <f ca="1">IFERROR(__xludf.DUMMYFUNCTION("""COMPUTED_VALUE"""),"România")</f>
        <v>România</v>
      </c>
      <c r="S412" s="5" t="str">
        <f ca="1">IFERROR(__xludf.DUMMYFUNCTION("""COMPUTED_VALUE"""),"Octavian")</f>
        <v>Octavian</v>
      </c>
      <c r="T412" s="7" t="str">
        <f ca="1">IFERROR(__xludf.DUMMYFUNCTION("""COMPUTED_VALUE"""),"http://www.ms.ro/2020/04/28/buletin-informativ-28-04-2020/")</f>
        <v>http://www.ms.ro/2020/04/28/buletin-informativ-28-04-2020/</v>
      </c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2.5">
      <c r="A413" s="5">
        <f ca="1">IFERROR(__xludf.DUMMYFUNCTION("""COMPUTED_VALUE"""),11387)</f>
        <v>11387</v>
      </c>
      <c r="B413" s="5"/>
      <c r="C413" s="5" t="str">
        <f ca="1">IFERROR(__xludf.DUMMYFUNCTION("""COMPUTED_VALUE"""),"Bihor")</f>
        <v>Bihor</v>
      </c>
      <c r="D413" s="13">
        <f ca="1">IFERROR(__xludf.DUMMYFUNCTION("""COMPUTED_VALUE"""),43949)</f>
        <v>43949</v>
      </c>
      <c r="E413" s="5" t="str">
        <f ca="1">IFERROR(__xludf.DUMMYFUNCTION("""COMPUTED_VALUE"""),"Nu")</f>
        <v>Nu</v>
      </c>
      <c r="F413" s="5"/>
      <c r="G413" s="5"/>
      <c r="H413" s="6"/>
      <c r="I413" s="5"/>
      <c r="J413" s="5"/>
      <c r="K413" s="7" t="str">
        <f ca="1">IFERROR(__xludf.DUMMYFUNCTION("""COMPUTED_VALUE"""),"https://stirioficiale.ro/informatii/buletin-de-presa-28-aprilie-2020-ora-13-00")</f>
        <v>https://stirioficiale.ro/informatii/buletin-de-presa-28-aprilie-2020-ora-13-00</v>
      </c>
      <c r="L413" s="5"/>
      <c r="M413" s="5"/>
      <c r="N413" s="5"/>
      <c r="O413" s="5"/>
      <c r="P413" s="5"/>
      <c r="Q413" s="5"/>
      <c r="R413" s="5" t="str">
        <f ca="1">IFERROR(__xludf.DUMMYFUNCTION("""COMPUTED_VALUE"""),"România")</f>
        <v>România</v>
      </c>
      <c r="S413" s="5" t="str">
        <f ca="1">IFERROR(__xludf.DUMMYFUNCTION("""COMPUTED_VALUE"""),"Octavian")</f>
        <v>Octavian</v>
      </c>
      <c r="T413" s="7" t="str">
        <f ca="1">IFERROR(__xludf.DUMMYFUNCTION("""COMPUTED_VALUE"""),"http://www.ms.ro/2020/04/28/buletin-informativ-28-04-2020/")</f>
        <v>http://www.ms.ro/2020/04/28/buletin-informativ-28-04-2020/</v>
      </c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ht="12.5">
      <c r="A414" s="5">
        <f ca="1">IFERROR(__xludf.DUMMYFUNCTION("""COMPUTED_VALUE"""),11388)</f>
        <v>11388</v>
      </c>
      <c r="B414" s="5"/>
      <c r="C414" s="5" t="str">
        <f ca="1">IFERROR(__xludf.DUMMYFUNCTION("""COMPUTED_VALUE"""),"Bihor")</f>
        <v>Bihor</v>
      </c>
      <c r="D414" s="13">
        <f ca="1">IFERROR(__xludf.DUMMYFUNCTION("""COMPUTED_VALUE"""),43949)</f>
        <v>43949</v>
      </c>
      <c r="E414" s="5" t="str">
        <f ca="1">IFERROR(__xludf.DUMMYFUNCTION("""COMPUTED_VALUE"""),"Nu")</f>
        <v>Nu</v>
      </c>
      <c r="F414" s="5"/>
      <c r="G414" s="5"/>
      <c r="H414" s="6"/>
      <c r="I414" s="5"/>
      <c r="J414" s="5"/>
      <c r="K414" s="7" t="str">
        <f ca="1">IFERROR(__xludf.DUMMYFUNCTION("""COMPUTED_VALUE"""),"https://stirioficiale.ro/informatii/buletin-de-presa-28-aprilie-2020-ora-13-00")</f>
        <v>https://stirioficiale.ro/informatii/buletin-de-presa-28-aprilie-2020-ora-13-00</v>
      </c>
      <c r="L414" s="5"/>
      <c r="M414" s="5"/>
      <c r="N414" s="5"/>
      <c r="O414" s="5"/>
      <c r="P414" s="5"/>
      <c r="Q414" s="5"/>
      <c r="R414" s="5" t="str">
        <f ca="1">IFERROR(__xludf.DUMMYFUNCTION("""COMPUTED_VALUE"""),"România")</f>
        <v>România</v>
      </c>
      <c r="S414" s="5" t="str">
        <f ca="1">IFERROR(__xludf.DUMMYFUNCTION("""COMPUTED_VALUE"""),"Octavian")</f>
        <v>Octavian</v>
      </c>
      <c r="T414" s="7" t="str">
        <f ca="1">IFERROR(__xludf.DUMMYFUNCTION("""COMPUTED_VALUE"""),"http://www.ms.ro/2020/04/28/buletin-informativ-28-04-2020/")</f>
        <v>http://www.ms.ro/2020/04/28/buletin-informativ-28-04-2020/</v>
      </c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2.5">
      <c r="A415" s="5">
        <f ca="1">IFERROR(__xludf.DUMMYFUNCTION("""COMPUTED_VALUE"""),11389)</f>
        <v>11389</v>
      </c>
      <c r="B415" s="5"/>
      <c r="C415" s="5" t="str">
        <f ca="1">IFERROR(__xludf.DUMMYFUNCTION("""COMPUTED_VALUE"""),"Bihor")</f>
        <v>Bihor</v>
      </c>
      <c r="D415" s="13">
        <f ca="1">IFERROR(__xludf.DUMMYFUNCTION("""COMPUTED_VALUE"""),43949)</f>
        <v>43949</v>
      </c>
      <c r="E415" s="5" t="str">
        <f ca="1">IFERROR(__xludf.DUMMYFUNCTION("""COMPUTED_VALUE"""),"Nu")</f>
        <v>Nu</v>
      </c>
      <c r="F415" s="5"/>
      <c r="G415" s="5"/>
      <c r="H415" s="6"/>
      <c r="I415" s="5"/>
      <c r="J415" s="5"/>
      <c r="K415" s="7" t="str">
        <f ca="1">IFERROR(__xludf.DUMMYFUNCTION("""COMPUTED_VALUE"""),"https://stirioficiale.ro/informatii/buletin-de-presa-28-aprilie-2020-ora-13-00")</f>
        <v>https://stirioficiale.ro/informatii/buletin-de-presa-28-aprilie-2020-ora-13-00</v>
      </c>
      <c r="L415" s="5"/>
      <c r="M415" s="5"/>
      <c r="N415" s="5"/>
      <c r="O415" s="5"/>
      <c r="P415" s="5"/>
      <c r="Q415" s="5"/>
      <c r="R415" s="5" t="str">
        <f ca="1">IFERROR(__xludf.DUMMYFUNCTION("""COMPUTED_VALUE"""),"România")</f>
        <v>România</v>
      </c>
      <c r="S415" s="5" t="str">
        <f ca="1">IFERROR(__xludf.DUMMYFUNCTION("""COMPUTED_VALUE"""),"Octavian")</f>
        <v>Octavian</v>
      </c>
      <c r="T415" s="7" t="str">
        <f ca="1">IFERROR(__xludf.DUMMYFUNCTION("""COMPUTED_VALUE"""),"http://www.ms.ro/2020/04/28/buletin-informativ-28-04-2020/")</f>
        <v>http://www.ms.ro/2020/04/28/buletin-informativ-28-04-2020/</v>
      </c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ht="12.5">
      <c r="A416" s="5">
        <f ca="1">IFERROR(__xludf.DUMMYFUNCTION("""COMPUTED_VALUE"""),11390)</f>
        <v>11390</v>
      </c>
      <c r="B416" s="5"/>
      <c r="C416" s="5" t="str">
        <f ca="1">IFERROR(__xludf.DUMMYFUNCTION("""COMPUTED_VALUE"""),"Bihor")</f>
        <v>Bihor</v>
      </c>
      <c r="D416" s="13">
        <f ca="1">IFERROR(__xludf.DUMMYFUNCTION("""COMPUTED_VALUE"""),43949)</f>
        <v>43949</v>
      </c>
      <c r="E416" s="5" t="str">
        <f ca="1">IFERROR(__xludf.DUMMYFUNCTION("""COMPUTED_VALUE"""),"Nu")</f>
        <v>Nu</v>
      </c>
      <c r="F416" s="5"/>
      <c r="G416" s="5"/>
      <c r="H416" s="6"/>
      <c r="I416" s="5"/>
      <c r="J416" s="5"/>
      <c r="K416" s="7" t="str">
        <f ca="1">IFERROR(__xludf.DUMMYFUNCTION("""COMPUTED_VALUE"""),"https://stirioficiale.ro/informatii/buletin-de-presa-28-aprilie-2020-ora-13-00")</f>
        <v>https://stirioficiale.ro/informatii/buletin-de-presa-28-aprilie-2020-ora-13-00</v>
      </c>
      <c r="L416" s="5"/>
      <c r="M416" s="5"/>
      <c r="N416" s="5"/>
      <c r="O416" s="5"/>
      <c r="P416" s="5"/>
      <c r="Q416" s="5"/>
      <c r="R416" s="5" t="str">
        <f ca="1">IFERROR(__xludf.DUMMYFUNCTION("""COMPUTED_VALUE"""),"România")</f>
        <v>România</v>
      </c>
      <c r="S416" s="5" t="str">
        <f ca="1">IFERROR(__xludf.DUMMYFUNCTION("""COMPUTED_VALUE"""),"Octavian")</f>
        <v>Octavian</v>
      </c>
      <c r="T416" s="7" t="str">
        <f ca="1">IFERROR(__xludf.DUMMYFUNCTION("""COMPUTED_VALUE"""),"http://www.ms.ro/2020/04/28/buletin-informativ-28-04-2020/")</f>
        <v>http://www.ms.ro/2020/04/28/buletin-informativ-28-04-2020/</v>
      </c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2.5">
      <c r="A417" s="5">
        <f ca="1">IFERROR(__xludf.DUMMYFUNCTION("""COMPUTED_VALUE"""),11391)</f>
        <v>11391</v>
      </c>
      <c r="B417" s="5"/>
      <c r="C417" s="5" t="str">
        <f ca="1">IFERROR(__xludf.DUMMYFUNCTION("""COMPUTED_VALUE"""),"Bihor")</f>
        <v>Bihor</v>
      </c>
      <c r="D417" s="13">
        <f ca="1">IFERROR(__xludf.DUMMYFUNCTION("""COMPUTED_VALUE"""),43949)</f>
        <v>43949</v>
      </c>
      <c r="E417" s="5" t="str">
        <f ca="1">IFERROR(__xludf.DUMMYFUNCTION("""COMPUTED_VALUE"""),"Nu")</f>
        <v>Nu</v>
      </c>
      <c r="F417" s="5"/>
      <c r="G417" s="5"/>
      <c r="H417" s="6"/>
      <c r="I417" s="5"/>
      <c r="J417" s="5"/>
      <c r="K417" s="7" t="str">
        <f ca="1">IFERROR(__xludf.DUMMYFUNCTION("""COMPUTED_VALUE"""),"https://stirioficiale.ro/informatii/buletin-de-presa-28-aprilie-2020-ora-13-00")</f>
        <v>https://stirioficiale.ro/informatii/buletin-de-presa-28-aprilie-2020-ora-13-00</v>
      </c>
      <c r="L417" s="5"/>
      <c r="M417" s="5"/>
      <c r="N417" s="5"/>
      <c r="O417" s="5"/>
      <c r="P417" s="5"/>
      <c r="Q417" s="5"/>
      <c r="R417" s="5" t="str">
        <f ca="1">IFERROR(__xludf.DUMMYFUNCTION("""COMPUTED_VALUE"""),"România")</f>
        <v>România</v>
      </c>
      <c r="S417" s="5" t="str">
        <f ca="1">IFERROR(__xludf.DUMMYFUNCTION("""COMPUTED_VALUE"""),"Octavian")</f>
        <v>Octavian</v>
      </c>
      <c r="T417" s="7" t="str">
        <f ca="1">IFERROR(__xludf.DUMMYFUNCTION("""COMPUTED_VALUE"""),"http://www.ms.ro/2020/04/28/buletin-informativ-28-04-2020/")</f>
        <v>http://www.ms.ro/2020/04/28/buletin-informativ-28-04-2020/</v>
      </c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ht="12.5">
      <c r="A418" s="5">
        <f ca="1">IFERROR(__xludf.DUMMYFUNCTION("""COMPUTED_VALUE"""),11392)</f>
        <v>11392</v>
      </c>
      <c r="B418" s="5"/>
      <c r="C418" s="5" t="str">
        <f ca="1">IFERROR(__xludf.DUMMYFUNCTION("""COMPUTED_VALUE"""),"Bihor")</f>
        <v>Bihor</v>
      </c>
      <c r="D418" s="13">
        <f ca="1">IFERROR(__xludf.DUMMYFUNCTION("""COMPUTED_VALUE"""),43949)</f>
        <v>43949</v>
      </c>
      <c r="E418" s="5" t="str">
        <f ca="1">IFERROR(__xludf.DUMMYFUNCTION("""COMPUTED_VALUE"""),"Nu")</f>
        <v>Nu</v>
      </c>
      <c r="F418" s="5"/>
      <c r="G418" s="5"/>
      <c r="H418" s="6"/>
      <c r="I418" s="5"/>
      <c r="J418" s="5"/>
      <c r="K418" s="7" t="str">
        <f ca="1">IFERROR(__xludf.DUMMYFUNCTION("""COMPUTED_VALUE"""),"https://stirioficiale.ro/informatii/buletin-de-presa-28-aprilie-2020-ora-13-00")</f>
        <v>https://stirioficiale.ro/informatii/buletin-de-presa-28-aprilie-2020-ora-13-00</v>
      </c>
      <c r="L418" s="5"/>
      <c r="M418" s="5"/>
      <c r="N418" s="5"/>
      <c r="O418" s="5"/>
      <c r="P418" s="5"/>
      <c r="Q418" s="5"/>
      <c r="R418" s="5" t="str">
        <f ca="1">IFERROR(__xludf.DUMMYFUNCTION("""COMPUTED_VALUE"""),"România")</f>
        <v>România</v>
      </c>
      <c r="S418" s="5" t="str">
        <f ca="1">IFERROR(__xludf.DUMMYFUNCTION("""COMPUTED_VALUE"""),"Octavian")</f>
        <v>Octavian</v>
      </c>
      <c r="T418" s="7" t="str">
        <f ca="1">IFERROR(__xludf.DUMMYFUNCTION("""COMPUTED_VALUE"""),"http://www.ms.ro/2020/04/28/buletin-informativ-28-04-2020/")</f>
        <v>http://www.ms.ro/2020/04/28/buletin-informativ-28-04-2020/</v>
      </c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2.5">
      <c r="A419" s="5">
        <f ca="1">IFERROR(__xludf.DUMMYFUNCTION("""COMPUTED_VALUE"""),11393)</f>
        <v>11393</v>
      </c>
      <c r="B419" s="5"/>
      <c r="C419" s="5" t="str">
        <f ca="1">IFERROR(__xludf.DUMMYFUNCTION("""COMPUTED_VALUE"""),"Bihor")</f>
        <v>Bihor</v>
      </c>
      <c r="D419" s="13">
        <f ca="1">IFERROR(__xludf.DUMMYFUNCTION("""COMPUTED_VALUE"""),43949)</f>
        <v>43949</v>
      </c>
      <c r="E419" s="5" t="str">
        <f ca="1">IFERROR(__xludf.DUMMYFUNCTION("""COMPUTED_VALUE"""),"Nu")</f>
        <v>Nu</v>
      </c>
      <c r="F419" s="5"/>
      <c r="G419" s="5"/>
      <c r="H419" s="6"/>
      <c r="I419" s="5"/>
      <c r="J419" s="5"/>
      <c r="K419" s="7" t="str">
        <f ca="1">IFERROR(__xludf.DUMMYFUNCTION("""COMPUTED_VALUE"""),"https://stirioficiale.ro/informatii/buletin-de-presa-28-aprilie-2020-ora-13-00")</f>
        <v>https://stirioficiale.ro/informatii/buletin-de-presa-28-aprilie-2020-ora-13-00</v>
      </c>
      <c r="L419" s="5"/>
      <c r="M419" s="5"/>
      <c r="N419" s="5"/>
      <c r="O419" s="5"/>
      <c r="P419" s="5"/>
      <c r="Q419" s="5"/>
      <c r="R419" s="5" t="str">
        <f ca="1">IFERROR(__xludf.DUMMYFUNCTION("""COMPUTED_VALUE"""),"România")</f>
        <v>România</v>
      </c>
      <c r="S419" s="5" t="str">
        <f ca="1">IFERROR(__xludf.DUMMYFUNCTION("""COMPUTED_VALUE"""),"Octavian")</f>
        <v>Octavian</v>
      </c>
      <c r="T419" s="7" t="str">
        <f ca="1">IFERROR(__xludf.DUMMYFUNCTION("""COMPUTED_VALUE"""),"http://www.ms.ro/2020/04/28/buletin-informativ-28-04-2020/")</f>
        <v>http://www.ms.ro/2020/04/28/buletin-informativ-28-04-2020/</v>
      </c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ht="12.5">
      <c r="A420" s="5">
        <f ca="1">IFERROR(__xludf.DUMMYFUNCTION("""COMPUTED_VALUE"""),11641)</f>
        <v>11641</v>
      </c>
      <c r="B420" s="5"/>
      <c r="C420" s="5" t="str">
        <f ca="1">IFERROR(__xludf.DUMMYFUNCTION("""COMPUTED_VALUE"""),"Bihor")</f>
        <v>Bihor</v>
      </c>
      <c r="D420" s="13">
        <f ca="1">IFERROR(__xludf.DUMMYFUNCTION("""COMPUTED_VALUE"""),43950)</f>
        <v>43950</v>
      </c>
      <c r="E420" s="5" t="str">
        <f ca="1">IFERROR(__xludf.DUMMYFUNCTION("""COMPUTED_VALUE"""),"Nu")</f>
        <v>Nu</v>
      </c>
      <c r="F420" s="5"/>
      <c r="G420" s="5"/>
      <c r="H420" s="6"/>
      <c r="I420" s="5"/>
      <c r="J420" s="5"/>
      <c r="K420" s="7" t="str">
        <f ca="1">IFERROR(__xludf.DUMMYFUNCTION("""COMPUTED_VALUE"""),"http://www.ms.ro/2020/04/29/buletin-informativ-29-04-2020/")</f>
        <v>http://www.ms.ro/2020/04/29/buletin-informativ-29-04-2020/</v>
      </c>
      <c r="L420" s="5"/>
      <c r="M420" s="5"/>
      <c r="N420" s="5"/>
      <c r="O420" s="5"/>
      <c r="P420" s="5"/>
      <c r="Q420" s="5"/>
      <c r="R420" s="5" t="str">
        <f ca="1">IFERROR(__xludf.DUMMYFUNCTION("""COMPUTED_VALUE"""),"România")</f>
        <v>România</v>
      </c>
      <c r="S420" s="5" t="str">
        <f ca="1">IFERROR(__xludf.DUMMYFUNCTION("""COMPUTED_VALUE"""),"Octavian")</f>
        <v>Octavian</v>
      </c>
      <c r="T420" s="7" t="str">
        <f ca="1">IFERROR(__xludf.DUMMYFUNCTION("""COMPUTED_VALUE"""),"http://www.ms.ro/2020/04/29/buletin-informativ-29-04-2020/")</f>
        <v>http://www.ms.ro/2020/04/29/buletin-informativ-29-04-2020/</v>
      </c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2.5">
      <c r="A421" s="5">
        <f ca="1">IFERROR(__xludf.DUMMYFUNCTION("""COMPUTED_VALUE"""),11642)</f>
        <v>11642</v>
      </c>
      <c r="B421" s="5"/>
      <c r="C421" s="5" t="str">
        <f ca="1">IFERROR(__xludf.DUMMYFUNCTION("""COMPUTED_VALUE"""),"Bihor")</f>
        <v>Bihor</v>
      </c>
      <c r="D421" s="13">
        <f ca="1">IFERROR(__xludf.DUMMYFUNCTION("""COMPUTED_VALUE"""),43950)</f>
        <v>43950</v>
      </c>
      <c r="E421" s="5" t="str">
        <f ca="1">IFERROR(__xludf.DUMMYFUNCTION("""COMPUTED_VALUE"""),"Nu")</f>
        <v>Nu</v>
      </c>
      <c r="F421" s="5"/>
      <c r="G421" s="5"/>
      <c r="H421" s="6"/>
      <c r="I421" s="5"/>
      <c r="J421" s="5"/>
      <c r="K421" s="7" t="str">
        <f ca="1">IFERROR(__xludf.DUMMYFUNCTION("""COMPUTED_VALUE"""),"http://www.ms.ro/2020/04/29/buletin-informativ-29-04-2020/")</f>
        <v>http://www.ms.ro/2020/04/29/buletin-informativ-29-04-2020/</v>
      </c>
      <c r="L421" s="5"/>
      <c r="M421" s="5"/>
      <c r="N421" s="5"/>
      <c r="O421" s="5"/>
      <c r="P421" s="5"/>
      <c r="Q421" s="5"/>
      <c r="R421" s="5" t="str">
        <f ca="1">IFERROR(__xludf.DUMMYFUNCTION("""COMPUTED_VALUE"""),"România")</f>
        <v>România</v>
      </c>
      <c r="S421" s="5" t="str">
        <f ca="1">IFERROR(__xludf.DUMMYFUNCTION("""COMPUTED_VALUE"""),"Octavian")</f>
        <v>Octavian</v>
      </c>
      <c r="T421" s="7" t="str">
        <f ca="1">IFERROR(__xludf.DUMMYFUNCTION("""COMPUTED_VALUE"""),"http://www.ms.ro/2020/04/29/buletin-informativ-29-04-2020/")</f>
        <v>http://www.ms.ro/2020/04/29/buletin-informativ-29-04-2020/</v>
      </c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ht="12.5">
      <c r="A422" s="5">
        <f ca="1">IFERROR(__xludf.DUMMYFUNCTION("""COMPUTED_VALUE"""),11643)</f>
        <v>11643</v>
      </c>
      <c r="B422" s="5"/>
      <c r="C422" s="5" t="str">
        <f ca="1">IFERROR(__xludf.DUMMYFUNCTION("""COMPUTED_VALUE"""),"Bihor")</f>
        <v>Bihor</v>
      </c>
      <c r="D422" s="13">
        <f ca="1">IFERROR(__xludf.DUMMYFUNCTION("""COMPUTED_VALUE"""),43950)</f>
        <v>43950</v>
      </c>
      <c r="E422" s="5" t="str">
        <f ca="1">IFERROR(__xludf.DUMMYFUNCTION("""COMPUTED_VALUE"""),"Nu")</f>
        <v>Nu</v>
      </c>
      <c r="F422" s="5"/>
      <c r="G422" s="5"/>
      <c r="H422" s="6"/>
      <c r="I422" s="5"/>
      <c r="J422" s="5"/>
      <c r="K422" s="7" t="str">
        <f ca="1">IFERROR(__xludf.DUMMYFUNCTION("""COMPUTED_VALUE"""),"http://www.ms.ro/2020/04/29/buletin-informativ-29-04-2020/")</f>
        <v>http://www.ms.ro/2020/04/29/buletin-informativ-29-04-2020/</v>
      </c>
      <c r="L422" s="5"/>
      <c r="M422" s="5"/>
      <c r="N422" s="5"/>
      <c r="O422" s="5"/>
      <c r="P422" s="5"/>
      <c r="Q422" s="5"/>
      <c r="R422" s="5" t="str">
        <f ca="1">IFERROR(__xludf.DUMMYFUNCTION("""COMPUTED_VALUE"""),"România")</f>
        <v>România</v>
      </c>
      <c r="S422" s="5" t="str">
        <f ca="1">IFERROR(__xludf.DUMMYFUNCTION("""COMPUTED_VALUE"""),"Octavian")</f>
        <v>Octavian</v>
      </c>
      <c r="T422" s="7" t="str">
        <f ca="1">IFERROR(__xludf.DUMMYFUNCTION("""COMPUTED_VALUE"""),"http://www.ms.ro/2020/04/29/buletin-informativ-29-04-2020/")</f>
        <v>http://www.ms.ro/2020/04/29/buletin-informativ-29-04-2020/</v>
      </c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2.5">
      <c r="A423" s="5">
        <f ca="1">IFERROR(__xludf.DUMMYFUNCTION("""COMPUTED_VALUE"""),11644)</f>
        <v>11644</v>
      </c>
      <c r="B423" s="5"/>
      <c r="C423" s="5" t="str">
        <f ca="1">IFERROR(__xludf.DUMMYFUNCTION("""COMPUTED_VALUE"""),"Bihor")</f>
        <v>Bihor</v>
      </c>
      <c r="D423" s="13">
        <f ca="1">IFERROR(__xludf.DUMMYFUNCTION("""COMPUTED_VALUE"""),43950)</f>
        <v>43950</v>
      </c>
      <c r="E423" s="5" t="str">
        <f ca="1">IFERROR(__xludf.DUMMYFUNCTION("""COMPUTED_VALUE"""),"Nu")</f>
        <v>Nu</v>
      </c>
      <c r="F423" s="5"/>
      <c r="G423" s="5"/>
      <c r="H423" s="6"/>
      <c r="I423" s="5"/>
      <c r="J423" s="5"/>
      <c r="K423" s="7" t="str">
        <f ca="1">IFERROR(__xludf.DUMMYFUNCTION("""COMPUTED_VALUE"""),"http://www.ms.ro/2020/04/29/buletin-informativ-29-04-2020/")</f>
        <v>http://www.ms.ro/2020/04/29/buletin-informativ-29-04-2020/</v>
      </c>
      <c r="L423" s="5"/>
      <c r="M423" s="5"/>
      <c r="N423" s="5"/>
      <c r="O423" s="5"/>
      <c r="P423" s="5"/>
      <c r="Q423" s="5"/>
      <c r="R423" s="5" t="str">
        <f ca="1">IFERROR(__xludf.DUMMYFUNCTION("""COMPUTED_VALUE"""),"România")</f>
        <v>România</v>
      </c>
      <c r="S423" s="5" t="str">
        <f ca="1">IFERROR(__xludf.DUMMYFUNCTION("""COMPUTED_VALUE"""),"Octavian")</f>
        <v>Octavian</v>
      </c>
      <c r="T423" s="7" t="str">
        <f ca="1">IFERROR(__xludf.DUMMYFUNCTION("""COMPUTED_VALUE"""),"http://www.ms.ro/2020/04/29/buletin-informativ-29-04-2020/")</f>
        <v>http://www.ms.ro/2020/04/29/buletin-informativ-29-04-2020/</v>
      </c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ht="12.5">
      <c r="A424" s="5">
        <f ca="1">IFERROR(__xludf.DUMMYFUNCTION("""COMPUTED_VALUE"""),11645)</f>
        <v>11645</v>
      </c>
      <c r="B424" s="5"/>
      <c r="C424" s="5" t="str">
        <f ca="1">IFERROR(__xludf.DUMMYFUNCTION("""COMPUTED_VALUE"""),"Bihor")</f>
        <v>Bihor</v>
      </c>
      <c r="D424" s="13">
        <f ca="1">IFERROR(__xludf.DUMMYFUNCTION("""COMPUTED_VALUE"""),43950)</f>
        <v>43950</v>
      </c>
      <c r="E424" s="5" t="str">
        <f ca="1">IFERROR(__xludf.DUMMYFUNCTION("""COMPUTED_VALUE"""),"Nu")</f>
        <v>Nu</v>
      </c>
      <c r="F424" s="5"/>
      <c r="G424" s="5"/>
      <c r="H424" s="6"/>
      <c r="I424" s="5"/>
      <c r="J424" s="5"/>
      <c r="K424" s="7" t="str">
        <f ca="1">IFERROR(__xludf.DUMMYFUNCTION("""COMPUTED_VALUE"""),"http://www.ms.ro/2020/04/29/buletin-informativ-29-04-2020/")</f>
        <v>http://www.ms.ro/2020/04/29/buletin-informativ-29-04-2020/</v>
      </c>
      <c r="L424" s="5"/>
      <c r="M424" s="5"/>
      <c r="N424" s="5"/>
      <c r="O424" s="5"/>
      <c r="P424" s="5"/>
      <c r="Q424" s="5"/>
      <c r="R424" s="5" t="str">
        <f ca="1">IFERROR(__xludf.DUMMYFUNCTION("""COMPUTED_VALUE"""),"România")</f>
        <v>România</v>
      </c>
      <c r="S424" s="5" t="str">
        <f ca="1">IFERROR(__xludf.DUMMYFUNCTION("""COMPUTED_VALUE"""),"Octavian")</f>
        <v>Octavian</v>
      </c>
      <c r="T424" s="7" t="str">
        <f ca="1">IFERROR(__xludf.DUMMYFUNCTION("""COMPUTED_VALUE"""),"http://www.ms.ro/2020/04/29/buletin-informativ-29-04-2020/")</f>
        <v>http://www.ms.ro/2020/04/29/buletin-informativ-29-04-2020/</v>
      </c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2.5">
      <c r="A425" s="5">
        <f ca="1">IFERROR(__xludf.DUMMYFUNCTION("""COMPUTED_VALUE"""),11646)</f>
        <v>11646</v>
      </c>
      <c r="B425" s="5"/>
      <c r="C425" s="5" t="str">
        <f ca="1">IFERROR(__xludf.DUMMYFUNCTION("""COMPUTED_VALUE"""),"Bihor")</f>
        <v>Bihor</v>
      </c>
      <c r="D425" s="13">
        <f ca="1">IFERROR(__xludf.DUMMYFUNCTION("""COMPUTED_VALUE"""),43950)</f>
        <v>43950</v>
      </c>
      <c r="E425" s="5" t="str">
        <f ca="1">IFERROR(__xludf.DUMMYFUNCTION("""COMPUTED_VALUE"""),"Nu")</f>
        <v>Nu</v>
      </c>
      <c r="F425" s="5"/>
      <c r="G425" s="5"/>
      <c r="H425" s="6"/>
      <c r="I425" s="5"/>
      <c r="J425" s="5"/>
      <c r="K425" s="7" t="str">
        <f ca="1">IFERROR(__xludf.DUMMYFUNCTION("""COMPUTED_VALUE"""),"http://www.ms.ro/2020/04/29/buletin-informativ-29-04-2020/")</f>
        <v>http://www.ms.ro/2020/04/29/buletin-informativ-29-04-2020/</v>
      </c>
      <c r="L425" s="5"/>
      <c r="M425" s="5"/>
      <c r="N425" s="5"/>
      <c r="O425" s="5"/>
      <c r="P425" s="5"/>
      <c r="Q425" s="5"/>
      <c r="R425" s="5" t="str">
        <f ca="1">IFERROR(__xludf.DUMMYFUNCTION("""COMPUTED_VALUE"""),"România")</f>
        <v>România</v>
      </c>
      <c r="S425" s="5" t="str">
        <f ca="1">IFERROR(__xludf.DUMMYFUNCTION("""COMPUTED_VALUE"""),"Octavian")</f>
        <v>Octavian</v>
      </c>
      <c r="T425" s="7" t="str">
        <f ca="1">IFERROR(__xludf.DUMMYFUNCTION("""COMPUTED_VALUE"""),"http://www.ms.ro/2020/04/29/buletin-informativ-29-04-2020/")</f>
        <v>http://www.ms.ro/2020/04/29/buletin-informativ-29-04-2020/</v>
      </c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ht="12.5">
      <c r="A426" s="5">
        <f ca="1">IFERROR(__xludf.DUMMYFUNCTION("""COMPUTED_VALUE"""),11647)</f>
        <v>11647</v>
      </c>
      <c r="B426" s="5"/>
      <c r="C426" s="5" t="str">
        <f ca="1">IFERROR(__xludf.DUMMYFUNCTION("""COMPUTED_VALUE"""),"Bihor")</f>
        <v>Bihor</v>
      </c>
      <c r="D426" s="13">
        <f ca="1">IFERROR(__xludf.DUMMYFUNCTION("""COMPUTED_VALUE"""),43950)</f>
        <v>43950</v>
      </c>
      <c r="E426" s="5" t="str">
        <f ca="1">IFERROR(__xludf.DUMMYFUNCTION("""COMPUTED_VALUE"""),"Nu")</f>
        <v>Nu</v>
      </c>
      <c r="F426" s="5"/>
      <c r="G426" s="5"/>
      <c r="H426" s="6"/>
      <c r="I426" s="5"/>
      <c r="J426" s="5"/>
      <c r="K426" s="7" t="str">
        <f ca="1">IFERROR(__xludf.DUMMYFUNCTION("""COMPUTED_VALUE"""),"http://www.ms.ro/2020/04/29/buletin-informativ-29-04-2020/")</f>
        <v>http://www.ms.ro/2020/04/29/buletin-informativ-29-04-2020/</v>
      </c>
      <c r="L426" s="5"/>
      <c r="M426" s="5"/>
      <c r="N426" s="5"/>
      <c r="O426" s="5"/>
      <c r="P426" s="5"/>
      <c r="Q426" s="5"/>
      <c r="R426" s="5" t="str">
        <f ca="1">IFERROR(__xludf.DUMMYFUNCTION("""COMPUTED_VALUE"""),"România")</f>
        <v>România</v>
      </c>
      <c r="S426" s="5" t="str">
        <f ca="1">IFERROR(__xludf.DUMMYFUNCTION("""COMPUTED_VALUE"""),"Octavian")</f>
        <v>Octavian</v>
      </c>
      <c r="T426" s="7" t="str">
        <f ca="1">IFERROR(__xludf.DUMMYFUNCTION("""COMPUTED_VALUE"""),"http://www.ms.ro/2020/04/29/buletin-informativ-29-04-2020/")</f>
        <v>http://www.ms.ro/2020/04/29/buletin-informativ-29-04-2020/</v>
      </c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2.5">
      <c r="A427" s="5">
        <f ca="1">IFERROR(__xludf.DUMMYFUNCTION("""COMPUTED_VALUE"""),11648)</f>
        <v>11648</v>
      </c>
      <c r="B427" s="5"/>
      <c r="C427" s="5" t="str">
        <f ca="1">IFERROR(__xludf.DUMMYFUNCTION("""COMPUTED_VALUE"""),"Bihor")</f>
        <v>Bihor</v>
      </c>
      <c r="D427" s="13">
        <f ca="1">IFERROR(__xludf.DUMMYFUNCTION("""COMPUTED_VALUE"""),43950)</f>
        <v>43950</v>
      </c>
      <c r="E427" s="5" t="str">
        <f ca="1">IFERROR(__xludf.DUMMYFUNCTION("""COMPUTED_VALUE"""),"Nu")</f>
        <v>Nu</v>
      </c>
      <c r="F427" s="5"/>
      <c r="G427" s="5"/>
      <c r="H427" s="6"/>
      <c r="I427" s="5"/>
      <c r="J427" s="5"/>
      <c r="K427" s="7" t="str">
        <f ca="1">IFERROR(__xludf.DUMMYFUNCTION("""COMPUTED_VALUE"""),"http://www.ms.ro/2020/04/29/buletin-informativ-29-04-2020/")</f>
        <v>http://www.ms.ro/2020/04/29/buletin-informativ-29-04-2020/</v>
      </c>
      <c r="L427" s="5"/>
      <c r="M427" s="5"/>
      <c r="N427" s="5"/>
      <c r="O427" s="5"/>
      <c r="P427" s="5"/>
      <c r="Q427" s="5"/>
      <c r="R427" s="5" t="str">
        <f ca="1">IFERROR(__xludf.DUMMYFUNCTION("""COMPUTED_VALUE"""),"România")</f>
        <v>România</v>
      </c>
      <c r="S427" s="5" t="str">
        <f ca="1">IFERROR(__xludf.DUMMYFUNCTION("""COMPUTED_VALUE"""),"Octavian")</f>
        <v>Octavian</v>
      </c>
      <c r="T427" s="7" t="str">
        <f ca="1">IFERROR(__xludf.DUMMYFUNCTION("""COMPUTED_VALUE"""),"http://www.ms.ro/2020/04/29/buletin-informativ-29-04-2020/")</f>
        <v>http://www.ms.ro/2020/04/29/buletin-informativ-29-04-2020/</v>
      </c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ht="12.5">
      <c r="A428" s="5">
        <f ca="1">IFERROR(__xludf.DUMMYFUNCTION("""COMPUTED_VALUE"""),11649)</f>
        <v>11649</v>
      </c>
      <c r="B428" s="5"/>
      <c r="C428" s="5" t="str">
        <f ca="1">IFERROR(__xludf.DUMMYFUNCTION("""COMPUTED_VALUE"""),"Bihor")</f>
        <v>Bihor</v>
      </c>
      <c r="D428" s="13">
        <f ca="1">IFERROR(__xludf.DUMMYFUNCTION("""COMPUTED_VALUE"""),43950)</f>
        <v>43950</v>
      </c>
      <c r="E428" s="5" t="str">
        <f ca="1">IFERROR(__xludf.DUMMYFUNCTION("""COMPUTED_VALUE"""),"Nu")</f>
        <v>Nu</v>
      </c>
      <c r="F428" s="5"/>
      <c r="G428" s="5"/>
      <c r="H428" s="6"/>
      <c r="I428" s="5"/>
      <c r="J428" s="5"/>
      <c r="K428" s="7" t="str">
        <f ca="1">IFERROR(__xludf.DUMMYFUNCTION("""COMPUTED_VALUE"""),"http://www.ms.ro/2020/04/29/buletin-informativ-29-04-2020/")</f>
        <v>http://www.ms.ro/2020/04/29/buletin-informativ-29-04-2020/</v>
      </c>
      <c r="L428" s="5"/>
      <c r="M428" s="5"/>
      <c r="N428" s="5"/>
      <c r="O428" s="5"/>
      <c r="P428" s="5"/>
      <c r="Q428" s="5"/>
      <c r="R428" s="5" t="str">
        <f ca="1">IFERROR(__xludf.DUMMYFUNCTION("""COMPUTED_VALUE"""),"România")</f>
        <v>România</v>
      </c>
      <c r="S428" s="5" t="str">
        <f ca="1">IFERROR(__xludf.DUMMYFUNCTION("""COMPUTED_VALUE"""),"Octavian")</f>
        <v>Octavian</v>
      </c>
      <c r="T428" s="7" t="str">
        <f ca="1">IFERROR(__xludf.DUMMYFUNCTION("""COMPUTED_VALUE"""),"http://www.ms.ro/2020/04/29/buletin-informativ-29-04-2020/")</f>
        <v>http://www.ms.ro/2020/04/29/buletin-informativ-29-04-2020/</v>
      </c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2.5">
      <c r="A429" s="5">
        <f ca="1">IFERROR(__xludf.DUMMYFUNCTION("""COMPUTED_VALUE"""),11650)</f>
        <v>11650</v>
      </c>
      <c r="B429" s="5"/>
      <c r="C429" s="5" t="str">
        <f ca="1">IFERROR(__xludf.DUMMYFUNCTION("""COMPUTED_VALUE"""),"Bihor")</f>
        <v>Bihor</v>
      </c>
      <c r="D429" s="13">
        <f ca="1">IFERROR(__xludf.DUMMYFUNCTION("""COMPUTED_VALUE"""),43950)</f>
        <v>43950</v>
      </c>
      <c r="E429" s="5" t="str">
        <f ca="1">IFERROR(__xludf.DUMMYFUNCTION("""COMPUTED_VALUE"""),"Nu")</f>
        <v>Nu</v>
      </c>
      <c r="F429" s="5"/>
      <c r="G429" s="5"/>
      <c r="H429" s="6"/>
      <c r="I429" s="5"/>
      <c r="J429" s="5"/>
      <c r="K429" s="7" t="str">
        <f ca="1">IFERROR(__xludf.DUMMYFUNCTION("""COMPUTED_VALUE"""),"http://www.ms.ro/2020/04/29/buletin-informativ-29-04-2020/")</f>
        <v>http://www.ms.ro/2020/04/29/buletin-informativ-29-04-2020/</v>
      </c>
      <c r="L429" s="5"/>
      <c r="M429" s="5"/>
      <c r="N429" s="5"/>
      <c r="O429" s="5"/>
      <c r="P429" s="5"/>
      <c r="Q429" s="5"/>
      <c r="R429" s="5" t="str">
        <f ca="1">IFERROR(__xludf.DUMMYFUNCTION("""COMPUTED_VALUE"""),"România")</f>
        <v>România</v>
      </c>
      <c r="S429" s="5" t="str">
        <f ca="1">IFERROR(__xludf.DUMMYFUNCTION("""COMPUTED_VALUE"""),"Octavian")</f>
        <v>Octavian</v>
      </c>
      <c r="T429" s="7" t="str">
        <f ca="1">IFERROR(__xludf.DUMMYFUNCTION("""COMPUTED_VALUE"""),"http://www.ms.ro/2020/04/29/buletin-informativ-29-04-2020/")</f>
        <v>http://www.ms.ro/2020/04/29/buletin-informativ-29-04-2020/</v>
      </c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ht="12.5">
      <c r="A430" s="5">
        <f ca="1">IFERROR(__xludf.DUMMYFUNCTION("""COMPUTED_VALUE"""),11651)</f>
        <v>11651</v>
      </c>
      <c r="B430" s="5"/>
      <c r="C430" s="5" t="str">
        <f ca="1">IFERROR(__xludf.DUMMYFUNCTION("""COMPUTED_VALUE"""),"Bihor")</f>
        <v>Bihor</v>
      </c>
      <c r="D430" s="13">
        <f ca="1">IFERROR(__xludf.DUMMYFUNCTION("""COMPUTED_VALUE"""),43950)</f>
        <v>43950</v>
      </c>
      <c r="E430" s="5" t="str">
        <f ca="1">IFERROR(__xludf.DUMMYFUNCTION("""COMPUTED_VALUE"""),"Nu")</f>
        <v>Nu</v>
      </c>
      <c r="F430" s="5"/>
      <c r="G430" s="5"/>
      <c r="H430" s="6"/>
      <c r="I430" s="5"/>
      <c r="J430" s="5"/>
      <c r="K430" s="7" t="str">
        <f ca="1">IFERROR(__xludf.DUMMYFUNCTION("""COMPUTED_VALUE"""),"http://www.ms.ro/2020/04/29/buletin-informativ-29-04-2020/")</f>
        <v>http://www.ms.ro/2020/04/29/buletin-informativ-29-04-2020/</v>
      </c>
      <c r="L430" s="5"/>
      <c r="M430" s="5"/>
      <c r="N430" s="5"/>
      <c r="O430" s="5"/>
      <c r="P430" s="5"/>
      <c r="Q430" s="5"/>
      <c r="R430" s="5" t="str">
        <f ca="1">IFERROR(__xludf.DUMMYFUNCTION("""COMPUTED_VALUE"""),"România")</f>
        <v>România</v>
      </c>
      <c r="S430" s="5" t="str">
        <f ca="1">IFERROR(__xludf.DUMMYFUNCTION("""COMPUTED_VALUE"""),"Octavian")</f>
        <v>Octavian</v>
      </c>
      <c r="T430" s="7" t="str">
        <f ca="1">IFERROR(__xludf.DUMMYFUNCTION("""COMPUTED_VALUE"""),"http://www.ms.ro/2020/04/29/buletin-informativ-29-04-2020/")</f>
        <v>http://www.ms.ro/2020/04/29/buletin-informativ-29-04-2020/</v>
      </c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2.5">
      <c r="A431" s="5">
        <f ca="1">IFERROR(__xludf.DUMMYFUNCTION("""COMPUTED_VALUE"""),12059)</f>
        <v>12059</v>
      </c>
      <c r="B431" s="5"/>
      <c r="C431" s="5" t="str">
        <f ca="1">IFERROR(__xludf.DUMMYFUNCTION("""COMPUTED_VALUE"""),"Bihor")</f>
        <v>Bihor</v>
      </c>
      <c r="D431" s="13">
        <f ca="1">IFERROR(__xludf.DUMMYFUNCTION("""COMPUTED_VALUE"""),43951)</f>
        <v>43951</v>
      </c>
      <c r="E431" s="5" t="str">
        <f ca="1">IFERROR(__xludf.DUMMYFUNCTION("""COMPUTED_VALUE"""),"Nu")</f>
        <v>Nu</v>
      </c>
      <c r="F431" s="5"/>
      <c r="G431" s="5"/>
      <c r="H431" s="6"/>
      <c r="I431" s="5"/>
      <c r="J431" s="5"/>
      <c r="K431" s="7" t="str">
        <f ca="1">IFERROR(__xludf.DUMMYFUNCTION("""COMPUTED_VALUE"""),"http://www.ms.ro/2020/04/30/buletin-informativ-30-04-2020/")</f>
        <v>http://www.ms.ro/2020/04/30/buletin-informativ-30-04-2020/</v>
      </c>
      <c r="L431" s="5"/>
      <c r="M431" s="5"/>
      <c r="N431" s="5"/>
      <c r="O431" s="5"/>
      <c r="P431" s="5"/>
      <c r="Q431" s="5"/>
      <c r="R431" s="5" t="str">
        <f ca="1">IFERROR(__xludf.DUMMYFUNCTION("""COMPUTED_VALUE"""),"România")</f>
        <v>România</v>
      </c>
      <c r="S431" s="5" t="str">
        <f ca="1">IFERROR(__xludf.DUMMYFUNCTION("""COMPUTED_VALUE"""),"Octavian")</f>
        <v>Octavian</v>
      </c>
      <c r="T431" s="7" t="str">
        <f ca="1">IFERROR(__xludf.DUMMYFUNCTION("""COMPUTED_VALUE"""),"http://www.ms.ro/2020/04/30/buletin-informativ-30-04-2020/")</f>
        <v>http://www.ms.ro/2020/04/30/buletin-informativ-30-04-2020/</v>
      </c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ht="12.5">
      <c r="A432" s="5">
        <f ca="1">IFERROR(__xludf.DUMMYFUNCTION("""COMPUTED_VALUE"""),12060)</f>
        <v>12060</v>
      </c>
      <c r="B432" s="5"/>
      <c r="C432" s="5" t="str">
        <f ca="1">IFERROR(__xludf.DUMMYFUNCTION("""COMPUTED_VALUE"""),"Bihor")</f>
        <v>Bihor</v>
      </c>
      <c r="D432" s="13">
        <f ca="1">IFERROR(__xludf.DUMMYFUNCTION("""COMPUTED_VALUE"""),43951)</f>
        <v>43951</v>
      </c>
      <c r="E432" s="5" t="str">
        <f ca="1">IFERROR(__xludf.DUMMYFUNCTION("""COMPUTED_VALUE"""),"Nu")</f>
        <v>Nu</v>
      </c>
      <c r="F432" s="5"/>
      <c r="G432" s="5"/>
      <c r="H432" s="6"/>
      <c r="I432" s="5"/>
      <c r="J432" s="5"/>
      <c r="K432" s="7" t="str">
        <f ca="1">IFERROR(__xludf.DUMMYFUNCTION("""COMPUTED_VALUE"""),"http://www.ms.ro/2020/04/30/buletin-informativ-30-04-2020/")</f>
        <v>http://www.ms.ro/2020/04/30/buletin-informativ-30-04-2020/</v>
      </c>
      <c r="L432" s="5"/>
      <c r="M432" s="5"/>
      <c r="N432" s="5"/>
      <c r="O432" s="5"/>
      <c r="P432" s="5"/>
      <c r="Q432" s="5"/>
      <c r="R432" s="5" t="str">
        <f ca="1">IFERROR(__xludf.DUMMYFUNCTION("""COMPUTED_VALUE"""),"România")</f>
        <v>România</v>
      </c>
      <c r="S432" s="5" t="str">
        <f ca="1">IFERROR(__xludf.DUMMYFUNCTION("""COMPUTED_VALUE"""),"Octavian")</f>
        <v>Octavian</v>
      </c>
      <c r="T432" s="7" t="str">
        <f ca="1">IFERROR(__xludf.DUMMYFUNCTION("""COMPUTED_VALUE"""),"http://www.ms.ro/2020/04/30/buletin-informativ-30-04-2020/")</f>
        <v>http://www.ms.ro/2020/04/30/buletin-informativ-30-04-2020/</v>
      </c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2.5">
      <c r="A433" s="5">
        <f ca="1">IFERROR(__xludf.DUMMYFUNCTION("""COMPUTED_VALUE"""),12061)</f>
        <v>12061</v>
      </c>
      <c r="B433" s="5"/>
      <c r="C433" s="5" t="str">
        <f ca="1">IFERROR(__xludf.DUMMYFUNCTION("""COMPUTED_VALUE"""),"Bihor")</f>
        <v>Bihor</v>
      </c>
      <c r="D433" s="13">
        <f ca="1">IFERROR(__xludf.DUMMYFUNCTION("""COMPUTED_VALUE"""),43951)</f>
        <v>43951</v>
      </c>
      <c r="E433" s="5" t="str">
        <f ca="1">IFERROR(__xludf.DUMMYFUNCTION("""COMPUTED_VALUE"""),"Nu")</f>
        <v>Nu</v>
      </c>
      <c r="F433" s="5"/>
      <c r="G433" s="5"/>
      <c r="H433" s="6"/>
      <c r="I433" s="5"/>
      <c r="J433" s="5"/>
      <c r="K433" s="7" t="str">
        <f ca="1">IFERROR(__xludf.DUMMYFUNCTION("""COMPUTED_VALUE"""),"http://www.ms.ro/2020/04/30/buletin-informativ-30-04-2020/")</f>
        <v>http://www.ms.ro/2020/04/30/buletin-informativ-30-04-2020/</v>
      </c>
      <c r="L433" s="5"/>
      <c r="M433" s="5"/>
      <c r="N433" s="5"/>
      <c r="O433" s="5"/>
      <c r="P433" s="5"/>
      <c r="Q433" s="5"/>
      <c r="R433" s="5" t="str">
        <f ca="1">IFERROR(__xludf.DUMMYFUNCTION("""COMPUTED_VALUE"""),"România")</f>
        <v>România</v>
      </c>
      <c r="S433" s="5" t="str">
        <f ca="1">IFERROR(__xludf.DUMMYFUNCTION("""COMPUTED_VALUE"""),"Octavian")</f>
        <v>Octavian</v>
      </c>
      <c r="T433" s="7" t="str">
        <f ca="1">IFERROR(__xludf.DUMMYFUNCTION("""COMPUTED_VALUE"""),"http://www.ms.ro/2020/04/30/buletin-informativ-30-04-2020/")</f>
        <v>http://www.ms.ro/2020/04/30/buletin-informativ-30-04-2020/</v>
      </c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ht="12.5">
      <c r="A434" s="5">
        <f ca="1">IFERROR(__xludf.DUMMYFUNCTION("""COMPUTED_VALUE"""),12062)</f>
        <v>12062</v>
      </c>
      <c r="B434" s="5"/>
      <c r="C434" s="5" t="str">
        <f ca="1">IFERROR(__xludf.DUMMYFUNCTION("""COMPUTED_VALUE"""),"Bihor")</f>
        <v>Bihor</v>
      </c>
      <c r="D434" s="13">
        <f ca="1">IFERROR(__xludf.DUMMYFUNCTION("""COMPUTED_VALUE"""),43951)</f>
        <v>43951</v>
      </c>
      <c r="E434" s="5" t="str">
        <f ca="1">IFERROR(__xludf.DUMMYFUNCTION("""COMPUTED_VALUE"""),"Nu")</f>
        <v>Nu</v>
      </c>
      <c r="F434" s="5"/>
      <c r="G434" s="5"/>
      <c r="H434" s="6"/>
      <c r="I434" s="5"/>
      <c r="J434" s="5"/>
      <c r="K434" s="7" t="str">
        <f ca="1">IFERROR(__xludf.DUMMYFUNCTION("""COMPUTED_VALUE"""),"http://www.ms.ro/2020/04/30/buletin-informativ-30-04-2020/")</f>
        <v>http://www.ms.ro/2020/04/30/buletin-informativ-30-04-2020/</v>
      </c>
      <c r="L434" s="5"/>
      <c r="M434" s="5"/>
      <c r="N434" s="5"/>
      <c r="O434" s="5"/>
      <c r="P434" s="5"/>
      <c r="Q434" s="5"/>
      <c r="R434" s="5" t="str">
        <f ca="1">IFERROR(__xludf.DUMMYFUNCTION("""COMPUTED_VALUE"""),"România")</f>
        <v>România</v>
      </c>
      <c r="S434" s="5" t="str">
        <f ca="1">IFERROR(__xludf.DUMMYFUNCTION("""COMPUTED_VALUE"""),"Octavian")</f>
        <v>Octavian</v>
      </c>
      <c r="T434" s="7" t="str">
        <f ca="1">IFERROR(__xludf.DUMMYFUNCTION("""COMPUTED_VALUE"""),"http://www.ms.ro/2020/04/30/buletin-informativ-30-04-2020/")</f>
        <v>http://www.ms.ro/2020/04/30/buletin-informativ-30-04-2020/</v>
      </c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2.5">
      <c r="A435" s="5">
        <f ca="1">IFERROR(__xludf.DUMMYFUNCTION("""COMPUTED_VALUE"""),12063)</f>
        <v>12063</v>
      </c>
      <c r="B435" s="5"/>
      <c r="C435" s="5" t="str">
        <f ca="1">IFERROR(__xludf.DUMMYFUNCTION("""COMPUTED_VALUE"""),"Bihor")</f>
        <v>Bihor</v>
      </c>
      <c r="D435" s="13">
        <f ca="1">IFERROR(__xludf.DUMMYFUNCTION("""COMPUTED_VALUE"""),43951)</f>
        <v>43951</v>
      </c>
      <c r="E435" s="5" t="str">
        <f ca="1">IFERROR(__xludf.DUMMYFUNCTION("""COMPUTED_VALUE"""),"Nu")</f>
        <v>Nu</v>
      </c>
      <c r="F435" s="5"/>
      <c r="G435" s="5"/>
      <c r="H435" s="6"/>
      <c r="I435" s="5"/>
      <c r="J435" s="5"/>
      <c r="K435" s="7" t="str">
        <f ca="1">IFERROR(__xludf.DUMMYFUNCTION("""COMPUTED_VALUE"""),"http://www.ms.ro/2020/04/30/buletin-informativ-30-04-2020/")</f>
        <v>http://www.ms.ro/2020/04/30/buletin-informativ-30-04-2020/</v>
      </c>
      <c r="L435" s="5"/>
      <c r="M435" s="5"/>
      <c r="N435" s="5"/>
      <c r="O435" s="5"/>
      <c r="P435" s="5"/>
      <c r="Q435" s="5"/>
      <c r="R435" s="5" t="str">
        <f ca="1">IFERROR(__xludf.DUMMYFUNCTION("""COMPUTED_VALUE"""),"România")</f>
        <v>România</v>
      </c>
      <c r="S435" s="5" t="str">
        <f ca="1">IFERROR(__xludf.DUMMYFUNCTION("""COMPUTED_VALUE"""),"Octavian")</f>
        <v>Octavian</v>
      </c>
      <c r="T435" s="7" t="str">
        <f ca="1">IFERROR(__xludf.DUMMYFUNCTION("""COMPUTED_VALUE"""),"http://www.ms.ro/2020/04/30/buletin-informativ-30-04-2020/")</f>
        <v>http://www.ms.ro/2020/04/30/buletin-informativ-30-04-2020/</v>
      </c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ht="12.5">
      <c r="A436" s="5">
        <f ca="1">IFERROR(__xludf.DUMMYFUNCTION("""COMPUTED_VALUE"""),12064)</f>
        <v>12064</v>
      </c>
      <c r="B436" s="5"/>
      <c r="C436" s="5" t="str">
        <f ca="1">IFERROR(__xludf.DUMMYFUNCTION("""COMPUTED_VALUE"""),"Bihor")</f>
        <v>Bihor</v>
      </c>
      <c r="D436" s="13">
        <f ca="1">IFERROR(__xludf.DUMMYFUNCTION("""COMPUTED_VALUE"""),43951)</f>
        <v>43951</v>
      </c>
      <c r="E436" s="5" t="str">
        <f ca="1">IFERROR(__xludf.DUMMYFUNCTION("""COMPUTED_VALUE"""),"Nu")</f>
        <v>Nu</v>
      </c>
      <c r="F436" s="5"/>
      <c r="G436" s="5"/>
      <c r="H436" s="6"/>
      <c r="I436" s="5"/>
      <c r="J436" s="5"/>
      <c r="K436" s="7" t="str">
        <f ca="1">IFERROR(__xludf.DUMMYFUNCTION("""COMPUTED_VALUE"""),"http://www.ms.ro/2020/04/30/buletin-informativ-30-04-2020/")</f>
        <v>http://www.ms.ro/2020/04/30/buletin-informativ-30-04-2020/</v>
      </c>
      <c r="L436" s="5"/>
      <c r="M436" s="5"/>
      <c r="N436" s="5"/>
      <c r="O436" s="5"/>
      <c r="P436" s="5"/>
      <c r="Q436" s="5"/>
      <c r="R436" s="5" t="str">
        <f ca="1">IFERROR(__xludf.DUMMYFUNCTION("""COMPUTED_VALUE"""),"România")</f>
        <v>România</v>
      </c>
      <c r="S436" s="5" t="str">
        <f ca="1">IFERROR(__xludf.DUMMYFUNCTION("""COMPUTED_VALUE"""),"Octavian")</f>
        <v>Octavian</v>
      </c>
      <c r="T436" s="7" t="str">
        <f ca="1">IFERROR(__xludf.DUMMYFUNCTION("""COMPUTED_VALUE"""),"http://www.ms.ro/2020/04/30/buletin-informativ-30-04-2020/")</f>
        <v>http://www.ms.ro/2020/04/30/buletin-informativ-30-04-2020/</v>
      </c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2.5">
      <c r="A437" s="5">
        <f ca="1">IFERROR(__xludf.DUMMYFUNCTION("""COMPUTED_VALUE"""),12065)</f>
        <v>12065</v>
      </c>
      <c r="B437" s="5"/>
      <c r="C437" s="5" t="str">
        <f ca="1">IFERROR(__xludf.DUMMYFUNCTION("""COMPUTED_VALUE"""),"Bihor")</f>
        <v>Bihor</v>
      </c>
      <c r="D437" s="13">
        <f ca="1">IFERROR(__xludf.DUMMYFUNCTION("""COMPUTED_VALUE"""),43951)</f>
        <v>43951</v>
      </c>
      <c r="E437" s="5" t="str">
        <f ca="1">IFERROR(__xludf.DUMMYFUNCTION("""COMPUTED_VALUE"""),"Nu")</f>
        <v>Nu</v>
      </c>
      <c r="F437" s="5"/>
      <c r="G437" s="5"/>
      <c r="H437" s="6"/>
      <c r="I437" s="5"/>
      <c r="J437" s="5"/>
      <c r="K437" s="7" t="str">
        <f ca="1">IFERROR(__xludf.DUMMYFUNCTION("""COMPUTED_VALUE"""),"http://www.ms.ro/2020/04/30/buletin-informativ-30-04-2020/")</f>
        <v>http://www.ms.ro/2020/04/30/buletin-informativ-30-04-2020/</v>
      </c>
      <c r="L437" s="5"/>
      <c r="M437" s="5"/>
      <c r="N437" s="5"/>
      <c r="O437" s="5"/>
      <c r="P437" s="5"/>
      <c r="Q437" s="5"/>
      <c r="R437" s="5" t="str">
        <f ca="1">IFERROR(__xludf.DUMMYFUNCTION("""COMPUTED_VALUE"""),"România")</f>
        <v>România</v>
      </c>
      <c r="S437" s="5" t="str">
        <f ca="1">IFERROR(__xludf.DUMMYFUNCTION("""COMPUTED_VALUE"""),"Octavian")</f>
        <v>Octavian</v>
      </c>
      <c r="T437" s="7" t="str">
        <f ca="1">IFERROR(__xludf.DUMMYFUNCTION("""COMPUTED_VALUE"""),"http://www.ms.ro/2020/04/30/buletin-informativ-30-04-2020/")</f>
        <v>http://www.ms.ro/2020/04/30/buletin-informativ-30-04-2020/</v>
      </c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ht="12.5">
      <c r="A438" s="5">
        <f ca="1">IFERROR(__xludf.DUMMYFUNCTION("""COMPUTED_VALUE"""),12262)</f>
        <v>12262</v>
      </c>
      <c r="B438" s="5"/>
      <c r="C438" s="5" t="str">
        <f ca="1">IFERROR(__xludf.DUMMYFUNCTION("""COMPUTED_VALUE"""),"Bihor")</f>
        <v>Bihor</v>
      </c>
      <c r="D438" s="13">
        <f ca="1">IFERROR(__xludf.DUMMYFUNCTION("""COMPUTED_VALUE"""),43952)</f>
        <v>43952</v>
      </c>
      <c r="E438" s="5" t="str">
        <f ca="1">IFERROR(__xludf.DUMMYFUNCTION("""COMPUTED_VALUE"""),"Nu")</f>
        <v>Nu</v>
      </c>
      <c r="F438" s="5"/>
      <c r="G438" s="5"/>
      <c r="H438" s="6"/>
      <c r="I438" s="5"/>
      <c r="J438" s="5"/>
      <c r="K438" s="7" t="str">
        <f ca="1">IFERROR(__xludf.DUMMYFUNCTION("""COMPUTED_VALUE"""),"http://www.ms.ro/2020/05/01/buletin-informativ-01-05-2020/")</f>
        <v>http://www.ms.ro/2020/05/01/buletin-informativ-01-05-2020/</v>
      </c>
      <c r="L438" s="5"/>
      <c r="M438" s="5"/>
      <c r="N438" s="5"/>
      <c r="O438" s="5"/>
      <c r="P438" s="5"/>
      <c r="Q438" s="5"/>
      <c r="R438" s="5" t="str">
        <f ca="1">IFERROR(__xludf.DUMMYFUNCTION("""COMPUTED_VALUE"""),"România")</f>
        <v>România</v>
      </c>
      <c r="S438" s="5" t="str">
        <f ca="1">IFERROR(__xludf.DUMMYFUNCTION("""COMPUTED_VALUE"""),"Octavian")</f>
        <v>Octavian</v>
      </c>
      <c r="T438" s="7" t="str">
        <f ca="1">IFERROR(__xludf.DUMMYFUNCTION("""COMPUTED_VALUE"""),"http://www.ms.ro/2020/05/01/buletin-informativ-01-05-2020/")</f>
        <v>http://www.ms.ro/2020/05/01/buletin-informativ-01-05-2020/</v>
      </c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2.5">
      <c r="A439" s="5">
        <f ca="1">IFERROR(__xludf.DUMMYFUNCTION("""COMPUTED_VALUE"""),12263)</f>
        <v>12263</v>
      </c>
      <c r="B439" s="5"/>
      <c r="C439" s="5" t="str">
        <f ca="1">IFERROR(__xludf.DUMMYFUNCTION("""COMPUTED_VALUE"""),"Bihor")</f>
        <v>Bihor</v>
      </c>
      <c r="D439" s="13">
        <f ca="1">IFERROR(__xludf.DUMMYFUNCTION("""COMPUTED_VALUE"""),43952)</f>
        <v>43952</v>
      </c>
      <c r="E439" s="5" t="str">
        <f ca="1">IFERROR(__xludf.DUMMYFUNCTION("""COMPUTED_VALUE"""),"Nu")</f>
        <v>Nu</v>
      </c>
      <c r="F439" s="5"/>
      <c r="G439" s="5"/>
      <c r="H439" s="6"/>
      <c r="I439" s="5"/>
      <c r="J439" s="5"/>
      <c r="K439" s="7" t="str">
        <f ca="1">IFERROR(__xludf.DUMMYFUNCTION("""COMPUTED_VALUE"""),"http://www.ms.ro/2020/05/01/buletin-informativ-01-05-2020/")</f>
        <v>http://www.ms.ro/2020/05/01/buletin-informativ-01-05-2020/</v>
      </c>
      <c r="L439" s="5"/>
      <c r="M439" s="5"/>
      <c r="N439" s="5"/>
      <c r="O439" s="5"/>
      <c r="P439" s="5"/>
      <c r="Q439" s="5"/>
      <c r="R439" s="5" t="str">
        <f ca="1">IFERROR(__xludf.DUMMYFUNCTION("""COMPUTED_VALUE"""),"România")</f>
        <v>România</v>
      </c>
      <c r="S439" s="5" t="str">
        <f ca="1">IFERROR(__xludf.DUMMYFUNCTION("""COMPUTED_VALUE"""),"Octavian")</f>
        <v>Octavian</v>
      </c>
      <c r="T439" s="7" t="str">
        <f ca="1">IFERROR(__xludf.DUMMYFUNCTION("""COMPUTED_VALUE"""),"http://www.ms.ro/2020/05/01/buletin-informativ-01-05-2020/")</f>
        <v>http://www.ms.ro/2020/05/01/buletin-informativ-01-05-2020/</v>
      </c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ht="12.5">
      <c r="A440" s="5">
        <f ca="1">IFERROR(__xludf.DUMMYFUNCTION("""COMPUTED_VALUE"""),12264)</f>
        <v>12264</v>
      </c>
      <c r="B440" s="5"/>
      <c r="C440" s="5" t="str">
        <f ca="1">IFERROR(__xludf.DUMMYFUNCTION("""COMPUTED_VALUE"""),"Bihor")</f>
        <v>Bihor</v>
      </c>
      <c r="D440" s="13">
        <f ca="1">IFERROR(__xludf.DUMMYFUNCTION("""COMPUTED_VALUE"""),43952)</f>
        <v>43952</v>
      </c>
      <c r="E440" s="5" t="str">
        <f ca="1">IFERROR(__xludf.DUMMYFUNCTION("""COMPUTED_VALUE"""),"Nu")</f>
        <v>Nu</v>
      </c>
      <c r="F440" s="5"/>
      <c r="G440" s="5"/>
      <c r="H440" s="6"/>
      <c r="I440" s="5"/>
      <c r="J440" s="5"/>
      <c r="K440" s="7" t="str">
        <f ca="1">IFERROR(__xludf.DUMMYFUNCTION("""COMPUTED_VALUE"""),"http://www.ms.ro/2020/05/01/buletin-informativ-01-05-2020/")</f>
        <v>http://www.ms.ro/2020/05/01/buletin-informativ-01-05-2020/</v>
      </c>
      <c r="L440" s="5"/>
      <c r="M440" s="5"/>
      <c r="N440" s="5"/>
      <c r="O440" s="5"/>
      <c r="P440" s="5"/>
      <c r="Q440" s="5"/>
      <c r="R440" s="5" t="str">
        <f ca="1">IFERROR(__xludf.DUMMYFUNCTION("""COMPUTED_VALUE"""),"România")</f>
        <v>România</v>
      </c>
      <c r="S440" s="5" t="str">
        <f ca="1">IFERROR(__xludf.DUMMYFUNCTION("""COMPUTED_VALUE"""),"Octavian")</f>
        <v>Octavian</v>
      </c>
      <c r="T440" s="7" t="str">
        <f ca="1">IFERROR(__xludf.DUMMYFUNCTION("""COMPUTED_VALUE"""),"http://www.ms.ro/2020/05/01/buletin-informativ-01-05-2020/")</f>
        <v>http://www.ms.ro/2020/05/01/buletin-informativ-01-05-2020/</v>
      </c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2.5">
      <c r="A441" s="5">
        <f ca="1">IFERROR(__xludf.DUMMYFUNCTION("""COMPUTED_VALUE"""),12265)</f>
        <v>12265</v>
      </c>
      <c r="B441" s="5"/>
      <c r="C441" s="5" t="str">
        <f ca="1">IFERROR(__xludf.DUMMYFUNCTION("""COMPUTED_VALUE"""),"Bihor")</f>
        <v>Bihor</v>
      </c>
      <c r="D441" s="13">
        <f ca="1">IFERROR(__xludf.DUMMYFUNCTION("""COMPUTED_VALUE"""),43952)</f>
        <v>43952</v>
      </c>
      <c r="E441" s="5" t="str">
        <f ca="1">IFERROR(__xludf.DUMMYFUNCTION("""COMPUTED_VALUE"""),"Nu")</f>
        <v>Nu</v>
      </c>
      <c r="F441" s="5"/>
      <c r="G441" s="5"/>
      <c r="H441" s="6"/>
      <c r="I441" s="5"/>
      <c r="J441" s="5"/>
      <c r="K441" s="7" t="str">
        <f ca="1">IFERROR(__xludf.DUMMYFUNCTION("""COMPUTED_VALUE"""),"http://www.ms.ro/2020/05/01/buletin-informativ-01-05-2020/")</f>
        <v>http://www.ms.ro/2020/05/01/buletin-informativ-01-05-2020/</v>
      </c>
      <c r="L441" s="5"/>
      <c r="M441" s="5"/>
      <c r="N441" s="5"/>
      <c r="O441" s="5"/>
      <c r="P441" s="5"/>
      <c r="Q441" s="5"/>
      <c r="R441" s="5" t="str">
        <f ca="1">IFERROR(__xludf.DUMMYFUNCTION("""COMPUTED_VALUE"""),"România")</f>
        <v>România</v>
      </c>
      <c r="S441" s="5" t="str">
        <f ca="1">IFERROR(__xludf.DUMMYFUNCTION("""COMPUTED_VALUE"""),"Octavian")</f>
        <v>Octavian</v>
      </c>
      <c r="T441" s="7" t="str">
        <f ca="1">IFERROR(__xludf.DUMMYFUNCTION("""COMPUTED_VALUE"""),"http://www.ms.ro/2020/05/01/buletin-informativ-01-05-2020/")</f>
        <v>http://www.ms.ro/2020/05/01/buletin-informativ-01-05-2020/</v>
      </c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ht="12.5">
      <c r="A442" s="5">
        <f ca="1">IFERROR(__xludf.DUMMYFUNCTION("""COMPUTED_VALUE"""),12266)</f>
        <v>12266</v>
      </c>
      <c r="B442" s="5"/>
      <c r="C442" s="5" t="str">
        <f ca="1">IFERROR(__xludf.DUMMYFUNCTION("""COMPUTED_VALUE"""),"Bihor")</f>
        <v>Bihor</v>
      </c>
      <c r="D442" s="13">
        <f ca="1">IFERROR(__xludf.DUMMYFUNCTION("""COMPUTED_VALUE"""),43952)</f>
        <v>43952</v>
      </c>
      <c r="E442" s="5" t="str">
        <f ca="1">IFERROR(__xludf.DUMMYFUNCTION("""COMPUTED_VALUE"""),"Nu")</f>
        <v>Nu</v>
      </c>
      <c r="F442" s="5"/>
      <c r="G442" s="5"/>
      <c r="H442" s="6"/>
      <c r="I442" s="5"/>
      <c r="J442" s="5"/>
      <c r="K442" s="7" t="str">
        <f ca="1">IFERROR(__xludf.DUMMYFUNCTION("""COMPUTED_VALUE"""),"http://www.ms.ro/2020/05/01/buletin-informativ-01-05-2020/")</f>
        <v>http://www.ms.ro/2020/05/01/buletin-informativ-01-05-2020/</v>
      </c>
      <c r="L442" s="5"/>
      <c r="M442" s="5"/>
      <c r="N442" s="5"/>
      <c r="O442" s="5"/>
      <c r="P442" s="5"/>
      <c r="Q442" s="5"/>
      <c r="R442" s="5" t="str">
        <f ca="1">IFERROR(__xludf.DUMMYFUNCTION("""COMPUTED_VALUE"""),"România")</f>
        <v>România</v>
      </c>
      <c r="S442" s="5" t="str">
        <f ca="1">IFERROR(__xludf.DUMMYFUNCTION("""COMPUTED_VALUE"""),"Octavian")</f>
        <v>Octavian</v>
      </c>
      <c r="T442" s="7" t="str">
        <f ca="1">IFERROR(__xludf.DUMMYFUNCTION("""COMPUTED_VALUE"""),"http://www.ms.ro/2020/05/01/buletin-informativ-01-05-2020/")</f>
        <v>http://www.ms.ro/2020/05/01/buletin-informativ-01-05-2020/</v>
      </c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2.5">
      <c r="A443" s="5">
        <f ca="1">IFERROR(__xludf.DUMMYFUNCTION("""COMPUTED_VALUE"""),12267)</f>
        <v>12267</v>
      </c>
      <c r="B443" s="5"/>
      <c r="C443" s="5" t="str">
        <f ca="1">IFERROR(__xludf.DUMMYFUNCTION("""COMPUTED_VALUE"""),"Bihor")</f>
        <v>Bihor</v>
      </c>
      <c r="D443" s="13">
        <f ca="1">IFERROR(__xludf.DUMMYFUNCTION("""COMPUTED_VALUE"""),43952)</f>
        <v>43952</v>
      </c>
      <c r="E443" s="5" t="str">
        <f ca="1">IFERROR(__xludf.DUMMYFUNCTION("""COMPUTED_VALUE"""),"Nu")</f>
        <v>Nu</v>
      </c>
      <c r="F443" s="5"/>
      <c r="G443" s="5"/>
      <c r="H443" s="6"/>
      <c r="I443" s="5"/>
      <c r="J443" s="5"/>
      <c r="K443" s="7" t="str">
        <f ca="1">IFERROR(__xludf.DUMMYFUNCTION("""COMPUTED_VALUE"""),"http://www.ms.ro/2020/05/01/buletin-informativ-01-05-2020/")</f>
        <v>http://www.ms.ro/2020/05/01/buletin-informativ-01-05-2020/</v>
      </c>
      <c r="L443" s="5"/>
      <c r="M443" s="5"/>
      <c r="N443" s="5"/>
      <c r="O443" s="5"/>
      <c r="P443" s="5"/>
      <c r="Q443" s="5"/>
      <c r="R443" s="5" t="str">
        <f ca="1">IFERROR(__xludf.DUMMYFUNCTION("""COMPUTED_VALUE"""),"România")</f>
        <v>România</v>
      </c>
      <c r="S443" s="5" t="str">
        <f ca="1">IFERROR(__xludf.DUMMYFUNCTION("""COMPUTED_VALUE"""),"Octavian")</f>
        <v>Octavian</v>
      </c>
      <c r="T443" s="7" t="str">
        <f ca="1">IFERROR(__xludf.DUMMYFUNCTION("""COMPUTED_VALUE"""),"http://www.ms.ro/2020/05/01/buletin-informativ-01-05-2020/")</f>
        <v>http://www.ms.ro/2020/05/01/buletin-informativ-01-05-2020/</v>
      </c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ht="12.5">
      <c r="A444" s="5">
        <f ca="1">IFERROR(__xludf.DUMMYFUNCTION("""COMPUTED_VALUE"""),12268)</f>
        <v>12268</v>
      </c>
      <c r="B444" s="5"/>
      <c r="C444" s="5" t="str">
        <f ca="1">IFERROR(__xludf.DUMMYFUNCTION("""COMPUTED_VALUE"""),"Bihor")</f>
        <v>Bihor</v>
      </c>
      <c r="D444" s="13">
        <f ca="1">IFERROR(__xludf.DUMMYFUNCTION("""COMPUTED_VALUE"""),43952)</f>
        <v>43952</v>
      </c>
      <c r="E444" s="5" t="str">
        <f ca="1">IFERROR(__xludf.DUMMYFUNCTION("""COMPUTED_VALUE"""),"Nu")</f>
        <v>Nu</v>
      </c>
      <c r="F444" s="5"/>
      <c r="G444" s="5"/>
      <c r="H444" s="6"/>
      <c r="I444" s="5"/>
      <c r="J444" s="5"/>
      <c r="K444" s="7" t="str">
        <f ca="1">IFERROR(__xludf.DUMMYFUNCTION("""COMPUTED_VALUE"""),"http://www.ms.ro/2020/05/01/buletin-informativ-01-05-2020/")</f>
        <v>http://www.ms.ro/2020/05/01/buletin-informativ-01-05-2020/</v>
      </c>
      <c r="L444" s="5"/>
      <c r="M444" s="5"/>
      <c r="N444" s="5"/>
      <c r="O444" s="5"/>
      <c r="P444" s="5"/>
      <c r="Q444" s="5"/>
      <c r="R444" s="5" t="str">
        <f ca="1">IFERROR(__xludf.DUMMYFUNCTION("""COMPUTED_VALUE"""),"România")</f>
        <v>România</v>
      </c>
      <c r="S444" s="5" t="str">
        <f ca="1">IFERROR(__xludf.DUMMYFUNCTION("""COMPUTED_VALUE"""),"Octavian")</f>
        <v>Octavian</v>
      </c>
      <c r="T444" s="7" t="str">
        <f ca="1">IFERROR(__xludf.DUMMYFUNCTION("""COMPUTED_VALUE"""),"http://www.ms.ro/2020/05/01/buletin-informativ-01-05-2020/")</f>
        <v>http://www.ms.ro/2020/05/01/buletin-informativ-01-05-2020/</v>
      </c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2.5">
      <c r="A445" s="5">
        <f ca="1">IFERROR(__xludf.DUMMYFUNCTION("""COMPUTED_VALUE"""),12269)</f>
        <v>12269</v>
      </c>
      <c r="B445" s="5"/>
      <c r="C445" s="5" t="str">
        <f ca="1">IFERROR(__xludf.DUMMYFUNCTION("""COMPUTED_VALUE"""),"Bihor")</f>
        <v>Bihor</v>
      </c>
      <c r="D445" s="13">
        <f ca="1">IFERROR(__xludf.DUMMYFUNCTION("""COMPUTED_VALUE"""),43952)</f>
        <v>43952</v>
      </c>
      <c r="E445" s="5" t="str">
        <f ca="1">IFERROR(__xludf.DUMMYFUNCTION("""COMPUTED_VALUE"""),"Nu")</f>
        <v>Nu</v>
      </c>
      <c r="F445" s="5"/>
      <c r="G445" s="5"/>
      <c r="H445" s="6"/>
      <c r="I445" s="5"/>
      <c r="J445" s="5"/>
      <c r="K445" s="7" t="str">
        <f ca="1">IFERROR(__xludf.DUMMYFUNCTION("""COMPUTED_VALUE"""),"http://www.ms.ro/2020/05/01/buletin-informativ-01-05-2020/")</f>
        <v>http://www.ms.ro/2020/05/01/buletin-informativ-01-05-2020/</v>
      </c>
      <c r="L445" s="5"/>
      <c r="M445" s="5"/>
      <c r="N445" s="5"/>
      <c r="O445" s="5"/>
      <c r="P445" s="5"/>
      <c r="Q445" s="5"/>
      <c r="R445" s="5" t="str">
        <f ca="1">IFERROR(__xludf.DUMMYFUNCTION("""COMPUTED_VALUE"""),"România")</f>
        <v>România</v>
      </c>
      <c r="S445" s="5" t="str">
        <f ca="1">IFERROR(__xludf.DUMMYFUNCTION("""COMPUTED_VALUE"""),"Octavian")</f>
        <v>Octavian</v>
      </c>
      <c r="T445" s="7" t="str">
        <f ca="1">IFERROR(__xludf.DUMMYFUNCTION("""COMPUTED_VALUE"""),"http://www.ms.ro/2020/05/01/buletin-informativ-01-05-2020/")</f>
        <v>http://www.ms.ro/2020/05/01/buletin-informativ-01-05-2020/</v>
      </c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ht="12.5">
      <c r="A446" s="5">
        <f ca="1">IFERROR(__xludf.DUMMYFUNCTION("""COMPUTED_VALUE"""),12270)</f>
        <v>12270</v>
      </c>
      <c r="B446" s="5"/>
      <c r="C446" s="5" t="str">
        <f ca="1">IFERROR(__xludf.DUMMYFUNCTION("""COMPUTED_VALUE"""),"Bihor")</f>
        <v>Bihor</v>
      </c>
      <c r="D446" s="13">
        <f ca="1">IFERROR(__xludf.DUMMYFUNCTION("""COMPUTED_VALUE"""),43952)</f>
        <v>43952</v>
      </c>
      <c r="E446" s="5" t="str">
        <f ca="1">IFERROR(__xludf.DUMMYFUNCTION("""COMPUTED_VALUE"""),"Nu")</f>
        <v>Nu</v>
      </c>
      <c r="F446" s="5"/>
      <c r="G446" s="5"/>
      <c r="H446" s="6"/>
      <c r="I446" s="5"/>
      <c r="J446" s="5"/>
      <c r="K446" s="7" t="str">
        <f ca="1">IFERROR(__xludf.DUMMYFUNCTION("""COMPUTED_VALUE"""),"http://www.ms.ro/2020/05/01/buletin-informativ-01-05-2020/")</f>
        <v>http://www.ms.ro/2020/05/01/buletin-informativ-01-05-2020/</v>
      </c>
      <c r="L446" s="5"/>
      <c r="M446" s="5"/>
      <c r="N446" s="5"/>
      <c r="O446" s="5"/>
      <c r="P446" s="5"/>
      <c r="Q446" s="5"/>
      <c r="R446" s="5" t="str">
        <f ca="1">IFERROR(__xludf.DUMMYFUNCTION("""COMPUTED_VALUE"""),"România")</f>
        <v>România</v>
      </c>
      <c r="S446" s="5" t="str">
        <f ca="1">IFERROR(__xludf.DUMMYFUNCTION("""COMPUTED_VALUE"""),"Octavian")</f>
        <v>Octavian</v>
      </c>
      <c r="T446" s="7" t="str">
        <f ca="1">IFERROR(__xludf.DUMMYFUNCTION("""COMPUTED_VALUE"""),"http://www.ms.ro/2020/05/01/buletin-informativ-01-05-2020/")</f>
        <v>http://www.ms.ro/2020/05/01/buletin-informativ-01-05-2020/</v>
      </c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2.5">
      <c r="A447" s="5">
        <f ca="1">IFERROR(__xludf.DUMMYFUNCTION("""COMPUTED_VALUE"""),12271)</f>
        <v>12271</v>
      </c>
      <c r="B447" s="5"/>
      <c r="C447" s="5" t="str">
        <f ca="1">IFERROR(__xludf.DUMMYFUNCTION("""COMPUTED_VALUE"""),"Bihor")</f>
        <v>Bihor</v>
      </c>
      <c r="D447" s="13">
        <f ca="1">IFERROR(__xludf.DUMMYFUNCTION("""COMPUTED_VALUE"""),43952)</f>
        <v>43952</v>
      </c>
      <c r="E447" s="5" t="str">
        <f ca="1">IFERROR(__xludf.DUMMYFUNCTION("""COMPUTED_VALUE"""),"Nu")</f>
        <v>Nu</v>
      </c>
      <c r="F447" s="5"/>
      <c r="G447" s="5"/>
      <c r="H447" s="6"/>
      <c r="I447" s="5"/>
      <c r="J447" s="5"/>
      <c r="K447" s="7" t="str">
        <f ca="1">IFERROR(__xludf.DUMMYFUNCTION("""COMPUTED_VALUE"""),"http://www.ms.ro/2020/05/01/buletin-informativ-01-05-2020/")</f>
        <v>http://www.ms.ro/2020/05/01/buletin-informativ-01-05-2020/</v>
      </c>
      <c r="L447" s="5"/>
      <c r="M447" s="5"/>
      <c r="N447" s="5"/>
      <c r="O447" s="5"/>
      <c r="P447" s="5"/>
      <c r="Q447" s="5"/>
      <c r="R447" s="5" t="str">
        <f ca="1">IFERROR(__xludf.DUMMYFUNCTION("""COMPUTED_VALUE"""),"România")</f>
        <v>România</v>
      </c>
      <c r="S447" s="5" t="str">
        <f ca="1">IFERROR(__xludf.DUMMYFUNCTION("""COMPUTED_VALUE"""),"Octavian")</f>
        <v>Octavian</v>
      </c>
      <c r="T447" s="7" t="str">
        <f ca="1">IFERROR(__xludf.DUMMYFUNCTION("""COMPUTED_VALUE"""),"http://www.ms.ro/2020/05/01/buletin-informativ-01-05-2020/")</f>
        <v>http://www.ms.ro/2020/05/01/buletin-informativ-01-05-2020/</v>
      </c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ht="12.5">
      <c r="A448" s="5">
        <f ca="1">IFERROR(__xludf.DUMMYFUNCTION("""COMPUTED_VALUE"""),12272)</f>
        <v>12272</v>
      </c>
      <c r="B448" s="5"/>
      <c r="C448" s="5" t="str">
        <f ca="1">IFERROR(__xludf.DUMMYFUNCTION("""COMPUTED_VALUE"""),"Bihor")</f>
        <v>Bihor</v>
      </c>
      <c r="D448" s="13">
        <f ca="1">IFERROR(__xludf.DUMMYFUNCTION("""COMPUTED_VALUE"""),43952)</f>
        <v>43952</v>
      </c>
      <c r="E448" s="5" t="str">
        <f ca="1">IFERROR(__xludf.DUMMYFUNCTION("""COMPUTED_VALUE"""),"Nu")</f>
        <v>Nu</v>
      </c>
      <c r="F448" s="5"/>
      <c r="G448" s="5"/>
      <c r="H448" s="6"/>
      <c r="I448" s="5"/>
      <c r="J448" s="5"/>
      <c r="K448" s="7" t="str">
        <f ca="1">IFERROR(__xludf.DUMMYFUNCTION("""COMPUTED_VALUE"""),"http://www.ms.ro/2020/05/01/buletin-informativ-01-05-2020/")</f>
        <v>http://www.ms.ro/2020/05/01/buletin-informativ-01-05-2020/</v>
      </c>
      <c r="L448" s="5"/>
      <c r="M448" s="5"/>
      <c r="N448" s="5"/>
      <c r="O448" s="5"/>
      <c r="P448" s="5"/>
      <c r="Q448" s="5"/>
      <c r="R448" s="5" t="str">
        <f ca="1">IFERROR(__xludf.DUMMYFUNCTION("""COMPUTED_VALUE"""),"România")</f>
        <v>România</v>
      </c>
      <c r="S448" s="5" t="str">
        <f ca="1">IFERROR(__xludf.DUMMYFUNCTION("""COMPUTED_VALUE"""),"Octavian")</f>
        <v>Octavian</v>
      </c>
      <c r="T448" s="7" t="str">
        <f ca="1">IFERROR(__xludf.DUMMYFUNCTION("""COMPUTED_VALUE"""),"http://www.ms.ro/2020/05/01/buletin-informativ-01-05-2020/")</f>
        <v>http://www.ms.ro/2020/05/01/buletin-informativ-01-05-2020/</v>
      </c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2.5">
      <c r="A449" s="5">
        <f ca="1">IFERROR(__xludf.DUMMYFUNCTION("""COMPUTED_VALUE"""),12273)</f>
        <v>12273</v>
      </c>
      <c r="B449" s="5"/>
      <c r="C449" s="5" t="str">
        <f ca="1">IFERROR(__xludf.DUMMYFUNCTION("""COMPUTED_VALUE"""),"Bihor")</f>
        <v>Bihor</v>
      </c>
      <c r="D449" s="13">
        <f ca="1">IFERROR(__xludf.DUMMYFUNCTION("""COMPUTED_VALUE"""),43952)</f>
        <v>43952</v>
      </c>
      <c r="E449" s="5" t="str">
        <f ca="1">IFERROR(__xludf.DUMMYFUNCTION("""COMPUTED_VALUE"""),"Nu")</f>
        <v>Nu</v>
      </c>
      <c r="F449" s="5"/>
      <c r="G449" s="5"/>
      <c r="H449" s="6"/>
      <c r="I449" s="5"/>
      <c r="J449" s="5"/>
      <c r="K449" s="7" t="str">
        <f ca="1">IFERROR(__xludf.DUMMYFUNCTION("""COMPUTED_VALUE"""),"http://www.ms.ro/2020/05/01/buletin-informativ-01-05-2020/")</f>
        <v>http://www.ms.ro/2020/05/01/buletin-informativ-01-05-2020/</v>
      </c>
      <c r="L449" s="5"/>
      <c r="M449" s="5"/>
      <c r="N449" s="5"/>
      <c r="O449" s="5"/>
      <c r="P449" s="5"/>
      <c r="Q449" s="5"/>
      <c r="R449" s="5" t="str">
        <f ca="1">IFERROR(__xludf.DUMMYFUNCTION("""COMPUTED_VALUE"""),"România")</f>
        <v>România</v>
      </c>
      <c r="S449" s="5" t="str">
        <f ca="1">IFERROR(__xludf.DUMMYFUNCTION("""COMPUTED_VALUE"""),"Octavian")</f>
        <v>Octavian</v>
      </c>
      <c r="T449" s="7" t="str">
        <f ca="1">IFERROR(__xludf.DUMMYFUNCTION("""COMPUTED_VALUE"""),"http://www.ms.ro/2020/05/01/buletin-informativ-01-05-2020/")</f>
        <v>http://www.ms.ro/2020/05/01/buletin-informativ-01-05-2020/</v>
      </c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ht="12.5">
      <c r="A450" s="5">
        <f ca="1">IFERROR(__xludf.DUMMYFUNCTION("""COMPUTED_VALUE"""),12274)</f>
        <v>12274</v>
      </c>
      <c r="B450" s="5"/>
      <c r="C450" s="5" t="str">
        <f ca="1">IFERROR(__xludf.DUMMYFUNCTION("""COMPUTED_VALUE"""),"Bihor")</f>
        <v>Bihor</v>
      </c>
      <c r="D450" s="13">
        <f ca="1">IFERROR(__xludf.DUMMYFUNCTION("""COMPUTED_VALUE"""),43952)</f>
        <v>43952</v>
      </c>
      <c r="E450" s="5" t="str">
        <f ca="1">IFERROR(__xludf.DUMMYFUNCTION("""COMPUTED_VALUE"""),"Nu")</f>
        <v>Nu</v>
      </c>
      <c r="F450" s="5"/>
      <c r="G450" s="5"/>
      <c r="H450" s="6"/>
      <c r="I450" s="5"/>
      <c r="J450" s="5"/>
      <c r="K450" s="7" t="str">
        <f ca="1">IFERROR(__xludf.DUMMYFUNCTION("""COMPUTED_VALUE"""),"http://www.ms.ro/2020/05/01/buletin-informativ-01-05-2020/")</f>
        <v>http://www.ms.ro/2020/05/01/buletin-informativ-01-05-2020/</v>
      </c>
      <c r="L450" s="5"/>
      <c r="M450" s="5"/>
      <c r="N450" s="5"/>
      <c r="O450" s="5"/>
      <c r="P450" s="5"/>
      <c r="Q450" s="5"/>
      <c r="R450" s="5" t="str">
        <f ca="1">IFERROR(__xludf.DUMMYFUNCTION("""COMPUTED_VALUE"""),"România")</f>
        <v>România</v>
      </c>
      <c r="S450" s="5" t="str">
        <f ca="1">IFERROR(__xludf.DUMMYFUNCTION("""COMPUTED_VALUE"""),"Octavian")</f>
        <v>Octavian</v>
      </c>
      <c r="T450" s="7" t="str">
        <f ca="1">IFERROR(__xludf.DUMMYFUNCTION("""COMPUTED_VALUE"""),"http://www.ms.ro/2020/05/01/buletin-informativ-01-05-2020/")</f>
        <v>http://www.ms.ro/2020/05/01/buletin-informativ-01-05-2020/</v>
      </c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2.5">
      <c r="A451" s="5">
        <f ca="1">IFERROR(__xludf.DUMMYFUNCTION("""COMPUTED_VALUE"""),12275)</f>
        <v>12275</v>
      </c>
      <c r="B451" s="5"/>
      <c r="C451" s="5" t="str">
        <f ca="1">IFERROR(__xludf.DUMMYFUNCTION("""COMPUTED_VALUE"""),"Bihor")</f>
        <v>Bihor</v>
      </c>
      <c r="D451" s="13">
        <f ca="1">IFERROR(__xludf.DUMMYFUNCTION("""COMPUTED_VALUE"""),43952)</f>
        <v>43952</v>
      </c>
      <c r="E451" s="5" t="str">
        <f ca="1">IFERROR(__xludf.DUMMYFUNCTION("""COMPUTED_VALUE"""),"Nu")</f>
        <v>Nu</v>
      </c>
      <c r="F451" s="5"/>
      <c r="G451" s="5"/>
      <c r="H451" s="6"/>
      <c r="I451" s="5"/>
      <c r="J451" s="5"/>
      <c r="K451" s="7" t="str">
        <f ca="1">IFERROR(__xludf.DUMMYFUNCTION("""COMPUTED_VALUE"""),"http://www.ms.ro/2020/05/01/buletin-informativ-01-05-2020/")</f>
        <v>http://www.ms.ro/2020/05/01/buletin-informativ-01-05-2020/</v>
      </c>
      <c r="L451" s="5"/>
      <c r="M451" s="5"/>
      <c r="N451" s="5"/>
      <c r="O451" s="5"/>
      <c r="P451" s="5"/>
      <c r="Q451" s="5"/>
      <c r="R451" s="5" t="str">
        <f ca="1">IFERROR(__xludf.DUMMYFUNCTION("""COMPUTED_VALUE"""),"România")</f>
        <v>România</v>
      </c>
      <c r="S451" s="5" t="str">
        <f ca="1">IFERROR(__xludf.DUMMYFUNCTION("""COMPUTED_VALUE"""),"Octavian")</f>
        <v>Octavian</v>
      </c>
      <c r="T451" s="7" t="str">
        <f ca="1">IFERROR(__xludf.DUMMYFUNCTION("""COMPUTED_VALUE"""),"http://www.ms.ro/2020/05/01/buletin-informativ-01-05-2020/")</f>
        <v>http://www.ms.ro/2020/05/01/buletin-informativ-01-05-2020/</v>
      </c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ht="12.5">
      <c r="A452" s="5">
        <f ca="1">IFERROR(__xludf.DUMMYFUNCTION("""COMPUTED_VALUE"""),12276)</f>
        <v>12276</v>
      </c>
      <c r="B452" s="5"/>
      <c r="C452" s="5" t="str">
        <f ca="1">IFERROR(__xludf.DUMMYFUNCTION("""COMPUTED_VALUE"""),"Bihor")</f>
        <v>Bihor</v>
      </c>
      <c r="D452" s="13">
        <f ca="1">IFERROR(__xludf.DUMMYFUNCTION("""COMPUTED_VALUE"""),43952)</f>
        <v>43952</v>
      </c>
      <c r="E452" s="5" t="str">
        <f ca="1">IFERROR(__xludf.DUMMYFUNCTION("""COMPUTED_VALUE"""),"Nu")</f>
        <v>Nu</v>
      </c>
      <c r="F452" s="5"/>
      <c r="G452" s="5"/>
      <c r="H452" s="6"/>
      <c r="I452" s="5"/>
      <c r="J452" s="5"/>
      <c r="K452" s="7" t="str">
        <f ca="1">IFERROR(__xludf.DUMMYFUNCTION("""COMPUTED_VALUE"""),"http://www.ms.ro/2020/05/01/buletin-informativ-01-05-2020/")</f>
        <v>http://www.ms.ro/2020/05/01/buletin-informativ-01-05-2020/</v>
      </c>
      <c r="L452" s="5"/>
      <c r="M452" s="5"/>
      <c r="N452" s="5"/>
      <c r="O452" s="5"/>
      <c r="P452" s="5"/>
      <c r="Q452" s="5"/>
      <c r="R452" s="5" t="str">
        <f ca="1">IFERROR(__xludf.DUMMYFUNCTION("""COMPUTED_VALUE"""),"România")</f>
        <v>România</v>
      </c>
      <c r="S452" s="5" t="str">
        <f ca="1">IFERROR(__xludf.DUMMYFUNCTION("""COMPUTED_VALUE"""),"Octavian")</f>
        <v>Octavian</v>
      </c>
      <c r="T452" s="7" t="str">
        <f ca="1">IFERROR(__xludf.DUMMYFUNCTION("""COMPUTED_VALUE"""),"http://www.ms.ro/2020/05/01/buletin-informativ-01-05-2020/")</f>
        <v>http://www.ms.ro/2020/05/01/buletin-informativ-01-05-2020/</v>
      </c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2.5">
      <c r="A453" s="5">
        <f ca="1">IFERROR(__xludf.DUMMYFUNCTION("""COMPUTED_VALUE"""),12277)</f>
        <v>12277</v>
      </c>
      <c r="B453" s="5"/>
      <c r="C453" s="5" t="str">
        <f ca="1">IFERROR(__xludf.DUMMYFUNCTION("""COMPUTED_VALUE"""),"Bihor")</f>
        <v>Bihor</v>
      </c>
      <c r="D453" s="13">
        <f ca="1">IFERROR(__xludf.DUMMYFUNCTION("""COMPUTED_VALUE"""),43952)</f>
        <v>43952</v>
      </c>
      <c r="E453" s="5" t="str">
        <f ca="1">IFERROR(__xludf.DUMMYFUNCTION("""COMPUTED_VALUE"""),"Nu")</f>
        <v>Nu</v>
      </c>
      <c r="F453" s="5"/>
      <c r="G453" s="5"/>
      <c r="H453" s="6"/>
      <c r="I453" s="5"/>
      <c r="J453" s="5"/>
      <c r="K453" s="7" t="str">
        <f ca="1">IFERROR(__xludf.DUMMYFUNCTION("""COMPUTED_VALUE"""),"http://www.ms.ro/2020/05/01/buletin-informativ-01-05-2020/")</f>
        <v>http://www.ms.ro/2020/05/01/buletin-informativ-01-05-2020/</v>
      </c>
      <c r="L453" s="5"/>
      <c r="M453" s="5"/>
      <c r="N453" s="5"/>
      <c r="O453" s="5"/>
      <c r="P453" s="5"/>
      <c r="Q453" s="5"/>
      <c r="R453" s="5" t="str">
        <f ca="1">IFERROR(__xludf.DUMMYFUNCTION("""COMPUTED_VALUE"""),"România")</f>
        <v>România</v>
      </c>
      <c r="S453" s="5" t="str">
        <f ca="1">IFERROR(__xludf.DUMMYFUNCTION("""COMPUTED_VALUE"""),"Octavian")</f>
        <v>Octavian</v>
      </c>
      <c r="T453" s="7" t="str">
        <f ca="1">IFERROR(__xludf.DUMMYFUNCTION("""COMPUTED_VALUE"""),"http://www.ms.ro/2020/05/01/buletin-informativ-01-05-2020/")</f>
        <v>http://www.ms.ro/2020/05/01/buletin-informativ-01-05-2020/</v>
      </c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ht="12.5">
      <c r="A454" s="5">
        <f ca="1">IFERROR(__xludf.DUMMYFUNCTION("""COMPUTED_VALUE"""),12278)</f>
        <v>12278</v>
      </c>
      <c r="B454" s="5"/>
      <c r="C454" s="5" t="str">
        <f ca="1">IFERROR(__xludf.DUMMYFUNCTION("""COMPUTED_VALUE"""),"Bihor")</f>
        <v>Bihor</v>
      </c>
      <c r="D454" s="13">
        <f ca="1">IFERROR(__xludf.DUMMYFUNCTION("""COMPUTED_VALUE"""),43952)</f>
        <v>43952</v>
      </c>
      <c r="E454" s="5" t="str">
        <f ca="1">IFERROR(__xludf.DUMMYFUNCTION("""COMPUTED_VALUE"""),"Nu")</f>
        <v>Nu</v>
      </c>
      <c r="F454" s="5"/>
      <c r="G454" s="5"/>
      <c r="H454" s="6"/>
      <c r="I454" s="5"/>
      <c r="J454" s="5"/>
      <c r="K454" s="7" t="str">
        <f ca="1">IFERROR(__xludf.DUMMYFUNCTION("""COMPUTED_VALUE"""),"http://www.ms.ro/2020/05/01/buletin-informativ-01-05-2020/")</f>
        <v>http://www.ms.ro/2020/05/01/buletin-informativ-01-05-2020/</v>
      </c>
      <c r="L454" s="5"/>
      <c r="M454" s="5"/>
      <c r="N454" s="5"/>
      <c r="O454" s="5"/>
      <c r="P454" s="5"/>
      <c r="Q454" s="5"/>
      <c r="R454" s="5" t="str">
        <f ca="1">IFERROR(__xludf.DUMMYFUNCTION("""COMPUTED_VALUE"""),"România")</f>
        <v>România</v>
      </c>
      <c r="S454" s="5" t="str">
        <f ca="1">IFERROR(__xludf.DUMMYFUNCTION("""COMPUTED_VALUE"""),"Octavian")</f>
        <v>Octavian</v>
      </c>
      <c r="T454" s="7" t="str">
        <f ca="1">IFERROR(__xludf.DUMMYFUNCTION("""COMPUTED_VALUE"""),"http://www.ms.ro/2020/05/01/buletin-informativ-01-05-2020/")</f>
        <v>http://www.ms.ro/2020/05/01/buletin-informativ-01-05-2020/</v>
      </c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2.5">
      <c r="A455" s="5">
        <f ca="1">IFERROR(__xludf.DUMMYFUNCTION("""COMPUTED_VALUE"""),12279)</f>
        <v>12279</v>
      </c>
      <c r="B455" s="5"/>
      <c r="C455" s="5" t="str">
        <f ca="1">IFERROR(__xludf.DUMMYFUNCTION("""COMPUTED_VALUE"""),"Bihor")</f>
        <v>Bihor</v>
      </c>
      <c r="D455" s="13">
        <f ca="1">IFERROR(__xludf.DUMMYFUNCTION("""COMPUTED_VALUE"""),43952)</f>
        <v>43952</v>
      </c>
      <c r="E455" s="5" t="str">
        <f ca="1">IFERROR(__xludf.DUMMYFUNCTION("""COMPUTED_VALUE"""),"Nu")</f>
        <v>Nu</v>
      </c>
      <c r="F455" s="5"/>
      <c r="G455" s="5"/>
      <c r="H455" s="6"/>
      <c r="I455" s="5"/>
      <c r="J455" s="5"/>
      <c r="K455" s="7" t="str">
        <f ca="1">IFERROR(__xludf.DUMMYFUNCTION("""COMPUTED_VALUE"""),"http://www.ms.ro/2020/05/01/buletin-informativ-01-05-2020/")</f>
        <v>http://www.ms.ro/2020/05/01/buletin-informativ-01-05-2020/</v>
      </c>
      <c r="L455" s="5"/>
      <c r="M455" s="5"/>
      <c r="N455" s="5"/>
      <c r="O455" s="5"/>
      <c r="P455" s="5"/>
      <c r="Q455" s="5"/>
      <c r="R455" s="5" t="str">
        <f ca="1">IFERROR(__xludf.DUMMYFUNCTION("""COMPUTED_VALUE"""),"România")</f>
        <v>România</v>
      </c>
      <c r="S455" s="5" t="str">
        <f ca="1">IFERROR(__xludf.DUMMYFUNCTION("""COMPUTED_VALUE"""),"Octavian")</f>
        <v>Octavian</v>
      </c>
      <c r="T455" s="7" t="str">
        <f ca="1">IFERROR(__xludf.DUMMYFUNCTION("""COMPUTED_VALUE"""),"http://www.ms.ro/2020/05/01/buletin-informativ-01-05-2020/")</f>
        <v>http://www.ms.ro/2020/05/01/buletin-informativ-01-05-2020/</v>
      </c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ht="12.5">
      <c r="A456" s="5">
        <f ca="1">IFERROR(__xludf.DUMMYFUNCTION("""COMPUTED_VALUE"""),12280)</f>
        <v>12280</v>
      </c>
      <c r="B456" s="5"/>
      <c r="C456" s="5" t="str">
        <f ca="1">IFERROR(__xludf.DUMMYFUNCTION("""COMPUTED_VALUE"""),"Bihor")</f>
        <v>Bihor</v>
      </c>
      <c r="D456" s="13">
        <f ca="1">IFERROR(__xludf.DUMMYFUNCTION("""COMPUTED_VALUE"""),43952)</f>
        <v>43952</v>
      </c>
      <c r="E456" s="5" t="str">
        <f ca="1">IFERROR(__xludf.DUMMYFUNCTION("""COMPUTED_VALUE"""),"Nu")</f>
        <v>Nu</v>
      </c>
      <c r="F456" s="5"/>
      <c r="G456" s="5"/>
      <c r="H456" s="6"/>
      <c r="I456" s="5"/>
      <c r="J456" s="5"/>
      <c r="K456" s="7" t="str">
        <f ca="1">IFERROR(__xludf.DUMMYFUNCTION("""COMPUTED_VALUE"""),"http://www.ms.ro/2020/05/01/buletin-informativ-01-05-2020/")</f>
        <v>http://www.ms.ro/2020/05/01/buletin-informativ-01-05-2020/</v>
      </c>
      <c r="L456" s="5"/>
      <c r="M456" s="5"/>
      <c r="N456" s="5"/>
      <c r="O456" s="5"/>
      <c r="P456" s="5"/>
      <c r="Q456" s="5"/>
      <c r="R456" s="5" t="str">
        <f ca="1">IFERROR(__xludf.DUMMYFUNCTION("""COMPUTED_VALUE"""),"România")</f>
        <v>România</v>
      </c>
      <c r="S456" s="5" t="str">
        <f ca="1">IFERROR(__xludf.DUMMYFUNCTION("""COMPUTED_VALUE"""),"Octavian")</f>
        <v>Octavian</v>
      </c>
      <c r="T456" s="7" t="str">
        <f ca="1">IFERROR(__xludf.DUMMYFUNCTION("""COMPUTED_VALUE"""),"http://www.ms.ro/2020/05/01/buletin-informativ-01-05-2020/")</f>
        <v>http://www.ms.ro/2020/05/01/buletin-informativ-01-05-2020/</v>
      </c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2.5">
      <c r="A457" s="5">
        <f ca="1">IFERROR(__xludf.DUMMYFUNCTION("""COMPUTED_VALUE"""),12281)</f>
        <v>12281</v>
      </c>
      <c r="B457" s="5"/>
      <c r="C457" s="5" t="str">
        <f ca="1">IFERROR(__xludf.DUMMYFUNCTION("""COMPUTED_VALUE"""),"Bihor")</f>
        <v>Bihor</v>
      </c>
      <c r="D457" s="13">
        <f ca="1">IFERROR(__xludf.DUMMYFUNCTION("""COMPUTED_VALUE"""),43952)</f>
        <v>43952</v>
      </c>
      <c r="E457" s="5" t="str">
        <f ca="1">IFERROR(__xludf.DUMMYFUNCTION("""COMPUTED_VALUE"""),"Nu")</f>
        <v>Nu</v>
      </c>
      <c r="F457" s="5"/>
      <c r="G457" s="5"/>
      <c r="H457" s="6"/>
      <c r="I457" s="5"/>
      <c r="J457" s="5"/>
      <c r="K457" s="7" t="str">
        <f ca="1">IFERROR(__xludf.DUMMYFUNCTION("""COMPUTED_VALUE"""),"http://www.ms.ro/2020/05/01/buletin-informativ-01-05-2020/")</f>
        <v>http://www.ms.ro/2020/05/01/buletin-informativ-01-05-2020/</v>
      </c>
      <c r="L457" s="5"/>
      <c r="M457" s="5"/>
      <c r="N457" s="5"/>
      <c r="O457" s="5"/>
      <c r="P457" s="5"/>
      <c r="Q457" s="5"/>
      <c r="R457" s="5" t="str">
        <f ca="1">IFERROR(__xludf.DUMMYFUNCTION("""COMPUTED_VALUE"""),"România")</f>
        <v>România</v>
      </c>
      <c r="S457" s="5" t="str">
        <f ca="1">IFERROR(__xludf.DUMMYFUNCTION("""COMPUTED_VALUE"""),"Octavian")</f>
        <v>Octavian</v>
      </c>
      <c r="T457" s="7" t="str">
        <f ca="1">IFERROR(__xludf.DUMMYFUNCTION("""COMPUTED_VALUE"""),"http://www.ms.ro/2020/05/01/buletin-informativ-01-05-2020/")</f>
        <v>http://www.ms.ro/2020/05/01/buletin-informativ-01-05-2020/</v>
      </c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ht="12.5">
      <c r="A458" s="5">
        <f ca="1">IFERROR(__xludf.DUMMYFUNCTION("""COMPUTED_VALUE"""),12282)</f>
        <v>12282</v>
      </c>
      <c r="B458" s="5"/>
      <c r="C458" s="5" t="str">
        <f ca="1">IFERROR(__xludf.DUMMYFUNCTION("""COMPUTED_VALUE"""),"Bihor")</f>
        <v>Bihor</v>
      </c>
      <c r="D458" s="13">
        <f ca="1">IFERROR(__xludf.DUMMYFUNCTION("""COMPUTED_VALUE"""),43952)</f>
        <v>43952</v>
      </c>
      <c r="E458" s="5" t="str">
        <f ca="1">IFERROR(__xludf.DUMMYFUNCTION("""COMPUTED_VALUE"""),"Nu")</f>
        <v>Nu</v>
      </c>
      <c r="F458" s="5"/>
      <c r="G458" s="5"/>
      <c r="H458" s="6"/>
      <c r="I458" s="5"/>
      <c r="J458" s="5"/>
      <c r="K458" s="7" t="str">
        <f ca="1">IFERROR(__xludf.DUMMYFUNCTION("""COMPUTED_VALUE"""),"http://www.ms.ro/2020/05/01/buletin-informativ-01-05-2020/")</f>
        <v>http://www.ms.ro/2020/05/01/buletin-informativ-01-05-2020/</v>
      </c>
      <c r="L458" s="5"/>
      <c r="M458" s="5"/>
      <c r="N458" s="5"/>
      <c r="O458" s="5"/>
      <c r="P458" s="5"/>
      <c r="Q458" s="5"/>
      <c r="R458" s="5" t="str">
        <f ca="1">IFERROR(__xludf.DUMMYFUNCTION("""COMPUTED_VALUE"""),"România")</f>
        <v>România</v>
      </c>
      <c r="S458" s="5" t="str">
        <f ca="1">IFERROR(__xludf.DUMMYFUNCTION("""COMPUTED_VALUE"""),"Octavian")</f>
        <v>Octavian</v>
      </c>
      <c r="T458" s="7" t="str">
        <f ca="1">IFERROR(__xludf.DUMMYFUNCTION("""COMPUTED_VALUE"""),"http://www.ms.ro/2020/05/01/buletin-informativ-01-05-2020/")</f>
        <v>http://www.ms.ro/2020/05/01/buletin-informativ-01-05-2020/</v>
      </c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2.5">
      <c r="A459" s="5">
        <f ca="1">IFERROR(__xludf.DUMMYFUNCTION("""COMPUTED_VALUE"""),12283)</f>
        <v>12283</v>
      </c>
      <c r="B459" s="5"/>
      <c r="C459" s="5" t="str">
        <f ca="1">IFERROR(__xludf.DUMMYFUNCTION("""COMPUTED_VALUE"""),"Bihor")</f>
        <v>Bihor</v>
      </c>
      <c r="D459" s="13">
        <f ca="1">IFERROR(__xludf.DUMMYFUNCTION("""COMPUTED_VALUE"""),43952)</f>
        <v>43952</v>
      </c>
      <c r="E459" s="5" t="str">
        <f ca="1">IFERROR(__xludf.DUMMYFUNCTION("""COMPUTED_VALUE"""),"Nu")</f>
        <v>Nu</v>
      </c>
      <c r="F459" s="5"/>
      <c r="G459" s="5"/>
      <c r="H459" s="6"/>
      <c r="I459" s="5"/>
      <c r="J459" s="5"/>
      <c r="K459" s="7" t="str">
        <f ca="1">IFERROR(__xludf.DUMMYFUNCTION("""COMPUTED_VALUE"""),"http://www.ms.ro/2020/05/01/buletin-informativ-01-05-2020/")</f>
        <v>http://www.ms.ro/2020/05/01/buletin-informativ-01-05-2020/</v>
      </c>
      <c r="L459" s="5"/>
      <c r="M459" s="5"/>
      <c r="N459" s="5"/>
      <c r="O459" s="5"/>
      <c r="P459" s="5"/>
      <c r="Q459" s="5"/>
      <c r="R459" s="5" t="str">
        <f ca="1">IFERROR(__xludf.DUMMYFUNCTION("""COMPUTED_VALUE"""),"România")</f>
        <v>România</v>
      </c>
      <c r="S459" s="5" t="str">
        <f ca="1">IFERROR(__xludf.DUMMYFUNCTION("""COMPUTED_VALUE"""),"Octavian")</f>
        <v>Octavian</v>
      </c>
      <c r="T459" s="7" t="str">
        <f ca="1">IFERROR(__xludf.DUMMYFUNCTION("""COMPUTED_VALUE"""),"http://www.ms.ro/2020/05/01/buletin-informativ-01-05-2020/")</f>
        <v>http://www.ms.ro/2020/05/01/buletin-informativ-01-05-2020/</v>
      </c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ht="12.5">
      <c r="A460" s="5">
        <f ca="1">IFERROR(__xludf.DUMMYFUNCTION("""COMPUTED_VALUE"""),12284)</f>
        <v>12284</v>
      </c>
      <c r="B460" s="5"/>
      <c r="C460" s="5" t="str">
        <f ca="1">IFERROR(__xludf.DUMMYFUNCTION("""COMPUTED_VALUE"""),"Bihor")</f>
        <v>Bihor</v>
      </c>
      <c r="D460" s="13">
        <f ca="1">IFERROR(__xludf.DUMMYFUNCTION("""COMPUTED_VALUE"""),43952)</f>
        <v>43952</v>
      </c>
      <c r="E460" s="5" t="str">
        <f ca="1">IFERROR(__xludf.DUMMYFUNCTION("""COMPUTED_VALUE"""),"Nu")</f>
        <v>Nu</v>
      </c>
      <c r="F460" s="5"/>
      <c r="G460" s="5"/>
      <c r="H460" s="6"/>
      <c r="I460" s="5"/>
      <c r="J460" s="5"/>
      <c r="K460" s="7" t="str">
        <f ca="1">IFERROR(__xludf.DUMMYFUNCTION("""COMPUTED_VALUE"""),"http://www.ms.ro/2020/05/01/buletin-informativ-01-05-2020/")</f>
        <v>http://www.ms.ro/2020/05/01/buletin-informativ-01-05-2020/</v>
      </c>
      <c r="L460" s="5"/>
      <c r="M460" s="5"/>
      <c r="N460" s="5"/>
      <c r="O460" s="5"/>
      <c r="P460" s="5"/>
      <c r="Q460" s="5"/>
      <c r="R460" s="5" t="str">
        <f ca="1">IFERROR(__xludf.DUMMYFUNCTION("""COMPUTED_VALUE"""),"România")</f>
        <v>România</v>
      </c>
      <c r="S460" s="5" t="str">
        <f ca="1">IFERROR(__xludf.DUMMYFUNCTION("""COMPUTED_VALUE"""),"Octavian")</f>
        <v>Octavian</v>
      </c>
      <c r="T460" s="7" t="str">
        <f ca="1">IFERROR(__xludf.DUMMYFUNCTION("""COMPUTED_VALUE"""),"http://www.ms.ro/2020/05/01/buletin-informativ-01-05-2020/")</f>
        <v>http://www.ms.ro/2020/05/01/buletin-informativ-01-05-2020/</v>
      </c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2.5">
      <c r="A461" s="5">
        <f ca="1">IFERROR(__xludf.DUMMYFUNCTION("""COMPUTED_VALUE"""),12573)</f>
        <v>12573</v>
      </c>
      <c r="B461" s="5"/>
      <c r="C461" s="5" t="str">
        <f ca="1">IFERROR(__xludf.DUMMYFUNCTION("""COMPUTED_VALUE"""),"Bihor")</f>
        <v>Bihor</v>
      </c>
      <c r="D461" s="13">
        <f ca="1">IFERROR(__xludf.DUMMYFUNCTION("""COMPUTED_VALUE"""),43953)</f>
        <v>43953</v>
      </c>
      <c r="E461" s="5" t="str">
        <f ca="1">IFERROR(__xludf.DUMMYFUNCTION("""COMPUTED_VALUE"""),"Nu")</f>
        <v>Nu</v>
      </c>
      <c r="F461" s="5"/>
      <c r="G461" s="5"/>
      <c r="H461" s="6"/>
      <c r="I461" s="5"/>
      <c r="J461" s="5"/>
      <c r="K461" s="7" t="str">
        <f ca="1">IFERROR(__xludf.DUMMYFUNCTION("""COMPUTED_VALUE"""),"https://stirioficiale.ro/informatii/buletin-de-presa-2-mai-2020-ora-13-00")</f>
        <v>https://stirioficiale.ro/informatii/buletin-de-presa-2-mai-2020-ora-13-00</v>
      </c>
      <c r="L461" s="5"/>
      <c r="M461" s="5"/>
      <c r="N461" s="5"/>
      <c r="O461" s="5"/>
      <c r="P461" s="5"/>
      <c r="Q461" s="5"/>
      <c r="R461" s="5" t="str">
        <f ca="1">IFERROR(__xludf.DUMMYFUNCTION("""COMPUTED_VALUE"""),"România")</f>
        <v>România</v>
      </c>
      <c r="S461" s="5" t="str">
        <f ca="1">IFERROR(__xludf.DUMMYFUNCTION("""COMPUTED_VALUE"""),"Octavian")</f>
        <v>Octavian</v>
      </c>
      <c r="T461" s="7" t="str">
        <f ca="1">IFERROR(__xludf.DUMMYFUNCTION("""COMPUTED_VALUE"""),"http://www.ms.ro/2020/05/02/buletin-informativ-02-05-2020/")</f>
        <v>http://www.ms.ro/2020/05/02/buletin-informativ-02-05-2020/</v>
      </c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ht="12.5">
      <c r="A462" s="5">
        <f ca="1">IFERROR(__xludf.DUMMYFUNCTION("""COMPUTED_VALUE"""),12792)</f>
        <v>12792</v>
      </c>
      <c r="B462" s="5"/>
      <c r="C462" s="5" t="str">
        <f ca="1">IFERROR(__xludf.DUMMYFUNCTION("""COMPUTED_VALUE"""),"Bihor")</f>
        <v>Bihor</v>
      </c>
      <c r="D462" s="13">
        <f ca="1">IFERROR(__xludf.DUMMYFUNCTION("""COMPUTED_VALUE"""),43954)</f>
        <v>43954</v>
      </c>
      <c r="E462" s="5" t="str">
        <f ca="1">IFERROR(__xludf.DUMMYFUNCTION("""COMPUTED_VALUE"""),"Nu")</f>
        <v>Nu</v>
      </c>
      <c r="F462" s="5"/>
      <c r="G462" s="5"/>
      <c r="H462" s="6"/>
      <c r="I462" s="5"/>
      <c r="J462" s="5"/>
      <c r="K462" s="7" t="str">
        <f ca="1">IFERROR(__xludf.DUMMYFUNCTION("""COMPUTED_VALUE"""),"https://stirioficiale.ro/informatii/buletin-de-presa-3-mai-2020-ora-13-00")</f>
        <v>https://stirioficiale.ro/informatii/buletin-de-presa-3-mai-2020-ora-13-00</v>
      </c>
      <c r="L462" s="5"/>
      <c r="M462" s="5"/>
      <c r="N462" s="5"/>
      <c r="O462" s="5"/>
      <c r="P462" s="5"/>
      <c r="Q462" s="5"/>
      <c r="R462" s="5" t="str">
        <f ca="1">IFERROR(__xludf.DUMMYFUNCTION("""COMPUTED_VALUE"""),"România")</f>
        <v>România</v>
      </c>
      <c r="S462" s="5" t="str">
        <f ca="1">IFERROR(__xludf.DUMMYFUNCTION("""COMPUTED_VALUE"""),"Octavian")</f>
        <v>Octavian</v>
      </c>
      <c r="T462" s="7" t="str">
        <f ca="1">IFERROR(__xludf.DUMMYFUNCTION("""COMPUTED_VALUE"""),"http://www.ms.ro/2020/05/03/buletin-informativ-03-05-2020/")</f>
        <v>http://www.ms.ro/2020/05/03/buletin-informativ-03-05-2020/</v>
      </c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2.5">
      <c r="A463" s="5">
        <f ca="1">IFERROR(__xludf.DUMMYFUNCTION("""COMPUTED_VALUE"""),12793)</f>
        <v>12793</v>
      </c>
      <c r="B463" s="5"/>
      <c r="C463" s="5" t="str">
        <f ca="1">IFERROR(__xludf.DUMMYFUNCTION("""COMPUTED_VALUE"""),"Bihor")</f>
        <v>Bihor</v>
      </c>
      <c r="D463" s="13">
        <f ca="1">IFERROR(__xludf.DUMMYFUNCTION("""COMPUTED_VALUE"""),43954)</f>
        <v>43954</v>
      </c>
      <c r="E463" s="5" t="str">
        <f ca="1">IFERROR(__xludf.DUMMYFUNCTION("""COMPUTED_VALUE"""),"Nu")</f>
        <v>Nu</v>
      </c>
      <c r="F463" s="5"/>
      <c r="G463" s="5"/>
      <c r="H463" s="6"/>
      <c r="I463" s="5"/>
      <c r="J463" s="5"/>
      <c r="K463" s="7" t="str">
        <f ca="1">IFERROR(__xludf.DUMMYFUNCTION("""COMPUTED_VALUE"""),"https://stirioficiale.ro/informatii/buletin-de-presa-3-mai-2020-ora-13-00")</f>
        <v>https://stirioficiale.ro/informatii/buletin-de-presa-3-mai-2020-ora-13-00</v>
      </c>
      <c r="L463" s="5"/>
      <c r="M463" s="5"/>
      <c r="N463" s="5"/>
      <c r="O463" s="5"/>
      <c r="P463" s="5"/>
      <c r="Q463" s="5"/>
      <c r="R463" s="5" t="str">
        <f ca="1">IFERROR(__xludf.DUMMYFUNCTION("""COMPUTED_VALUE"""),"România")</f>
        <v>România</v>
      </c>
      <c r="S463" s="5" t="str">
        <f ca="1">IFERROR(__xludf.DUMMYFUNCTION("""COMPUTED_VALUE"""),"Octavian")</f>
        <v>Octavian</v>
      </c>
      <c r="T463" s="7" t="str">
        <f ca="1">IFERROR(__xludf.DUMMYFUNCTION("""COMPUTED_VALUE"""),"http://www.ms.ro/2020/05/03/buletin-informativ-03-05-2020/")</f>
        <v>http://www.ms.ro/2020/05/03/buletin-informativ-03-05-2020/</v>
      </c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ht="12.5">
      <c r="A464" s="5">
        <f ca="1">IFERROR(__xludf.DUMMYFUNCTION("""COMPUTED_VALUE"""),12794)</f>
        <v>12794</v>
      </c>
      <c r="B464" s="5"/>
      <c r="C464" s="5" t="str">
        <f ca="1">IFERROR(__xludf.DUMMYFUNCTION("""COMPUTED_VALUE"""),"Bihor")</f>
        <v>Bihor</v>
      </c>
      <c r="D464" s="13">
        <f ca="1">IFERROR(__xludf.DUMMYFUNCTION("""COMPUTED_VALUE"""),43954)</f>
        <v>43954</v>
      </c>
      <c r="E464" s="5" t="str">
        <f ca="1">IFERROR(__xludf.DUMMYFUNCTION("""COMPUTED_VALUE"""),"Nu")</f>
        <v>Nu</v>
      </c>
      <c r="F464" s="5"/>
      <c r="G464" s="5"/>
      <c r="H464" s="6"/>
      <c r="I464" s="5"/>
      <c r="J464" s="5"/>
      <c r="K464" s="7" t="str">
        <f ca="1">IFERROR(__xludf.DUMMYFUNCTION("""COMPUTED_VALUE"""),"https://stirioficiale.ro/informatii/buletin-de-presa-3-mai-2020-ora-13-00")</f>
        <v>https://stirioficiale.ro/informatii/buletin-de-presa-3-mai-2020-ora-13-00</v>
      </c>
      <c r="L464" s="5"/>
      <c r="M464" s="5"/>
      <c r="N464" s="5"/>
      <c r="O464" s="5"/>
      <c r="P464" s="5"/>
      <c r="Q464" s="5"/>
      <c r="R464" s="5" t="str">
        <f ca="1">IFERROR(__xludf.DUMMYFUNCTION("""COMPUTED_VALUE"""),"România")</f>
        <v>România</v>
      </c>
      <c r="S464" s="5" t="str">
        <f ca="1">IFERROR(__xludf.DUMMYFUNCTION("""COMPUTED_VALUE"""),"Octavian")</f>
        <v>Octavian</v>
      </c>
      <c r="T464" s="7" t="str">
        <f ca="1">IFERROR(__xludf.DUMMYFUNCTION("""COMPUTED_VALUE"""),"http://www.ms.ro/2020/05/03/buletin-informativ-03-05-2020/")</f>
        <v>http://www.ms.ro/2020/05/03/buletin-informativ-03-05-2020/</v>
      </c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2.5">
      <c r="A465" s="5">
        <f ca="1">IFERROR(__xludf.DUMMYFUNCTION("""COMPUTED_VALUE"""),12795)</f>
        <v>12795</v>
      </c>
      <c r="B465" s="5"/>
      <c r="C465" s="5" t="str">
        <f ca="1">IFERROR(__xludf.DUMMYFUNCTION("""COMPUTED_VALUE"""),"Bihor")</f>
        <v>Bihor</v>
      </c>
      <c r="D465" s="13">
        <f ca="1">IFERROR(__xludf.DUMMYFUNCTION("""COMPUTED_VALUE"""),43954)</f>
        <v>43954</v>
      </c>
      <c r="E465" s="5" t="str">
        <f ca="1">IFERROR(__xludf.DUMMYFUNCTION("""COMPUTED_VALUE"""),"Nu")</f>
        <v>Nu</v>
      </c>
      <c r="F465" s="5"/>
      <c r="G465" s="5"/>
      <c r="H465" s="6"/>
      <c r="I465" s="5"/>
      <c r="J465" s="5"/>
      <c r="K465" s="7" t="str">
        <f ca="1">IFERROR(__xludf.DUMMYFUNCTION("""COMPUTED_VALUE"""),"https://stirioficiale.ro/informatii/buletin-de-presa-3-mai-2020-ora-13-00")</f>
        <v>https://stirioficiale.ro/informatii/buletin-de-presa-3-mai-2020-ora-13-00</v>
      </c>
      <c r="L465" s="5"/>
      <c r="M465" s="5"/>
      <c r="N465" s="5"/>
      <c r="O465" s="5"/>
      <c r="P465" s="5"/>
      <c r="Q465" s="5"/>
      <c r="R465" s="5" t="str">
        <f ca="1">IFERROR(__xludf.DUMMYFUNCTION("""COMPUTED_VALUE"""),"România")</f>
        <v>România</v>
      </c>
      <c r="S465" s="5" t="str">
        <f ca="1">IFERROR(__xludf.DUMMYFUNCTION("""COMPUTED_VALUE"""),"Octavian")</f>
        <v>Octavian</v>
      </c>
      <c r="T465" s="7" t="str">
        <f ca="1">IFERROR(__xludf.DUMMYFUNCTION("""COMPUTED_VALUE"""),"http://www.ms.ro/2020/05/03/buletin-informativ-03-05-2020/")</f>
        <v>http://www.ms.ro/2020/05/03/buletin-informativ-03-05-2020/</v>
      </c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ht="12.5">
      <c r="A466" s="5">
        <f ca="1">IFERROR(__xludf.DUMMYFUNCTION("""COMPUTED_VALUE"""),12796)</f>
        <v>12796</v>
      </c>
      <c r="B466" s="5"/>
      <c r="C466" s="5" t="str">
        <f ca="1">IFERROR(__xludf.DUMMYFUNCTION("""COMPUTED_VALUE"""),"Bihor")</f>
        <v>Bihor</v>
      </c>
      <c r="D466" s="13">
        <f ca="1">IFERROR(__xludf.DUMMYFUNCTION("""COMPUTED_VALUE"""),43954)</f>
        <v>43954</v>
      </c>
      <c r="E466" s="5" t="str">
        <f ca="1">IFERROR(__xludf.DUMMYFUNCTION("""COMPUTED_VALUE"""),"Nu")</f>
        <v>Nu</v>
      </c>
      <c r="F466" s="5"/>
      <c r="G466" s="5"/>
      <c r="H466" s="6"/>
      <c r="I466" s="5"/>
      <c r="J466" s="5"/>
      <c r="K466" s="7" t="str">
        <f ca="1">IFERROR(__xludf.DUMMYFUNCTION("""COMPUTED_VALUE"""),"https://stirioficiale.ro/informatii/buletin-de-presa-3-mai-2020-ora-13-00")</f>
        <v>https://stirioficiale.ro/informatii/buletin-de-presa-3-mai-2020-ora-13-00</v>
      </c>
      <c r="L466" s="5"/>
      <c r="M466" s="5"/>
      <c r="N466" s="5"/>
      <c r="O466" s="5"/>
      <c r="P466" s="5"/>
      <c r="Q466" s="5"/>
      <c r="R466" s="5" t="str">
        <f ca="1">IFERROR(__xludf.DUMMYFUNCTION("""COMPUTED_VALUE"""),"România")</f>
        <v>România</v>
      </c>
      <c r="S466" s="5" t="str">
        <f ca="1">IFERROR(__xludf.DUMMYFUNCTION("""COMPUTED_VALUE"""),"Octavian")</f>
        <v>Octavian</v>
      </c>
      <c r="T466" s="7" t="str">
        <f ca="1">IFERROR(__xludf.DUMMYFUNCTION("""COMPUTED_VALUE"""),"http://www.ms.ro/2020/05/03/buletin-informativ-03-05-2020/")</f>
        <v>http://www.ms.ro/2020/05/03/buletin-informativ-03-05-2020/</v>
      </c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2.5">
      <c r="A467" s="5">
        <f ca="1">IFERROR(__xludf.DUMMYFUNCTION("""COMPUTED_VALUE"""),12797)</f>
        <v>12797</v>
      </c>
      <c r="B467" s="5"/>
      <c r="C467" s="5" t="str">
        <f ca="1">IFERROR(__xludf.DUMMYFUNCTION("""COMPUTED_VALUE"""),"Bihor")</f>
        <v>Bihor</v>
      </c>
      <c r="D467" s="13">
        <f ca="1">IFERROR(__xludf.DUMMYFUNCTION("""COMPUTED_VALUE"""),43954)</f>
        <v>43954</v>
      </c>
      <c r="E467" s="5" t="str">
        <f ca="1">IFERROR(__xludf.DUMMYFUNCTION("""COMPUTED_VALUE"""),"Nu")</f>
        <v>Nu</v>
      </c>
      <c r="F467" s="5"/>
      <c r="G467" s="5"/>
      <c r="H467" s="6"/>
      <c r="I467" s="5"/>
      <c r="J467" s="5"/>
      <c r="K467" s="7" t="str">
        <f ca="1">IFERROR(__xludf.DUMMYFUNCTION("""COMPUTED_VALUE"""),"https://stirioficiale.ro/informatii/buletin-de-presa-3-mai-2020-ora-13-00")</f>
        <v>https://stirioficiale.ro/informatii/buletin-de-presa-3-mai-2020-ora-13-00</v>
      </c>
      <c r="L467" s="5"/>
      <c r="M467" s="5"/>
      <c r="N467" s="5"/>
      <c r="O467" s="5"/>
      <c r="P467" s="5"/>
      <c r="Q467" s="5"/>
      <c r="R467" s="5" t="str">
        <f ca="1">IFERROR(__xludf.DUMMYFUNCTION("""COMPUTED_VALUE"""),"România")</f>
        <v>România</v>
      </c>
      <c r="S467" s="5" t="str">
        <f ca="1">IFERROR(__xludf.DUMMYFUNCTION("""COMPUTED_VALUE"""),"Octavian")</f>
        <v>Octavian</v>
      </c>
      <c r="T467" s="7" t="str">
        <f ca="1">IFERROR(__xludf.DUMMYFUNCTION("""COMPUTED_VALUE"""),"http://www.ms.ro/2020/05/03/buletin-informativ-03-05-2020/")</f>
        <v>http://www.ms.ro/2020/05/03/buletin-informativ-03-05-2020/</v>
      </c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ht="12.5">
      <c r="A468" s="5">
        <f ca="1">IFERROR(__xludf.DUMMYFUNCTION("""COMPUTED_VALUE"""),12798)</f>
        <v>12798</v>
      </c>
      <c r="B468" s="5"/>
      <c r="C468" s="5" t="str">
        <f ca="1">IFERROR(__xludf.DUMMYFUNCTION("""COMPUTED_VALUE"""),"Bihor")</f>
        <v>Bihor</v>
      </c>
      <c r="D468" s="13">
        <f ca="1">IFERROR(__xludf.DUMMYFUNCTION("""COMPUTED_VALUE"""),43954)</f>
        <v>43954</v>
      </c>
      <c r="E468" s="5" t="str">
        <f ca="1">IFERROR(__xludf.DUMMYFUNCTION("""COMPUTED_VALUE"""),"Nu")</f>
        <v>Nu</v>
      </c>
      <c r="F468" s="5"/>
      <c r="G468" s="5"/>
      <c r="H468" s="6"/>
      <c r="I468" s="5"/>
      <c r="J468" s="5"/>
      <c r="K468" s="7" t="str">
        <f ca="1">IFERROR(__xludf.DUMMYFUNCTION("""COMPUTED_VALUE"""),"https://stirioficiale.ro/informatii/buletin-de-presa-3-mai-2020-ora-13-00")</f>
        <v>https://stirioficiale.ro/informatii/buletin-de-presa-3-mai-2020-ora-13-00</v>
      </c>
      <c r="L468" s="5"/>
      <c r="M468" s="5"/>
      <c r="N468" s="5"/>
      <c r="O468" s="5"/>
      <c r="P468" s="5"/>
      <c r="Q468" s="5"/>
      <c r="R468" s="5" t="str">
        <f ca="1">IFERROR(__xludf.DUMMYFUNCTION("""COMPUTED_VALUE"""),"România")</f>
        <v>România</v>
      </c>
      <c r="S468" s="5" t="str">
        <f ca="1">IFERROR(__xludf.DUMMYFUNCTION("""COMPUTED_VALUE"""),"Octavian")</f>
        <v>Octavian</v>
      </c>
      <c r="T468" s="7" t="str">
        <f ca="1">IFERROR(__xludf.DUMMYFUNCTION("""COMPUTED_VALUE"""),"http://www.ms.ro/2020/05/03/buletin-informativ-03-05-2020/")</f>
        <v>http://www.ms.ro/2020/05/03/buletin-informativ-03-05-2020/</v>
      </c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2.5">
      <c r="A469" s="5">
        <f ca="1">IFERROR(__xludf.DUMMYFUNCTION("""COMPUTED_VALUE"""),13580)</f>
        <v>13580</v>
      </c>
      <c r="B469" s="5"/>
      <c r="C469" s="5" t="str">
        <f ca="1">IFERROR(__xludf.DUMMYFUNCTION("""COMPUTED_VALUE"""),"Bihor")</f>
        <v>Bihor</v>
      </c>
      <c r="D469" s="13">
        <f ca="1">IFERROR(__xludf.DUMMYFUNCTION("""COMPUTED_VALUE"""),43956)</f>
        <v>43956</v>
      </c>
      <c r="E469" s="5" t="str">
        <f ca="1">IFERROR(__xludf.DUMMYFUNCTION("""COMPUTED_VALUE"""),"Nu")</f>
        <v>Nu</v>
      </c>
      <c r="F469" s="5"/>
      <c r="G469" s="5"/>
      <c r="H469" s="6"/>
      <c r="I469" s="5"/>
      <c r="J469" s="5"/>
      <c r="K469" s="7" t="str">
        <f ca="1">IFERROR(__xludf.DUMMYFUNCTION("""COMPUTED_VALUE"""),"https://stirioficiale.ro/informatii/buletin-de-presa-5-mai-2020-ora-13-00")</f>
        <v>https://stirioficiale.ro/informatii/buletin-de-presa-5-mai-2020-ora-13-00</v>
      </c>
      <c r="L469" s="5"/>
      <c r="M469" s="5"/>
      <c r="N469" s="5"/>
      <c r="O469" s="5"/>
      <c r="P469" s="5"/>
      <c r="Q469" s="5"/>
      <c r="R469" s="5" t="str">
        <f ca="1">IFERROR(__xludf.DUMMYFUNCTION("""COMPUTED_VALUE"""),"România")</f>
        <v>România</v>
      </c>
      <c r="S469" s="5" t="str">
        <f ca="1">IFERROR(__xludf.DUMMYFUNCTION("""COMPUTED_VALUE"""),"Octavian")</f>
        <v>Octavian</v>
      </c>
      <c r="T469" s="7" t="str">
        <f ca="1">IFERROR(__xludf.DUMMYFUNCTION("""COMPUTED_VALUE"""),"http://www.ms.ro/2020/05/05/buletin-informativ-05-05-2020/")</f>
        <v>http://www.ms.ro/2020/05/05/buletin-informativ-05-05-2020/</v>
      </c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ht="12.5">
      <c r="A470" s="5">
        <f ca="1">IFERROR(__xludf.DUMMYFUNCTION("""COMPUTED_VALUE"""),13868)</f>
        <v>13868</v>
      </c>
      <c r="B470" s="5"/>
      <c r="C470" s="5" t="str">
        <f ca="1">IFERROR(__xludf.DUMMYFUNCTION("""COMPUTED_VALUE"""),"Bihor")</f>
        <v>Bihor</v>
      </c>
      <c r="D470" s="13">
        <f ca="1">IFERROR(__xludf.DUMMYFUNCTION("""COMPUTED_VALUE"""),43957)</f>
        <v>43957</v>
      </c>
      <c r="E470" s="5" t="str">
        <f ca="1">IFERROR(__xludf.DUMMYFUNCTION("""COMPUTED_VALUE"""),"Nu")</f>
        <v>Nu</v>
      </c>
      <c r="F470" s="5"/>
      <c r="G470" s="5"/>
      <c r="H470" s="6"/>
      <c r="I470" s="5"/>
      <c r="J470" s="5"/>
      <c r="K470" s="7" t="str">
        <f ca="1">IFERROR(__xludf.DUMMYFUNCTION("""COMPUTED_VALUE"""),"https://stirioficiale.ro/informatii/buletin-de-presa-6-mai-2020-ora-13-00")</f>
        <v>https://stirioficiale.ro/informatii/buletin-de-presa-6-mai-2020-ora-13-00</v>
      </c>
      <c r="L470" s="5"/>
      <c r="M470" s="5"/>
      <c r="N470" s="5"/>
      <c r="O470" s="5"/>
      <c r="P470" s="5"/>
      <c r="Q470" s="5"/>
      <c r="R470" s="5" t="str">
        <f ca="1">IFERROR(__xludf.DUMMYFUNCTION("""COMPUTED_VALUE"""),"România")</f>
        <v>România</v>
      </c>
      <c r="S470" s="5" t="str">
        <f ca="1">IFERROR(__xludf.DUMMYFUNCTION("""COMPUTED_VALUE"""),"Octavian")</f>
        <v>Octavian</v>
      </c>
      <c r="T470" s="7" t="str">
        <f ca="1">IFERROR(__xludf.DUMMYFUNCTION("""COMPUTED_VALUE"""),"http://www.ms.ro/2020/05/06/buletin-informativ-06-05-2020/")</f>
        <v>http://www.ms.ro/2020/05/06/buletin-informativ-06-05-2020/</v>
      </c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2.5">
      <c r="A471" s="5">
        <f ca="1">IFERROR(__xludf.DUMMYFUNCTION("""COMPUTED_VALUE"""),13869)</f>
        <v>13869</v>
      </c>
      <c r="B471" s="5"/>
      <c r="C471" s="5" t="str">
        <f ca="1">IFERROR(__xludf.DUMMYFUNCTION("""COMPUTED_VALUE"""),"Bihor")</f>
        <v>Bihor</v>
      </c>
      <c r="D471" s="13">
        <f ca="1">IFERROR(__xludf.DUMMYFUNCTION("""COMPUTED_VALUE"""),43957)</f>
        <v>43957</v>
      </c>
      <c r="E471" s="5" t="str">
        <f ca="1">IFERROR(__xludf.DUMMYFUNCTION("""COMPUTED_VALUE"""),"Nu")</f>
        <v>Nu</v>
      </c>
      <c r="F471" s="5"/>
      <c r="G471" s="5"/>
      <c r="H471" s="6"/>
      <c r="I471" s="5"/>
      <c r="J471" s="5"/>
      <c r="K471" s="7" t="str">
        <f ca="1">IFERROR(__xludf.DUMMYFUNCTION("""COMPUTED_VALUE"""),"https://stirioficiale.ro/informatii/buletin-de-presa-6-mai-2020-ora-13-00")</f>
        <v>https://stirioficiale.ro/informatii/buletin-de-presa-6-mai-2020-ora-13-00</v>
      </c>
      <c r="L471" s="5"/>
      <c r="M471" s="5"/>
      <c r="N471" s="5"/>
      <c r="O471" s="5"/>
      <c r="P471" s="5"/>
      <c r="Q471" s="5"/>
      <c r="R471" s="5" t="str">
        <f ca="1">IFERROR(__xludf.DUMMYFUNCTION("""COMPUTED_VALUE"""),"România")</f>
        <v>România</v>
      </c>
      <c r="S471" s="5" t="str">
        <f ca="1">IFERROR(__xludf.DUMMYFUNCTION("""COMPUTED_VALUE"""),"Octavian")</f>
        <v>Octavian</v>
      </c>
      <c r="T471" s="7" t="str">
        <f ca="1">IFERROR(__xludf.DUMMYFUNCTION("""COMPUTED_VALUE"""),"http://www.ms.ro/2020/05/06/buletin-informativ-06-05-2020/")</f>
        <v>http://www.ms.ro/2020/05/06/buletin-informativ-06-05-2020/</v>
      </c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ht="12.5">
      <c r="A472" s="5">
        <f ca="1">IFERROR(__xludf.DUMMYFUNCTION("""COMPUTED_VALUE"""),13870)</f>
        <v>13870</v>
      </c>
      <c r="B472" s="5"/>
      <c r="C472" s="5" t="str">
        <f ca="1">IFERROR(__xludf.DUMMYFUNCTION("""COMPUTED_VALUE"""),"Bihor")</f>
        <v>Bihor</v>
      </c>
      <c r="D472" s="13">
        <f ca="1">IFERROR(__xludf.DUMMYFUNCTION("""COMPUTED_VALUE"""),43957)</f>
        <v>43957</v>
      </c>
      <c r="E472" s="5" t="str">
        <f ca="1">IFERROR(__xludf.DUMMYFUNCTION("""COMPUTED_VALUE"""),"Nu")</f>
        <v>Nu</v>
      </c>
      <c r="F472" s="5"/>
      <c r="G472" s="5"/>
      <c r="H472" s="6"/>
      <c r="I472" s="5"/>
      <c r="J472" s="5"/>
      <c r="K472" s="7" t="str">
        <f ca="1">IFERROR(__xludf.DUMMYFUNCTION("""COMPUTED_VALUE"""),"https://stirioficiale.ro/informatii/buletin-de-presa-6-mai-2020-ora-13-00")</f>
        <v>https://stirioficiale.ro/informatii/buletin-de-presa-6-mai-2020-ora-13-00</v>
      </c>
      <c r="L472" s="5"/>
      <c r="M472" s="5"/>
      <c r="N472" s="5"/>
      <c r="O472" s="5"/>
      <c r="P472" s="5"/>
      <c r="Q472" s="5"/>
      <c r="R472" s="5" t="str">
        <f ca="1">IFERROR(__xludf.DUMMYFUNCTION("""COMPUTED_VALUE"""),"România")</f>
        <v>România</v>
      </c>
      <c r="S472" s="5" t="str">
        <f ca="1">IFERROR(__xludf.DUMMYFUNCTION("""COMPUTED_VALUE"""),"Octavian")</f>
        <v>Octavian</v>
      </c>
      <c r="T472" s="7" t="str">
        <f ca="1">IFERROR(__xludf.DUMMYFUNCTION("""COMPUTED_VALUE"""),"http://www.ms.ro/2020/05/06/buletin-informativ-06-05-2020/")</f>
        <v>http://www.ms.ro/2020/05/06/buletin-informativ-06-05-2020/</v>
      </c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2.5">
      <c r="A473" s="5">
        <f ca="1">IFERROR(__xludf.DUMMYFUNCTION("""COMPUTED_VALUE"""),13871)</f>
        <v>13871</v>
      </c>
      <c r="B473" s="5"/>
      <c r="C473" s="5" t="str">
        <f ca="1">IFERROR(__xludf.DUMMYFUNCTION("""COMPUTED_VALUE"""),"Bihor")</f>
        <v>Bihor</v>
      </c>
      <c r="D473" s="13">
        <f ca="1">IFERROR(__xludf.DUMMYFUNCTION("""COMPUTED_VALUE"""),43957)</f>
        <v>43957</v>
      </c>
      <c r="E473" s="5" t="str">
        <f ca="1">IFERROR(__xludf.DUMMYFUNCTION("""COMPUTED_VALUE"""),"Nu")</f>
        <v>Nu</v>
      </c>
      <c r="F473" s="5"/>
      <c r="G473" s="5"/>
      <c r="H473" s="6"/>
      <c r="I473" s="5"/>
      <c r="J473" s="5"/>
      <c r="K473" s="7" t="str">
        <f ca="1">IFERROR(__xludf.DUMMYFUNCTION("""COMPUTED_VALUE"""),"https://stirioficiale.ro/informatii/buletin-de-presa-6-mai-2020-ora-13-00")</f>
        <v>https://stirioficiale.ro/informatii/buletin-de-presa-6-mai-2020-ora-13-00</v>
      </c>
      <c r="L473" s="5"/>
      <c r="M473" s="5"/>
      <c r="N473" s="5"/>
      <c r="O473" s="5"/>
      <c r="P473" s="5"/>
      <c r="Q473" s="5"/>
      <c r="R473" s="5" t="str">
        <f ca="1">IFERROR(__xludf.DUMMYFUNCTION("""COMPUTED_VALUE"""),"România")</f>
        <v>România</v>
      </c>
      <c r="S473" s="5" t="str">
        <f ca="1">IFERROR(__xludf.DUMMYFUNCTION("""COMPUTED_VALUE"""),"Octavian")</f>
        <v>Octavian</v>
      </c>
      <c r="T473" s="7" t="str">
        <f ca="1">IFERROR(__xludf.DUMMYFUNCTION("""COMPUTED_VALUE"""),"http://www.ms.ro/2020/05/06/buletin-informativ-06-05-2020/")</f>
        <v>http://www.ms.ro/2020/05/06/buletin-informativ-06-05-2020/</v>
      </c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ht="12.5">
      <c r="A474" s="5">
        <f ca="1">IFERROR(__xludf.DUMMYFUNCTION("""COMPUTED_VALUE"""),13872)</f>
        <v>13872</v>
      </c>
      <c r="B474" s="5"/>
      <c r="C474" s="5" t="str">
        <f ca="1">IFERROR(__xludf.DUMMYFUNCTION("""COMPUTED_VALUE"""),"Bihor")</f>
        <v>Bihor</v>
      </c>
      <c r="D474" s="13">
        <f ca="1">IFERROR(__xludf.DUMMYFUNCTION("""COMPUTED_VALUE"""),43957)</f>
        <v>43957</v>
      </c>
      <c r="E474" s="5" t="str">
        <f ca="1">IFERROR(__xludf.DUMMYFUNCTION("""COMPUTED_VALUE"""),"Nu")</f>
        <v>Nu</v>
      </c>
      <c r="F474" s="5"/>
      <c r="G474" s="5"/>
      <c r="H474" s="6"/>
      <c r="I474" s="5"/>
      <c r="J474" s="5"/>
      <c r="K474" s="7" t="str">
        <f ca="1">IFERROR(__xludf.DUMMYFUNCTION("""COMPUTED_VALUE"""),"https://stirioficiale.ro/informatii/buletin-de-presa-6-mai-2020-ora-13-00")</f>
        <v>https://stirioficiale.ro/informatii/buletin-de-presa-6-mai-2020-ora-13-00</v>
      </c>
      <c r="L474" s="5"/>
      <c r="M474" s="5"/>
      <c r="N474" s="5"/>
      <c r="O474" s="5"/>
      <c r="P474" s="5"/>
      <c r="Q474" s="5"/>
      <c r="R474" s="5" t="str">
        <f ca="1">IFERROR(__xludf.DUMMYFUNCTION("""COMPUTED_VALUE"""),"România")</f>
        <v>România</v>
      </c>
      <c r="S474" s="5" t="str">
        <f ca="1">IFERROR(__xludf.DUMMYFUNCTION("""COMPUTED_VALUE"""),"Octavian")</f>
        <v>Octavian</v>
      </c>
      <c r="T474" s="7" t="str">
        <f ca="1">IFERROR(__xludf.DUMMYFUNCTION("""COMPUTED_VALUE"""),"http://www.ms.ro/2020/05/06/buletin-informativ-06-05-2020/")</f>
        <v>http://www.ms.ro/2020/05/06/buletin-informativ-06-05-2020/</v>
      </c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2.5">
      <c r="A475" s="5">
        <f ca="1">IFERROR(__xludf.DUMMYFUNCTION("""COMPUTED_VALUE"""),13873)</f>
        <v>13873</v>
      </c>
      <c r="B475" s="5"/>
      <c r="C475" s="5" t="str">
        <f ca="1">IFERROR(__xludf.DUMMYFUNCTION("""COMPUTED_VALUE"""),"Bihor")</f>
        <v>Bihor</v>
      </c>
      <c r="D475" s="13">
        <f ca="1">IFERROR(__xludf.DUMMYFUNCTION("""COMPUTED_VALUE"""),43957)</f>
        <v>43957</v>
      </c>
      <c r="E475" s="5" t="str">
        <f ca="1">IFERROR(__xludf.DUMMYFUNCTION("""COMPUTED_VALUE"""),"Nu")</f>
        <v>Nu</v>
      </c>
      <c r="F475" s="5"/>
      <c r="G475" s="5"/>
      <c r="H475" s="6"/>
      <c r="I475" s="5"/>
      <c r="J475" s="5"/>
      <c r="K475" s="7" t="str">
        <f ca="1">IFERROR(__xludf.DUMMYFUNCTION("""COMPUTED_VALUE"""),"https://stirioficiale.ro/informatii/buletin-de-presa-6-mai-2020-ora-13-00")</f>
        <v>https://stirioficiale.ro/informatii/buletin-de-presa-6-mai-2020-ora-13-00</v>
      </c>
      <c r="L475" s="5"/>
      <c r="M475" s="5"/>
      <c r="N475" s="5"/>
      <c r="O475" s="5"/>
      <c r="P475" s="5"/>
      <c r="Q475" s="5"/>
      <c r="R475" s="5" t="str">
        <f ca="1">IFERROR(__xludf.DUMMYFUNCTION("""COMPUTED_VALUE"""),"România")</f>
        <v>România</v>
      </c>
      <c r="S475" s="5" t="str">
        <f ca="1">IFERROR(__xludf.DUMMYFUNCTION("""COMPUTED_VALUE"""),"Octavian")</f>
        <v>Octavian</v>
      </c>
      <c r="T475" s="7" t="str">
        <f ca="1">IFERROR(__xludf.DUMMYFUNCTION("""COMPUTED_VALUE"""),"http://www.ms.ro/2020/05/06/buletin-informativ-06-05-2020/")</f>
        <v>http://www.ms.ro/2020/05/06/buletin-informativ-06-05-2020/</v>
      </c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ht="12.5">
      <c r="A476" s="5">
        <f ca="1">IFERROR(__xludf.DUMMYFUNCTION("""COMPUTED_VALUE"""),14516)</f>
        <v>14516</v>
      </c>
      <c r="B476" s="5"/>
      <c r="C476" s="5" t="str">
        <f ca="1">IFERROR(__xludf.DUMMYFUNCTION("""COMPUTED_VALUE"""),"Bihor")</f>
        <v>Bihor</v>
      </c>
      <c r="D476" s="13">
        <f ca="1">IFERROR(__xludf.DUMMYFUNCTION("""COMPUTED_VALUE"""),43958)</f>
        <v>43958</v>
      </c>
      <c r="E476" s="5" t="str">
        <f ca="1">IFERROR(__xludf.DUMMYFUNCTION("""COMPUTED_VALUE"""),"Da")</f>
        <v>Da</v>
      </c>
      <c r="F476" s="5" t="str">
        <f ca="1">IFERROR(__xludf.DUMMYFUNCTION("""COMPUTED_VALUE"""),"Nu")</f>
        <v>Nu</v>
      </c>
      <c r="G476" s="5"/>
      <c r="H476" s="6">
        <f ca="1">IFERROR(__xludf.DUMMYFUNCTION("""COMPUTED_VALUE"""),43961)</f>
        <v>43961</v>
      </c>
      <c r="I476" s="5" t="str">
        <f ca="1">IFERROR(__xludf.DUMMYFUNCTION("""COMPUTED_VALUE"""),"Feminin")</f>
        <v>Feminin</v>
      </c>
      <c r="J476" s="5">
        <f ca="1">IFERROR(__xludf.DUMMYFUNCTION("""COMPUTED_VALUE"""),60)</f>
        <v>60</v>
      </c>
      <c r="K476" s="7" t="str">
        <f ca="1">IFERROR(__xludf.DUMMYFUNCTION("""COMPUTED_VALUE"""),"https://stirioficiale.ro/informatii/buletin-de-presa-8-mai-2020-ora-13-00")</f>
        <v>https://stirioficiale.ro/informatii/buletin-de-presa-8-mai-2020-ora-13-00</v>
      </c>
      <c r="L476" s="7" t="str">
        <f ca="1">IFERROR(__xludf.DUMMYFUNCTION("""COMPUTED_VALUE"""),"https://stirioficiale.ro/informatii/informare-de-presa-11-mai-2020-ora-11-56am")</f>
        <v>https://stirioficiale.ro/informatii/informare-de-presa-11-mai-2020-ora-11-56am</v>
      </c>
      <c r="M476" s="5"/>
      <c r="N476" s="5"/>
      <c r="O476" s="5" t="str">
        <f ca="1">IFERROR(__xludf.DUMMYFUNCTION("""COMPUTED_VALUE"""),"DZ tip II dezechilibrat, obezitate morbidă")</f>
        <v>DZ tip II dezechilibrat, obezitate morbidă</v>
      </c>
      <c r="P476" s="5" t="str">
        <f ca="1">IFERROR(__xludf.DUMMYFUNCTION("""COMPUTED_VALUE"""),"Deces 963. Dată confirmare: 07.05.2020.")</f>
        <v>Deces 963. Dată confirmare: 07.05.2020.</v>
      </c>
      <c r="Q476" s="5" t="str">
        <f ca="1">IFERROR(__xludf.DUMMYFUNCTION("""COMPUTED_VALUE"""),"Necunoscut")</f>
        <v>Necunoscut</v>
      </c>
      <c r="R476" s="5" t="str">
        <f ca="1">IFERROR(__xludf.DUMMYFUNCTION("""COMPUTED_VALUE"""),"România")</f>
        <v>România</v>
      </c>
      <c r="S476" s="5" t="str">
        <f ca="1">IFERROR(__xludf.DUMMYFUNCTION("""COMPUTED_VALUE"""),"Octavian")</f>
        <v>Octavian</v>
      </c>
      <c r="T476" s="7" t="str">
        <f ca="1">IFERROR(__xludf.DUMMYFUNCTION("""COMPUTED_VALUE"""),"http://www.ms.ro/2020/05/08/buletin-informativ-08-05-2020/")</f>
        <v>http://www.ms.ro/2020/05/08/buletin-informativ-08-05-2020/</v>
      </c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2.5">
      <c r="A477" s="5">
        <f ca="1">IFERROR(__xludf.DUMMYFUNCTION("""COMPUTED_VALUE"""),14517)</f>
        <v>14517</v>
      </c>
      <c r="B477" s="5"/>
      <c r="C477" s="5" t="str">
        <f ca="1">IFERROR(__xludf.DUMMYFUNCTION("""COMPUTED_VALUE"""),"Bihor")</f>
        <v>Bihor</v>
      </c>
      <c r="D477" s="13">
        <f ca="1">IFERROR(__xludf.DUMMYFUNCTION("""COMPUTED_VALUE"""),43959)</f>
        <v>43959</v>
      </c>
      <c r="E477" s="5" t="str">
        <f ca="1">IFERROR(__xludf.DUMMYFUNCTION("""COMPUTED_VALUE"""),"Nu")</f>
        <v>Nu</v>
      </c>
      <c r="F477" s="5"/>
      <c r="G477" s="5"/>
      <c r="H477" s="6"/>
      <c r="I477" s="5"/>
      <c r="J477" s="5"/>
      <c r="K477" s="7" t="str">
        <f ca="1">IFERROR(__xludf.DUMMYFUNCTION("""COMPUTED_VALUE"""),"https://stirioficiale.ro/informatii/buletin-de-presa-8-mai-2020-ora-13-00")</f>
        <v>https://stirioficiale.ro/informatii/buletin-de-presa-8-mai-2020-ora-13-00</v>
      </c>
      <c r="L477" s="5"/>
      <c r="M477" s="5"/>
      <c r="N477" s="5"/>
      <c r="O477" s="5"/>
      <c r="P477" s="5"/>
      <c r="Q477" s="5"/>
      <c r="R477" s="5" t="str">
        <f ca="1">IFERROR(__xludf.DUMMYFUNCTION("""COMPUTED_VALUE"""),"România")</f>
        <v>România</v>
      </c>
      <c r="S477" s="5" t="str">
        <f ca="1">IFERROR(__xludf.DUMMYFUNCTION("""COMPUTED_VALUE"""),"Octavian")</f>
        <v>Octavian</v>
      </c>
      <c r="T477" s="7" t="str">
        <f ca="1">IFERROR(__xludf.DUMMYFUNCTION("""COMPUTED_VALUE"""),"http://www.ms.ro/2020/05/08/buletin-informativ-08-05-2020/")</f>
        <v>http://www.ms.ro/2020/05/08/buletin-informativ-08-05-2020/</v>
      </c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ht="12.5">
      <c r="A478" s="5">
        <f ca="1">IFERROR(__xludf.DUMMYFUNCTION("""COMPUTED_VALUE"""),14518)</f>
        <v>14518</v>
      </c>
      <c r="B478" s="5"/>
      <c r="C478" s="5" t="str">
        <f ca="1">IFERROR(__xludf.DUMMYFUNCTION("""COMPUTED_VALUE"""),"Bihor")</f>
        <v>Bihor</v>
      </c>
      <c r="D478" s="13">
        <f ca="1">IFERROR(__xludf.DUMMYFUNCTION("""COMPUTED_VALUE"""),43959)</f>
        <v>43959</v>
      </c>
      <c r="E478" s="5" t="str">
        <f ca="1">IFERROR(__xludf.DUMMYFUNCTION("""COMPUTED_VALUE"""),"Nu")</f>
        <v>Nu</v>
      </c>
      <c r="F478" s="5"/>
      <c r="G478" s="5"/>
      <c r="H478" s="6"/>
      <c r="I478" s="5"/>
      <c r="J478" s="5"/>
      <c r="K478" s="7" t="str">
        <f ca="1">IFERROR(__xludf.DUMMYFUNCTION("""COMPUTED_VALUE"""),"https://stirioficiale.ro/informatii/buletin-de-presa-8-mai-2020-ora-13-00")</f>
        <v>https://stirioficiale.ro/informatii/buletin-de-presa-8-mai-2020-ora-13-00</v>
      </c>
      <c r="L478" s="5"/>
      <c r="M478" s="5"/>
      <c r="N478" s="5"/>
      <c r="O478" s="5"/>
      <c r="P478" s="5"/>
      <c r="Q478" s="5"/>
      <c r="R478" s="5" t="str">
        <f ca="1">IFERROR(__xludf.DUMMYFUNCTION("""COMPUTED_VALUE"""),"România")</f>
        <v>România</v>
      </c>
      <c r="S478" s="5" t="str">
        <f ca="1">IFERROR(__xludf.DUMMYFUNCTION("""COMPUTED_VALUE"""),"Octavian")</f>
        <v>Octavian</v>
      </c>
      <c r="T478" s="7" t="str">
        <f ca="1">IFERROR(__xludf.DUMMYFUNCTION("""COMPUTED_VALUE"""),"http://www.ms.ro/2020/05/08/buletin-informativ-08-05-2020/")</f>
        <v>http://www.ms.ro/2020/05/08/buletin-informativ-08-05-2020/</v>
      </c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2.5">
      <c r="A479" s="5">
        <f ca="1">IFERROR(__xludf.DUMMYFUNCTION("""COMPUTED_VALUE"""),14844)</f>
        <v>14844</v>
      </c>
      <c r="B479" s="5"/>
      <c r="C479" s="5" t="str">
        <f ca="1">IFERROR(__xludf.DUMMYFUNCTION("""COMPUTED_VALUE"""),"Bihor")</f>
        <v>Bihor</v>
      </c>
      <c r="D479" s="13">
        <f ca="1">IFERROR(__xludf.DUMMYFUNCTION("""COMPUTED_VALUE"""),43960)</f>
        <v>43960</v>
      </c>
      <c r="E479" s="5" t="str">
        <f ca="1">IFERROR(__xludf.DUMMYFUNCTION("""COMPUTED_VALUE"""),"Nu")</f>
        <v>Nu</v>
      </c>
      <c r="F479" s="5"/>
      <c r="G479" s="5"/>
      <c r="H479" s="6"/>
      <c r="I479" s="5"/>
      <c r="J479" s="5"/>
      <c r="K479" s="7" t="str">
        <f ca="1">IFERROR(__xludf.DUMMYFUNCTION("""COMPUTED_VALUE"""),"http://www.ms.ro/2020/05/09/buletin-informativ-09-05-2020/")</f>
        <v>http://www.ms.ro/2020/05/09/buletin-informativ-09-05-2020/</v>
      </c>
      <c r="L479" s="5"/>
      <c r="M479" s="5"/>
      <c r="N479" s="5"/>
      <c r="O479" s="5"/>
      <c r="P479" s="5"/>
      <c r="Q479" s="5"/>
      <c r="R479" s="5" t="str">
        <f ca="1">IFERROR(__xludf.DUMMYFUNCTION("""COMPUTED_VALUE"""),"România")</f>
        <v>România</v>
      </c>
      <c r="S479" s="5" t="str">
        <f ca="1">IFERROR(__xludf.DUMMYFUNCTION("""COMPUTED_VALUE"""),"Octavian")</f>
        <v>Octavian</v>
      </c>
      <c r="T479" s="7" t="str">
        <f ca="1">IFERROR(__xludf.DUMMYFUNCTION("""COMPUTED_VALUE"""),"http://www.ms.ro/2020/05/09/buletin-informativ-09-05-2020/")</f>
        <v>http://www.ms.ro/2020/05/09/buletin-informativ-09-05-2020/</v>
      </c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ht="12.5">
      <c r="A480" s="5">
        <f ca="1">IFERROR(__xludf.DUMMYFUNCTION("""COMPUTED_VALUE"""),14845)</f>
        <v>14845</v>
      </c>
      <c r="B480" s="5"/>
      <c r="C480" s="5" t="str">
        <f ca="1">IFERROR(__xludf.DUMMYFUNCTION("""COMPUTED_VALUE"""),"Bihor")</f>
        <v>Bihor</v>
      </c>
      <c r="D480" s="13">
        <f ca="1">IFERROR(__xludf.DUMMYFUNCTION("""COMPUTED_VALUE"""),43960)</f>
        <v>43960</v>
      </c>
      <c r="E480" s="5" t="str">
        <f ca="1">IFERROR(__xludf.DUMMYFUNCTION("""COMPUTED_VALUE"""),"Nu")</f>
        <v>Nu</v>
      </c>
      <c r="F480" s="5"/>
      <c r="G480" s="5"/>
      <c r="H480" s="6"/>
      <c r="I480" s="5"/>
      <c r="J480" s="5"/>
      <c r="K480" s="7" t="str">
        <f ca="1">IFERROR(__xludf.DUMMYFUNCTION("""COMPUTED_VALUE"""),"http://www.ms.ro/2020/05/09/buletin-informativ-09-05-2020/")</f>
        <v>http://www.ms.ro/2020/05/09/buletin-informativ-09-05-2020/</v>
      </c>
      <c r="L480" s="5"/>
      <c r="M480" s="5"/>
      <c r="N480" s="5"/>
      <c r="O480" s="5"/>
      <c r="P480" s="5"/>
      <c r="Q480" s="5"/>
      <c r="R480" s="5" t="str">
        <f ca="1">IFERROR(__xludf.DUMMYFUNCTION("""COMPUTED_VALUE"""),"România")</f>
        <v>România</v>
      </c>
      <c r="S480" s="5" t="str">
        <f ca="1">IFERROR(__xludf.DUMMYFUNCTION("""COMPUTED_VALUE"""),"Octavian")</f>
        <v>Octavian</v>
      </c>
      <c r="T480" s="7" t="str">
        <f ca="1">IFERROR(__xludf.DUMMYFUNCTION("""COMPUTED_VALUE"""),"http://www.ms.ro/2020/05/09/buletin-informativ-09-05-2020/")</f>
        <v>http://www.ms.ro/2020/05/09/buletin-informativ-09-05-2020/</v>
      </c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2.5">
      <c r="A481" s="5">
        <f ca="1">IFERROR(__xludf.DUMMYFUNCTION("""COMPUTED_VALUE"""),15161)</f>
        <v>15161</v>
      </c>
      <c r="B481" s="5"/>
      <c r="C481" s="5" t="str">
        <f ca="1">IFERROR(__xludf.DUMMYFUNCTION("""COMPUTED_VALUE"""),"Bihor")</f>
        <v>Bihor</v>
      </c>
      <c r="D481" s="13">
        <f ca="1">IFERROR(__xludf.DUMMYFUNCTION("""COMPUTED_VALUE"""),43961)</f>
        <v>43961</v>
      </c>
      <c r="E481" s="5" t="str">
        <f ca="1">IFERROR(__xludf.DUMMYFUNCTION("""COMPUTED_VALUE"""),"Nu")</f>
        <v>Nu</v>
      </c>
      <c r="F481" s="5"/>
      <c r="G481" s="5"/>
      <c r="H481" s="6"/>
      <c r="I481" s="5"/>
      <c r="J481" s="5"/>
      <c r="K481" s="7" t="str">
        <f ca="1">IFERROR(__xludf.DUMMYFUNCTION("""COMPUTED_VALUE"""),"https://stirioficiale.ro/informatii/buletin-de-presa-10-mai-2020-ora-13-00")</f>
        <v>https://stirioficiale.ro/informatii/buletin-de-presa-10-mai-2020-ora-13-00</v>
      </c>
      <c r="L481" s="5"/>
      <c r="M481" s="5"/>
      <c r="N481" s="5"/>
      <c r="O481" s="5"/>
      <c r="P481" s="5"/>
      <c r="Q481" s="5"/>
      <c r="R481" s="5" t="str">
        <f ca="1">IFERROR(__xludf.DUMMYFUNCTION("""COMPUTED_VALUE"""),"România")</f>
        <v>România</v>
      </c>
      <c r="S481" s="5" t="str">
        <f ca="1">IFERROR(__xludf.DUMMYFUNCTION("""COMPUTED_VALUE"""),"Octavian")</f>
        <v>Octavian</v>
      </c>
      <c r="T481" s="7" t="str">
        <f ca="1">IFERROR(__xludf.DUMMYFUNCTION("""COMPUTED_VALUE"""),"http://www.ms.ro/2020/05/10/buletin-informativ-10-05-2020/")</f>
        <v>http://www.ms.ro/2020/05/10/buletin-informativ-10-05-2020/</v>
      </c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ht="12.5">
      <c r="A482" s="5">
        <f ca="1">IFERROR(__xludf.DUMMYFUNCTION("""COMPUTED_VALUE"""),15388)</f>
        <v>15388</v>
      </c>
      <c r="B482" s="5"/>
      <c r="C482" s="5" t="str">
        <f ca="1">IFERROR(__xludf.DUMMYFUNCTION("""COMPUTED_VALUE"""),"Bihor")</f>
        <v>Bihor</v>
      </c>
      <c r="D482" s="13">
        <f ca="1">IFERROR(__xludf.DUMMYFUNCTION("""COMPUTED_VALUE"""),43962)</f>
        <v>43962</v>
      </c>
      <c r="E482" s="5" t="str">
        <f ca="1">IFERROR(__xludf.DUMMYFUNCTION("""COMPUTED_VALUE"""),"Nu")</f>
        <v>Nu</v>
      </c>
      <c r="F482" s="5"/>
      <c r="G482" s="5"/>
      <c r="H482" s="6"/>
      <c r="I482" s="5"/>
      <c r="J482" s="5"/>
      <c r="K482" s="7" t="str">
        <f ca="1">IFERROR(__xludf.DUMMYFUNCTION("""COMPUTED_VALUE"""),"https://www.bihon.ro/stirile-judetului-bihor/angajati-confirmati-cu-coronavirus-in-parcul-industrial-de-pe-borsului-2284463/")</f>
        <v>https://www.bihon.ro/stirile-judetului-bihor/angajati-confirmati-cu-coronavirus-in-parcul-industrial-de-pe-borsului-2284463/</v>
      </c>
      <c r="L482" s="5"/>
      <c r="M482" s="5"/>
      <c r="N482" s="5"/>
      <c r="O482" s="5"/>
      <c r="P482" s="5" t="str">
        <f ca="1">IFERROR(__xludf.DUMMYFUNCTION("""COMPUTED_VALUE"""),"Angajat Faist Mekatronic")</f>
        <v>Angajat Faist Mekatronic</v>
      </c>
      <c r="Q482" s="5" t="str">
        <f ca="1">IFERROR(__xludf.DUMMYFUNCTION("""COMPUTED_VALUE"""),"Comunitar")</f>
        <v>Comunitar</v>
      </c>
      <c r="R482" s="5" t="str">
        <f ca="1">IFERROR(__xludf.DUMMYFUNCTION("""COMPUTED_VALUE"""),"România")</f>
        <v>România</v>
      </c>
      <c r="S482" s="5" t="str">
        <f ca="1">IFERROR(__xludf.DUMMYFUNCTION("""COMPUTED_VALUE"""),"Ruxandra")</f>
        <v>Ruxandra</v>
      </c>
      <c r="T482" s="7" t="str">
        <f ca="1">IFERROR(__xludf.DUMMYFUNCTION("""COMPUTED_VALUE"""),"http://www.ms.ro/2020/05/11/buletin-informativ-11-05-2020/")</f>
        <v>http://www.ms.ro/2020/05/11/buletin-informativ-11-05-2020/</v>
      </c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2.5">
      <c r="A483" s="5">
        <f ca="1">IFERROR(__xludf.DUMMYFUNCTION("""COMPUTED_VALUE"""),15612)</f>
        <v>15612</v>
      </c>
      <c r="B483" s="5">
        <f ca="1">IFERROR(__xludf.DUMMYFUNCTION("""COMPUTED_VALUE"""),15388)</f>
        <v>15388</v>
      </c>
      <c r="C483" s="5" t="str">
        <f ca="1">IFERROR(__xludf.DUMMYFUNCTION("""COMPUTED_VALUE"""),"Bihor")</f>
        <v>Bihor</v>
      </c>
      <c r="D483" s="13">
        <f ca="1">IFERROR(__xludf.DUMMYFUNCTION("""COMPUTED_VALUE"""),43963)</f>
        <v>43963</v>
      </c>
      <c r="E483" s="5" t="str">
        <f ca="1">IFERROR(__xludf.DUMMYFUNCTION("""COMPUTED_VALUE"""),"Nu")</f>
        <v>Nu</v>
      </c>
      <c r="F483" s="5"/>
      <c r="G483" s="5"/>
      <c r="H483" s="6"/>
      <c r="I483" s="5"/>
      <c r="J483" s="5"/>
      <c r="K483" s="7" t="str">
        <f ca="1">IFERROR(__xludf.DUMMYFUNCTION("""COMPUTED_VALUE"""),"https://www.bihon.ro/stirile-judetului-bihor/angajati-confirmati-cu-coronavirus-in-parcul-industrial-de-pe-borsului-2284463/")</f>
        <v>https://www.bihon.ro/stirile-judetului-bihor/angajati-confirmati-cu-coronavirus-in-parcul-industrial-de-pe-borsului-2284463/</v>
      </c>
      <c r="L483" s="5"/>
      <c r="M483" s="5"/>
      <c r="N483" s="5"/>
      <c r="O483" s="5"/>
      <c r="P483" s="5" t="str">
        <f ca="1">IFERROR(__xludf.DUMMYFUNCTION("""COMPUTED_VALUE"""),"Angajat Faist Mekatronic")</f>
        <v>Angajat Faist Mekatronic</v>
      </c>
      <c r="Q483" s="5" t="str">
        <f ca="1">IFERROR(__xludf.DUMMYFUNCTION("""COMPUTED_VALUE"""),"Comunitar")</f>
        <v>Comunitar</v>
      </c>
      <c r="R483" s="5" t="str">
        <f ca="1">IFERROR(__xludf.DUMMYFUNCTION("""COMPUTED_VALUE"""),"România")</f>
        <v>România</v>
      </c>
      <c r="S483" s="5" t="str">
        <f ca="1">IFERROR(__xludf.DUMMYFUNCTION("""COMPUTED_VALUE"""),"Ruxandra")</f>
        <v>Ruxandra</v>
      </c>
      <c r="T483" s="7" t="str">
        <f ca="1">IFERROR(__xludf.DUMMYFUNCTION("""COMPUTED_VALUE"""),"http://www.ms.ro/2020/05/12/buletin-informativ-12-05-2020/")</f>
        <v>http://www.ms.ro/2020/05/12/buletin-informativ-12-05-2020/</v>
      </c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ht="12.5">
      <c r="A484" s="5">
        <f ca="1">IFERROR(__xludf.DUMMYFUNCTION("""COMPUTED_VALUE"""),15613)</f>
        <v>15613</v>
      </c>
      <c r="B484" s="5">
        <f ca="1">IFERROR(__xludf.DUMMYFUNCTION("""COMPUTED_VALUE"""),15388)</f>
        <v>15388</v>
      </c>
      <c r="C484" s="5" t="str">
        <f ca="1">IFERROR(__xludf.DUMMYFUNCTION("""COMPUTED_VALUE"""),"Bihor")</f>
        <v>Bihor</v>
      </c>
      <c r="D484" s="13">
        <f ca="1">IFERROR(__xludf.DUMMYFUNCTION("""COMPUTED_VALUE"""),43963)</f>
        <v>43963</v>
      </c>
      <c r="E484" s="5" t="str">
        <f ca="1">IFERROR(__xludf.DUMMYFUNCTION("""COMPUTED_VALUE"""),"Nu")</f>
        <v>Nu</v>
      </c>
      <c r="F484" s="5"/>
      <c r="G484" s="5"/>
      <c r="H484" s="6"/>
      <c r="I484" s="5"/>
      <c r="J484" s="5"/>
      <c r="K484" s="7" t="str">
        <f ca="1">IFERROR(__xludf.DUMMYFUNCTION("""COMPUTED_VALUE"""),"https://www.bihon.ro/stirile-judetului-bihor/angajati-confirmati-cu-coronavirus-in-parcul-industrial-de-pe-borsului-2284463/")</f>
        <v>https://www.bihon.ro/stirile-judetului-bihor/angajati-confirmati-cu-coronavirus-in-parcul-industrial-de-pe-borsului-2284463/</v>
      </c>
      <c r="L484" s="5"/>
      <c r="M484" s="5"/>
      <c r="N484" s="5"/>
      <c r="O484" s="5"/>
      <c r="P484" s="5" t="str">
        <f ca="1">IFERROR(__xludf.DUMMYFUNCTION("""COMPUTED_VALUE"""),"Angajat Faist Mekatronic")</f>
        <v>Angajat Faist Mekatronic</v>
      </c>
      <c r="Q484" s="5" t="str">
        <f ca="1">IFERROR(__xludf.DUMMYFUNCTION("""COMPUTED_VALUE"""),"Comunitar")</f>
        <v>Comunitar</v>
      </c>
      <c r="R484" s="5" t="str">
        <f ca="1">IFERROR(__xludf.DUMMYFUNCTION("""COMPUTED_VALUE"""),"România")</f>
        <v>România</v>
      </c>
      <c r="S484" s="5" t="str">
        <f ca="1">IFERROR(__xludf.DUMMYFUNCTION("""COMPUTED_VALUE"""),"Ruxandra")</f>
        <v>Ruxandra</v>
      </c>
      <c r="T484" s="7" t="str">
        <f ca="1">IFERROR(__xludf.DUMMYFUNCTION("""COMPUTED_VALUE"""),"http://www.ms.ro/2020/05/12/buletin-informativ-12-05-2020/")</f>
        <v>http://www.ms.ro/2020/05/12/buletin-informativ-12-05-2020/</v>
      </c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2.5">
      <c r="A485" s="5">
        <f ca="1">IFERROR(__xludf.DUMMYFUNCTION("""COMPUTED_VALUE"""),15614)</f>
        <v>15614</v>
      </c>
      <c r="B485" s="5"/>
      <c r="C485" s="5" t="str">
        <f ca="1">IFERROR(__xludf.DUMMYFUNCTION("""COMPUTED_VALUE"""),"Bihor")</f>
        <v>Bihor</v>
      </c>
      <c r="D485" s="13">
        <f ca="1">IFERROR(__xludf.DUMMYFUNCTION("""COMPUTED_VALUE"""),43964)</f>
        <v>43964</v>
      </c>
      <c r="E485" s="5" t="str">
        <f ca="1">IFERROR(__xludf.DUMMYFUNCTION("""COMPUTED_VALUE"""),"Da")</f>
        <v>Da</v>
      </c>
      <c r="F485" s="5" t="str">
        <f ca="1">IFERROR(__xludf.DUMMYFUNCTION("""COMPUTED_VALUE"""),"Nu")</f>
        <v>Nu</v>
      </c>
      <c r="G485" s="5"/>
      <c r="H485" s="6">
        <f ca="1">IFERROR(__xludf.DUMMYFUNCTION("""COMPUTED_VALUE"""),43960)</f>
        <v>43960</v>
      </c>
      <c r="I485" s="5" t="str">
        <f ca="1">IFERROR(__xludf.DUMMYFUNCTION("""COMPUTED_VALUE"""),"Masculin")</f>
        <v>Masculin</v>
      </c>
      <c r="J485" s="5">
        <f ca="1">IFERROR(__xludf.DUMMYFUNCTION("""COMPUTED_VALUE"""),52)</f>
        <v>52</v>
      </c>
      <c r="K485" s="7" t="str">
        <f ca="1">IFERROR(__xludf.DUMMYFUNCTION("""COMPUTED_VALUE"""),"https://stirioficiale.ro/informatii/buletin-de-presa-13-mai-2020-ora-13-00")</f>
        <v>https://stirioficiale.ro/informatii/buletin-de-presa-13-mai-2020-ora-13-00</v>
      </c>
      <c r="L485" s="7" t="str">
        <f ca="1">IFERROR(__xludf.DUMMYFUNCTION("""COMPUTED_VALUE"""),"http://www.ms.ro/2020/05/13/decese-1017-1030/")</f>
        <v>http://www.ms.ro/2020/05/13/decese-1017-1030/</v>
      </c>
      <c r="M485" s="5"/>
      <c r="N485" s="5"/>
      <c r="O485" s="5" t="str">
        <f ca="1">IFERROR(__xludf.DUMMYFUNCTION("""COMPUTED_VALUE"""),"Miocardiopatie etanolică, ciroză hepatică toxică(etanolică), etilism cronic")</f>
        <v>Miocardiopatie etanolică, ciroză hepatică toxică(etanolică), etilism cronic</v>
      </c>
      <c r="P485" s="5" t="str">
        <f ca="1">IFERROR(__xludf.DUMMYFUNCTION("""COMPUTED_VALUE"""),"Deces 1030. Confirmat 13.05, probă necroptică. Contact cu caz confirmat.")</f>
        <v>Deces 1030. Confirmat 13.05, probă necroptică. Contact cu caz confirmat.</v>
      </c>
      <c r="Q485" s="5" t="str">
        <f ca="1">IFERROR(__xludf.DUMMYFUNCTION("""COMPUTED_VALUE"""),"Comunitar")</f>
        <v>Comunitar</v>
      </c>
      <c r="R485" s="5" t="str">
        <f ca="1">IFERROR(__xludf.DUMMYFUNCTION("""COMPUTED_VALUE"""),"România")</f>
        <v>România</v>
      </c>
      <c r="S485" s="5" t="str">
        <f ca="1">IFERROR(__xludf.DUMMYFUNCTION("""COMPUTED_VALUE"""),"Octavian")</f>
        <v>Octavian</v>
      </c>
      <c r="T485" s="7" t="str">
        <f ca="1">IFERROR(__xludf.DUMMYFUNCTION("""COMPUTED_VALUE"""),"http://www.ms.ro/2020/05/12/buletin-informativ-12-05-2020/")</f>
        <v>http://www.ms.ro/2020/05/12/buletin-informativ-12-05-2020/</v>
      </c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ht="12.5">
      <c r="A486" s="5">
        <f ca="1">IFERROR(__xludf.DUMMYFUNCTION("""COMPUTED_VALUE"""),16034)</f>
        <v>16034</v>
      </c>
      <c r="B486" s="5">
        <f ca="1">IFERROR(__xludf.DUMMYFUNCTION("""COMPUTED_VALUE"""),15388)</f>
        <v>15388</v>
      </c>
      <c r="C486" s="5" t="str">
        <f ca="1">IFERROR(__xludf.DUMMYFUNCTION("""COMPUTED_VALUE"""),"Bihor")</f>
        <v>Bihor</v>
      </c>
      <c r="D486" s="13">
        <f ca="1">IFERROR(__xludf.DUMMYFUNCTION("""COMPUTED_VALUE"""),43965)</f>
        <v>43965</v>
      </c>
      <c r="E486" s="5" t="str">
        <f ca="1">IFERROR(__xludf.DUMMYFUNCTION("""COMPUTED_VALUE"""),"Nu")</f>
        <v>Nu</v>
      </c>
      <c r="F486" s="5"/>
      <c r="G486" s="5"/>
      <c r="H486" s="6"/>
      <c r="I486" s="5"/>
      <c r="J486" s="5"/>
      <c r="K486" s="7" t="str">
        <f ca="1">IFERROR(__xludf.DUMMYFUNCTION("""COMPUTED_VALUE"""),"https://www.bihon.ro/stirile-judetului-bihor/angajati-confirmati-cu-coronavirus-in-parcul-industrial-de-pe-borsului-2284463/")</f>
        <v>https://www.bihon.ro/stirile-judetului-bihor/angajati-confirmati-cu-coronavirus-in-parcul-industrial-de-pe-borsului-2284463/</v>
      </c>
      <c r="L486" s="5"/>
      <c r="M486" s="5"/>
      <c r="N486" s="5"/>
      <c r="O486" s="5"/>
      <c r="P486" s="5" t="str">
        <f ca="1">IFERROR(__xludf.DUMMYFUNCTION("""COMPUTED_VALUE"""),"Angajat Faist Mekatronic")</f>
        <v>Angajat Faist Mekatronic</v>
      </c>
      <c r="Q486" s="5" t="str">
        <f ca="1">IFERROR(__xludf.DUMMYFUNCTION("""COMPUTED_VALUE"""),"Comunitar")</f>
        <v>Comunitar</v>
      </c>
      <c r="R486" s="5" t="str">
        <f ca="1">IFERROR(__xludf.DUMMYFUNCTION("""COMPUTED_VALUE"""),"România")</f>
        <v>România</v>
      </c>
      <c r="S486" s="5" t="str">
        <f ca="1">IFERROR(__xludf.DUMMYFUNCTION("""COMPUTED_VALUE"""),"Ruxandra")</f>
        <v>Ruxandra</v>
      </c>
      <c r="T486" s="7" t="str">
        <f ca="1">IFERROR(__xludf.DUMMYFUNCTION("""COMPUTED_VALUE"""),"http://www.ms.ro/2020/05/14/buletin-informativ-14-05-2020/")</f>
        <v>http://www.ms.ro/2020/05/14/buletin-informativ-14-05-2020/</v>
      </c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2.5">
      <c r="A487" s="5">
        <f ca="1">IFERROR(__xludf.DUMMYFUNCTION("""COMPUTED_VALUE"""),16035)</f>
        <v>16035</v>
      </c>
      <c r="B487" s="5">
        <f ca="1">IFERROR(__xludf.DUMMYFUNCTION("""COMPUTED_VALUE"""),15388)</f>
        <v>15388</v>
      </c>
      <c r="C487" s="5" t="str">
        <f ca="1">IFERROR(__xludf.DUMMYFUNCTION("""COMPUTED_VALUE"""),"Bihor")</f>
        <v>Bihor</v>
      </c>
      <c r="D487" s="13">
        <f ca="1">IFERROR(__xludf.DUMMYFUNCTION("""COMPUTED_VALUE"""),43965)</f>
        <v>43965</v>
      </c>
      <c r="E487" s="5" t="str">
        <f ca="1">IFERROR(__xludf.DUMMYFUNCTION("""COMPUTED_VALUE"""),"Nu")</f>
        <v>Nu</v>
      </c>
      <c r="F487" s="5"/>
      <c r="G487" s="5"/>
      <c r="H487" s="6"/>
      <c r="I487" s="5"/>
      <c r="J487" s="5"/>
      <c r="K487" s="7" t="str">
        <f ca="1">IFERROR(__xludf.DUMMYFUNCTION("""COMPUTED_VALUE"""),"https://www.bihon.ro/stirile-judetului-bihor/angajati-confirmati-cu-coronavirus-in-parcul-industrial-de-pe-borsului-2284463/")</f>
        <v>https://www.bihon.ro/stirile-judetului-bihor/angajati-confirmati-cu-coronavirus-in-parcul-industrial-de-pe-borsului-2284463/</v>
      </c>
      <c r="L487" s="5"/>
      <c r="M487" s="5"/>
      <c r="N487" s="5"/>
      <c r="O487" s="5"/>
      <c r="P487" s="5" t="str">
        <f ca="1">IFERROR(__xludf.DUMMYFUNCTION("""COMPUTED_VALUE"""),"Angajat Faist Mekatronic")</f>
        <v>Angajat Faist Mekatronic</v>
      </c>
      <c r="Q487" s="5" t="str">
        <f ca="1">IFERROR(__xludf.DUMMYFUNCTION("""COMPUTED_VALUE"""),"Comunitar")</f>
        <v>Comunitar</v>
      </c>
      <c r="R487" s="5" t="str">
        <f ca="1">IFERROR(__xludf.DUMMYFUNCTION("""COMPUTED_VALUE"""),"România")</f>
        <v>România</v>
      </c>
      <c r="S487" s="5" t="str">
        <f ca="1">IFERROR(__xludf.DUMMYFUNCTION("""COMPUTED_VALUE"""),"Ruxandra")</f>
        <v>Ruxandra</v>
      </c>
      <c r="T487" s="7" t="str">
        <f ca="1">IFERROR(__xludf.DUMMYFUNCTION("""COMPUTED_VALUE"""),"http://www.ms.ro/2020/05/14/buletin-informativ-14-05-2020/")</f>
        <v>http://www.ms.ro/2020/05/14/buletin-informativ-14-05-2020/</v>
      </c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ht="12.5">
      <c r="A488" s="5">
        <f ca="1">IFERROR(__xludf.DUMMYFUNCTION("""COMPUTED_VALUE"""),16036)</f>
        <v>16036</v>
      </c>
      <c r="B488" s="5">
        <f ca="1">IFERROR(__xludf.DUMMYFUNCTION("""COMPUTED_VALUE"""),15388)</f>
        <v>15388</v>
      </c>
      <c r="C488" s="5" t="str">
        <f ca="1">IFERROR(__xludf.DUMMYFUNCTION("""COMPUTED_VALUE"""),"Bihor")</f>
        <v>Bihor</v>
      </c>
      <c r="D488" s="13">
        <f ca="1">IFERROR(__xludf.DUMMYFUNCTION("""COMPUTED_VALUE"""),43965)</f>
        <v>43965</v>
      </c>
      <c r="E488" s="5" t="str">
        <f ca="1">IFERROR(__xludf.DUMMYFUNCTION("""COMPUTED_VALUE"""),"Da")</f>
        <v>Da</v>
      </c>
      <c r="F488" s="5" t="str">
        <f ca="1">IFERROR(__xludf.DUMMYFUNCTION("""COMPUTED_VALUE"""),"Nu")</f>
        <v>Nu</v>
      </c>
      <c r="G488" s="5"/>
      <c r="H488" s="6">
        <f ca="1">IFERROR(__xludf.DUMMYFUNCTION("""COMPUTED_VALUE"""),43981)</f>
        <v>43981</v>
      </c>
      <c r="I488" s="5" t="str">
        <f ca="1">IFERROR(__xludf.DUMMYFUNCTION("""COMPUTED_VALUE"""),"Masculin")</f>
        <v>Masculin</v>
      </c>
      <c r="J488" s="5">
        <f ca="1">IFERROR(__xludf.DUMMYFUNCTION("""COMPUTED_VALUE"""),51)</f>
        <v>51</v>
      </c>
      <c r="K488" s="7" t="str">
        <f ca="1">IFERROR(__xludf.DUMMYFUNCTION("""COMPUTED_VALUE"""),"https://stirioficiale.ro/informatii/buletin-de-presa-14-mai-2020-ora-13-00")</f>
        <v>https://stirioficiale.ro/informatii/buletin-de-presa-14-mai-2020-ora-13-00</v>
      </c>
      <c r="L488" s="7" t="str">
        <f ca="1">IFERROR(__xludf.DUMMYFUNCTION("""COMPUTED_VALUE"""),"http://www.ms.ro/2020/05/30/decese-1254-1259/")</f>
        <v>http://www.ms.ro/2020/05/30/decese-1254-1259/</v>
      </c>
      <c r="M488" s="5"/>
      <c r="N488" s="5"/>
      <c r="O488" s="5" t="str">
        <f ca="1">IFERROR(__xludf.DUMMYFUNCTION("""COMPUTED_VALUE"""),"Cardiopatie ischemică, HTA, insuficiență renală cronică-dializat, obezitate")</f>
        <v>Cardiopatie ischemică, HTA, insuficiență renală cronică-dializat, obezitate</v>
      </c>
      <c r="P488" s="5" t="str">
        <f ca="1">IFERROR(__xludf.DUMMYFUNCTION("""COMPUTED_VALUE"""),"Deces 1256. Confirmat 14.05.")</f>
        <v>Deces 1256. Confirmat 14.05.</v>
      </c>
      <c r="Q488" s="5" t="str">
        <f ca="1">IFERROR(__xludf.DUMMYFUNCTION("""COMPUTED_VALUE"""),"Comunitar")</f>
        <v>Comunitar</v>
      </c>
      <c r="R488" s="5" t="str">
        <f ca="1">IFERROR(__xludf.DUMMYFUNCTION("""COMPUTED_VALUE"""),"România")</f>
        <v>România</v>
      </c>
      <c r="S488" s="5" t="str">
        <f ca="1">IFERROR(__xludf.DUMMYFUNCTION("""COMPUTED_VALUE"""),"Ruxandra")</f>
        <v>Ruxandra</v>
      </c>
      <c r="T488" s="7" t="str">
        <f ca="1">IFERROR(__xludf.DUMMYFUNCTION("""COMPUTED_VALUE"""),"http://www.ms.ro/2020/05/14/buletin-informativ-14-05-2020/")</f>
        <v>http://www.ms.ro/2020/05/14/buletin-informativ-14-05-2020/</v>
      </c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2.5">
      <c r="A489" s="5">
        <f ca="1">IFERROR(__xludf.DUMMYFUNCTION("""COMPUTED_VALUE"""),16264)</f>
        <v>16264</v>
      </c>
      <c r="B489" s="5"/>
      <c r="C489" s="5" t="str">
        <f ca="1">IFERROR(__xludf.DUMMYFUNCTION("""COMPUTED_VALUE"""),"Bihor")</f>
        <v>Bihor</v>
      </c>
      <c r="D489" s="13">
        <f ca="1">IFERROR(__xludf.DUMMYFUNCTION("""COMPUTED_VALUE"""),43966)</f>
        <v>43966</v>
      </c>
      <c r="E489" s="5" t="str">
        <f ca="1">IFERROR(__xludf.DUMMYFUNCTION("""COMPUTED_VALUE"""),"Da")</f>
        <v>Da</v>
      </c>
      <c r="F489" s="5" t="str">
        <f ca="1">IFERROR(__xludf.DUMMYFUNCTION("""COMPUTED_VALUE"""),"Nu")</f>
        <v>Nu</v>
      </c>
      <c r="G489" s="5"/>
      <c r="H489" s="6">
        <f ca="1">IFERROR(__xludf.DUMMYFUNCTION("""COMPUTED_VALUE"""),43967)</f>
        <v>43967</v>
      </c>
      <c r="I489" s="5" t="str">
        <f ca="1">IFERROR(__xludf.DUMMYFUNCTION("""COMPUTED_VALUE"""),"Masculin")</f>
        <v>Masculin</v>
      </c>
      <c r="J489" s="5">
        <f ca="1">IFERROR(__xludf.DUMMYFUNCTION("""COMPUTED_VALUE"""),87)</f>
        <v>87</v>
      </c>
      <c r="K489" s="7" t="str">
        <f ca="1">IFERROR(__xludf.DUMMYFUNCTION("""COMPUTED_VALUE"""),"https://stirioficiale.ro/informatii/buletin-de-presa-15-mai-2020-ora-13-00")</f>
        <v>https://stirioficiale.ro/informatii/buletin-de-presa-15-mai-2020-ora-13-00</v>
      </c>
      <c r="L489" s="7" t="str">
        <f ca="1">IFERROR(__xludf.DUMMYFUNCTION("""COMPUTED_VALUE"""),"http://www.ms.ro/2020/05/16/decese-1075-1081/")</f>
        <v>http://www.ms.ro/2020/05/16/decese-1075-1081/</v>
      </c>
      <c r="M489" s="5"/>
      <c r="N489" s="5"/>
      <c r="O489" s="5" t="str">
        <f ca="1">IFERROR(__xludf.DUMMYFUNCTION("""COMPUTED_VALUE"""),"Cardiopatie ischiemică cronică")</f>
        <v>Cardiopatie ischiemică cronică</v>
      </c>
      <c r="P489" s="5" t="str">
        <f ca="1">IFERROR(__xludf.DUMMYFUNCTION("""COMPUTED_VALUE"""),"Deces 1079. Confirmat 15.05.")</f>
        <v>Deces 1079. Confirmat 15.05.</v>
      </c>
      <c r="Q489" s="5"/>
      <c r="R489" s="5" t="str">
        <f ca="1">IFERROR(__xludf.DUMMYFUNCTION("""COMPUTED_VALUE"""),"România")</f>
        <v>România</v>
      </c>
      <c r="S489" s="5" t="str">
        <f ca="1">IFERROR(__xludf.DUMMYFUNCTION("""COMPUTED_VALUE"""),"Octavian")</f>
        <v>Octavian</v>
      </c>
      <c r="T489" s="7" t="str">
        <f ca="1">IFERROR(__xludf.DUMMYFUNCTION("""COMPUTED_VALUE"""),"http://www.ms.ro/2020/05/15/buletin-informativ-15-05-2020/")</f>
        <v>http://www.ms.ro/2020/05/15/buletin-informativ-15-05-2020/</v>
      </c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ht="12.5">
      <c r="A490" s="5">
        <f ca="1">IFERROR(__xludf.DUMMYFUNCTION("""COMPUTED_VALUE"""),16462)</f>
        <v>16462</v>
      </c>
      <c r="B490" s="5">
        <f ca="1">IFERROR(__xludf.DUMMYFUNCTION("""COMPUTED_VALUE"""),15388)</f>
        <v>15388</v>
      </c>
      <c r="C490" s="5" t="str">
        <f ca="1">IFERROR(__xludf.DUMMYFUNCTION("""COMPUTED_VALUE"""),"Bihor")</f>
        <v>Bihor</v>
      </c>
      <c r="D490" s="13">
        <f ca="1">IFERROR(__xludf.DUMMYFUNCTION("""COMPUTED_VALUE"""),43967)</f>
        <v>43967</v>
      </c>
      <c r="E490" s="5" t="str">
        <f ca="1">IFERROR(__xludf.DUMMYFUNCTION("""COMPUTED_VALUE"""),"Nu")</f>
        <v>Nu</v>
      </c>
      <c r="F490" s="5"/>
      <c r="G490" s="5"/>
      <c r="H490" s="6"/>
      <c r="I490" s="5"/>
      <c r="J490" s="5"/>
      <c r="K490" s="7" t="str">
        <f ca="1">IFERROR(__xludf.DUMMYFUNCTION("""COMPUTED_VALUE"""),"https://www.bihon.ro/stirile-judetului-bihor/angajati-confirmati-cu-coronavirus-in-parcul-industrial-de-pe-borsului-2284463/")</f>
        <v>https://www.bihon.ro/stirile-judetului-bihor/angajati-confirmati-cu-coronavirus-in-parcul-industrial-de-pe-borsului-2284463/</v>
      </c>
      <c r="L490" s="5"/>
      <c r="M490" s="5"/>
      <c r="N490" s="5"/>
      <c r="O490" s="5"/>
      <c r="P490" s="5" t="str">
        <f ca="1">IFERROR(__xludf.DUMMYFUNCTION("""COMPUTED_VALUE"""),"Angajat Faist Mekatronic")</f>
        <v>Angajat Faist Mekatronic</v>
      </c>
      <c r="Q490" s="5" t="str">
        <f ca="1">IFERROR(__xludf.DUMMYFUNCTION("""COMPUTED_VALUE"""),"Comunitar")</f>
        <v>Comunitar</v>
      </c>
      <c r="R490" s="5" t="str">
        <f ca="1">IFERROR(__xludf.DUMMYFUNCTION("""COMPUTED_VALUE"""),"România")</f>
        <v>România</v>
      </c>
      <c r="S490" s="5" t="str">
        <f ca="1">IFERROR(__xludf.DUMMYFUNCTION("""COMPUTED_VALUE"""),"Ruxandra")</f>
        <v>Ruxandra</v>
      </c>
      <c r="T490" s="7" t="str">
        <f ca="1">IFERROR(__xludf.DUMMYFUNCTION("""COMPUTED_VALUE"""),"http://www.ms.ro/2020/05/16/buletin-informativ-16-05-2020/")</f>
        <v>http://www.ms.ro/2020/05/16/buletin-informativ-16-05-2020/</v>
      </c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2.5">
      <c r="A491" s="5">
        <f ca="1">IFERROR(__xludf.DUMMYFUNCTION("""COMPUTED_VALUE"""),16463)</f>
        <v>16463</v>
      </c>
      <c r="B491" s="5">
        <f ca="1">IFERROR(__xludf.DUMMYFUNCTION("""COMPUTED_VALUE"""),15388)</f>
        <v>15388</v>
      </c>
      <c r="C491" s="5" t="str">
        <f ca="1">IFERROR(__xludf.DUMMYFUNCTION("""COMPUTED_VALUE"""),"Bihor")</f>
        <v>Bihor</v>
      </c>
      <c r="D491" s="13">
        <f ca="1">IFERROR(__xludf.DUMMYFUNCTION("""COMPUTED_VALUE"""),43967)</f>
        <v>43967</v>
      </c>
      <c r="E491" s="5" t="str">
        <f ca="1">IFERROR(__xludf.DUMMYFUNCTION("""COMPUTED_VALUE"""),"Nu")</f>
        <v>Nu</v>
      </c>
      <c r="F491" s="5"/>
      <c r="G491" s="5"/>
      <c r="H491" s="6"/>
      <c r="I491" s="5"/>
      <c r="J491" s="5"/>
      <c r="K491" s="7" t="str">
        <f ca="1">IFERROR(__xludf.DUMMYFUNCTION("""COMPUTED_VALUE"""),"https://www.bihon.ro/stirile-judetului-bihor/angajati-confirmati-cu-coronavirus-in-parcul-industrial-de-pe-borsului-2284463/")</f>
        <v>https://www.bihon.ro/stirile-judetului-bihor/angajati-confirmati-cu-coronavirus-in-parcul-industrial-de-pe-borsului-2284463/</v>
      </c>
      <c r="L491" s="5"/>
      <c r="M491" s="5"/>
      <c r="N491" s="5"/>
      <c r="O491" s="5"/>
      <c r="P491" s="5" t="str">
        <f ca="1">IFERROR(__xludf.DUMMYFUNCTION("""COMPUTED_VALUE"""),"Angajat Faist Mekatronic")</f>
        <v>Angajat Faist Mekatronic</v>
      </c>
      <c r="Q491" s="5" t="str">
        <f ca="1">IFERROR(__xludf.DUMMYFUNCTION("""COMPUTED_VALUE"""),"Comunitar")</f>
        <v>Comunitar</v>
      </c>
      <c r="R491" s="5" t="str">
        <f ca="1">IFERROR(__xludf.DUMMYFUNCTION("""COMPUTED_VALUE"""),"România")</f>
        <v>România</v>
      </c>
      <c r="S491" s="5" t="str">
        <f ca="1">IFERROR(__xludf.DUMMYFUNCTION("""COMPUTED_VALUE"""),"Ruxandra")</f>
        <v>Ruxandra</v>
      </c>
      <c r="T491" s="7" t="str">
        <f ca="1">IFERROR(__xludf.DUMMYFUNCTION("""COMPUTED_VALUE"""),"http://www.ms.ro/2020/05/16/buletin-informativ-16-05-2020/")</f>
        <v>http://www.ms.ro/2020/05/16/buletin-informativ-16-05-2020/</v>
      </c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ht="12.5">
      <c r="A492" s="5">
        <f ca="1">IFERROR(__xludf.DUMMYFUNCTION("""COMPUTED_VALUE"""),16464)</f>
        <v>16464</v>
      </c>
      <c r="B492" s="5">
        <f ca="1">IFERROR(__xludf.DUMMYFUNCTION("""COMPUTED_VALUE"""),15388)</f>
        <v>15388</v>
      </c>
      <c r="C492" s="5" t="str">
        <f ca="1">IFERROR(__xludf.DUMMYFUNCTION("""COMPUTED_VALUE"""),"Bihor")</f>
        <v>Bihor</v>
      </c>
      <c r="D492" s="13">
        <f ca="1">IFERROR(__xludf.DUMMYFUNCTION("""COMPUTED_VALUE"""),43967)</f>
        <v>43967</v>
      </c>
      <c r="E492" s="5" t="str">
        <f ca="1">IFERROR(__xludf.DUMMYFUNCTION("""COMPUTED_VALUE"""),"Nu")</f>
        <v>Nu</v>
      </c>
      <c r="F492" s="5"/>
      <c r="G492" s="5"/>
      <c r="H492" s="6"/>
      <c r="I492" s="5"/>
      <c r="J492" s="5"/>
      <c r="K492" s="7" t="str">
        <f ca="1">IFERROR(__xludf.DUMMYFUNCTION("""COMPUTED_VALUE"""),"https://www.bihon.ro/stirile-judetului-bihor/angajati-confirmati-cu-coronavirus-in-parcul-industrial-de-pe-borsului-2284463/")</f>
        <v>https://www.bihon.ro/stirile-judetului-bihor/angajati-confirmati-cu-coronavirus-in-parcul-industrial-de-pe-borsului-2284463/</v>
      </c>
      <c r="L492" s="5"/>
      <c r="M492" s="5"/>
      <c r="N492" s="5"/>
      <c r="O492" s="5"/>
      <c r="P492" s="5" t="str">
        <f ca="1">IFERROR(__xludf.DUMMYFUNCTION("""COMPUTED_VALUE"""),"Angajat Faist Mekatronic")</f>
        <v>Angajat Faist Mekatronic</v>
      </c>
      <c r="Q492" s="5" t="str">
        <f ca="1">IFERROR(__xludf.DUMMYFUNCTION("""COMPUTED_VALUE"""),"Comunitar")</f>
        <v>Comunitar</v>
      </c>
      <c r="R492" s="5" t="str">
        <f ca="1">IFERROR(__xludf.DUMMYFUNCTION("""COMPUTED_VALUE"""),"România")</f>
        <v>România</v>
      </c>
      <c r="S492" s="5" t="str">
        <f ca="1">IFERROR(__xludf.DUMMYFUNCTION("""COMPUTED_VALUE"""),"Ruxandra")</f>
        <v>Ruxandra</v>
      </c>
      <c r="T492" s="7" t="str">
        <f ca="1">IFERROR(__xludf.DUMMYFUNCTION("""COMPUTED_VALUE"""),"http://www.ms.ro/2020/05/16/buletin-informativ-16-05-2020/")</f>
        <v>http://www.ms.ro/2020/05/16/buletin-informativ-16-05-2020/</v>
      </c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2.5">
      <c r="A493" s="5">
        <f ca="1">IFERROR(__xludf.DUMMYFUNCTION("""COMPUTED_VALUE"""),16465)</f>
        <v>16465</v>
      </c>
      <c r="B493" s="5">
        <f ca="1">IFERROR(__xludf.DUMMYFUNCTION("""COMPUTED_VALUE"""),15388)</f>
        <v>15388</v>
      </c>
      <c r="C493" s="5" t="str">
        <f ca="1">IFERROR(__xludf.DUMMYFUNCTION("""COMPUTED_VALUE"""),"Bihor")</f>
        <v>Bihor</v>
      </c>
      <c r="D493" s="13">
        <f ca="1">IFERROR(__xludf.DUMMYFUNCTION("""COMPUTED_VALUE"""),43967)</f>
        <v>43967</v>
      </c>
      <c r="E493" s="5" t="str">
        <f ca="1">IFERROR(__xludf.DUMMYFUNCTION("""COMPUTED_VALUE"""),"Nu")</f>
        <v>Nu</v>
      </c>
      <c r="F493" s="5"/>
      <c r="G493" s="5"/>
      <c r="H493" s="6"/>
      <c r="I493" s="5"/>
      <c r="J493" s="5"/>
      <c r="K493" s="7" t="str">
        <f ca="1">IFERROR(__xludf.DUMMYFUNCTION("""COMPUTED_VALUE"""),"https://www.bihon.ro/stirile-judetului-bihor/angajati-confirmati-cu-coronavirus-in-parcul-industrial-de-pe-borsului-2284463/")</f>
        <v>https://www.bihon.ro/stirile-judetului-bihor/angajati-confirmati-cu-coronavirus-in-parcul-industrial-de-pe-borsului-2284463/</v>
      </c>
      <c r="L493" s="5"/>
      <c r="M493" s="5"/>
      <c r="N493" s="5"/>
      <c r="O493" s="5"/>
      <c r="P493" s="5" t="str">
        <f ca="1">IFERROR(__xludf.DUMMYFUNCTION("""COMPUTED_VALUE"""),"Angajat Faist Mekatronic")</f>
        <v>Angajat Faist Mekatronic</v>
      </c>
      <c r="Q493" s="5" t="str">
        <f ca="1">IFERROR(__xludf.DUMMYFUNCTION("""COMPUTED_VALUE"""),"Comunitar")</f>
        <v>Comunitar</v>
      </c>
      <c r="R493" s="5" t="str">
        <f ca="1">IFERROR(__xludf.DUMMYFUNCTION("""COMPUTED_VALUE"""),"România")</f>
        <v>România</v>
      </c>
      <c r="S493" s="5" t="str">
        <f ca="1">IFERROR(__xludf.DUMMYFUNCTION("""COMPUTED_VALUE"""),"Ruxandra")</f>
        <v>Ruxandra</v>
      </c>
      <c r="T493" s="7" t="str">
        <f ca="1">IFERROR(__xludf.DUMMYFUNCTION("""COMPUTED_VALUE"""),"http://www.ms.ro/2020/05/16/buletin-informativ-16-05-2020/")</f>
        <v>http://www.ms.ro/2020/05/16/buletin-informativ-16-05-2020/</v>
      </c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ht="12.5">
      <c r="A494" s="5">
        <f ca="1">IFERROR(__xludf.DUMMYFUNCTION("""COMPUTED_VALUE"""),16466)</f>
        <v>16466</v>
      </c>
      <c r="B494" s="5">
        <f ca="1">IFERROR(__xludf.DUMMYFUNCTION("""COMPUTED_VALUE"""),15388)</f>
        <v>15388</v>
      </c>
      <c r="C494" s="5" t="str">
        <f ca="1">IFERROR(__xludf.DUMMYFUNCTION("""COMPUTED_VALUE"""),"Bihor")</f>
        <v>Bihor</v>
      </c>
      <c r="D494" s="13">
        <f ca="1">IFERROR(__xludf.DUMMYFUNCTION("""COMPUTED_VALUE"""),43967)</f>
        <v>43967</v>
      </c>
      <c r="E494" s="5" t="str">
        <f ca="1">IFERROR(__xludf.DUMMYFUNCTION("""COMPUTED_VALUE"""),"Nu")</f>
        <v>Nu</v>
      </c>
      <c r="F494" s="5"/>
      <c r="G494" s="5"/>
      <c r="H494" s="6"/>
      <c r="I494" s="5"/>
      <c r="J494" s="5"/>
      <c r="K494" s="7" t="str">
        <f ca="1">IFERROR(__xludf.DUMMYFUNCTION("""COMPUTED_VALUE"""),"https://www.bihon.ro/stirile-judetului-bihor/angajati-confirmati-cu-coronavirus-in-parcul-industrial-de-pe-borsului-2284463/")</f>
        <v>https://www.bihon.ro/stirile-judetului-bihor/angajati-confirmati-cu-coronavirus-in-parcul-industrial-de-pe-borsului-2284463/</v>
      </c>
      <c r="L494" s="5"/>
      <c r="M494" s="5"/>
      <c r="N494" s="5"/>
      <c r="O494" s="5"/>
      <c r="P494" s="5" t="str">
        <f ca="1">IFERROR(__xludf.DUMMYFUNCTION("""COMPUTED_VALUE"""),"Angajat Faist Mekatronic")</f>
        <v>Angajat Faist Mekatronic</v>
      </c>
      <c r="Q494" s="5" t="str">
        <f ca="1">IFERROR(__xludf.DUMMYFUNCTION("""COMPUTED_VALUE"""),"Comunitar")</f>
        <v>Comunitar</v>
      </c>
      <c r="R494" s="5" t="str">
        <f ca="1">IFERROR(__xludf.DUMMYFUNCTION("""COMPUTED_VALUE"""),"România")</f>
        <v>România</v>
      </c>
      <c r="S494" s="5" t="str">
        <f ca="1">IFERROR(__xludf.DUMMYFUNCTION("""COMPUTED_VALUE"""),"Ruxandra")</f>
        <v>Ruxandra</v>
      </c>
      <c r="T494" s="7" t="str">
        <f ca="1">IFERROR(__xludf.DUMMYFUNCTION("""COMPUTED_VALUE"""),"http://www.ms.ro/2020/05/16/buletin-informativ-16-05-2020/")</f>
        <v>http://www.ms.ro/2020/05/16/buletin-informativ-16-05-2020/</v>
      </c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2.5">
      <c r="A495" s="5">
        <f ca="1">IFERROR(__xludf.DUMMYFUNCTION("""COMPUTED_VALUE"""),16467)</f>
        <v>16467</v>
      </c>
      <c r="B495" s="5">
        <f ca="1">IFERROR(__xludf.DUMMYFUNCTION("""COMPUTED_VALUE"""),15388)</f>
        <v>15388</v>
      </c>
      <c r="C495" s="5" t="str">
        <f ca="1">IFERROR(__xludf.DUMMYFUNCTION("""COMPUTED_VALUE"""),"Bihor")</f>
        <v>Bihor</v>
      </c>
      <c r="D495" s="13">
        <f ca="1">IFERROR(__xludf.DUMMYFUNCTION("""COMPUTED_VALUE"""),43967)</f>
        <v>43967</v>
      </c>
      <c r="E495" s="5" t="str">
        <f ca="1">IFERROR(__xludf.DUMMYFUNCTION("""COMPUTED_VALUE"""),"Nu")</f>
        <v>Nu</v>
      </c>
      <c r="F495" s="5"/>
      <c r="G495" s="5"/>
      <c r="H495" s="6"/>
      <c r="I495" s="5"/>
      <c r="J495" s="5"/>
      <c r="K495" s="7" t="str">
        <f ca="1">IFERROR(__xludf.DUMMYFUNCTION("""COMPUTED_VALUE"""),"https://www.bihon.ro/stirile-judetului-bihor/angajati-confirmati-cu-coronavirus-in-parcul-industrial-de-pe-borsului-2284463/")</f>
        <v>https://www.bihon.ro/stirile-judetului-bihor/angajati-confirmati-cu-coronavirus-in-parcul-industrial-de-pe-borsului-2284463/</v>
      </c>
      <c r="L495" s="5"/>
      <c r="M495" s="5"/>
      <c r="N495" s="5"/>
      <c r="O495" s="5"/>
      <c r="P495" s="5" t="str">
        <f ca="1">IFERROR(__xludf.DUMMYFUNCTION("""COMPUTED_VALUE"""),"Angajat Faist Mekatronic")</f>
        <v>Angajat Faist Mekatronic</v>
      </c>
      <c r="Q495" s="5" t="str">
        <f ca="1">IFERROR(__xludf.DUMMYFUNCTION("""COMPUTED_VALUE"""),"Comunitar")</f>
        <v>Comunitar</v>
      </c>
      <c r="R495" s="5" t="str">
        <f ca="1">IFERROR(__xludf.DUMMYFUNCTION("""COMPUTED_VALUE"""),"România")</f>
        <v>România</v>
      </c>
      <c r="S495" s="5" t="str">
        <f ca="1">IFERROR(__xludf.DUMMYFUNCTION("""COMPUTED_VALUE"""),"Ruxandra")</f>
        <v>Ruxandra</v>
      </c>
      <c r="T495" s="7" t="str">
        <f ca="1">IFERROR(__xludf.DUMMYFUNCTION("""COMPUTED_VALUE"""),"http://www.ms.ro/2020/05/16/buletin-informativ-16-05-2020/")</f>
        <v>http://www.ms.ro/2020/05/16/buletin-informativ-16-05-2020/</v>
      </c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ht="12.5">
      <c r="A496" s="5">
        <f ca="1">IFERROR(__xludf.DUMMYFUNCTION("""COMPUTED_VALUE"""),16468)</f>
        <v>16468</v>
      </c>
      <c r="B496" s="5">
        <f ca="1">IFERROR(__xludf.DUMMYFUNCTION("""COMPUTED_VALUE"""),15388)</f>
        <v>15388</v>
      </c>
      <c r="C496" s="5" t="str">
        <f ca="1">IFERROR(__xludf.DUMMYFUNCTION("""COMPUTED_VALUE"""),"Bihor")</f>
        <v>Bihor</v>
      </c>
      <c r="D496" s="13">
        <f ca="1">IFERROR(__xludf.DUMMYFUNCTION("""COMPUTED_VALUE"""),43967)</f>
        <v>43967</v>
      </c>
      <c r="E496" s="5" t="str">
        <f ca="1">IFERROR(__xludf.DUMMYFUNCTION("""COMPUTED_VALUE"""),"Nu")</f>
        <v>Nu</v>
      </c>
      <c r="F496" s="5"/>
      <c r="G496" s="5"/>
      <c r="H496" s="6"/>
      <c r="I496" s="5"/>
      <c r="J496" s="5"/>
      <c r="K496" s="7" t="str">
        <f ca="1">IFERROR(__xludf.DUMMYFUNCTION("""COMPUTED_VALUE"""),"https://www.bihon.ro/stirile-judetului-bihor/angajati-confirmati-cu-coronavirus-in-parcul-industrial-de-pe-borsului-2284463/")</f>
        <v>https://www.bihon.ro/stirile-judetului-bihor/angajati-confirmati-cu-coronavirus-in-parcul-industrial-de-pe-borsului-2284463/</v>
      </c>
      <c r="L496" s="5"/>
      <c r="M496" s="5"/>
      <c r="N496" s="5"/>
      <c r="O496" s="5"/>
      <c r="P496" s="5" t="str">
        <f ca="1">IFERROR(__xludf.DUMMYFUNCTION("""COMPUTED_VALUE"""),"Angajat Faist Mekatronic")</f>
        <v>Angajat Faist Mekatronic</v>
      </c>
      <c r="Q496" s="5" t="str">
        <f ca="1">IFERROR(__xludf.DUMMYFUNCTION("""COMPUTED_VALUE"""),"Comunitar")</f>
        <v>Comunitar</v>
      </c>
      <c r="R496" s="5" t="str">
        <f ca="1">IFERROR(__xludf.DUMMYFUNCTION("""COMPUTED_VALUE"""),"România")</f>
        <v>România</v>
      </c>
      <c r="S496" s="5" t="str">
        <f ca="1">IFERROR(__xludf.DUMMYFUNCTION("""COMPUTED_VALUE"""),"Ruxandra")</f>
        <v>Ruxandra</v>
      </c>
      <c r="T496" s="7" t="str">
        <f ca="1">IFERROR(__xludf.DUMMYFUNCTION("""COMPUTED_VALUE"""),"http://www.ms.ro/2020/05/16/buletin-informativ-16-05-2020/")</f>
        <v>http://www.ms.ro/2020/05/16/buletin-informativ-16-05-2020/</v>
      </c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2.5">
      <c r="A497" s="5">
        <f ca="1">IFERROR(__xludf.DUMMYFUNCTION("""COMPUTED_VALUE"""),16469)</f>
        <v>16469</v>
      </c>
      <c r="B497" s="5">
        <f ca="1">IFERROR(__xludf.DUMMYFUNCTION("""COMPUTED_VALUE"""),15388)</f>
        <v>15388</v>
      </c>
      <c r="C497" s="5" t="str">
        <f ca="1">IFERROR(__xludf.DUMMYFUNCTION("""COMPUTED_VALUE"""),"Bihor")</f>
        <v>Bihor</v>
      </c>
      <c r="D497" s="13">
        <f ca="1">IFERROR(__xludf.DUMMYFUNCTION("""COMPUTED_VALUE"""),43967)</f>
        <v>43967</v>
      </c>
      <c r="E497" s="5" t="str">
        <f ca="1">IFERROR(__xludf.DUMMYFUNCTION("""COMPUTED_VALUE"""),"Nu")</f>
        <v>Nu</v>
      </c>
      <c r="F497" s="5"/>
      <c r="G497" s="5"/>
      <c r="H497" s="6"/>
      <c r="I497" s="5"/>
      <c r="J497" s="5"/>
      <c r="K497" s="7" t="str">
        <f ca="1">IFERROR(__xludf.DUMMYFUNCTION("""COMPUTED_VALUE"""),"https://www.bihon.ro/stirile-judetului-bihor/angajati-confirmati-cu-coronavirus-in-parcul-industrial-de-pe-borsului-2284463/")</f>
        <v>https://www.bihon.ro/stirile-judetului-bihor/angajati-confirmati-cu-coronavirus-in-parcul-industrial-de-pe-borsului-2284463/</v>
      </c>
      <c r="L497" s="5"/>
      <c r="M497" s="5"/>
      <c r="N497" s="5"/>
      <c r="O497" s="5"/>
      <c r="P497" s="5" t="str">
        <f ca="1">IFERROR(__xludf.DUMMYFUNCTION("""COMPUTED_VALUE"""),"Angajat Faist Mekatronic")</f>
        <v>Angajat Faist Mekatronic</v>
      </c>
      <c r="Q497" s="5" t="str">
        <f ca="1">IFERROR(__xludf.DUMMYFUNCTION("""COMPUTED_VALUE"""),"Comunitar")</f>
        <v>Comunitar</v>
      </c>
      <c r="R497" s="5" t="str">
        <f ca="1">IFERROR(__xludf.DUMMYFUNCTION("""COMPUTED_VALUE"""),"România")</f>
        <v>România</v>
      </c>
      <c r="S497" s="5" t="str">
        <f ca="1">IFERROR(__xludf.DUMMYFUNCTION("""COMPUTED_VALUE"""),"Ruxandra")</f>
        <v>Ruxandra</v>
      </c>
      <c r="T497" s="7" t="str">
        <f ca="1">IFERROR(__xludf.DUMMYFUNCTION("""COMPUTED_VALUE"""),"http://www.ms.ro/2020/05/16/buletin-informativ-16-05-2020/")</f>
        <v>http://www.ms.ro/2020/05/16/buletin-informativ-16-05-2020/</v>
      </c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ht="12.5">
      <c r="A498" s="5">
        <f ca="1">IFERROR(__xludf.DUMMYFUNCTION("""COMPUTED_VALUE"""),16470)</f>
        <v>16470</v>
      </c>
      <c r="B498" s="5">
        <f ca="1">IFERROR(__xludf.DUMMYFUNCTION("""COMPUTED_VALUE"""),15388)</f>
        <v>15388</v>
      </c>
      <c r="C498" s="5" t="str">
        <f ca="1">IFERROR(__xludf.DUMMYFUNCTION("""COMPUTED_VALUE"""),"Bihor")</f>
        <v>Bihor</v>
      </c>
      <c r="D498" s="13">
        <f ca="1">IFERROR(__xludf.DUMMYFUNCTION("""COMPUTED_VALUE"""),43967)</f>
        <v>43967</v>
      </c>
      <c r="E498" s="5" t="str">
        <f ca="1">IFERROR(__xludf.DUMMYFUNCTION("""COMPUTED_VALUE"""),"Nu")</f>
        <v>Nu</v>
      </c>
      <c r="F498" s="5"/>
      <c r="G498" s="5"/>
      <c r="H498" s="6"/>
      <c r="I498" s="5"/>
      <c r="J498" s="5"/>
      <c r="K498" s="7" t="str">
        <f ca="1">IFERROR(__xludf.DUMMYFUNCTION("""COMPUTED_VALUE"""),"https://www.bihon.ro/stirile-judetului-bihor/angajati-confirmati-cu-coronavirus-in-parcul-industrial-de-pe-borsului-2284463/")</f>
        <v>https://www.bihon.ro/stirile-judetului-bihor/angajati-confirmati-cu-coronavirus-in-parcul-industrial-de-pe-borsului-2284463/</v>
      </c>
      <c r="L498" s="5"/>
      <c r="M498" s="5"/>
      <c r="N498" s="5"/>
      <c r="O498" s="5"/>
      <c r="P498" s="5" t="str">
        <f ca="1">IFERROR(__xludf.DUMMYFUNCTION("""COMPUTED_VALUE"""),"Angajat Faist Mekatronic")</f>
        <v>Angajat Faist Mekatronic</v>
      </c>
      <c r="Q498" s="5" t="str">
        <f ca="1">IFERROR(__xludf.DUMMYFUNCTION("""COMPUTED_VALUE"""),"Comunitar")</f>
        <v>Comunitar</v>
      </c>
      <c r="R498" s="5" t="str">
        <f ca="1">IFERROR(__xludf.DUMMYFUNCTION("""COMPUTED_VALUE"""),"România")</f>
        <v>România</v>
      </c>
      <c r="S498" s="5" t="str">
        <f ca="1">IFERROR(__xludf.DUMMYFUNCTION("""COMPUTED_VALUE"""),"Ruxandra")</f>
        <v>Ruxandra</v>
      </c>
      <c r="T498" s="7" t="str">
        <f ca="1">IFERROR(__xludf.DUMMYFUNCTION("""COMPUTED_VALUE"""),"http://www.ms.ro/2020/05/16/buletin-informativ-16-05-2020/")</f>
        <v>http://www.ms.ro/2020/05/16/buletin-informativ-16-05-2020/</v>
      </c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2.5">
      <c r="A499" s="5">
        <f ca="1">IFERROR(__xludf.DUMMYFUNCTION("""COMPUTED_VALUE"""),16892)</f>
        <v>16892</v>
      </c>
      <c r="B499" s="5"/>
      <c r="C499" s="5" t="str">
        <f ca="1">IFERROR(__xludf.DUMMYFUNCTION("""COMPUTED_VALUE"""),"Bihor")</f>
        <v>Bihor</v>
      </c>
      <c r="D499" s="13">
        <f ca="1">IFERROR(__xludf.DUMMYFUNCTION("""COMPUTED_VALUE"""),43969)</f>
        <v>43969</v>
      </c>
      <c r="E499" s="5" t="str">
        <f ca="1">IFERROR(__xludf.DUMMYFUNCTION("""COMPUTED_VALUE"""),"Nu")</f>
        <v>Nu</v>
      </c>
      <c r="F499" s="5"/>
      <c r="G499" s="5"/>
      <c r="H499" s="6"/>
      <c r="I499" s="5"/>
      <c r="J499" s="5"/>
      <c r="K499" s="7" t="str">
        <f ca="1">IFERROR(__xludf.DUMMYFUNCTION("""COMPUTED_VALUE"""),"https://www.fanatik.ro/mai-multi-medici-reintorsi-din-republica-moldova-depistati-cu-noul-coronavirus-19201114")</f>
        <v>https://www.fanatik.ro/mai-multi-medici-reintorsi-din-republica-moldova-depistati-cu-noul-coronavirus-19201114</v>
      </c>
      <c r="L499" s="5"/>
      <c r="M499" s="5"/>
      <c r="N499" s="5"/>
      <c r="O499" s="5"/>
      <c r="P499" s="5" t="str">
        <f ca="1">IFERROR(__xludf.DUMMYFUNCTION("""COMPUTED_VALUE"""),"Medic voluntar")</f>
        <v>Medic voluntar</v>
      </c>
      <c r="Q499" s="5" t="str">
        <f ca="1">IFERROR(__xludf.DUMMYFUNCTION("""COMPUTED_VALUE"""),"Strainatate")</f>
        <v>Strainatate</v>
      </c>
      <c r="R499" s="5" t="str">
        <f ca="1">IFERROR(__xludf.DUMMYFUNCTION("""COMPUTED_VALUE"""),"Moldova")</f>
        <v>Moldova</v>
      </c>
      <c r="S499" s="5" t="str">
        <f ca="1">IFERROR(__xludf.DUMMYFUNCTION("""COMPUTED_VALUE"""),"Ruxandra")</f>
        <v>Ruxandra</v>
      </c>
      <c r="T499" s="7" t="str">
        <f ca="1">IFERROR(__xludf.DUMMYFUNCTION("""COMPUTED_VALUE"""),"http://www.ms.ro/2020/05/18/buletin-informativ-18-05-2020/")</f>
        <v>http://www.ms.ro/2020/05/18/buletin-informativ-18-05-2020/</v>
      </c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ht="12.5">
      <c r="A500" s="5">
        <f ca="1">IFERROR(__xludf.DUMMYFUNCTION("""COMPUTED_VALUE"""),16893)</f>
        <v>16893</v>
      </c>
      <c r="B500" s="5">
        <f ca="1">IFERROR(__xludf.DUMMYFUNCTION("""COMPUTED_VALUE"""),16892)</f>
        <v>16892</v>
      </c>
      <c r="C500" s="5" t="str">
        <f ca="1">IFERROR(__xludf.DUMMYFUNCTION("""COMPUTED_VALUE"""),"Bihor")</f>
        <v>Bihor</v>
      </c>
      <c r="D500" s="13">
        <f ca="1">IFERROR(__xludf.DUMMYFUNCTION("""COMPUTED_VALUE"""),43969)</f>
        <v>43969</v>
      </c>
      <c r="E500" s="5" t="str">
        <f ca="1">IFERROR(__xludf.DUMMYFUNCTION("""COMPUTED_VALUE"""),"Nu")</f>
        <v>Nu</v>
      </c>
      <c r="F500" s="5"/>
      <c r="G500" s="5"/>
      <c r="H500" s="6"/>
      <c r="I500" s="5"/>
      <c r="J500" s="5"/>
      <c r="K500" s="7" t="str">
        <f ca="1">IFERROR(__xludf.DUMMYFUNCTION("""COMPUTED_VALUE"""),"https://www.fanatik.ro/mai-multi-medici-reintorsi-din-republica-moldova-depistati-cu-noul-coronavirus-19201115")</f>
        <v>https://www.fanatik.ro/mai-multi-medici-reintorsi-din-republica-moldova-depistati-cu-noul-coronavirus-19201115</v>
      </c>
      <c r="L500" s="5"/>
      <c r="M500" s="5"/>
      <c r="N500" s="5"/>
      <c r="O500" s="5"/>
      <c r="P500" s="5" t="str">
        <f ca="1">IFERROR(__xludf.DUMMYFUNCTION("""COMPUTED_VALUE"""),"Medic voluntar")</f>
        <v>Medic voluntar</v>
      </c>
      <c r="Q500" s="5" t="str">
        <f ca="1">IFERROR(__xludf.DUMMYFUNCTION("""COMPUTED_VALUE"""),"Strainatate")</f>
        <v>Strainatate</v>
      </c>
      <c r="R500" s="5" t="str">
        <f ca="1">IFERROR(__xludf.DUMMYFUNCTION("""COMPUTED_VALUE"""),"Moldova")</f>
        <v>Moldova</v>
      </c>
      <c r="S500" s="5" t="str">
        <f ca="1">IFERROR(__xludf.DUMMYFUNCTION("""COMPUTED_VALUE"""),"Ruxandra")</f>
        <v>Ruxandra</v>
      </c>
      <c r="T500" s="7" t="str">
        <f ca="1">IFERROR(__xludf.DUMMYFUNCTION("""COMPUTED_VALUE"""),"http://www.ms.ro/2020/05/18/buletin-informativ-18-05-2020/")</f>
        <v>http://www.ms.ro/2020/05/18/buletin-informativ-18-05-2020/</v>
      </c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2.5">
      <c r="A501" s="5">
        <f ca="1">IFERROR(__xludf.DUMMYFUNCTION("""COMPUTED_VALUE"""),16894)</f>
        <v>16894</v>
      </c>
      <c r="B501" s="5">
        <f ca="1">IFERROR(__xludf.DUMMYFUNCTION("""COMPUTED_VALUE"""),16892)</f>
        <v>16892</v>
      </c>
      <c r="C501" s="5" t="str">
        <f ca="1">IFERROR(__xludf.DUMMYFUNCTION("""COMPUTED_VALUE"""),"Bihor")</f>
        <v>Bihor</v>
      </c>
      <c r="D501" s="13">
        <f ca="1">IFERROR(__xludf.DUMMYFUNCTION("""COMPUTED_VALUE"""),43969)</f>
        <v>43969</v>
      </c>
      <c r="E501" s="5" t="str">
        <f ca="1">IFERROR(__xludf.DUMMYFUNCTION("""COMPUTED_VALUE"""),"Nu")</f>
        <v>Nu</v>
      </c>
      <c r="F501" s="5"/>
      <c r="G501" s="5"/>
      <c r="H501" s="6"/>
      <c r="I501" s="5"/>
      <c r="J501" s="5"/>
      <c r="K501" s="7" t="str">
        <f ca="1">IFERROR(__xludf.DUMMYFUNCTION("""COMPUTED_VALUE"""),"https://www.fanatik.ro/mai-multi-medici-reintorsi-din-republica-moldova-depistati-cu-noul-coronavirus-19201116")</f>
        <v>https://www.fanatik.ro/mai-multi-medici-reintorsi-din-republica-moldova-depistati-cu-noul-coronavirus-19201116</v>
      </c>
      <c r="L501" s="5"/>
      <c r="M501" s="5"/>
      <c r="N501" s="5"/>
      <c r="O501" s="5"/>
      <c r="P501" s="5" t="str">
        <f ca="1">IFERROR(__xludf.DUMMYFUNCTION("""COMPUTED_VALUE"""),"Medic voluntar")</f>
        <v>Medic voluntar</v>
      </c>
      <c r="Q501" s="5" t="str">
        <f ca="1">IFERROR(__xludf.DUMMYFUNCTION("""COMPUTED_VALUE"""),"Strainatate")</f>
        <v>Strainatate</v>
      </c>
      <c r="R501" s="5" t="str">
        <f ca="1">IFERROR(__xludf.DUMMYFUNCTION("""COMPUTED_VALUE"""),"Moldova")</f>
        <v>Moldova</v>
      </c>
      <c r="S501" s="5" t="str">
        <f ca="1">IFERROR(__xludf.DUMMYFUNCTION("""COMPUTED_VALUE"""),"Ruxandra")</f>
        <v>Ruxandra</v>
      </c>
      <c r="T501" s="7" t="str">
        <f ca="1">IFERROR(__xludf.DUMMYFUNCTION("""COMPUTED_VALUE"""),"http://www.ms.ro/2020/05/18/buletin-informativ-18-05-2020/")</f>
        <v>http://www.ms.ro/2020/05/18/buletin-informativ-18-05-2020/</v>
      </c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ht="12.5">
      <c r="A502" s="5">
        <f ca="1">IFERROR(__xludf.DUMMYFUNCTION("""COMPUTED_VALUE"""),16895)</f>
        <v>16895</v>
      </c>
      <c r="B502" s="5">
        <f ca="1">IFERROR(__xludf.DUMMYFUNCTION("""COMPUTED_VALUE"""),16892)</f>
        <v>16892</v>
      </c>
      <c r="C502" s="5" t="str">
        <f ca="1">IFERROR(__xludf.DUMMYFUNCTION("""COMPUTED_VALUE"""),"Bihor")</f>
        <v>Bihor</v>
      </c>
      <c r="D502" s="13">
        <f ca="1">IFERROR(__xludf.DUMMYFUNCTION("""COMPUTED_VALUE"""),43969)</f>
        <v>43969</v>
      </c>
      <c r="E502" s="5" t="str">
        <f ca="1">IFERROR(__xludf.DUMMYFUNCTION("""COMPUTED_VALUE"""),"Nu")</f>
        <v>Nu</v>
      </c>
      <c r="F502" s="5"/>
      <c r="G502" s="5"/>
      <c r="H502" s="6"/>
      <c r="I502" s="5"/>
      <c r="J502" s="5"/>
      <c r="K502" s="7" t="str">
        <f ca="1">IFERROR(__xludf.DUMMYFUNCTION("""COMPUTED_VALUE"""),"https://www.fanatik.ro/mai-multi-medici-reintorsi-din-republica-moldova-depistati-cu-noul-coronavirus-19201117")</f>
        <v>https://www.fanatik.ro/mai-multi-medici-reintorsi-din-republica-moldova-depistati-cu-noul-coronavirus-19201117</v>
      </c>
      <c r="L502" s="5"/>
      <c r="M502" s="5"/>
      <c r="N502" s="5"/>
      <c r="O502" s="5"/>
      <c r="P502" s="5" t="str">
        <f ca="1">IFERROR(__xludf.DUMMYFUNCTION("""COMPUTED_VALUE"""),"Pompier voluntar")</f>
        <v>Pompier voluntar</v>
      </c>
      <c r="Q502" s="5" t="str">
        <f ca="1">IFERROR(__xludf.DUMMYFUNCTION("""COMPUTED_VALUE"""),"Strainatate")</f>
        <v>Strainatate</v>
      </c>
      <c r="R502" s="5" t="str">
        <f ca="1">IFERROR(__xludf.DUMMYFUNCTION("""COMPUTED_VALUE"""),"Moldova")</f>
        <v>Moldova</v>
      </c>
      <c r="S502" s="5" t="str">
        <f ca="1">IFERROR(__xludf.DUMMYFUNCTION("""COMPUTED_VALUE"""),"Ruxandra")</f>
        <v>Ruxandra</v>
      </c>
      <c r="T502" s="7" t="str">
        <f ca="1">IFERROR(__xludf.DUMMYFUNCTION("""COMPUTED_VALUE"""),"http://www.ms.ro/2020/05/18/buletin-informativ-18-05-2020/")</f>
        <v>http://www.ms.ro/2020/05/18/buletin-informativ-18-05-2020/</v>
      </c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2.5">
      <c r="A503" s="5">
        <f ca="1">IFERROR(__xludf.DUMMYFUNCTION("""COMPUTED_VALUE"""),16896)</f>
        <v>16896</v>
      </c>
      <c r="B503" s="5"/>
      <c r="C503" s="5" t="str">
        <f ca="1">IFERROR(__xludf.DUMMYFUNCTION("""COMPUTED_VALUE"""),"Bihor")</f>
        <v>Bihor</v>
      </c>
      <c r="D503" s="13">
        <f ca="1">IFERROR(__xludf.DUMMYFUNCTION("""COMPUTED_VALUE"""),43969)</f>
        <v>43969</v>
      </c>
      <c r="E503" s="5" t="str">
        <f ca="1">IFERROR(__xludf.DUMMYFUNCTION("""COMPUTED_VALUE"""),"Nu")</f>
        <v>Nu</v>
      </c>
      <c r="F503" s="5"/>
      <c r="G503" s="5"/>
      <c r="H503" s="6"/>
      <c r="I503" s="5"/>
      <c r="J503" s="5"/>
      <c r="K503" s="7" t="str">
        <f ca="1">IFERROR(__xludf.DUMMYFUNCTION("""COMPUTED_VALUE"""),"https://stirioficiale.ro/informatii/buletin-de-presa-18-mai-2020-ora-13-00")</f>
        <v>https://stirioficiale.ro/informatii/buletin-de-presa-18-mai-2020-ora-13-00</v>
      </c>
      <c r="L503" s="5"/>
      <c r="M503" s="5"/>
      <c r="N503" s="5"/>
      <c r="O503" s="5"/>
      <c r="P503" s="5"/>
      <c r="Q503" s="5"/>
      <c r="R503" s="5" t="str">
        <f ca="1">IFERROR(__xludf.DUMMYFUNCTION("""COMPUTED_VALUE"""),"România")</f>
        <v>România</v>
      </c>
      <c r="S503" s="5" t="str">
        <f ca="1">IFERROR(__xludf.DUMMYFUNCTION("""COMPUTED_VALUE"""),"Octavian")</f>
        <v>Octavian</v>
      </c>
      <c r="T503" s="7" t="str">
        <f ca="1">IFERROR(__xludf.DUMMYFUNCTION("""COMPUTED_VALUE"""),"http://www.ms.ro/2020/05/18/buletin-informativ-18-05-2020/")</f>
        <v>http://www.ms.ro/2020/05/18/buletin-informativ-18-05-2020/</v>
      </c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ht="12.5">
      <c r="A504" s="5">
        <f ca="1">IFERROR(__xludf.DUMMYFUNCTION("""COMPUTED_VALUE"""),16897)</f>
        <v>16897</v>
      </c>
      <c r="B504" s="5"/>
      <c r="C504" s="5" t="str">
        <f ca="1">IFERROR(__xludf.DUMMYFUNCTION("""COMPUTED_VALUE"""),"Bihor")</f>
        <v>Bihor</v>
      </c>
      <c r="D504" s="13">
        <f ca="1">IFERROR(__xludf.DUMMYFUNCTION("""COMPUTED_VALUE"""),43969)</f>
        <v>43969</v>
      </c>
      <c r="E504" s="5" t="str">
        <f ca="1">IFERROR(__xludf.DUMMYFUNCTION("""COMPUTED_VALUE"""),"Nu")</f>
        <v>Nu</v>
      </c>
      <c r="F504" s="5"/>
      <c r="G504" s="5"/>
      <c r="H504" s="6"/>
      <c r="I504" s="5"/>
      <c r="J504" s="5"/>
      <c r="K504" s="7" t="str">
        <f ca="1">IFERROR(__xludf.DUMMYFUNCTION("""COMPUTED_VALUE"""),"https://stirioficiale.ro/informatii/buletin-de-presa-18-mai-2020-ora-13-00")</f>
        <v>https://stirioficiale.ro/informatii/buletin-de-presa-18-mai-2020-ora-13-00</v>
      </c>
      <c r="L504" s="5"/>
      <c r="M504" s="5"/>
      <c r="N504" s="5"/>
      <c r="O504" s="5"/>
      <c r="P504" s="5"/>
      <c r="Q504" s="5"/>
      <c r="R504" s="5" t="str">
        <f ca="1">IFERROR(__xludf.DUMMYFUNCTION("""COMPUTED_VALUE"""),"România")</f>
        <v>România</v>
      </c>
      <c r="S504" s="5" t="str">
        <f ca="1">IFERROR(__xludf.DUMMYFUNCTION("""COMPUTED_VALUE"""),"Octavian")</f>
        <v>Octavian</v>
      </c>
      <c r="T504" s="7" t="str">
        <f ca="1">IFERROR(__xludf.DUMMYFUNCTION("""COMPUTED_VALUE"""),"http://www.ms.ro/2020/05/18/buletin-informativ-18-05-2020/")</f>
        <v>http://www.ms.ro/2020/05/18/buletin-informativ-18-05-2020/</v>
      </c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2.5">
      <c r="A505" s="5">
        <f ca="1">IFERROR(__xludf.DUMMYFUNCTION("""COMPUTED_VALUE"""),16898)</f>
        <v>16898</v>
      </c>
      <c r="B505" s="5"/>
      <c r="C505" s="5" t="str">
        <f ca="1">IFERROR(__xludf.DUMMYFUNCTION("""COMPUTED_VALUE"""),"Bihor")</f>
        <v>Bihor</v>
      </c>
      <c r="D505" s="13">
        <f ca="1">IFERROR(__xludf.DUMMYFUNCTION("""COMPUTED_VALUE"""),43969)</f>
        <v>43969</v>
      </c>
      <c r="E505" s="5" t="str">
        <f ca="1">IFERROR(__xludf.DUMMYFUNCTION("""COMPUTED_VALUE"""),"Nu")</f>
        <v>Nu</v>
      </c>
      <c r="F505" s="5"/>
      <c r="G505" s="5"/>
      <c r="H505" s="6"/>
      <c r="I505" s="5"/>
      <c r="J505" s="5"/>
      <c r="K505" s="7" t="str">
        <f ca="1">IFERROR(__xludf.DUMMYFUNCTION("""COMPUTED_VALUE"""),"https://stirioficiale.ro/informatii/buletin-de-presa-18-mai-2020-ora-13-00")</f>
        <v>https://stirioficiale.ro/informatii/buletin-de-presa-18-mai-2020-ora-13-00</v>
      </c>
      <c r="L505" s="5"/>
      <c r="M505" s="5"/>
      <c r="N505" s="5"/>
      <c r="O505" s="5"/>
      <c r="P505" s="5"/>
      <c r="Q505" s="5"/>
      <c r="R505" s="5" t="str">
        <f ca="1">IFERROR(__xludf.DUMMYFUNCTION("""COMPUTED_VALUE"""),"România")</f>
        <v>România</v>
      </c>
      <c r="S505" s="5" t="str">
        <f ca="1">IFERROR(__xludf.DUMMYFUNCTION("""COMPUTED_VALUE"""),"Octavian")</f>
        <v>Octavian</v>
      </c>
      <c r="T505" s="7" t="str">
        <f ca="1">IFERROR(__xludf.DUMMYFUNCTION("""COMPUTED_VALUE"""),"http://www.ms.ro/2020/05/18/buletin-informativ-18-05-2020/")</f>
        <v>http://www.ms.ro/2020/05/18/buletin-informativ-18-05-2020/</v>
      </c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ht="12.5">
      <c r="A506" s="5">
        <f ca="1">IFERROR(__xludf.DUMMYFUNCTION("""COMPUTED_VALUE"""),17054)</f>
        <v>17054</v>
      </c>
      <c r="B506" s="5"/>
      <c r="C506" s="5" t="str">
        <f ca="1">IFERROR(__xludf.DUMMYFUNCTION("""COMPUTED_VALUE"""),"Bihor")</f>
        <v>Bihor</v>
      </c>
      <c r="D506" s="13">
        <f ca="1">IFERROR(__xludf.DUMMYFUNCTION("""COMPUTED_VALUE"""),43970)</f>
        <v>43970</v>
      </c>
      <c r="E506" s="5" t="str">
        <f ca="1">IFERROR(__xludf.DUMMYFUNCTION("""COMPUTED_VALUE"""),"Da")</f>
        <v>Da</v>
      </c>
      <c r="F506" s="5" t="str">
        <f ca="1">IFERROR(__xludf.DUMMYFUNCTION("""COMPUTED_VALUE"""),"Nu")</f>
        <v>Nu</v>
      </c>
      <c r="G506" s="5"/>
      <c r="H506" s="6">
        <f ca="1">IFERROR(__xludf.DUMMYFUNCTION("""COMPUTED_VALUE"""),43979)</f>
        <v>43979</v>
      </c>
      <c r="I506" s="5" t="str">
        <f ca="1">IFERROR(__xludf.DUMMYFUNCTION("""COMPUTED_VALUE"""),"Feminin")</f>
        <v>Feminin</v>
      </c>
      <c r="J506" s="5">
        <f ca="1">IFERROR(__xludf.DUMMYFUNCTION("""COMPUTED_VALUE"""),69)</f>
        <v>69</v>
      </c>
      <c r="K506" s="7" t="str">
        <f ca="1">IFERROR(__xludf.DUMMYFUNCTION("""COMPUTED_VALUE"""),"https://stirioficiale.ro/informatii/buletin-de-presa-19-mai-2020-ora-13-00")</f>
        <v>https://stirioficiale.ro/informatii/buletin-de-presa-19-mai-2020-ora-13-00</v>
      </c>
      <c r="L506" s="7" t="str">
        <f ca="1">IFERROR(__xludf.DUMMYFUNCTION("""COMPUTED_VALUE"""),"http://www.ms.ro/2020/05/28/decese-1230-1231/")</f>
        <v>http://www.ms.ro/2020/05/28/decese-1230-1231/</v>
      </c>
      <c r="M506" s="5"/>
      <c r="N506" s="5"/>
      <c r="O506" s="5" t="str">
        <f ca="1">IFERROR(__xludf.DUMMYFUNCTION("""COMPUTED_VALUE"""),"Obezitate, HTA, BPOC, cardiopatie ischemică, bloc de ramură stânga, insuficiență renală cronică")</f>
        <v>Obezitate, HTA, BPOC, cardiopatie ischemică, bloc de ramură stânga, insuficiență renală cronică</v>
      </c>
      <c r="P506" s="5" t="str">
        <f ca="1">IFERROR(__xludf.DUMMYFUNCTION("""COMPUTED_VALUE"""),"Deces 1230. Confirmată 19.05.")</f>
        <v>Deces 1230. Confirmată 19.05.</v>
      </c>
      <c r="Q506" s="5"/>
      <c r="R506" s="5" t="str">
        <f ca="1">IFERROR(__xludf.DUMMYFUNCTION("""COMPUTED_VALUE"""),"România")</f>
        <v>România</v>
      </c>
      <c r="S506" s="5" t="str">
        <f ca="1">IFERROR(__xludf.DUMMYFUNCTION("""COMPUTED_VALUE"""),"Octavian")</f>
        <v>Octavian</v>
      </c>
      <c r="T506" s="7" t="str">
        <f ca="1">IFERROR(__xludf.DUMMYFUNCTION("""COMPUTED_VALUE"""),"http://www.ms.ro/2020/05/19/buletin-informativ-19-05-2020/")</f>
        <v>http://www.ms.ro/2020/05/19/buletin-informativ-19-05-2020/</v>
      </c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2.5">
      <c r="A507" s="5">
        <f ca="1">IFERROR(__xludf.DUMMYFUNCTION("""COMPUTED_VALUE"""),17055)</f>
        <v>17055</v>
      </c>
      <c r="B507" s="5"/>
      <c r="C507" s="5" t="str">
        <f ca="1">IFERROR(__xludf.DUMMYFUNCTION("""COMPUTED_VALUE"""),"Bihor")</f>
        <v>Bihor</v>
      </c>
      <c r="D507" s="13">
        <f ca="1">IFERROR(__xludf.DUMMYFUNCTION("""COMPUTED_VALUE"""),43970)</f>
        <v>43970</v>
      </c>
      <c r="E507" s="5" t="str">
        <f ca="1">IFERROR(__xludf.DUMMYFUNCTION("""COMPUTED_VALUE"""),"Nu")</f>
        <v>Nu</v>
      </c>
      <c r="F507" s="5"/>
      <c r="G507" s="5"/>
      <c r="H507" s="6"/>
      <c r="I507" s="5"/>
      <c r="J507" s="5"/>
      <c r="K507" s="7" t="str">
        <f ca="1">IFERROR(__xludf.DUMMYFUNCTION("""COMPUTED_VALUE"""),"https://stirioficiale.ro/informatii/buletin-de-presa-19-mai-2020-ora-13-00")</f>
        <v>https://stirioficiale.ro/informatii/buletin-de-presa-19-mai-2020-ora-13-00</v>
      </c>
      <c r="L507" s="5"/>
      <c r="M507" s="5"/>
      <c r="N507" s="5"/>
      <c r="O507" s="5"/>
      <c r="P507" s="5"/>
      <c r="Q507" s="5"/>
      <c r="R507" s="5" t="str">
        <f ca="1">IFERROR(__xludf.DUMMYFUNCTION("""COMPUTED_VALUE"""),"România")</f>
        <v>România</v>
      </c>
      <c r="S507" s="5" t="str">
        <f ca="1">IFERROR(__xludf.DUMMYFUNCTION("""COMPUTED_VALUE"""),"Octavian")</f>
        <v>Octavian</v>
      </c>
      <c r="T507" s="7" t="str">
        <f ca="1">IFERROR(__xludf.DUMMYFUNCTION("""COMPUTED_VALUE"""),"http://www.ms.ro/2020/05/19/buletin-informativ-19-05-2020/")</f>
        <v>http://www.ms.ro/2020/05/19/buletin-informativ-19-05-2020/</v>
      </c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ht="12.5">
      <c r="A508" s="5">
        <f ca="1">IFERROR(__xludf.DUMMYFUNCTION("""COMPUTED_VALUE"""),17056)</f>
        <v>17056</v>
      </c>
      <c r="B508" s="5"/>
      <c r="C508" s="5" t="str">
        <f ca="1">IFERROR(__xludf.DUMMYFUNCTION("""COMPUTED_VALUE"""),"Bihor")</f>
        <v>Bihor</v>
      </c>
      <c r="D508" s="13">
        <f ca="1">IFERROR(__xludf.DUMMYFUNCTION("""COMPUTED_VALUE"""),43970)</f>
        <v>43970</v>
      </c>
      <c r="E508" s="5" t="str">
        <f ca="1">IFERROR(__xludf.DUMMYFUNCTION("""COMPUTED_VALUE"""),"Nu")</f>
        <v>Nu</v>
      </c>
      <c r="F508" s="5"/>
      <c r="G508" s="5"/>
      <c r="H508" s="6"/>
      <c r="I508" s="5"/>
      <c r="J508" s="5"/>
      <c r="K508" s="7" t="str">
        <f ca="1">IFERROR(__xludf.DUMMYFUNCTION("""COMPUTED_VALUE"""),"https://stirioficiale.ro/informatii/buletin-de-presa-19-mai-2020-ora-13-00")</f>
        <v>https://stirioficiale.ro/informatii/buletin-de-presa-19-mai-2020-ora-13-00</v>
      </c>
      <c r="L508" s="5"/>
      <c r="M508" s="5"/>
      <c r="N508" s="5"/>
      <c r="O508" s="5"/>
      <c r="P508" s="5"/>
      <c r="Q508" s="5"/>
      <c r="R508" s="5" t="str">
        <f ca="1">IFERROR(__xludf.DUMMYFUNCTION("""COMPUTED_VALUE"""),"România")</f>
        <v>România</v>
      </c>
      <c r="S508" s="5" t="str">
        <f ca="1">IFERROR(__xludf.DUMMYFUNCTION("""COMPUTED_VALUE"""),"Octavian")</f>
        <v>Octavian</v>
      </c>
      <c r="T508" s="7" t="str">
        <f ca="1">IFERROR(__xludf.DUMMYFUNCTION("""COMPUTED_VALUE"""),"http://www.ms.ro/2020/05/19/buletin-informativ-19-05-2020/")</f>
        <v>http://www.ms.ro/2020/05/19/buletin-informativ-19-05-2020/</v>
      </c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2.5">
      <c r="A509" s="5">
        <f ca="1">IFERROR(__xludf.DUMMYFUNCTION("""COMPUTED_VALUE"""),17057)</f>
        <v>17057</v>
      </c>
      <c r="B509" s="5"/>
      <c r="C509" s="5" t="str">
        <f ca="1">IFERROR(__xludf.DUMMYFUNCTION("""COMPUTED_VALUE"""),"Bihor")</f>
        <v>Bihor</v>
      </c>
      <c r="D509" s="13">
        <f ca="1">IFERROR(__xludf.DUMMYFUNCTION("""COMPUTED_VALUE"""),43970)</f>
        <v>43970</v>
      </c>
      <c r="E509" s="5" t="str">
        <f ca="1">IFERROR(__xludf.DUMMYFUNCTION("""COMPUTED_VALUE"""),"Nu")</f>
        <v>Nu</v>
      </c>
      <c r="F509" s="5"/>
      <c r="G509" s="5"/>
      <c r="H509" s="6"/>
      <c r="I509" s="5"/>
      <c r="J509" s="5"/>
      <c r="K509" s="7" t="str">
        <f ca="1">IFERROR(__xludf.DUMMYFUNCTION("""COMPUTED_VALUE"""),"https://stirioficiale.ro/informatii/buletin-de-presa-19-mai-2020-ora-13-00")</f>
        <v>https://stirioficiale.ro/informatii/buletin-de-presa-19-mai-2020-ora-13-00</v>
      </c>
      <c r="L509" s="5"/>
      <c r="M509" s="5"/>
      <c r="N509" s="5"/>
      <c r="O509" s="5"/>
      <c r="P509" s="5"/>
      <c r="Q509" s="5"/>
      <c r="R509" s="5" t="str">
        <f ca="1">IFERROR(__xludf.DUMMYFUNCTION("""COMPUTED_VALUE"""),"România")</f>
        <v>România</v>
      </c>
      <c r="S509" s="5" t="str">
        <f ca="1">IFERROR(__xludf.DUMMYFUNCTION("""COMPUTED_VALUE"""),"Octavian")</f>
        <v>Octavian</v>
      </c>
      <c r="T509" s="7" t="str">
        <f ca="1">IFERROR(__xludf.DUMMYFUNCTION("""COMPUTED_VALUE"""),"http://www.ms.ro/2020/05/19/buletin-informativ-19-05-2020/")</f>
        <v>http://www.ms.ro/2020/05/19/buletin-informativ-19-05-2020/</v>
      </c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ht="12.5">
      <c r="A510" s="5">
        <f ca="1">IFERROR(__xludf.DUMMYFUNCTION("""COMPUTED_VALUE"""),17058)</f>
        <v>17058</v>
      </c>
      <c r="B510" s="5"/>
      <c r="C510" s="5" t="str">
        <f ca="1">IFERROR(__xludf.DUMMYFUNCTION("""COMPUTED_VALUE"""),"Bihor")</f>
        <v>Bihor</v>
      </c>
      <c r="D510" s="13">
        <f ca="1">IFERROR(__xludf.DUMMYFUNCTION("""COMPUTED_VALUE"""),43970)</f>
        <v>43970</v>
      </c>
      <c r="E510" s="5" t="str">
        <f ca="1">IFERROR(__xludf.DUMMYFUNCTION("""COMPUTED_VALUE"""),"Nu")</f>
        <v>Nu</v>
      </c>
      <c r="F510" s="5"/>
      <c r="G510" s="5"/>
      <c r="H510" s="6"/>
      <c r="I510" s="5"/>
      <c r="J510" s="5"/>
      <c r="K510" s="7" t="str">
        <f ca="1">IFERROR(__xludf.DUMMYFUNCTION("""COMPUTED_VALUE"""),"https://stirioficiale.ro/informatii/buletin-de-presa-19-mai-2020-ora-13-00")</f>
        <v>https://stirioficiale.ro/informatii/buletin-de-presa-19-mai-2020-ora-13-00</v>
      </c>
      <c r="L510" s="5"/>
      <c r="M510" s="5"/>
      <c r="N510" s="5"/>
      <c r="O510" s="5"/>
      <c r="P510" s="5"/>
      <c r="Q510" s="5"/>
      <c r="R510" s="5" t="str">
        <f ca="1">IFERROR(__xludf.DUMMYFUNCTION("""COMPUTED_VALUE"""),"România")</f>
        <v>România</v>
      </c>
      <c r="S510" s="5" t="str">
        <f ca="1">IFERROR(__xludf.DUMMYFUNCTION("""COMPUTED_VALUE"""),"Octavian")</f>
        <v>Octavian</v>
      </c>
      <c r="T510" s="7" t="str">
        <f ca="1">IFERROR(__xludf.DUMMYFUNCTION("""COMPUTED_VALUE"""),"http://www.ms.ro/2020/05/19/buletin-informativ-19-05-2020/")</f>
        <v>http://www.ms.ro/2020/05/19/buletin-informativ-19-05-2020/</v>
      </c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2.5">
      <c r="A511" s="5">
        <f ca="1">IFERROR(__xludf.DUMMYFUNCTION("""COMPUTED_VALUE"""),17059)</f>
        <v>17059</v>
      </c>
      <c r="B511" s="5"/>
      <c r="C511" s="5" t="str">
        <f ca="1">IFERROR(__xludf.DUMMYFUNCTION("""COMPUTED_VALUE"""),"Bihor")</f>
        <v>Bihor</v>
      </c>
      <c r="D511" s="13">
        <f ca="1">IFERROR(__xludf.DUMMYFUNCTION("""COMPUTED_VALUE"""),43970)</f>
        <v>43970</v>
      </c>
      <c r="E511" s="5" t="str">
        <f ca="1">IFERROR(__xludf.DUMMYFUNCTION("""COMPUTED_VALUE"""),"Nu")</f>
        <v>Nu</v>
      </c>
      <c r="F511" s="5"/>
      <c r="G511" s="5"/>
      <c r="H511" s="6"/>
      <c r="I511" s="5"/>
      <c r="J511" s="5"/>
      <c r="K511" s="7" t="str">
        <f ca="1">IFERROR(__xludf.DUMMYFUNCTION("""COMPUTED_VALUE"""),"https://stirioficiale.ro/informatii/buletin-de-presa-19-mai-2020-ora-13-00")</f>
        <v>https://stirioficiale.ro/informatii/buletin-de-presa-19-mai-2020-ora-13-00</v>
      </c>
      <c r="L511" s="5"/>
      <c r="M511" s="5"/>
      <c r="N511" s="5"/>
      <c r="O511" s="5"/>
      <c r="P511" s="5"/>
      <c r="Q511" s="5"/>
      <c r="R511" s="5" t="str">
        <f ca="1">IFERROR(__xludf.DUMMYFUNCTION("""COMPUTED_VALUE"""),"România")</f>
        <v>România</v>
      </c>
      <c r="S511" s="5" t="str">
        <f ca="1">IFERROR(__xludf.DUMMYFUNCTION("""COMPUTED_VALUE"""),"Octavian")</f>
        <v>Octavian</v>
      </c>
      <c r="T511" s="7" t="str">
        <f ca="1">IFERROR(__xludf.DUMMYFUNCTION("""COMPUTED_VALUE"""),"http://www.ms.ro/2020/05/19/buletin-informativ-19-05-2020/")</f>
        <v>http://www.ms.ro/2020/05/19/buletin-informativ-19-05-2020/</v>
      </c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ht="12.5">
      <c r="A512" s="5">
        <f ca="1">IFERROR(__xludf.DUMMYFUNCTION("""COMPUTED_VALUE"""),17060)</f>
        <v>17060</v>
      </c>
      <c r="B512" s="5"/>
      <c r="C512" s="5" t="str">
        <f ca="1">IFERROR(__xludf.DUMMYFUNCTION("""COMPUTED_VALUE"""),"Bihor")</f>
        <v>Bihor</v>
      </c>
      <c r="D512" s="13">
        <f ca="1">IFERROR(__xludf.DUMMYFUNCTION("""COMPUTED_VALUE"""),43970)</f>
        <v>43970</v>
      </c>
      <c r="E512" s="5" t="str">
        <f ca="1">IFERROR(__xludf.DUMMYFUNCTION("""COMPUTED_VALUE"""),"Nu")</f>
        <v>Nu</v>
      </c>
      <c r="F512" s="5"/>
      <c r="G512" s="5"/>
      <c r="H512" s="6"/>
      <c r="I512" s="5"/>
      <c r="J512" s="5"/>
      <c r="K512" s="7" t="str">
        <f ca="1">IFERROR(__xludf.DUMMYFUNCTION("""COMPUTED_VALUE"""),"https://stirioficiale.ro/informatii/buletin-de-presa-19-mai-2020-ora-13-00")</f>
        <v>https://stirioficiale.ro/informatii/buletin-de-presa-19-mai-2020-ora-13-00</v>
      </c>
      <c r="L512" s="5"/>
      <c r="M512" s="5"/>
      <c r="N512" s="5"/>
      <c r="O512" s="5"/>
      <c r="P512" s="5"/>
      <c r="Q512" s="5"/>
      <c r="R512" s="5" t="str">
        <f ca="1">IFERROR(__xludf.DUMMYFUNCTION("""COMPUTED_VALUE"""),"România")</f>
        <v>România</v>
      </c>
      <c r="S512" s="5" t="str">
        <f ca="1">IFERROR(__xludf.DUMMYFUNCTION("""COMPUTED_VALUE"""),"Octavian")</f>
        <v>Octavian</v>
      </c>
      <c r="T512" s="7" t="str">
        <f ca="1">IFERROR(__xludf.DUMMYFUNCTION("""COMPUTED_VALUE"""),"http://www.ms.ro/2020/05/19/buletin-informativ-19-05-2020/")</f>
        <v>http://www.ms.ro/2020/05/19/buletin-informativ-19-05-2020/</v>
      </c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2.5">
      <c r="A513" s="5">
        <f ca="1">IFERROR(__xludf.DUMMYFUNCTION("""COMPUTED_VALUE"""),17061)</f>
        <v>17061</v>
      </c>
      <c r="B513" s="5"/>
      <c r="C513" s="5" t="str">
        <f ca="1">IFERROR(__xludf.DUMMYFUNCTION("""COMPUTED_VALUE"""),"Bihor")</f>
        <v>Bihor</v>
      </c>
      <c r="D513" s="13">
        <f ca="1">IFERROR(__xludf.DUMMYFUNCTION("""COMPUTED_VALUE"""),43970)</f>
        <v>43970</v>
      </c>
      <c r="E513" s="5" t="str">
        <f ca="1">IFERROR(__xludf.DUMMYFUNCTION("""COMPUTED_VALUE"""),"Nu")</f>
        <v>Nu</v>
      </c>
      <c r="F513" s="5"/>
      <c r="G513" s="5"/>
      <c r="H513" s="6"/>
      <c r="I513" s="5"/>
      <c r="J513" s="5"/>
      <c r="K513" s="7" t="str">
        <f ca="1">IFERROR(__xludf.DUMMYFUNCTION("""COMPUTED_VALUE"""),"https://stirioficiale.ro/informatii/buletin-de-presa-19-mai-2020-ora-13-00")</f>
        <v>https://stirioficiale.ro/informatii/buletin-de-presa-19-mai-2020-ora-13-00</v>
      </c>
      <c r="L513" s="5"/>
      <c r="M513" s="5"/>
      <c r="N513" s="5"/>
      <c r="O513" s="5"/>
      <c r="P513" s="5"/>
      <c r="Q513" s="5"/>
      <c r="R513" s="5" t="str">
        <f ca="1">IFERROR(__xludf.DUMMYFUNCTION("""COMPUTED_VALUE"""),"România")</f>
        <v>România</v>
      </c>
      <c r="S513" s="5" t="str">
        <f ca="1">IFERROR(__xludf.DUMMYFUNCTION("""COMPUTED_VALUE"""),"Octavian")</f>
        <v>Octavian</v>
      </c>
      <c r="T513" s="7" t="str">
        <f ca="1">IFERROR(__xludf.DUMMYFUNCTION("""COMPUTED_VALUE"""),"http://www.ms.ro/2020/05/19/buletin-informativ-19-05-2020/")</f>
        <v>http://www.ms.ro/2020/05/19/buletin-informativ-19-05-2020/</v>
      </c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ht="12.5">
      <c r="A514" s="5">
        <f ca="1">IFERROR(__xludf.DUMMYFUNCTION("""COMPUTED_VALUE"""),17062)</f>
        <v>17062</v>
      </c>
      <c r="B514" s="5"/>
      <c r="C514" s="5" t="str">
        <f ca="1">IFERROR(__xludf.DUMMYFUNCTION("""COMPUTED_VALUE"""),"Bihor")</f>
        <v>Bihor</v>
      </c>
      <c r="D514" s="13">
        <f ca="1">IFERROR(__xludf.DUMMYFUNCTION("""COMPUTED_VALUE"""),43970)</f>
        <v>43970</v>
      </c>
      <c r="E514" s="5" t="str">
        <f ca="1">IFERROR(__xludf.DUMMYFUNCTION("""COMPUTED_VALUE"""),"Nu")</f>
        <v>Nu</v>
      </c>
      <c r="F514" s="5"/>
      <c r="G514" s="5"/>
      <c r="H514" s="6"/>
      <c r="I514" s="5"/>
      <c r="J514" s="5"/>
      <c r="K514" s="7" t="str">
        <f ca="1">IFERROR(__xludf.DUMMYFUNCTION("""COMPUTED_VALUE"""),"https://stirioficiale.ro/informatii/buletin-de-presa-19-mai-2020-ora-13-00")</f>
        <v>https://stirioficiale.ro/informatii/buletin-de-presa-19-mai-2020-ora-13-00</v>
      </c>
      <c r="L514" s="5"/>
      <c r="M514" s="5"/>
      <c r="N514" s="5"/>
      <c r="O514" s="5"/>
      <c r="P514" s="5"/>
      <c r="Q514" s="5"/>
      <c r="R514" s="5" t="str">
        <f ca="1">IFERROR(__xludf.DUMMYFUNCTION("""COMPUTED_VALUE"""),"România")</f>
        <v>România</v>
      </c>
      <c r="S514" s="5" t="str">
        <f ca="1">IFERROR(__xludf.DUMMYFUNCTION("""COMPUTED_VALUE"""),"Octavian")</f>
        <v>Octavian</v>
      </c>
      <c r="T514" s="7" t="str">
        <f ca="1">IFERROR(__xludf.DUMMYFUNCTION("""COMPUTED_VALUE"""),"http://www.ms.ro/2020/05/19/buletin-informativ-19-05-2020/")</f>
        <v>http://www.ms.ro/2020/05/19/buletin-informativ-19-05-2020/</v>
      </c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2.5">
      <c r="A515" s="5">
        <f ca="1">IFERROR(__xludf.DUMMYFUNCTION("""COMPUTED_VALUE"""),17200)</f>
        <v>17200</v>
      </c>
      <c r="B515" s="5"/>
      <c r="C515" s="5" t="str">
        <f ca="1">IFERROR(__xludf.DUMMYFUNCTION("""COMPUTED_VALUE"""),"Bihor")</f>
        <v>Bihor</v>
      </c>
      <c r="D515" s="13">
        <f ca="1">IFERROR(__xludf.DUMMYFUNCTION("""COMPUTED_VALUE"""),43971)</f>
        <v>43971</v>
      </c>
      <c r="E515" s="5" t="str">
        <f ca="1">IFERROR(__xludf.DUMMYFUNCTION("""COMPUTED_VALUE"""),"Nu")</f>
        <v>Nu</v>
      </c>
      <c r="F515" s="5"/>
      <c r="G515" s="5"/>
      <c r="H515" s="6"/>
      <c r="I515" s="5"/>
      <c r="J515" s="5"/>
      <c r="K515" s="7" t="str">
        <f ca="1">IFERROR(__xludf.DUMMYFUNCTION("""COMPUTED_VALUE"""),"https://stirioficiale.ro/informatii/buletin-de-presa-20-mai-2020-ora-13-00")</f>
        <v>https://stirioficiale.ro/informatii/buletin-de-presa-20-mai-2020-ora-13-00</v>
      </c>
      <c r="L515" s="5"/>
      <c r="M515" s="5"/>
      <c r="N515" s="5"/>
      <c r="O515" s="5"/>
      <c r="P515" s="5"/>
      <c r="Q515" s="5"/>
      <c r="R515" s="5" t="str">
        <f ca="1">IFERROR(__xludf.DUMMYFUNCTION("""COMPUTED_VALUE"""),"România")</f>
        <v>România</v>
      </c>
      <c r="S515" s="5" t="str">
        <f ca="1">IFERROR(__xludf.DUMMYFUNCTION("""COMPUTED_VALUE"""),"Octavian")</f>
        <v>Octavian</v>
      </c>
      <c r="T515" s="7" t="str">
        <f ca="1">IFERROR(__xludf.DUMMYFUNCTION("""COMPUTED_VALUE"""),"http://www.ms.ro/2020/05/20/buletin-informativ-20-05-2020/")</f>
        <v>http://www.ms.ro/2020/05/20/buletin-informativ-20-05-2020/</v>
      </c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ht="12.5">
      <c r="A516" s="5">
        <f ca="1">IFERROR(__xludf.DUMMYFUNCTION("""COMPUTED_VALUE"""),17420)</f>
        <v>17420</v>
      </c>
      <c r="B516" s="5"/>
      <c r="C516" s="5" t="str">
        <f ca="1">IFERROR(__xludf.DUMMYFUNCTION("""COMPUTED_VALUE"""),"Bihor")</f>
        <v>Bihor</v>
      </c>
      <c r="D516" s="13">
        <f ca="1">IFERROR(__xludf.DUMMYFUNCTION("""COMPUTED_VALUE"""),43972)</f>
        <v>43972</v>
      </c>
      <c r="E516" s="5" t="str">
        <f ca="1">IFERROR(__xludf.DUMMYFUNCTION("""COMPUTED_VALUE"""),"Nu")</f>
        <v>Nu</v>
      </c>
      <c r="F516" s="5"/>
      <c r="G516" s="5"/>
      <c r="H516" s="6"/>
      <c r="I516" s="5"/>
      <c r="J516" s="5"/>
      <c r="K516" s="7" t="str">
        <f ca="1">IFERROR(__xludf.DUMMYFUNCTION("""COMPUTED_VALUE"""),"https://www.bihon.ro/stirile-judetului-bihor/plexus-confirma-4-angajati-pozitivi-covid-19-inchid-fabrica-temporar-2293555/")</f>
        <v>https://www.bihon.ro/stirile-judetului-bihor/plexus-confirma-4-angajati-pozitivi-covid-19-inchid-fabrica-temporar-2293555/</v>
      </c>
      <c r="L516" s="5"/>
      <c r="M516" s="5"/>
      <c r="N516" s="5"/>
      <c r="O516" s="5"/>
      <c r="P516" s="5" t="str">
        <f ca="1">IFERROR(__xludf.DUMMYFUNCTION("""COMPUTED_VALUE"""),"Angajat Plexus Corp")</f>
        <v>Angajat Plexus Corp</v>
      </c>
      <c r="Q516" s="5" t="str">
        <f ca="1">IFERROR(__xludf.DUMMYFUNCTION("""COMPUTED_VALUE"""),"Comunitar")</f>
        <v>Comunitar</v>
      </c>
      <c r="R516" s="5" t="str">
        <f ca="1">IFERROR(__xludf.DUMMYFUNCTION("""COMPUTED_VALUE"""),"România")</f>
        <v>România</v>
      </c>
      <c r="S516" s="5" t="str">
        <f ca="1">IFERROR(__xludf.DUMMYFUNCTION("""COMPUTED_VALUE"""),"Ruxandra")</f>
        <v>Ruxandra</v>
      </c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2.5">
      <c r="A517" s="5">
        <f ca="1">IFERROR(__xludf.DUMMYFUNCTION("""COMPUTED_VALUE"""),17421)</f>
        <v>17421</v>
      </c>
      <c r="B517" s="5"/>
      <c r="C517" s="5" t="str">
        <f ca="1">IFERROR(__xludf.DUMMYFUNCTION("""COMPUTED_VALUE"""),"Bihor")</f>
        <v>Bihor</v>
      </c>
      <c r="D517" s="13">
        <f ca="1">IFERROR(__xludf.DUMMYFUNCTION("""COMPUTED_VALUE"""),43972)</f>
        <v>43972</v>
      </c>
      <c r="E517" s="5" t="str">
        <f ca="1">IFERROR(__xludf.DUMMYFUNCTION("""COMPUTED_VALUE"""),"Nu")</f>
        <v>Nu</v>
      </c>
      <c r="F517" s="5"/>
      <c r="G517" s="5"/>
      <c r="H517" s="6"/>
      <c r="I517" s="5"/>
      <c r="J517" s="5"/>
      <c r="K517" s="7" t="str">
        <f ca="1">IFERROR(__xludf.DUMMYFUNCTION("""COMPUTED_VALUE"""),"https://stirioficiale.ro/informatii/buletin-de-presa-21-mai-2020-ora-13-00")</f>
        <v>https://stirioficiale.ro/informatii/buletin-de-presa-21-mai-2020-ora-13-00</v>
      </c>
      <c r="L517" s="5"/>
      <c r="M517" s="5"/>
      <c r="N517" s="5"/>
      <c r="O517" s="5"/>
      <c r="P517" s="5"/>
      <c r="Q517" s="5"/>
      <c r="R517" s="5" t="str">
        <f ca="1">IFERROR(__xludf.DUMMYFUNCTION("""COMPUTED_VALUE"""),"România")</f>
        <v>România</v>
      </c>
      <c r="S517" s="5" t="str">
        <f ca="1">IFERROR(__xludf.DUMMYFUNCTION("""COMPUTED_VALUE"""),"Octavian")</f>
        <v>Octavian</v>
      </c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ht="12.5">
      <c r="A518" s="5">
        <f ca="1">IFERROR(__xludf.DUMMYFUNCTION("""COMPUTED_VALUE"""),17422)</f>
        <v>17422</v>
      </c>
      <c r="B518" s="5"/>
      <c r="C518" s="5" t="str">
        <f ca="1">IFERROR(__xludf.DUMMYFUNCTION("""COMPUTED_VALUE"""),"Bihor")</f>
        <v>Bihor</v>
      </c>
      <c r="D518" s="13">
        <f ca="1">IFERROR(__xludf.DUMMYFUNCTION("""COMPUTED_VALUE"""),43972)</f>
        <v>43972</v>
      </c>
      <c r="E518" s="5" t="str">
        <f ca="1">IFERROR(__xludf.DUMMYFUNCTION("""COMPUTED_VALUE"""),"Nu")</f>
        <v>Nu</v>
      </c>
      <c r="F518" s="5"/>
      <c r="G518" s="5"/>
      <c r="H518" s="6"/>
      <c r="I518" s="5"/>
      <c r="J518" s="5"/>
      <c r="K518" s="7" t="str">
        <f ca="1">IFERROR(__xludf.DUMMYFUNCTION("""COMPUTED_VALUE"""),"https://stirioficiale.ro/informatii/buletin-de-presa-21-mai-2020-ora-13-00")</f>
        <v>https://stirioficiale.ro/informatii/buletin-de-presa-21-mai-2020-ora-13-00</v>
      </c>
      <c r="L518" s="5"/>
      <c r="M518" s="5"/>
      <c r="N518" s="5"/>
      <c r="O518" s="5"/>
      <c r="P518" s="5"/>
      <c r="Q518" s="5"/>
      <c r="R518" s="5" t="str">
        <f ca="1">IFERROR(__xludf.DUMMYFUNCTION("""COMPUTED_VALUE"""),"România")</f>
        <v>România</v>
      </c>
      <c r="S518" s="5" t="str">
        <f ca="1">IFERROR(__xludf.DUMMYFUNCTION("""COMPUTED_VALUE"""),"Octavian")</f>
        <v>Octavian</v>
      </c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2.5">
      <c r="A519" s="5">
        <f ca="1">IFERROR(__xludf.DUMMYFUNCTION("""COMPUTED_VALUE"""),17423)</f>
        <v>17423</v>
      </c>
      <c r="B519" s="5"/>
      <c r="C519" s="5" t="str">
        <f ca="1">IFERROR(__xludf.DUMMYFUNCTION("""COMPUTED_VALUE"""),"Bihor")</f>
        <v>Bihor</v>
      </c>
      <c r="D519" s="13">
        <f ca="1">IFERROR(__xludf.DUMMYFUNCTION("""COMPUTED_VALUE"""),43972)</f>
        <v>43972</v>
      </c>
      <c r="E519" s="5" t="str">
        <f ca="1">IFERROR(__xludf.DUMMYFUNCTION("""COMPUTED_VALUE"""),"Nu")</f>
        <v>Nu</v>
      </c>
      <c r="F519" s="5"/>
      <c r="G519" s="5"/>
      <c r="H519" s="6"/>
      <c r="I519" s="5"/>
      <c r="J519" s="5"/>
      <c r="K519" s="7" t="str">
        <f ca="1">IFERROR(__xludf.DUMMYFUNCTION("""COMPUTED_VALUE"""),"https://stirioficiale.ro/informatii/buletin-de-presa-21-mai-2020-ora-13-00")</f>
        <v>https://stirioficiale.ro/informatii/buletin-de-presa-21-mai-2020-ora-13-00</v>
      </c>
      <c r="L519" s="5"/>
      <c r="M519" s="5"/>
      <c r="N519" s="5"/>
      <c r="O519" s="5"/>
      <c r="P519" s="5"/>
      <c r="Q519" s="5"/>
      <c r="R519" s="5" t="str">
        <f ca="1">IFERROR(__xludf.DUMMYFUNCTION("""COMPUTED_VALUE"""),"România")</f>
        <v>România</v>
      </c>
      <c r="S519" s="5" t="str">
        <f ca="1">IFERROR(__xludf.DUMMYFUNCTION("""COMPUTED_VALUE"""),"Octavian")</f>
        <v>Octavian</v>
      </c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ht="12.5">
      <c r="A520" s="5">
        <f ca="1">IFERROR(__xludf.DUMMYFUNCTION("""COMPUTED_VALUE"""),17424)</f>
        <v>17424</v>
      </c>
      <c r="B520" s="5"/>
      <c r="C520" s="5" t="str">
        <f ca="1">IFERROR(__xludf.DUMMYFUNCTION("""COMPUTED_VALUE"""),"Bihor")</f>
        <v>Bihor</v>
      </c>
      <c r="D520" s="13">
        <f ca="1">IFERROR(__xludf.DUMMYFUNCTION("""COMPUTED_VALUE"""),43972)</f>
        <v>43972</v>
      </c>
      <c r="E520" s="5" t="str">
        <f ca="1">IFERROR(__xludf.DUMMYFUNCTION("""COMPUTED_VALUE"""),"Nu")</f>
        <v>Nu</v>
      </c>
      <c r="F520" s="5"/>
      <c r="G520" s="5"/>
      <c r="H520" s="6"/>
      <c r="I520" s="5"/>
      <c r="J520" s="5"/>
      <c r="K520" s="7" t="str">
        <f ca="1">IFERROR(__xludf.DUMMYFUNCTION("""COMPUTED_VALUE"""),"https://stirioficiale.ro/informatii/buletin-de-presa-21-mai-2020-ora-13-00")</f>
        <v>https://stirioficiale.ro/informatii/buletin-de-presa-21-mai-2020-ora-13-00</v>
      </c>
      <c r="L520" s="5"/>
      <c r="M520" s="5"/>
      <c r="N520" s="5"/>
      <c r="O520" s="5"/>
      <c r="P520" s="5"/>
      <c r="Q520" s="5"/>
      <c r="R520" s="5" t="str">
        <f ca="1">IFERROR(__xludf.DUMMYFUNCTION("""COMPUTED_VALUE"""),"România")</f>
        <v>România</v>
      </c>
      <c r="S520" s="5" t="str">
        <f ca="1">IFERROR(__xludf.DUMMYFUNCTION("""COMPUTED_VALUE"""),"Octavian")</f>
        <v>Octavian</v>
      </c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2.5">
      <c r="A521" s="5">
        <f ca="1">IFERROR(__xludf.DUMMYFUNCTION("""COMPUTED_VALUE"""),17425)</f>
        <v>17425</v>
      </c>
      <c r="B521" s="5"/>
      <c r="C521" s="5" t="str">
        <f ca="1">IFERROR(__xludf.DUMMYFUNCTION("""COMPUTED_VALUE"""),"Bihor")</f>
        <v>Bihor</v>
      </c>
      <c r="D521" s="13">
        <f ca="1">IFERROR(__xludf.DUMMYFUNCTION("""COMPUTED_VALUE"""),43972)</f>
        <v>43972</v>
      </c>
      <c r="E521" s="5" t="str">
        <f ca="1">IFERROR(__xludf.DUMMYFUNCTION("""COMPUTED_VALUE"""),"Nu")</f>
        <v>Nu</v>
      </c>
      <c r="F521" s="5"/>
      <c r="G521" s="5"/>
      <c r="H521" s="6"/>
      <c r="I521" s="5"/>
      <c r="J521" s="5"/>
      <c r="K521" s="7" t="str">
        <f ca="1">IFERROR(__xludf.DUMMYFUNCTION("""COMPUTED_VALUE"""),"https://stirioficiale.ro/informatii/buletin-de-presa-21-mai-2020-ora-13-00")</f>
        <v>https://stirioficiale.ro/informatii/buletin-de-presa-21-mai-2020-ora-13-00</v>
      </c>
      <c r="L521" s="5"/>
      <c r="M521" s="5"/>
      <c r="N521" s="5"/>
      <c r="O521" s="5"/>
      <c r="P521" s="5"/>
      <c r="Q521" s="5"/>
      <c r="R521" s="5" t="str">
        <f ca="1">IFERROR(__xludf.DUMMYFUNCTION("""COMPUTED_VALUE"""),"România")</f>
        <v>România</v>
      </c>
      <c r="S521" s="5" t="str">
        <f ca="1">IFERROR(__xludf.DUMMYFUNCTION("""COMPUTED_VALUE"""),"Octavian")</f>
        <v>Octavian</v>
      </c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ht="12.5">
      <c r="A522" s="5">
        <f ca="1">IFERROR(__xludf.DUMMYFUNCTION("""COMPUTED_VALUE"""),17426)</f>
        <v>17426</v>
      </c>
      <c r="B522" s="5"/>
      <c r="C522" s="5" t="str">
        <f ca="1">IFERROR(__xludf.DUMMYFUNCTION("""COMPUTED_VALUE"""),"Bihor")</f>
        <v>Bihor</v>
      </c>
      <c r="D522" s="13">
        <f ca="1">IFERROR(__xludf.DUMMYFUNCTION("""COMPUTED_VALUE"""),43972)</f>
        <v>43972</v>
      </c>
      <c r="E522" s="5" t="str">
        <f ca="1">IFERROR(__xludf.DUMMYFUNCTION("""COMPUTED_VALUE"""),"Nu")</f>
        <v>Nu</v>
      </c>
      <c r="F522" s="5"/>
      <c r="G522" s="5"/>
      <c r="H522" s="6"/>
      <c r="I522" s="5"/>
      <c r="J522" s="5"/>
      <c r="K522" s="7" t="str">
        <f ca="1">IFERROR(__xludf.DUMMYFUNCTION("""COMPUTED_VALUE"""),"https://stirioficiale.ro/informatii/buletin-de-presa-21-mai-2020-ora-13-00")</f>
        <v>https://stirioficiale.ro/informatii/buletin-de-presa-21-mai-2020-ora-13-00</v>
      </c>
      <c r="L522" s="5"/>
      <c r="M522" s="5"/>
      <c r="N522" s="5"/>
      <c r="O522" s="5"/>
      <c r="P522" s="5"/>
      <c r="Q522" s="5"/>
      <c r="R522" s="5" t="str">
        <f ca="1">IFERROR(__xludf.DUMMYFUNCTION("""COMPUTED_VALUE"""),"România")</f>
        <v>România</v>
      </c>
      <c r="S522" s="5" t="str">
        <f ca="1">IFERROR(__xludf.DUMMYFUNCTION("""COMPUTED_VALUE"""),"Octavian")</f>
        <v>Octavian</v>
      </c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2.5">
      <c r="A523" s="5">
        <f ca="1">IFERROR(__xludf.DUMMYFUNCTION("""COMPUTED_VALUE"""),17427)</f>
        <v>17427</v>
      </c>
      <c r="B523" s="5"/>
      <c r="C523" s="5" t="str">
        <f ca="1">IFERROR(__xludf.DUMMYFUNCTION("""COMPUTED_VALUE"""),"Bihor")</f>
        <v>Bihor</v>
      </c>
      <c r="D523" s="13">
        <f ca="1">IFERROR(__xludf.DUMMYFUNCTION("""COMPUTED_VALUE"""),43972)</f>
        <v>43972</v>
      </c>
      <c r="E523" s="5" t="str">
        <f ca="1">IFERROR(__xludf.DUMMYFUNCTION("""COMPUTED_VALUE"""),"Nu")</f>
        <v>Nu</v>
      </c>
      <c r="F523" s="5"/>
      <c r="G523" s="5"/>
      <c r="H523" s="6"/>
      <c r="I523" s="5"/>
      <c r="J523" s="5"/>
      <c r="K523" s="7" t="str">
        <f ca="1">IFERROR(__xludf.DUMMYFUNCTION("""COMPUTED_VALUE"""),"https://stirioficiale.ro/informatii/buletin-de-presa-21-mai-2020-ora-13-00")</f>
        <v>https://stirioficiale.ro/informatii/buletin-de-presa-21-mai-2020-ora-13-00</v>
      </c>
      <c r="L523" s="5"/>
      <c r="M523" s="5"/>
      <c r="N523" s="5"/>
      <c r="O523" s="5"/>
      <c r="P523" s="5"/>
      <c r="Q523" s="5"/>
      <c r="R523" s="5" t="str">
        <f ca="1">IFERROR(__xludf.DUMMYFUNCTION("""COMPUTED_VALUE"""),"România")</f>
        <v>România</v>
      </c>
      <c r="S523" s="5" t="str">
        <f ca="1">IFERROR(__xludf.DUMMYFUNCTION("""COMPUTED_VALUE"""),"Octavian")</f>
        <v>Octavian</v>
      </c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ht="12.5">
      <c r="A524" s="5">
        <f ca="1">IFERROR(__xludf.DUMMYFUNCTION("""COMPUTED_VALUE"""),17428)</f>
        <v>17428</v>
      </c>
      <c r="B524" s="5"/>
      <c r="C524" s="5" t="str">
        <f ca="1">IFERROR(__xludf.DUMMYFUNCTION("""COMPUTED_VALUE"""),"Bihor")</f>
        <v>Bihor</v>
      </c>
      <c r="D524" s="13">
        <f ca="1">IFERROR(__xludf.DUMMYFUNCTION("""COMPUTED_VALUE"""),43972)</f>
        <v>43972</v>
      </c>
      <c r="E524" s="5" t="str">
        <f ca="1">IFERROR(__xludf.DUMMYFUNCTION("""COMPUTED_VALUE"""),"Nu")</f>
        <v>Nu</v>
      </c>
      <c r="F524" s="5"/>
      <c r="G524" s="5"/>
      <c r="H524" s="6"/>
      <c r="I524" s="5"/>
      <c r="J524" s="5"/>
      <c r="K524" s="7" t="str">
        <f ca="1">IFERROR(__xludf.DUMMYFUNCTION("""COMPUTED_VALUE"""),"https://stirioficiale.ro/informatii/buletin-de-presa-21-mai-2020-ora-13-00")</f>
        <v>https://stirioficiale.ro/informatii/buletin-de-presa-21-mai-2020-ora-13-00</v>
      </c>
      <c r="L524" s="5"/>
      <c r="M524" s="5"/>
      <c r="N524" s="5"/>
      <c r="O524" s="5"/>
      <c r="P524" s="5"/>
      <c r="Q524" s="5"/>
      <c r="R524" s="5" t="str">
        <f ca="1">IFERROR(__xludf.DUMMYFUNCTION("""COMPUTED_VALUE"""),"România")</f>
        <v>România</v>
      </c>
      <c r="S524" s="5" t="str">
        <f ca="1">IFERROR(__xludf.DUMMYFUNCTION("""COMPUTED_VALUE"""),"Octavian")</f>
        <v>Octavian</v>
      </c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2.5">
      <c r="A525" s="5">
        <f ca="1">IFERROR(__xludf.DUMMYFUNCTION("""COMPUTED_VALUE"""),17609)</f>
        <v>17609</v>
      </c>
      <c r="B525" s="5"/>
      <c r="C525" s="5" t="str">
        <f ca="1">IFERROR(__xludf.DUMMYFUNCTION("""COMPUTED_VALUE"""),"Bihor")</f>
        <v>Bihor</v>
      </c>
      <c r="D525" s="13">
        <f ca="1">IFERROR(__xludf.DUMMYFUNCTION("""COMPUTED_VALUE"""),43973)</f>
        <v>43973</v>
      </c>
      <c r="E525" s="5" t="str">
        <f ca="1">IFERROR(__xludf.DUMMYFUNCTION("""COMPUTED_VALUE"""),"Nu")</f>
        <v>Nu</v>
      </c>
      <c r="F525" s="5"/>
      <c r="G525" s="5"/>
      <c r="H525" s="6"/>
      <c r="I525" s="5"/>
      <c r="J525" s="5"/>
      <c r="K525" s="7" t="str">
        <f ca="1">IFERROR(__xludf.DUMMYFUNCTION("""COMPUTED_VALUE"""),"https://stirioficiale.ro/informatii/buletin-de-presa-22-mai-2020-ora-13-00")</f>
        <v>https://stirioficiale.ro/informatii/buletin-de-presa-22-mai-2020-ora-13-00</v>
      </c>
      <c r="L525" s="5"/>
      <c r="M525" s="5"/>
      <c r="N525" s="5"/>
      <c r="O525" s="5"/>
      <c r="P525" s="5"/>
      <c r="Q525" s="5"/>
      <c r="R525" s="5" t="str">
        <f ca="1">IFERROR(__xludf.DUMMYFUNCTION("""COMPUTED_VALUE"""),"România")</f>
        <v>România</v>
      </c>
      <c r="S525" s="5" t="str">
        <f ca="1">IFERROR(__xludf.DUMMYFUNCTION("""COMPUTED_VALUE"""),"Octavian")</f>
        <v>Octavian</v>
      </c>
      <c r="T525" s="7" t="str">
        <f ca="1">IFERROR(__xludf.DUMMYFUNCTION("""COMPUTED_VALUE"""),"http://www.ms.ro/2020/05/22/buletin-informativ-22-05-2020/")</f>
        <v>http://www.ms.ro/2020/05/22/buletin-informativ-22-05-2020/</v>
      </c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ht="12.5">
      <c r="A526" s="5">
        <f ca="1">IFERROR(__xludf.DUMMYFUNCTION("""COMPUTED_VALUE"""),17610)</f>
        <v>17610</v>
      </c>
      <c r="B526" s="5"/>
      <c r="C526" s="5" t="str">
        <f ca="1">IFERROR(__xludf.DUMMYFUNCTION("""COMPUTED_VALUE"""),"Bihor")</f>
        <v>Bihor</v>
      </c>
      <c r="D526" s="13">
        <f ca="1">IFERROR(__xludf.DUMMYFUNCTION("""COMPUTED_VALUE"""),43973)</f>
        <v>43973</v>
      </c>
      <c r="E526" s="5" t="str">
        <f ca="1">IFERROR(__xludf.DUMMYFUNCTION("""COMPUTED_VALUE"""),"Nu")</f>
        <v>Nu</v>
      </c>
      <c r="F526" s="5"/>
      <c r="G526" s="5"/>
      <c r="H526" s="6"/>
      <c r="I526" s="5"/>
      <c r="J526" s="5"/>
      <c r="K526" s="7" t="str">
        <f ca="1">IFERROR(__xludf.DUMMYFUNCTION("""COMPUTED_VALUE"""),"https://stirioficiale.ro/informatii/buletin-de-presa-22-mai-2020-ora-13-00")</f>
        <v>https://stirioficiale.ro/informatii/buletin-de-presa-22-mai-2020-ora-13-00</v>
      </c>
      <c r="L526" s="5"/>
      <c r="M526" s="5"/>
      <c r="N526" s="5"/>
      <c r="O526" s="5"/>
      <c r="P526" s="5"/>
      <c r="Q526" s="5"/>
      <c r="R526" s="5" t="str">
        <f ca="1">IFERROR(__xludf.DUMMYFUNCTION("""COMPUTED_VALUE"""),"România")</f>
        <v>România</v>
      </c>
      <c r="S526" s="5" t="str">
        <f ca="1">IFERROR(__xludf.DUMMYFUNCTION("""COMPUTED_VALUE"""),"Octavian")</f>
        <v>Octavian</v>
      </c>
      <c r="T526" s="7" t="str">
        <f ca="1">IFERROR(__xludf.DUMMYFUNCTION("""COMPUTED_VALUE"""),"http://www.ms.ro/2020/05/22/buletin-informativ-22-05-2020/")</f>
        <v>http://www.ms.ro/2020/05/22/buletin-informativ-22-05-2020/</v>
      </c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2.5">
      <c r="A527" s="5">
        <f ca="1">IFERROR(__xludf.DUMMYFUNCTION("""COMPUTED_VALUE"""),17611)</f>
        <v>17611</v>
      </c>
      <c r="B527" s="5"/>
      <c r="C527" s="5" t="str">
        <f ca="1">IFERROR(__xludf.DUMMYFUNCTION("""COMPUTED_VALUE"""),"Bihor")</f>
        <v>Bihor</v>
      </c>
      <c r="D527" s="13">
        <f ca="1">IFERROR(__xludf.DUMMYFUNCTION("""COMPUTED_VALUE"""),43973)</f>
        <v>43973</v>
      </c>
      <c r="E527" s="5" t="str">
        <f ca="1">IFERROR(__xludf.DUMMYFUNCTION("""COMPUTED_VALUE"""),"Nu")</f>
        <v>Nu</v>
      </c>
      <c r="F527" s="5"/>
      <c r="G527" s="5"/>
      <c r="H527" s="6"/>
      <c r="I527" s="5"/>
      <c r="J527" s="5"/>
      <c r="K527" s="7" t="str">
        <f ca="1">IFERROR(__xludf.DUMMYFUNCTION("""COMPUTED_VALUE"""),"https://stirioficiale.ro/informatii/buletin-de-presa-22-mai-2020-ora-13-00")</f>
        <v>https://stirioficiale.ro/informatii/buletin-de-presa-22-mai-2020-ora-13-00</v>
      </c>
      <c r="L527" s="5"/>
      <c r="M527" s="5"/>
      <c r="N527" s="5"/>
      <c r="O527" s="5"/>
      <c r="P527" s="5"/>
      <c r="Q527" s="5"/>
      <c r="R527" s="5" t="str">
        <f ca="1">IFERROR(__xludf.DUMMYFUNCTION("""COMPUTED_VALUE"""),"România")</f>
        <v>România</v>
      </c>
      <c r="S527" s="5" t="str">
        <f ca="1">IFERROR(__xludf.DUMMYFUNCTION("""COMPUTED_VALUE"""),"Octavian")</f>
        <v>Octavian</v>
      </c>
      <c r="T527" s="7" t="str">
        <f ca="1">IFERROR(__xludf.DUMMYFUNCTION("""COMPUTED_VALUE"""),"http://www.ms.ro/2020/05/22/buletin-informativ-22-05-2020/")</f>
        <v>http://www.ms.ro/2020/05/22/buletin-informativ-22-05-2020/</v>
      </c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ht="12.5">
      <c r="A528" s="5">
        <f ca="1">IFERROR(__xludf.DUMMYFUNCTION("""COMPUTED_VALUE"""),17612)</f>
        <v>17612</v>
      </c>
      <c r="B528" s="5"/>
      <c r="C528" s="5" t="str">
        <f ca="1">IFERROR(__xludf.DUMMYFUNCTION("""COMPUTED_VALUE"""),"Bihor")</f>
        <v>Bihor</v>
      </c>
      <c r="D528" s="13">
        <f ca="1">IFERROR(__xludf.DUMMYFUNCTION("""COMPUTED_VALUE"""),43973)</f>
        <v>43973</v>
      </c>
      <c r="E528" s="5" t="str">
        <f ca="1">IFERROR(__xludf.DUMMYFUNCTION("""COMPUTED_VALUE"""),"Nu")</f>
        <v>Nu</v>
      </c>
      <c r="F528" s="5"/>
      <c r="G528" s="5"/>
      <c r="H528" s="6"/>
      <c r="I528" s="5"/>
      <c r="J528" s="5"/>
      <c r="K528" s="7" t="str">
        <f ca="1">IFERROR(__xludf.DUMMYFUNCTION("""COMPUTED_VALUE"""),"https://stirioficiale.ro/informatii/buletin-de-presa-22-mai-2020-ora-13-00")</f>
        <v>https://stirioficiale.ro/informatii/buletin-de-presa-22-mai-2020-ora-13-00</v>
      </c>
      <c r="L528" s="5"/>
      <c r="M528" s="5"/>
      <c r="N528" s="5"/>
      <c r="O528" s="5"/>
      <c r="P528" s="5"/>
      <c r="Q528" s="5"/>
      <c r="R528" s="5" t="str">
        <f ca="1">IFERROR(__xludf.DUMMYFUNCTION("""COMPUTED_VALUE"""),"România")</f>
        <v>România</v>
      </c>
      <c r="S528" s="5" t="str">
        <f ca="1">IFERROR(__xludf.DUMMYFUNCTION("""COMPUTED_VALUE"""),"Octavian")</f>
        <v>Octavian</v>
      </c>
      <c r="T528" s="7" t="str">
        <f ca="1">IFERROR(__xludf.DUMMYFUNCTION("""COMPUTED_VALUE"""),"http://www.ms.ro/2020/05/22/buletin-informativ-22-05-2020/")</f>
        <v>http://www.ms.ro/2020/05/22/buletin-informativ-22-05-2020/</v>
      </c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2.5">
      <c r="A529" s="5">
        <f ca="1">IFERROR(__xludf.DUMMYFUNCTION("""COMPUTED_VALUE"""),17613)</f>
        <v>17613</v>
      </c>
      <c r="B529" s="5"/>
      <c r="C529" s="5" t="str">
        <f ca="1">IFERROR(__xludf.DUMMYFUNCTION("""COMPUTED_VALUE"""),"Bihor")</f>
        <v>Bihor</v>
      </c>
      <c r="D529" s="13">
        <f ca="1">IFERROR(__xludf.DUMMYFUNCTION("""COMPUTED_VALUE"""),43973)</f>
        <v>43973</v>
      </c>
      <c r="E529" s="5" t="str">
        <f ca="1">IFERROR(__xludf.DUMMYFUNCTION("""COMPUTED_VALUE"""),"Nu")</f>
        <v>Nu</v>
      </c>
      <c r="F529" s="5"/>
      <c r="G529" s="5"/>
      <c r="H529" s="6"/>
      <c r="I529" s="5"/>
      <c r="J529" s="5"/>
      <c r="K529" s="7" t="str">
        <f ca="1">IFERROR(__xludf.DUMMYFUNCTION("""COMPUTED_VALUE"""),"https://stirioficiale.ro/informatii/buletin-de-presa-22-mai-2020-ora-13-00")</f>
        <v>https://stirioficiale.ro/informatii/buletin-de-presa-22-mai-2020-ora-13-00</v>
      </c>
      <c r="L529" s="5"/>
      <c r="M529" s="5"/>
      <c r="N529" s="5"/>
      <c r="O529" s="5"/>
      <c r="P529" s="5"/>
      <c r="Q529" s="5"/>
      <c r="R529" s="5" t="str">
        <f ca="1">IFERROR(__xludf.DUMMYFUNCTION("""COMPUTED_VALUE"""),"România")</f>
        <v>România</v>
      </c>
      <c r="S529" s="5" t="str">
        <f ca="1">IFERROR(__xludf.DUMMYFUNCTION("""COMPUTED_VALUE"""),"Octavian")</f>
        <v>Octavian</v>
      </c>
      <c r="T529" s="7" t="str">
        <f ca="1">IFERROR(__xludf.DUMMYFUNCTION("""COMPUTED_VALUE"""),"http://www.ms.ro/2020/05/22/buletin-informativ-22-05-2020/")</f>
        <v>http://www.ms.ro/2020/05/22/buletin-informativ-22-05-2020/</v>
      </c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ht="12.5">
      <c r="A530" s="5">
        <f ca="1">IFERROR(__xludf.DUMMYFUNCTION("""COMPUTED_VALUE"""),17614)</f>
        <v>17614</v>
      </c>
      <c r="B530" s="5"/>
      <c r="C530" s="5" t="str">
        <f ca="1">IFERROR(__xludf.DUMMYFUNCTION("""COMPUTED_VALUE"""),"Bihor")</f>
        <v>Bihor</v>
      </c>
      <c r="D530" s="13">
        <f ca="1">IFERROR(__xludf.DUMMYFUNCTION("""COMPUTED_VALUE"""),43973)</f>
        <v>43973</v>
      </c>
      <c r="E530" s="5" t="str">
        <f ca="1">IFERROR(__xludf.DUMMYFUNCTION("""COMPUTED_VALUE"""),"Nu")</f>
        <v>Nu</v>
      </c>
      <c r="F530" s="5"/>
      <c r="G530" s="5"/>
      <c r="H530" s="6"/>
      <c r="I530" s="5"/>
      <c r="J530" s="5"/>
      <c r="K530" s="7" t="str">
        <f ca="1">IFERROR(__xludf.DUMMYFUNCTION("""COMPUTED_VALUE"""),"https://stirioficiale.ro/informatii/buletin-de-presa-22-mai-2020-ora-13-00")</f>
        <v>https://stirioficiale.ro/informatii/buletin-de-presa-22-mai-2020-ora-13-00</v>
      </c>
      <c r="L530" s="5"/>
      <c r="M530" s="5"/>
      <c r="N530" s="5"/>
      <c r="O530" s="5"/>
      <c r="P530" s="5"/>
      <c r="Q530" s="5"/>
      <c r="R530" s="5" t="str">
        <f ca="1">IFERROR(__xludf.DUMMYFUNCTION("""COMPUTED_VALUE"""),"România")</f>
        <v>România</v>
      </c>
      <c r="S530" s="5" t="str">
        <f ca="1">IFERROR(__xludf.DUMMYFUNCTION("""COMPUTED_VALUE"""),"Octavian")</f>
        <v>Octavian</v>
      </c>
      <c r="T530" s="7" t="str">
        <f ca="1">IFERROR(__xludf.DUMMYFUNCTION("""COMPUTED_VALUE"""),"http://www.ms.ro/2020/05/22/buletin-informativ-22-05-2020/")</f>
        <v>http://www.ms.ro/2020/05/22/buletin-informativ-22-05-2020/</v>
      </c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2.5">
      <c r="A531" s="5">
        <f ca="1">IFERROR(__xludf.DUMMYFUNCTION("""COMPUTED_VALUE"""),17615)</f>
        <v>17615</v>
      </c>
      <c r="B531" s="5"/>
      <c r="C531" s="5" t="str">
        <f ca="1">IFERROR(__xludf.DUMMYFUNCTION("""COMPUTED_VALUE"""),"Bihor")</f>
        <v>Bihor</v>
      </c>
      <c r="D531" s="13">
        <f ca="1">IFERROR(__xludf.DUMMYFUNCTION("""COMPUTED_VALUE"""),43973)</f>
        <v>43973</v>
      </c>
      <c r="E531" s="5" t="str">
        <f ca="1">IFERROR(__xludf.DUMMYFUNCTION("""COMPUTED_VALUE"""),"Nu")</f>
        <v>Nu</v>
      </c>
      <c r="F531" s="5"/>
      <c r="G531" s="5"/>
      <c r="H531" s="6"/>
      <c r="I531" s="5"/>
      <c r="J531" s="5"/>
      <c r="K531" s="7" t="str">
        <f ca="1">IFERROR(__xludf.DUMMYFUNCTION("""COMPUTED_VALUE"""),"https://stirioficiale.ro/informatii/buletin-de-presa-22-mai-2020-ora-13-00")</f>
        <v>https://stirioficiale.ro/informatii/buletin-de-presa-22-mai-2020-ora-13-00</v>
      </c>
      <c r="L531" s="5"/>
      <c r="M531" s="5"/>
      <c r="N531" s="5"/>
      <c r="O531" s="5"/>
      <c r="P531" s="5"/>
      <c r="Q531" s="5"/>
      <c r="R531" s="5" t="str">
        <f ca="1">IFERROR(__xludf.DUMMYFUNCTION("""COMPUTED_VALUE"""),"România")</f>
        <v>România</v>
      </c>
      <c r="S531" s="5" t="str">
        <f ca="1">IFERROR(__xludf.DUMMYFUNCTION("""COMPUTED_VALUE"""),"Octavian")</f>
        <v>Octavian</v>
      </c>
      <c r="T531" s="7" t="str">
        <f ca="1">IFERROR(__xludf.DUMMYFUNCTION("""COMPUTED_VALUE"""),"http://www.ms.ro/2020/05/22/buletin-informativ-22-05-2020/")</f>
        <v>http://www.ms.ro/2020/05/22/buletin-informativ-22-05-2020/</v>
      </c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ht="12.5">
      <c r="A532" s="5">
        <f ca="1">IFERROR(__xludf.DUMMYFUNCTION("""COMPUTED_VALUE"""),17616)</f>
        <v>17616</v>
      </c>
      <c r="B532" s="5"/>
      <c r="C532" s="5" t="str">
        <f ca="1">IFERROR(__xludf.DUMMYFUNCTION("""COMPUTED_VALUE"""),"Bihor")</f>
        <v>Bihor</v>
      </c>
      <c r="D532" s="13">
        <f ca="1">IFERROR(__xludf.DUMMYFUNCTION("""COMPUTED_VALUE"""),43973)</f>
        <v>43973</v>
      </c>
      <c r="E532" s="5" t="str">
        <f ca="1">IFERROR(__xludf.DUMMYFUNCTION("""COMPUTED_VALUE"""),"Nu")</f>
        <v>Nu</v>
      </c>
      <c r="F532" s="5"/>
      <c r="G532" s="5"/>
      <c r="H532" s="6"/>
      <c r="I532" s="5"/>
      <c r="J532" s="5"/>
      <c r="K532" s="7" t="str">
        <f ca="1">IFERROR(__xludf.DUMMYFUNCTION("""COMPUTED_VALUE"""),"https://stirioficiale.ro/informatii/buletin-de-presa-22-mai-2020-ora-13-00")</f>
        <v>https://stirioficiale.ro/informatii/buletin-de-presa-22-mai-2020-ora-13-00</v>
      </c>
      <c r="L532" s="5"/>
      <c r="M532" s="5"/>
      <c r="N532" s="5"/>
      <c r="O532" s="5"/>
      <c r="P532" s="5"/>
      <c r="Q532" s="5"/>
      <c r="R532" s="5" t="str">
        <f ca="1">IFERROR(__xludf.DUMMYFUNCTION("""COMPUTED_VALUE"""),"România")</f>
        <v>România</v>
      </c>
      <c r="S532" s="5" t="str">
        <f ca="1">IFERROR(__xludf.DUMMYFUNCTION("""COMPUTED_VALUE"""),"Octavian")</f>
        <v>Octavian</v>
      </c>
      <c r="T532" s="7" t="str">
        <f ca="1">IFERROR(__xludf.DUMMYFUNCTION("""COMPUTED_VALUE"""),"http://www.ms.ro/2020/05/22/buletin-informativ-22-05-2020/")</f>
        <v>http://www.ms.ro/2020/05/22/buletin-informativ-22-05-2020/</v>
      </c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2.5">
      <c r="A533" s="5">
        <f ca="1">IFERROR(__xludf.DUMMYFUNCTION("""COMPUTED_VALUE"""),17617)</f>
        <v>17617</v>
      </c>
      <c r="B533" s="5"/>
      <c r="C533" s="5" t="str">
        <f ca="1">IFERROR(__xludf.DUMMYFUNCTION("""COMPUTED_VALUE"""),"Bihor")</f>
        <v>Bihor</v>
      </c>
      <c r="D533" s="13">
        <f ca="1">IFERROR(__xludf.DUMMYFUNCTION("""COMPUTED_VALUE"""),43973)</f>
        <v>43973</v>
      </c>
      <c r="E533" s="5" t="str">
        <f ca="1">IFERROR(__xludf.DUMMYFUNCTION("""COMPUTED_VALUE"""),"Nu")</f>
        <v>Nu</v>
      </c>
      <c r="F533" s="5"/>
      <c r="G533" s="5"/>
      <c r="H533" s="6"/>
      <c r="I533" s="5"/>
      <c r="J533" s="5"/>
      <c r="K533" s="7" t="str">
        <f ca="1">IFERROR(__xludf.DUMMYFUNCTION("""COMPUTED_VALUE"""),"https://stirioficiale.ro/informatii/buletin-de-presa-22-mai-2020-ora-13-00")</f>
        <v>https://stirioficiale.ro/informatii/buletin-de-presa-22-mai-2020-ora-13-00</v>
      </c>
      <c r="L533" s="5"/>
      <c r="M533" s="5"/>
      <c r="N533" s="5"/>
      <c r="O533" s="5"/>
      <c r="P533" s="5"/>
      <c r="Q533" s="5"/>
      <c r="R533" s="5" t="str">
        <f ca="1">IFERROR(__xludf.DUMMYFUNCTION("""COMPUTED_VALUE"""),"România")</f>
        <v>România</v>
      </c>
      <c r="S533" s="5" t="str">
        <f ca="1">IFERROR(__xludf.DUMMYFUNCTION("""COMPUTED_VALUE"""),"Octavian")</f>
        <v>Octavian</v>
      </c>
      <c r="T533" s="7" t="str">
        <f ca="1">IFERROR(__xludf.DUMMYFUNCTION("""COMPUTED_VALUE"""),"http://www.ms.ro/2020/05/22/buletin-informativ-22-05-2020/")</f>
        <v>http://www.ms.ro/2020/05/22/buletin-informativ-22-05-2020/</v>
      </c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ht="12.5">
      <c r="A534" s="5">
        <f ca="1">IFERROR(__xludf.DUMMYFUNCTION("""COMPUTED_VALUE"""),17618)</f>
        <v>17618</v>
      </c>
      <c r="B534" s="5"/>
      <c r="C534" s="5" t="str">
        <f ca="1">IFERROR(__xludf.DUMMYFUNCTION("""COMPUTED_VALUE"""),"Bihor")</f>
        <v>Bihor</v>
      </c>
      <c r="D534" s="13">
        <f ca="1">IFERROR(__xludf.DUMMYFUNCTION("""COMPUTED_VALUE"""),43973)</f>
        <v>43973</v>
      </c>
      <c r="E534" s="5" t="str">
        <f ca="1">IFERROR(__xludf.DUMMYFUNCTION("""COMPUTED_VALUE"""),"Nu")</f>
        <v>Nu</v>
      </c>
      <c r="F534" s="5"/>
      <c r="G534" s="5"/>
      <c r="H534" s="6"/>
      <c r="I534" s="5"/>
      <c r="J534" s="5"/>
      <c r="K534" s="7" t="str">
        <f ca="1">IFERROR(__xludf.DUMMYFUNCTION("""COMPUTED_VALUE"""),"https://stirioficiale.ro/informatii/buletin-de-presa-22-mai-2020-ora-13-00")</f>
        <v>https://stirioficiale.ro/informatii/buletin-de-presa-22-mai-2020-ora-13-00</v>
      </c>
      <c r="L534" s="5"/>
      <c r="M534" s="5"/>
      <c r="N534" s="5"/>
      <c r="O534" s="5"/>
      <c r="P534" s="5"/>
      <c r="Q534" s="5"/>
      <c r="R534" s="5" t="str">
        <f ca="1">IFERROR(__xludf.DUMMYFUNCTION("""COMPUTED_VALUE"""),"România")</f>
        <v>România</v>
      </c>
      <c r="S534" s="5" t="str">
        <f ca="1">IFERROR(__xludf.DUMMYFUNCTION("""COMPUTED_VALUE"""),"Octavian")</f>
        <v>Octavian</v>
      </c>
      <c r="T534" s="7" t="str">
        <f ca="1">IFERROR(__xludf.DUMMYFUNCTION("""COMPUTED_VALUE"""),"http://www.ms.ro/2020/05/22/buletin-informativ-22-05-2020/")</f>
        <v>http://www.ms.ro/2020/05/22/buletin-informativ-22-05-2020/</v>
      </c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2.5">
      <c r="A535" s="5">
        <f ca="1">IFERROR(__xludf.DUMMYFUNCTION("""COMPUTED_VALUE"""),17732)</f>
        <v>17732</v>
      </c>
      <c r="B535" s="5"/>
      <c r="C535" s="5" t="str">
        <f ca="1">IFERROR(__xludf.DUMMYFUNCTION("""COMPUTED_VALUE"""),"Bihor")</f>
        <v>Bihor</v>
      </c>
      <c r="D535" s="13">
        <f ca="1">IFERROR(__xludf.DUMMYFUNCTION("""COMPUTED_VALUE"""),43974)</f>
        <v>43974</v>
      </c>
      <c r="E535" s="5" t="str">
        <f ca="1">IFERROR(__xludf.DUMMYFUNCTION("""COMPUTED_VALUE"""),"Nu")</f>
        <v>Nu</v>
      </c>
      <c r="F535" s="5"/>
      <c r="G535" s="5"/>
      <c r="H535" s="6"/>
      <c r="I535" s="5"/>
      <c r="J535" s="5"/>
      <c r="K535" s="7" t="str">
        <f ca="1">IFERROR(__xludf.DUMMYFUNCTION("""COMPUTED_VALUE"""),"https://stirioficiale.ro/informatii/buletin-de-presa-23-mai-2020-ora-13-00")</f>
        <v>https://stirioficiale.ro/informatii/buletin-de-presa-23-mai-2020-ora-13-00</v>
      </c>
      <c r="L535" s="5"/>
      <c r="M535" s="5"/>
      <c r="N535" s="5"/>
      <c r="O535" s="5"/>
      <c r="P535" s="5"/>
      <c r="Q535" s="5"/>
      <c r="R535" s="5" t="str">
        <f ca="1">IFERROR(__xludf.DUMMYFUNCTION("""COMPUTED_VALUE"""),"România")</f>
        <v>România</v>
      </c>
      <c r="S535" s="5" t="str">
        <f ca="1">IFERROR(__xludf.DUMMYFUNCTION("""COMPUTED_VALUE"""),"Octavian")</f>
        <v>Octavian</v>
      </c>
      <c r="T535" s="7" t="str">
        <f ca="1">IFERROR(__xludf.DUMMYFUNCTION("""COMPUTED_VALUE"""),"http://www.ms.ro/2020/05/23/buletin-informativ-23-05-2020/")</f>
        <v>http://www.ms.ro/2020/05/23/buletin-informativ-23-05-2020/</v>
      </c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ht="12.5">
      <c r="A536" s="5">
        <f ca="1">IFERROR(__xludf.DUMMYFUNCTION("""COMPUTED_VALUE"""),17733)</f>
        <v>17733</v>
      </c>
      <c r="B536" s="5"/>
      <c r="C536" s="5" t="str">
        <f ca="1">IFERROR(__xludf.DUMMYFUNCTION("""COMPUTED_VALUE"""),"Bihor")</f>
        <v>Bihor</v>
      </c>
      <c r="D536" s="13">
        <f ca="1">IFERROR(__xludf.DUMMYFUNCTION("""COMPUTED_VALUE"""),43974)</f>
        <v>43974</v>
      </c>
      <c r="E536" s="5" t="str">
        <f ca="1">IFERROR(__xludf.DUMMYFUNCTION("""COMPUTED_VALUE"""),"Nu")</f>
        <v>Nu</v>
      </c>
      <c r="F536" s="5"/>
      <c r="G536" s="5"/>
      <c r="H536" s="6"/>
      <c r="I536" s="5"/>
      <c r="J536" s="5"/>
      <c r="K536" s="7" t="str">
        <f ca="1">IFERROR(__xludf.DUMMYFUNCTION("""COMPUTED_VALUE"""),"https://stirioficiale.ro/informatii/buletin-de-presa-23-mai-2020-ora-13-00")</f>
        <v>https://stirioficiale.ro/informatii/buletin-de-presa-23-mai-2020-ora-13-00</v>
      </c>
      <c r="L536" s="5"/>
      <c r="M536" s="5"/>
      <c r="N536" s="5"/>
      <c r="O536" s="5"/>
      <c r="P536" s="5"/>
      <c r="Q536" s="5"/>
      <c r="R536" s="5" t="str">
        <f ca="1">IFERROR(__xludf.DUMMYFUNCTION("""COMPUTED_VALUE"""),"România")</f>
        <v>România</v>
      </c>
      <c r="S536" s="5" t="str">
        <f ca="1">IFERROR(__xludf.DUMMYFUNCTION("""COMPUTED_VALUE"""),"Octavian")</f>
        <v>Octavian</v>
      </c>
      <c r="T536" s="7" t="str">
        <f ca="1">IFERROR(__xludf.DUMMYFUNCTION("""COMPUTED_VALUE"""),"http://www.ms.ro/2020/05/23/buletin-informativ-23-05-2020/")</f>
        <v>http://www.ms.ro/2020/05/23/buletin-informativ-23-05-2020/</v>
      </c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2.5">
      <c r="A537" s="5">
        <f ca="1">IFERROR(__xludf.DUMMYFUNCTION("""COMPUTED_VALUE"""),17734)</f>
        <v>17734</v>
      </c>
      <c r="B537" s="5"/>
      <c r="C537" s="5" t="str">
        <f ca="1">IFERROR(__xludf.DUMMYFUNCTION("""COMPUTED_VALUE"""),"Bihor")</f>
        <v>Bihor</v>
      </c>
      <c r="D537" s="13">
        <f ca="1">IFERROR(__xludf.DUMMYFUNCTION("""COMPUTED_VALUE"""),43974)</f>
        <v>43974</v>
      </c>
      <c r="E537" s="5" t="str">
        <f ca="1">IFERROR(__xludf.DUMMYFUNCTION("""COMPUTED_VALUE"""),"Nu")</f>
        <v>Nu</v>
      </c>
      <c r="F537" s="5"/>
      <c r="G537" s="5"/>
      <c r="H537" s="6"/>
      <c r="I537" s="5"/>
      <c r="J537" s="5"/>
      <c r="K537" s="7" t="str">
        <f ca="1">IFERROR(__xludf.DUMMYFUNCTION("""COMPUTED_VALUE"""),"https://stirioficiale.ro/informatii/buletin-de-presa-23-mai-2020-ora-13-00")</f>
        <v>https://stirioficiale.ro/informatii/buletin-de-presa-23-mai-2020-ora-13-00</v>
      </c>
      <c r="L537" s="5"/>
      <c r="M537" s="5"/>
      <c r="N537" s="5"/>
      <c r="O537" s="5"/>
      <c r="P537" s="5"/>
      <c r="Q537" s="5"/>
      <c r="R537" s="5" t="str">
        <f ca="1">IFERROR(__xludf.DUMMYFUNCTION("""COMPUTED_VALUE"""),"România")</f>
        <v>România</v>
      </c>
      <c r="S537" s="5" t="str">
        <f ca="1">IFERROR(__xludf.DUMMYFUNCTION("""COMPUTED_VALUE"""),"Octavian")</f>
        <v>Octavian</v>
      </c>
      <c r="T537" s="7" t="str">
        <f ca="1">IFERROR(__xludf.DUMMYFUNCTION("""COMPUTED_VALUE"""),"http://www.ms.ro/2020/05/23/buletin-informativ-23-05-2020/")</f>
        <v>http://www.ms.ro/2020/05/23/buletin-informativ-23-05-2020/</v>
      </c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ht="12.5">
      <c r="A538" s="5">
        <f ca="1">IFERROR(__xludf.DUMMYFUNCTION("""COMPUTED_VALUE"""),17735)</f>
        <v>17735</v>
      </c>
      <c r="B538" s="5"/>
      <c r="C538" s="5" t="str">
        <f ca="1">IFERROR(__xludf.DUMMYFUNCTION("""COMPUTED_VALUE"""),"Bihor")</f>
        <v>Bihor</v>
      </c>
      <c r="D538" s="13">
        <f ca="1">IFERROR(__xludf.DUMMYFUNCTION("""COMPUTED_VALUE"""),43974)</f>
        <v>43974</v>
      </c>
      <c r="E538" s="5" t="str">
        <f ca="1">IFERROR(__xludf.DUMMYFUNCTION("""COMPUTED_VALUE"""),"Nu")</f>
        <v>Nu</v>
      </c>
      <c r="F538" s="5"/>
      <c r="G538" s="5"/>
      <c r="H538" s="6"/>
      <c r="I538" s="5"/>
      <c r="J538" s="5"/>
      <c r="K538" s="7" t="str">
        <f ca="1">IFERROR(__xludf.DUMMYFUNCTION("""COMPUTED_VALUE"""),"https://stirioficiale.ro/informatii/buletin-de-presa-23-mai-2020-ora-13-00")</f>
        <v>https://stirioficiale.ro/informatii/buletin-de-presa-23-mai-2020-ora-13-00</v>
      </c>
      <c r="L538" s="5"/>
      <c r="M538" s="5"/>
      <c r="N538" s="5"/>
      <c r="O538" s="5"/>
      <c r="P538" s="5"/>
      <c r="Q538" s="5"/>
      <c r="R538" s="5" t="str">
        <f ca="1">IFERROR(__xludf.DUMMYFUNCTION("""COMPUTED_VALUE"""),"România")</f>
        <v>România</v>
      </c>
      <c r="S538" s="5" t="str">
        <f ca="1">IFERROR(__xludf.DUMMYFUNCTION("""COMPUTED_VALUE"""),"Octavian")</f>
        <v>Octavian</v>
      </c>
      <c r="T538" s="7" t="str">
        <f ca="1">IFERROR(__xludf.DUMMYFUNCTION("""COMPUTED_VALUE"""),"http://www.ms.ro/2020/05/23/buletin-informativ-23-05-2020/")</f>
        <v>http://www.ms.ro/2020/05/23/buletin-informativ-23-05-2020/</v>
      </c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2.5">
      <c r="A539" s="5">
        <f ca="1">IFERROR(__xludf.DUMMYFUNCTION("""COMPUTED_VALUE"""),17736)</f>
        <v>17736</v>
      </c>
      <c r="B539" s="5"/>
      <c r="C539" s="5" t="str">
        <f ca="1">IFERROR(__xludf.DUMMYFUNCTION("""COMPUTED_VALUE"""),"Bihor")</f>
        <v>Bihor</v>
      </c>
      <c r="D539" s="13">
        <f ca="1">IFERROR(__xludf.DUMMYFUNCTION("""COMPUTED_VALUE"""),43974)</f>
        <v>43974</v>
      </c>
      <c r="E539" s="5" t="str">
        <f ca="1">IFERROR(__xludf.DUMMYFUNCTION("""COMPUTED_VALUE"""),"Nu")</f>
        <v>Nu</v>
      </c>
      <c r="F539" s="5"/>
      <c r="G539" s="5"/>
      <c r="H539" s="6"/>
      <c r="I539" s="5"/>
      <c r="J539" s="5"/>
      <c r="K539" s="7" t="str">
        <f ca="1">IFERROR(__xludf.DUMMYFUNCTION("""COMPUTED_VALUE"""),"https://stirioficiale.ro/informatii/buletin-de-presa-23-mai-2020-ora-13-00")</f>
        <v>https://stirioficiale.ro/informatii/buletin-de-presa-23-mai-2020-ora-13-00</v>
      </c>
      <c r="L539" s="5"/>
      <c r="M539" s="5"/>
      <c r="N539" s="5"/>
      <c r="O539" s="5"/>
      <c r="P539" s="5"/>
      <c r="Q539" s="5"/>
      <c r="R539" s="5" t="str">
        <f ca="1">IFERROR(__xludf.DUMMYFUNCTION("""COMPUTED_VALUE"""),"România")</f>
        <v>România</v>
      </c>
      <c r="S539" s="5" t="str">
        <f ca="1">IFERROR(__xludf.DUMMYFUNCTION("""COMPUTED_VALUE"""),"Octavian")</f>
        <v>Octavian</v>
      </c>
      <c r="T539" s="7" t="str">
        <f ca="1">IFERROR(__xludf.DUMMYFUNCTION("""COMPUTED_VALUE"""),"http://www.ms.ro/2020/05/23/buletin-informativ-23-05-2020/")</f>
        <v>http://www.ms.ro/2020/05/23/buletin-informativ-23-05-2020/</v>
      </c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ht="12.5">
      <c r="A540" s="5">
        <f ca="1">IFERROR(__xludf.DUMMYFUNCTION("""COMPUTED_VALUE"""),17737)</f>
        <v>17737</v>
      </c>
      <c r="B540" s="5"/>
      <c r="C540" s="5" t="str">
        <f ca="1">IFERROR(__xludf.DUMMYFUNCTION("""COMPUTED_VALUE"""),"Bihor")</f>
        <v>Bihor</v>
      </c>
      <c r="D540" s="13">
        <f ca="1">IFERROR(__xludf.DUMMYFUNCTION("""COMPUTED_VALUE"""),43974)</f>
        <v>43974</v>
      </c>
      <c r="E540" s="5" t="str">
        <f ca="1">IFERROR(__xludf.DUMMYFUNCTION("""COMPUTED_VALUE"""),"Nu")</f>
        <v>Nu</v>
      </c>
      <c r="F540" s="5"/>
      <c r="G540" s="5"/>
      <c r="H540" s="6"/>
      <c r="I540" s="5"/>
      <c r="J540" s="5"/>
      <c r="K540" s="7" t="str">
        <f ca="1">IFERROR(__xludf.DUMMYFUNCTION("""COMPUTED_VALUE"""),"https://stirioficiale.ro/informatii/buletin-de-presa-23-mai-2020-ora-13-00")</f>
        <v>https://stirioficiale.ro/informatii/buletin-de-presa-23-mai-2020-ora-13-00</v>
      </c>
      <c r="L540" s="5"/>
      <c r="M540" s="5"/>
      <c r="N540" s="5"/>
      <c r="O540" s="5"/>
      <c r="P540" s="5"/>
      <c r="Q540" s="5"/>
      <c r="R540" s="5" t="str">
        <f ca="1">IFERROR(__xludf.DUMMYFUNCTION("""COMPUTED_VALUE"""),"România")</f>
        <v>România</v>
      </c>
      <c r="S540" s="5" t="str">
        <f ca="1">IFERROR(__xludf.DUMMYFUNCTION("""COMPUTED_VALUE"""),"Octavian")</f>
        <v>Octavian</v>
      </c>
      <c r="T540" s="7" t="str">
        <f ca="1">IFERROR(__xludf.DUMMYFUNCTION("""COMPUTED_VALUE"""),"http://www.ms.ro/2020/05/23/buletin-informativ-23-05-2020/")</f>
        <v>http://www.ms.ro/2020/05/23/buletin-informativ-23-05-2020/</v>
      </c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2.5">
      <c r="A541" s="5">
        <f ca="1">IFERROR(__xludf.DUMMYFUNCTION("""COMPUTED_VALUE"""),17738)</f>
        <v>17738</v>
      </c>
      <c r="B541" s="5"/>
      <c r="C541" s="5" t="str">
        <f ca="1">IFERROR(__xludf.DUMMYFUNCTION("""COMPUTED_VALUE"""),"Bihor")</f>
        <v>Bihor</v>
      </c>
      <c r="D541" s="13">
        <f ca="1">IFERROR(__xludf.DUMMYFUNCTION("""COMPUTED_VALUE"""),43974)</f>
        <v>43974</v>
      </c>
      <c r="E541" s="5" t="str">
        <f ca="1">IFERROR(__xludf.DUMMYFUNCTION("""COMPUTED_VALUE"""),"Nu")</f>
        <v>Nu</v>
      </c>
      <c r="F541" s="5"/>
      <c r="G541" s="5"/>
      <c r="H541" s="6"/>
      <c r="I541" s="5"/>
      <c r="J541" s="5"/>
      <c r="K541" s="7" t="str">
        <f ca="1">IFERROR(__xludf.DUMMYFUNCTION("""COMPUTED_VALUE"""),"https://stirioficiale.ro/informatii/buletin-de-presa-23-mai-2020-ora-13-00")</f>
        <v>https://stirioficiale.ro/informatii/buletin-de-presa-23-mai-2020-ora-13-00</v>
      </c>
      <c r="L541" s="5"/>
      <c r="M541" s="5"/>
      <c r="N541" s="5"/>
      <c r="O541" s="5"/>
      <c r="P541" s="5"/>
      <c r="Q541" s="5"/>
      <c r="R541" s="5" t="str">
        <f ca="1">IFERROR(__xludf.DUMMYFUNCTION("""COMPUTED_VALUE"""),"România")</f>
        <v>România</v>
      </c>
      <c r="S541" s="5" t="str">
        <f ca="1">IFERROR(__xludf.DUMMYFUNCTION("""COMPUTED_VALUE"""),"Octavian")</f>
        <v>Octavian</v>
      </c>
      <c r="T541" s="7" t="str">
        <f ca="1">IFERROR(__xludf.DUMMYFUNCTION("""COMPUTED_VALUE"""),"http://www.ms.ro/2020/05/23/buletin-informativ-23-05-2020/")</f>
        <v>http://www.ms.ro/2020/05/23/buletin-informativ-23-05-2020/</v>
      </c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ht="12.5">
      <c r="A542" s="5">
        <f ca="1">IFERROR(__xludf.DUMMYFUNCTION("""COMPUTED_VALUE"""),17739)</f>
        <v>17739</v>
      </c>
      <c r="B542" s="5"/>
      <c r="C542" s="5" t="str">
        <f ca="1">IFERROR(__xludf.DUMMYFUNCTION("""COMPUTED_VALUE"""),"Bihor")</f>
        <v>Bihor</v>
      </c>
      <c r="D542" s="13">
        <f ca="1">IFERROR(__xludf.DUMMYFUNCTION("""COMPUTED_VALUE"""),43974)</f>
        <v>43974</v>
      </c>
      <c r="E542" s="5" t="str">
        <f ca="1">IFERROR(__xludf.DUMMYFUNCTION("""COMPUTED_VALUE"""),"Nu")</f>
        <v>Nu</v>
      </c>
      <c r="F542" s="5"/>
      <c r="G542" s="5"/>
      <c r="H542" s="6"/>
      <c r="I542" s="5"/>
      <c r="J542" s="5"/>
      <c r="K542" s="7" t="str">
        <f ca="1">IFERROR(__xludf.DUMMYFUNCTION("""COMPUTED_VALUE"""),"https://stirioficiale.ro/informatii/buletin-de-presa-23-mai-2020-ora-13-00")</f>
        <v>https://stirioficiale.ro/informatii/buletin-de-presa-23-mai-2020-ora-13-00</v>
      </c>
      <c r="L542" s="5"/>
      <c r="M542" s="5"/>
      <c r="N542" s="5"/>
      <c r="O542" s="5"/>
      <c r="P542" s="5"/>
      <c r="Q542" s="5"/>
      <c r="R542" s="5" t="str">
        <f ca="1">IFERROR(__xludf.DUMMYFUNCTION("""COMPUTED_VALUE"""),"România")</f>
        <v>România</v>
      </c>
      <c r="S542" s="5" t="str">
        <f ca="1">IFERROR(__xludf.DUMMYFUNCTION("""COMPUTED_VALUE"""),"Octavian")</f>
        <v>Octavian</v>
      </c>
      <c r="T542" s="7" t="str">
        <f ca="1">IFERROR(__xludf.DUMMYFUNCTION("""COMPUTED_VALUE"""),"http://www.ms.ro/2020/05/23/buletin-informativ-23-05-2020/")</f>
        <v>http://www.ms.ro/2020/05/23/buletin-informativ-23-05-2020/</v>
      </c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2.5">
      <c r="A543" s="5">
        <f ca="1">IFERROR(__xludf.DUMMYFUNCTION("""COMPUTED_VALUE"""),17740)</f>
        <v>17740</v>
      </c>
      <c r="B543" s="5"/>
      <c r="C543" s="5" t="str">
        <f ca="1">IFERROR(__xludf.DUMMYFUNCTION("""COMPUTED_VALUE"""),"Bihor")</f>
        <v>Bihor</v>
      </c>
      <c r="D543" s="13">
        <f ca="1">IFERROR(__xludf.DUMMYFUNCTION("""COMPUTED_VALUE"""),43974)</f>
        <v>43974</v>
      </c>
      <c r="E543" s="5" t="str">
        <f ca="1">IFERROR(__xludf.DUMMYFUNCTION("""COMPUTED_VALUE"""),"Nu")</f>
        <v>Nu</v>
      </c>
      <c r="F543" s="5"/>
      <c r="G543" s="5"/>
      <c r="H543" s="6"/>
      <c r="I543" s="5"/>
      <c r="J543" s="5"/>
      <c r="K543" s="7" t="str">
        <f ca="1">IFERROR(__xludf.DUMMYFUNCTION("""COMPUTED_VALUE"""),"https://stirioficiale.ro/informatii/buletin-de-presa-23-mai-2020-ora-13-00")</f>
        <v>https://stirioficiale.ro/informatii/buletin-de-presa-23-mai-2020-ora-13-00</v>
      </c>
      <c r="L543" s="5"/>
      <c r="M543" s="5"/>
      <c r="N543" s="5"/>
      <c r="O543" s="5"/>
      <c r="P543" s="5"/>
      <c r="Q543" s="5"/>
      <c r="R543" s="5" t="str">
        <f ca="1">IFERROR(__xludf.DUMMYFUNCTION("""COMPUTED_VALUE"""),"România")</f>
        <v>România</v>
      </c>
      <c r="S543" s="5" t="str">
        <f ca="1">IFERROR(__xludf.DUMMYFUNCTION("""COMPUTED_VALUE"""),"Octavian")</f>
        <v>Octavian</v>
      </c>
      <c r="T543" s="7" t="str">
        <f ca="1">IFERROR(__xludf.DUMMYFUNCTION("""COMPUTED_VALUE"""),"http://www.ms.ro/2020/05/23/buletin-informativ-23-05-2020/")</f>
        <v>http://www.ms.ro/2020/05/23/buletin-informativ-23-05-2020/</v>
      </c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ht="12.5">
      <c r="A544" s="5">
        <f ca="1">IFERROR(__xludf.DUMMYFUNCTION("""COMPUTED_VALUE"""),18095)</f>
        <v>18095</v>
      </c>
      <c r="B544" s="5"/>
      <c r="C544" s="5" t="str">
        <f ca="1">IFERROR(__xludf.DUMMYFUNCTION("""COMPUTED_VALUE"""),"Bihor")</f>
        <v>Bihor</v>
      </c>
      <c r="D544" s="13">
        <f ca="1">IFERROR(__xludf.DUMMYFUNCTION("""COMPUTED_VALUE"""),43976)</f>
        <v>43976</v>
      </c>
      <c r="E544" s="5" t="str">
        <f ca="1">IFERROR(__xludf.DUMMYFUNCTION("""COMPUTED_VALUE"""),"Nu")</f>
        <v>Nu</v>
      </c>
      <c r="F544" s="5"/>
      <c r="G544" s="5"/>
      <c r="H544" s="6"/>
      <c r="I544" s="5"/>
      <c r="J544" s="5"/>
      <c r="K544" s="7" t="str">
        <f ca="1">IFERROR(__xludf.DUMMYFUNCTION("""COMPUTED_VALUE"""),"https://stirioficiale.ro/informatii/buletin-de-presa-25-mai-2020-ora-13-00")</f>
        <v>https://stirioficiale.ro/informatii/buletin-de-presa-25-mai-2020-ora-13-00</v>
      </c>
      <c r="L544" s="5"/>
      <c r="M544" s="5"/>
      <c r="N544" s="5"/>
      <c r="O544" s="5"/>
      <c r="P544" s="5"/>
      <c r="Q544" s="5"/>
      <c r="R544" s="5" t="str">
        <f ca="1">IFERROR(__xludf.DUMMYFUNCTION("""COMPUTED_VALUE"""),"România")</f>
        <v>România</v>
      </c>
      <c r="S544" s="5" t="str">
        <f ca="1">IFERROR(__xludf.DUMMYFUNCTION("""COMPUTED_VALUE"""),"Octavian")</f>
        <v>Octavian</v>
      </c>
      <c r="T544" s="7" t="str">
        <f ca="1">IFERROR(__xludf.DUMMYFUNCTION("""COMPUTED_VALUE"""),"http://www.ms.ro/2020/05/25/buletin-informativ-25-05-2020/")</f>
        <v>http://www.ms.ro/2020/05/25/buletin-informativ-25-05-2020/</v>
      </c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2.5">
      <c r="A545" s="5">
        <f ca="1">IFERROR(__xludf.DUMMYFUNCTION("""COMPUTED_VALUE"""),18096)</f>
        <v>18096</v>
      </c>
      <c r="B545" s="5"/>
      <c r="C545" s="5" t="str">
        <f ca="1">IFERROR(__xludf.DUMMYFUNCTION("""COMPUTED_VALUE"""),"Bihor")</f>
        <v>Bihor</v>
      </c>
      <c r="D545" s="13">
        <f ca="1">IFERROR(__xludf.DUMMYFUNCTION("""COMPUTED_VALUE"""),43976)</f>
        <v>43976</v>
      </c>
      <c r="E545" s="5" t="str">
        <f ca="1">IFERROR(__xludf.DUMMYFUNCTION("""COMPUTED_VALUE"""),"Nu")</f>
        <v>Nu</v>
      </c>
      <c r="F545" s="5"/>
      <c r="G545" s="5"/>
      <c r="H545" s="6"/>
      <c r="I545" s="5"/>
      <c r="J545" s="5"/>
      <c r="K545" s="7" t="str">
        <f ca="1">IFERROR(__xludf.DUMMYFUNCTION("""COMPUTED_VALUE"""),"https://stirioficiale.ro/informatii/buletin-de-presa-25-mai-2020-ora-13-00")</f>
        <v>https://stirioficiale.ro/informatii/buletin-de-presa-25-mai-2020-ora-13-00</v>
      </c>
      <c r="L545" s="5"/>
      <c r="M545" s="5"/>
      <c r="N545" s="5"/>
      <c r="O545" s="5"/>
      <c r="P545" s="5"/>
      <c r="Q545" s="5"/>
      <c r="R545" s="5" t="str">
        <f ca="1">IFERROR(__xludf.DUMMYFUNCTION("""COMPUTED_VALUE"""),"România")</f>
        <v>România</v>
      </c>
      <c r="S545" s="5" t="str">
        <f ca="1">IFERROR(__xludf.DUMMYFUNCTION("""COMPUTED_VALUE"""),"Octavian")</f>
        <v>Octavian</v>
      </c>
      <c r="T545" s="7" t="str">
        <f ca="1">IFERROR(__xludf.DUMMYFUNCTION("""COMPUTED_VALUE"""),"http://www.ms.ro/2020/05/25/buletin-informativ-25-05-2020/")</f>
        <v>http://www.ms.ro/2020/05/25/buletin-informativ-25-05-2020/</v>
      </c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ht="12.5">
      <c r="A546" s="5">
        <f ca="1">IFERROR(__xludf.DUMMYFUNCTION("""COMPUTED_VALUE"""),18097)</f>
        <v>18097</v>
      </c>
      <c r="B546" s="5"/>
      <c r="C546" s="5" t="str">
        <f ca="1">IFERROR(__xludf.DUMMYFUNCTION("""COMPUTED_VALUE"""),"Bihor")</f>
        <v>Bihor</v>
      </c>
      <c r="D546" s="13">
        <f ca="1">IFERROR(__xludf.DUMMYFUNCTION("""COMPUTED_VALUE"""),43976)</f>
        <v>43976</v>
      </c>
      <c r="E546" s="5" t="str">
        <f ca="1">IFERROR(__xludf.DUMMYFUNCTION("""COMPUTED_VALUE"""),"Nu")</f>
        <v>Nu</v>
      </c>
      <c r="F546" s="5"/>
      <c r="G546" s="5"/>
      <c r="H546" s="6"/>
      <c r="I546" s="5"/>
      <c r="J546" s="5"/>
      <c r="K546" s="7" t="str">
        <f ca="1">IFERROR(__xludf.DUMMYFUNCTION("""COMPUTED_VALUE"""),"https://stirioficiale.ro/informatii/buletin-de-presa-25-mai-2020-ora-13-00")</f>
        <v>https://stirioficiale.ro/informatii/buletin-de-presa-25-mai-2020-ora-13-00</v>
      </c>
      <c r="L546" s="5"/>
      <c r="M546" s="5"/>
      <c r="N546" s="5"/>
      <c r="O546" s="5"/>
      <c r="P546" s="5"/>
      <c r="Q546" s="5"/>
      <c r="R546" s="5" t="str">
        <f ca="1">IFERROR(__xludf.DUMMYFUNCTION("""COMPUTED_VALUE"""),"România")</f>
        <v>România</v>
      </c>
      <c r="S546" s="5" t="str">
        <f ca="1">IFERROR(__xludf.DUMMYFUNCTION("""COMPUTED_VALUE"""),"Octavian")</f>
        <v>Octavian</v>
      </c>
      <c r="T546" s="7" t="str">
        <f ca="1">IFERROR(__xludf.DUMMYFUNCTION("""COMPUTED_VALUE"""),"http://www.ms.ro/2020/05/25/buletin-informativ-25-05-2020/")</f>
        <v>http://www.ms.ro/2020/05/25/buletin-informativ-25-05-2020/</v>
      </c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2.5">
      <c r="A547" s="5">
        <f ca="1">IFERROR(__xludf.DUMMYFUNCTION("""COMPUTED_VALUE"""),18301)</f>
        <v>18301</v>
      </c>
      <c r="B547" s="5"/>
      <c r="C547" s="5" t="str">
        <f ca="1">IFERROR(__xludf.DUMMYFUNCTION("""COMPUTED_VALUE"""),"Bihor")</f>
        <v>Bihor</v>
      </c>
      <c r="D547" s="13">
        <f ca="1">IFERROR(__xludf.DUMMYFUNCTION("""COMPUTED_VALUE"""),43977)</f>
        <v>43977</v>
      </c>
      <c r="E547" s="5" t="str">
        <f ca="1">IFERROR(__xludf.DUMMYFUNCTION("""COMPUTED_VALUE"""),"Da")</f>
        <v>Da</v>
      </c>
      <c r="F547" s="5" t="str">
        <f ca="1">IFERROR(__xludf.DUMMYFUNCTION("""COMPUTED_VALUE"""),"Nu")</f>
        <v>Nu</v>
      </c>
      <c r="G547" s="5"/>
      <c r="H547" s="6">
        <f ca="1">IFERROR(__xludf.DUMMYFUNCTION("""COMPUTED_VALUE"""),43974)</f>
        <v>43974</v>
      </c>
      <c r="I547" s="5" t="str">
        <f ca="1">IFERROR(__xludf.DUMMYFUNCTION("""COMPUTED_VALUE"""),"Masculin")</f>
        <v>Masculin</v>
      </c>
      <c r="J547" s="5">
        <f ca="1">IFERROR(__xludf.DUMMYFUNCTION("""COMPUTED_VALUE"""),51)</f>
        <v>51</v>
      </c>
      <c r="K547" s="7" t="str">
        <f ca="1">IFERROR(__xludf.DUMMYFUNCTION("""COMPUTED_VALUE"""),"https://stirioficiale.ro/informatii/buletin-de-presa-26-mai-2020-ora-13-00")</f>
        <v>https://stirioficiale.ro/informatii/buletin-de-presa-26-mai-2020-ora-13-00</v>
      </c>
      <c r="L547" s="7" t="str">
        <f ca="1">IFERROR(__xludf.DUMMYFUNCTION("""COMPUTED_VALUE"""),"http://www.ms.ro/2020/05/27/decese-1224-1227/")</f>
        <v>http://www.ms.ro/2020/05/27/decese-1224-1227/</v>
      </c>
      <c r="M547" s="5"/>
      <c r="N547" s="5"/>
      <c r="O547" s="5" t="str">
        <f ca="1">IFERROR(__xludf.DUMMYFUNCTION("""COMPUTED_VALUE"""),"Miocardoscleroză difuză, HTA")</f>
        <v>Miocardoscleroză difuză, HTA</v>
      </c>
      <c r="P547" s="5" t="str">
        <f ca="1">IFERROR(__xludf.DUMMYFUNCTION("""COMPUTED_VALUE"""),"Deces 1224. Confirmat 26.05, fragmente necropice.")</f>
        <v>Deces 1224. Confirmat 26.05, fragmente necropice.</v>
      </c>
      <c r="Q547" s="5"/>
      <c r="R547" s="5" t="str">
        <f ca="1">IFERROR(__xludf.DUMMYFUNCTION("""COMPUTED_VALUE"""),"România")</f>
        <v>România</v>
      </c>
      <c r="S547" s="5" t="str">
        <f ca="1">IFERROR(__xludf.DUMMYFUNCTION("""COMPUTED_VALUE"""),"Octavian")</f>
        <v>Octavian</v>
      </c>
      <c r="T547" s="7" t="str">
        <f ca="1">IFERROR(__xludf.DUMMYFUNCTION("""COMPUTED_VALUE"""),"http://www.ms.ro/2020/05/26/buletin-informativ-26-05-2020/")</f>
        <v>http://www.ms.ro/2020/05/26/buletin-informativ-26-05-2020/</v>
      </c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ht="12.5">
      <c r="A548" s="5">
        <f ca="1">IFERROR(__xludf.DUMMYFUNCTION("""COMPUTED_VALUE"""),18302)</f>
        <v>18302</v>
      </c>
      <c r="B548" s="5"/>
      <c r="C548" s="5" t="str">
        <f ca="1">IFERROR(__xludf.DUMMYFUNCTION("""COMPUTED_VALUE"""),"Bihor")</f>
        <v>Bihor</v>
      </c>
      <c r="D548" s="13">
        <f ca="1">IFERROR(__xludf.DUMMYFUNCTION("""COMPUTED_VALUE"""),43977)</f>
        <v>43977</v>
      </c>
      <c r="E548" s="5" t="str">
        <f ca="1">IFERROR(__xludf.DUMMYFUNCTION("""COMPUTED_VALUE"""),"Nu")</f>
        <v>Nu</v>
      </c>
      <c r="F548" s="5"/>
      <c r="G548" s="5"/>
      <c r="H548" s="6"/>
      <c r="I548" s="5"/>
      <c r="J548" s="5"/>
      <c r="K548" s="7" t="str">
        <f ca="1">IFERROR(__xludf.DUMMYFUNCTION("""COMPUTED_VALUE"""),"https://stirioficiale.ro/informatii/buletin-de-presa-26-mai-2020-ora-13-00")</f>
        <v>https://stirioficiale.ro/informatii/buletin-de-presa-26-mai-2020-ora-13-00</v>
      </c>
      <c r="L548" s="5"/>
      <c r="M548" s="5"/>
      <c r="N548" s="5"/>
      <c r="O548" s="5"/>
      <c r="P548" s="5"/>
      <c r="Q548" s="5"/>
      <c r="R548" s="5" t="str">
        <f ca="1">IFERROR(__xludf.DUMMYFUNCTION("""COMPUTED_VALUE"""),"România")</f>
        <v>România</v>
      </c>
      <c r="S548" s="5" t="str">
        <f ca="1">IFERROR(__xludf.DUMMYFUNCTION("""COMPUTED_VALUE"""),"Octavian")</f>
        <v>Octavian</v>
      </c>
      <c r="T548" s="7" t="str">
        <f ca="1">IFERROR(__xludf.DUMMYFUNCTION("""COMPUTED_VALUE"""),"http://www.ms.ro/2020/05/26/buletin-informativ-26-05-2020/")</f>
        <v>http://www.ms.ro/2020/05/26/buletin-informativ-26-05-2020/</v>
      </c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2.5">
      <c r="A549" s="5">
        <f ca="1">IFERROR(__xludf.DUMMYFUNCTION("""COMPUTED_VALUE"""),18303)</f>
        <v>18303</v>
      </c>
      <c r="B549" s="5"/>
      <c r="C549" s="5" t="str">
        <f ca="1">IFERROR(__xludf.DUMMYFUNCTION("""COMPUTED_VALUE"""),"Bihor")</f>
        <v>Bihor</v>
      </c>
      <c r="D549" s="13">
        <f ca="1">IFERROR(__xludf.DUMMYFUNCTION("""COMPUTED_VALUE"""),43977)</f>
        <v>43977</v>
      </c>
      <c r="E549" s="5" t="str">
        <f ca="1">IFERROR(__xludf.DUMMYFUNCTION("""COMPUTED_VALUE"""),"Nu")</f>
        <v>Nu</v>
      </c>
      <c r="F549" s="5"/>
      <c r="G549" s="5"/>
      <c r="H549" s="6"/>
      <c r="I549" s="5"/>
      <c r="J549" s="5"/>
      <c r="K549" s="7" t="str">
        <f ca="1">IFERROR(__xludf.DUMMYFUNCTION("""COMPUTED_VALUE"""),"https://stirioficiale.ro/informatii/buletin-de-presa-26-mai-2020-ora-13-00")</f>
        <v>https://stirioficiale.ro/informatii/buletin-de-presa-26-mai-2020-ora-13-00</v>
      </c>
      <c r="L549" s="5"/>
      <c r="M549" s="5"/>
      <c r="N549" s="5"/>
      <c r="O549" s="5"/>
      <c r="P549" s="5"/>
      <c r="Q549" s="5"/>
      <c r="R549" s="5" t="str">
        <f ca="1">IFERROR(__xludf.DUMMYFUNCTION("""COMPUTED_VALUE"""),"România")</f>
        <v>România</v>
      </c>
      <c r="S549" s="5" t="str">
        <f ca="1">IFERROR(__xludf.DUMMYFUNCTION("""COMPUTED_VALUE"""),"Octavian")</f>
        <v>Octavian</v>
      </c>
      <c r="T549" s="7" t="str">
        <f ca="1">IFERROR(__xludf.DUMMYFUNCTION("""COMPUTED_VALUE"""),"http://www.ms.ro/2020/05/26/buletin-informativ-26-05-2020/")</f>
        <v>http://www.ms.ro/2020/05/26/buletin-informativ-26-05-2020/</v>
      </c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ht="12.5">
      <c r="A550" s="5">
        <f ca="1">IFERROR(__xludf.DUMMYFUNCTION("""COMPUTED_VALUE"""),18304)</f>
        <v>18304</v>
      </c>
      <c r="B550" s="5"/>
      <c r="C550" s="5" t="str">
        <f ca="1">IFERROR(__xludf.DUMMYFUNCTION("""COMPUTED_VALUE"""),"Bihor")</f>
        <v>Bihor</v>
      </c>
      <c r="D550" s="13">
        <f ca="1">IFERROR(__xludf.DUMMYFUNCTION("""COMPUTED_VALUE"""),43977)</f>
        <v>43977</v>
      </c>
      <c r="E550" s="5" t="str">
        <f ca="1">IFERROR(__xludf.DUMMYFUNCTION("""COMPUTED_VALUE"""),"Nu")</f>
        <v>Nu</v>
      </c>
      <c r="F550" s="5"/>
      <c r="G550" s="5"/>
      <c r="H550" s="6"/>
      <c r="I550" s="5"/>
      <c r="J550" s="5"/>
      <c r="K550" s="7" t="str">
        <f ca="1">IFERROR(__xludf.DUMMYFUNCTION("""COMPUTED_VALUE"""),"https://stirioficiale.ro/informatii/buletin-de-presa-26-mai-2020-ora-13-00")</f>
        <v>https://stirioficiale.ro/informatii/buletin-de-presa-26-mai-2020-ora-13-00</v>
      </c>
      <c r="L550" s="5"/>
      <c r="M550" s="5"/>
      <c r="N550" s="5"/>
      <c r="O550" s="5"/>
      <c r="P550" s="5"/>
      <c r="Q550" s="5"/>
      <c r="R550" s="5" t="str">
        <f ca="1">IFERROR(__xludf.DUMMYFUNCTION("""COMPUTED_VALUE"""),"România")</f>
        <v>România</v>
      </c>
      <c r="S550" s="5" t="str">
        <f ca="1">IFERROR(__xludf.DUMMYFUNCTION("""COMPUTED_VALUE"""),"Octavian")</f>
        <v>Octavian</v>
      </c>
      <c r="T550" s="7" t="str">
        <f ca="1">IFERROR(__xludf.DUMMYFUNCTION("""COMPUTED_VALUE"""),"http://www.ms.ro/2020/05/26/buletin-informativ-26-05-2020/")</f>
        <v>http://www.ms.ro/2020/05/26/buletin-informativ-26-05-2020/</v>
      </c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2.5">
      <c r="A551" s="5">
        <f ca="1">IFERROR(__xludf.DUMMYFUNCTION("""COMPUTED_VALUE"""),18441)</f>
        <v>18441</v>
      </c>
      <c r="B551" s="5"/>
      <c r="C551" s="5" t="str">
        <f ca="1">IFERROR(__xludf.DUMMYFUNCTION("""COMPUTED_VALUE"""),"Bihor")</f>
        <v>Bihor</v>
      </c>
      <c r="D551" s="13">
        <f ca="1">IFERROR(__xludf.DUMMYFUNCTION("""COMPUTED_VALUE"""),43978)</f>
        <v>43978</v>
      </c>
      <c r="E551" s="5" t="str">
        <f ca="1">IFERROR(__xludf.DUMMYFUNCTION("""COMPUTED_VALUE"""),"Nu")</f>
        <v>Nu</v>
      </c>
      <c r="F551" s="5"/>
      <c r="G551" s="5"/>
      <c r="H551" s="6"/>
      <c r="I551" s="5"/>
      <c r="J551" s="5"/>
      <c r="K551" s="7" t="str">
        <f ca="1">IFERROR(__xludf.DUMMYFUNCTION("""COMPUTED_VALUE"""),"https://stirioficiale.ro/informatii/buletin-de-presa-27-mai-2020-ora-13-00")</f>
        <v>https://stirioficiale.ro/informatii/buletin-de-presa-27-mai-2020-ora-13-00</v>
      </c>
      <c r="L551" s="5"/>
      <c r="M551" s="5"/>
      <c r="N551" s="5"/>
      <c r="O551" s="5"/>
      <c r="P551" s="5"/>
      <c r="Q551" s="5"/>
      <c r="R551" s="5" t="str">
        <f ca="1">IFERROR(__xludf.DUMMYFUNCTION("""COMPUTED_VALUE"""),"România")</f>
        <v>România</v>
      </c>
      <c r="S551" s="5" t="str">
        <f ca="1">IFERROR(__xludf.DUMMYFUNCTION("""COMPUTED_VALUE"""),"Octavian")</f>
        <v>Octavian</v>
      </c>
      <c r="T551" s="7" t="str">
        <f ca="1">IFERROR(__xludf.DUMMYFUNCTION("""COMPUTED_VALUE"""),"http://www.ms.ro/2020/05/27/buletin-informativ-26-05-2020-2/")</f>
        <v>http://www.ms.ro/2020/05/27/buletin-informativ-26-05-2020-2/</v>
      </c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ht="12.5">
      <c r="A552" s="5">
        <f ca="1">IFERROR(__xludf.DUMMYFUNCTION("""COMPUTED_VALUE"""),18442)</f>
        <v>18442</v>
      </c>
      <c r="B552" s="5"/>
      <c r="C552" s="5" t="str">
        <f ca="1">IFERROR(__xludf.DUMMYFUNCTION("""COMPUTED_VALUE"""),"Bihor")</f>
        <v>Bihor</v>
      </c>
      <c r="D552" s="13">
        <f ca="1">IFERROR(__xludf.DUMMYFUNCTION("""COMPUTED_VALUE"""),43978)</f>
        <v>43978</v>
      </c>
      <c r="E552" s="5" t="str">
        <f ca="1">IFERROR(__xludf.DUMMYFUNCTION("""COMPUTED_VALUE"""),"Nu")</f>
        <v>Nu</v>
      </c>
      <c r="F552" s="5"/>
      <c r="G552" s="5"/>
      <c r="H552" s="6"/>
      <c r="I552" s="5"/>
      <c r="J552" s="5"/>
      <c r="K552" s="7" t="str">
        <f ca="1">IFERROR(__xludf.DUMMYFUNCTION("""COMPUTED_VALUE"""),"https://stirioficiale.ro/informatii/buletin-de-presa-27-mai-2020-ora-13-00")</f>
        <v>https://stirioficiale.ro/informatii/buletin-de-presa-27-mai-2020-ora-13-00</v>
      </c>
      <c r="L552" s="5"/>
      <c r="M552" s="5"/>
      <c r="N552" s="5"/>
      <c r="O552" s="5"/>
      <c r="P552" s="5"/>
      <c r="Q552" s="5"/>
      <c r="R552" s="5" t="str">
        <f ca="1">IFERROR(__xludf.DUMMYFUNCTION("""COMPUTED_VALUE"""),"România")</f>
        <v>România</v>
      </c>
      <c r="S552" s="5" t="str">
        <f ca="1">IFERROR(__xludf.DUMMYFUNCTION("""COMPUTED_VALUE"""),"Octavian")</f>
        <v>Octavian</v>
      </c>
      <c r="T552" s="7" t="str">
        <f ca="1">IFERROR(__xludf.DUMMYFUNCTION("""COMPUTED_VALUE"""),"http://www.ms.ro/2020/05/27/buletin-informativ-26-05-2020-2/")</f>
        <v>http://www.ms.ro/2020/05/27/buletin-informativ-26-05-2020-2/</v>
      </c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2.5">
      <c r="A553" s="5">
        <f ca="1">IFERROR(__xludf.DUMMYFUNCTION("""COMPUTED_VALUE"""),18443)</f>
        <v>18443</v>
      </c>
      <c r="B553" s="5"/>
      <c r="C553" s="5" t="str">
        <f ca="1">IFERROR(__xludf.DUMMYFUNCTION("""COMPUTED_VALUE"""),"Bihor")</f>
        <v>Bihor</v>
      </c>
      <c r="D553" s="13">
        <f ca="1">IFERROR(__xludf.DUMMYFUNCTION("""COMPUTED_VALUE"""),43978)</f>
        <v>43978</v>
      </c>
      <c r="E553" s="5" t="str">
        <f ca="1">IFERROR(__xludf.DUMMYFUNCTION("""COMPUTED_VALUE"""),"Nu")</f>
        <v>Nu</v>
      </c>
      <c r="F553" s="5"/>
      <c r="G553" s="5"/>
      <c r="H553" s="6"/>
      <c r="I553" s="5"/>
      <c r="J553" s="5"/>
      <c r="K553" s="7" t="str">
        <f ca="1">IFERROR(__xludf.DUMMYFUNCTION("""COMPUTED_VALUE"""),"https://stirioficiale.ro/informatii/buletin-de-presa-27-mai-2020-ora-13-00")</f>
        <v>https://stirioficiale.ro/informatii/buletin-de-presa-27-mai-2020-ora-13-00</v>
      </c>
      <c r="L553" s="5"/>
      <c r="M553" s="5"/>
      <c r="N553" s="5"/>
      <c r="O553" s="5"/>
      <c r="P553" s="5"/>
      <c r="Q553" s="5"/>
      <c r="R553" s="5" t="str">
        <f ca="1">IFERROR(__xludf.DUMMYFUNCTION("""COMPUTED_VALUE"""),"România")</f>
        <v>România</v>
      </c>
      <c r="S553" s="5" t="str">
        <f ca="1">IFERROR(__xludf.DUMMYFUNCTION("""COMPUTED_VALUE"""),"Octavian")</f>
        <v>Octavian</v>
      </c>
      <c r="T553" s="7" t="str">
        <f ca="1">IFERROR(__xludf.DUMMYFUNCTION("""COMPUTED_VALUE"""),"http://www.ms.ro/2020/05/27/buletin-informativ-26-05-2020-2/")</f>
        <v>http://www.ms.ro/2020/05/27/buletin-informativ-26-05-2020-2/</v>
      </c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ht="12.5">
      <c r="A554" s="5">
        <f ca="1">IFERROR(__xludf.DUMMYFUNCTION("""COMPUTED_VALUE"""),18444)</f>
        <v>18444</v>
      </c>
      <c r="B554" s="5"/>
      <c r="C554" s="5" t="str">
        <f ca="1">IFERROR(__xludf.DUMMYFUNCTION("""COMPUTED_VALUE"""),"Bihor")</f>
        <v>Bihor</v>
      </c>
      <c r="D554" s="13">
        <f ca="1">IFERROR(__xludf.DUMMYFUNCTION("""COMPUTED_VALUE"""),43978)</f>
        <v>43978</v>
      </c>
      <c r="E554" s="5" t="str">
        <f ca="1">IFERROR(__xludf.DUMMYFUNCTION("""COMPUTED_VALUE"""),"Nu")</f>
        <v>Nu</v>
      </c>
      <c r="F554" s="5"/>
      <c r="G554" s="5"/>
      <c r="H554" s="6"/>
      <c r="I554" s="5"/>
      <c r="J554" s="5"/>
      <c r="K554" s="7" t="str">
        <f ca="1">IFERROR(__xludf.DUMMYFUNCTION("""COMPUTED_VALUE"""),"https://stirioficiale.ro/informatii/buletin-de-presa-27-mai-2020-ora-13-00")</f>
        <v>https://stirioficiale.ro/informatii/buletin-de-presa-27-mai-2020-ora-13-00</v>
      </c>
      <c r="L554" s="5"/>
      <c r="M554" s="5"/>
      <c r="N554" s="5"/>
      <c r="O554" s="5"/>
      <c r="P554" s="5"/>
      <c r="Q554" s="5"/>
      <c r="R554" s="5" t="str">
        <f ca="1">IFERROR(__xludf.DUMMYFUNCTION("""COMPUTED_VALUE"""),"România")</f>
        <v>România</v>
      </c>
      <c r="S554" s="5" t="str">
        <f ca="1">IFERROR(__xludf.DUMMYFUNCTION("""COMPUTED_VALUE"""),"Octavian")</f>
        <v>Octavian</v>
      </c>
      <c r="T554" s="7" t="str">
        <f ca="1">IFERROR(__xludf.DUMMYFUNCTION("""COMPUTED_VALUE"""),"http://www.ms.ro/2020/05/27/buletin-informativ-26-05-2020-2/")</f>
        <v>http://www.ms.ro/2020/05/27/buletin-informativ-26-05-2020-2/</v>
      </c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2.5">
      <c r="A555" s="5">
        <f ca="1">IFERROR(__xludf.DUMMYFUNCTION("""COMPUTED_VALUE"""),18445)</f>
        <v>18445</v>
      </c>
      <c r="B555" s="5"/>
      <c r="C555" s="5" t="str">
        <f ca="1">IFERROR(__xludf.DUMMYFUNCTION("""COMPUTED_VALUE"""),"Bihor")</f>
        <v>Bihor</v>
      </c>
      <c r="D555" s="13">
        <f ca="1">IFERROR(__xludf.DUMMYFUNCTION("""COMPUTED_VALUE"""),43978)</f>
        <v>43978</v>
      </c>
      <c r="E555" s="5" t="str">
        <f ca="1">IFERROR(__xludf.DUMMYFUNCTION("""COMPUTED_VALUE"""),"Nu")</f>
        <v>Nu</v>
      </c>
      <c r="F555" s="5"/>
      <c r="G555" s="5"/>
      <c r="H555" s="6"/>
      <c r="I555" s="5"/>
      <c r="J555" s="5"/>
      <c r="K555" s="7" t="str">
        <f ca="1">IFERROR(__xludf.DUMMYFUNCTION("""COMPUTED_VALUE"""),"https://stirioficiale.ro/informatii/buletin-de-presa-27-mai-2020-ora-13-00")</f>
        <v>https://stirioficiale.ro/informatii/buletin-de-presa-27-mai-2020-ora-13-00</v>
      </c>
      <c r="L555" s="5"/>
      <c r="M555" s="5"/>
      <c r="N555" s="5"/>
      <c r="O555" s="5"/>
      <c r="P555" s="5"/>
      <c r="Q555" s="5"/>
      <c r="R555" s="5" t="str">
        <f ca="1">IFERROR(__xludf.DUMMYFUNCTION("""COMPUTED_VALUE"""),"România")</f>
        <v>România</v>
      </c>
      <c r="S555" s="5" t="str">
        <f ca="1">IFERROR(__xludf.DUMMYFUNCTION("""COMPUTED_VALUE"""),"Octavian")</f>
        <v>Octavian</v>
      </c>
      <c r="T555" s="7" t="str">
        <f ca="1">IFERROR(__xludf.DUMMYFUNCTION("""COMPUTED_VALUE"""),"http://www.ms.ro/2020/05/27/buletin-informativ-26-05-2020-2/")</f>
        <v>http://www.ms.ro/2020/05/27/buletin-informativ-26-05-2020-2/</v>
      </c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12.5">
      <c r="A556" s="5">
        <f ca="1">IFERROR(__xludf.DUMMYFUNCTION("""COMPUTED_VALUE"""),18446)</f>
        <v>18446</v>
      </c>
      <c r="B556" s="5"/>
      <c r="C556" s="5" t="str">
        <f ca="1">IFERROR(__xludf.DUMMYFUNCTION("""COMPUTED_VALUE"""),"Bihor")</f>
        <v>Bihor</v>
      </c>
      <c r="D556" s="13">
        <f ca="1">IFERROR(__xludf.DUMMYFUNCTION("""COMPUTED_VALUE"""),43978)</f>
        <v>43978</v>
      </c>
      <c r="E556" s="5" t="str">
        <f ca="1">IFERROR(__xludf.DUMMYFUNCTION("""COMPUTED_VALUE"""),"Nu")</f>
        <v>Nu</v>
      </c>
      <c r="F556" s="5"/>
      <c r="G556" s="5"/>
      <c r="H556" s="6"/>
      <c r="I556" s="5"/>
      <c r="J556" s="5"/>
      <c r="K556" s="7" t="str">
        <f ca="1">IFERROR(__xludf.DUMMYFUNCTION("""COMPUTED_VALUE"""),"https://stirioficiale.ro/informatii/buletin-de-presa-27-mai-2020-ora-13-00")</f>
        <v>https://stirioficiale.ro/informatii/buletin-de-presa-27-mai-2020-ora-13-00</v>
      </c>
      <c r="L556" s="5"/>
      <c r="M556" s="5"/>
      <c r="N556" s="5"/>
      <c r="O556" s="5"/>
      <c r="P556" s="5"/>
      <c r="Q556" s="5"/>
      <c r="R556" s="5" t="str">
        <f ca="1">IFERROR(__xludf.DUMMYFUNCTION("""COMPUTED_VALUE"""),"România")</f>
        <v>România</v>
      </c>
      <c r="S556" s="5" t="str">
        <f ca="1">IFERROR(__xludf.DUMMYFUNCTION("""COMPUTED_VALUE"""),"Octavian")</f>
        <v>Octavian</v>
      </c>
      <c r="T556" s="7" t="str">
        <f ca="1">IFERROR(__xludf.DUMMYFUNCTION("""COMPUTED_VALUE"""),"http://www.ms.ro/2020/05/27/buletin-informativ-26-05-2020-2/")</f>
        <v>http://www.ms.ro/2020/05/27/buletin-informativ-26-05-2020-2/</v>
      </c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2.5">
      <c r="A557" s="5">
        <f ca="1">IFERROR(__xludf.DUMMYFUNCTION("""COMPUTED_VALUE"""),18447)</f>
        <v>18447</v>
      </c>
      <c r="B557" s="5"/>
      <c r="C557" s="5" t="str">
        <f ca="1">IFERROR(__xludf.DUMMYFUNCTION("""COMPUTED_VALUE"""),"Bihor")</f>
        <v>Bihor</v>
      </c>
      <c r="D557" s="13">
        <f ca="1">IFERROR(__xludf.DUMMYFUNCTION("""COMPUTED_VALUE"""),43978)</f>
        <v>43978</v>
      </c>
      <c r="E557" s="5" t="str">
        <f ca="1">IFERROR(__xludf.DUMMYFUNCTION("""COMPUTED_VALUE"""),"Nu")</f>
        <v>Nu</v>
      </c>
      <c r="F557" s="5"/>
      <c r="G557" s="5"/>
      <c r="H557" s="6"/>
      <c r="I557" s="5"/>
      <c r="J557" s="5"/>
      <c r="K557" s="7" t="str">
        <f ca="1">IFERROR(__xludf.DUMMYFUNCTION("""COMPUTED_VALUE"""),"https://stirioficiale.ro/informatii/buletin-de-presa-27-mai-2020-ora-13-00")</f>
        <v>https://stirioficiale.ro/informatii/buletin-de-presa-27-mai-2020-ora-13-00</v>
      </c>
      <c r="L557" s="5"/>
      <c r="M557" s="5"/>
      <c r="N557" s="5"/>
      <c r="O557" s="5"/>
      <c r="P557" s="5"/>
      <c r="Q557" s="5"/>
      <c r="R557" s="5" t="str">
        <f ca="1">IFERROR(__xludf.DUMMYFUNCTION("""COMPUTED_VALUE"""),"România")</f>
        <v>România</v>
      </c>
      <c r="S557" s="5" t="str">
        <f ca="1">IFERROR(__xludf.DUMMYFUNCTION("""COMPUTED_VALUE"""),"Octavian")</f>
        <v>Octavian</v>
      </c>
      <c r="T557" s="7" t="str">
        <f ca="1">IFERROR(__xludf.DUMMYFUNCTION("""COMPUTED_VALUE"""),"http://www.ms.ro/2020/05/27/buletin-informativ-26-05-2020-2/")</f>
        <v>http://www.ms.ro/2020/05/27/buletin-informativ-26-05-2020-2/</v>
      </c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t="12.5">
      <c r="A558" s="5">
        <f ca="1">IFERROR(__xludf.DUMMYFUNCTION("""COMPUTED_VALUE"""),18448)</f>
        <v>18448</v>
      </c>
      <c r="B558" s="5"/>
      <c r="C558" s="5" t="str">
        <f ca="1">IFERROR(__xludf.DUMMYFUNCTION("""COMPUTED_VALUE"""),"Bihor")</f>
        <v>Bihor</v>
      </c>
      <c r="D558" s="13">
        <f ca="1">IFERROR(__xludf.DUMMYFUNCTION("""COMPUTED_VALUE"""),43978)</f>
        <v>43978</v>
      </c>
      <c r="E558" s="5" t="str">
        <f ca="1">IFERROR(__xludf.DUMMYFUNCTION("""COMPUTED_VALUE"""),"Nu")</f>
        <v>Nu</v>
      </c>
      <c r="F558" s="5"/>
      <c r="G558" s="5"/>
      <c r="H558" s="6"/>
      <c r="I558" s="5"/>
      <c r="J558" s="5"/>
      <c r="K558" s="7" t="str">
        <f ca="1">IFERROR(__xludf.DUMMYFUNCTION("""COMPUTED_VALUE"""),"https://stirioficiale.ro/informatii/buletin-de-presa-27-mai-2020-ora-13-00")</f>
        <v>https://stirioficiale.ro/informatii/buletin-de-presa-27-mai-2020-ora-13-00</v>
      </c>
      <c r="L558" s="5"/>
      <c r="M558" s="5"/>
      <c r="N558" s="5"/>
      <c r="O558" s="5"/>
      <c r="P558" s="5"/>
      <c r="Q558" s="5"/>
      <c r="R558" s="5" t="str">
        <f ca="1">IFERROR(__xludf.DUMMYFUNCTION("""COMPUTED_VALUE"""),"România")</f>
        <v>România</v>
      </c>
      <c r="S558" s="5" t="str">
        <f ca="1">IFERROR(__xludf.DUMMYFUNCTION("""COMPUTED_VALUE"""),"Octavian")</f>
        <v>Octavian</v>
      </c>
      <c r="T558" s="7" t="str">
        <f ca="1">IFERROR(__xludf.DUMMYFUNCTION("""COMPUTED_VALUE"""),"http://www.ms.ro/2020/05/27/buletin-informativ-26-05-2020-2/")</f>
        <v>http://www.ms.ro/2020/05/27/buletin-informativ-26-05-2020-2/</v>
      </c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2.5">
      <c r="A559" s="5">
        <f ca="1">IFERROR(__xludf.DUMMYFUNCTION("""COMPUTED_VALUE"""),18627)</f>
        <v>18627</v>
      </c>
      <c r="B559" s="5"/>
      <c r="C559" s="5" t="str">
        <f ca="1">IFERROR(__xludf.DUMMYFUNCTION("""COMPUTED_VALUE"""),"Bihor")</f>
        <v>Bihor</v>
      </c>
      <c r="D559" s="13">
        <f ca="1">IFERROR(__xludf.DUMMYFUNCTION("""COMPUTED_VALUE"""),43979)</f>
        <v>43979</v>
      </c>
      <c r="E559" s="5" t="str">
        <f ca="1">IFERROR(__xludf.DUMMYFUNCTION("""COMPUTED_VALUE"""),"Nu")</f>
        <v>Nu</v>
      </c>
      <c r="F559" s="5"/>
      <c r="G559" s="5"/>
      <c r="H559" s="6"/>
      <c r="I559" s="5"/>
      <c r="J559" s="5"/>
      <c r="K559" s="7" t="str">
        <f ca="1">IFERROR(__xludf.DUMMYFUNCTION("""COMPUTED_VALUE"""),"https://stirioficiale.ro/informatii/buletin-de-presa-28-mai-2020-ora-13-00")</f>
        <v>https://stirioficiale.ro/informatii/buletin-de-presa-28-mai-2020-ora-13-00</v>
      </c>
      <c r="L559" s="5"/>
      <c r="M559" s="5"/>
      <c r="N559" s="5"/>
      <c r="O559" s="5"/>
      <c r="P559" s="5"/>
      <c r="Q559" s="5"/>
      <c r="R559" s="5" t="str">
        <f ca="1">IFERROR(__xludf.DUMMYFUNCTION("""COMPUTED_VALUE"""),"România")</f>
        <v>România</v>
      </c>
      <c r="S559" s="5" t="str">
        <f ca="1">IFERROR(__xludf.DUMMYFUNCTION("""COMPUTED_VALUE"""),"Octavian")</f>
        <v>Octavian</v>
      </c>
      <c r="T559" s="7" t="str">
        <f ca="1">IFERROR(__xludf.DUMMYFUNCTION("""COMPUTED_VALUE"""),"http://www.ms.ro/2020/05/28/buletin-informativ-28-05-2020/")</f>
        <v>http://www.ms.ro/2020/05/28/buletin-informativ-28-05-2020/</v>
      </c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t="12.5">
      <c r="A560" s="5">
        <f ca="1">IFERROR(__xludf.DUMMYFUNCTION("""COMPUTED_VALUE"""),18628)</f>
        <v>18628</v>
      </c>
      <c r="B560" s="5"/>
      <c r="C560" s="5" t="str">
        <f ca="1">IFERROR(__xludf.DUMMYFUNCTION("""COMPUTED_VALUE"""),"Bihor")</f>
        <v>Bihor</v>
      </c>
      <c r="D560" s="13">
        <f ca="1">IFERROR(__xludf.DUMMYFUNCTION("""COMPUTED_VALUE"""),43979)</f>
        <v>43979</v>
      </c>
      <c r="E560" s="5" t="str">
        <f ca="1">IFERROR(__xludf.DUMMYFUNCTION("""COMPUTED_VALUE"""),"Nu")</f>
        <v>Nu</v>
      </c>
      <c r="F560" s="5"/>
      <c r="G560" s="5"/>
      <c r="H560" s="6"/>
      <c r="I560" s="5"/>
      <c r="J560" s="5"/>
      <c r="K560" s="7" t="str">
        <f ca="1">IFERROR(__xludf.DUMMYFUNCTION("""COMPUTED_VALUE"""),"https://stirioficiale.ro/informatii/buletin-de-presa-28-mai-2020-ora-13-00")</f>
        <v>https://stirioficiale.ro/informatii/buletin-de-presa-28-mai-2020-ora-13-00</v>
      </c>
      <c r="L560" s="5"/>
      <c r="M560" s="5"/>
      <c r="N560" s="5"/>
      <c r="O560" s="5"/>
      <c r="P560" s="5"/>
      <c r="Q560" s="5"/>
      <c r="R560" s="5" t="str">
        <f ca="1">IFERROR(__xludf.DUMMYFUNCTION("""COMPUTED_VALUE"""),"România")</f>
        <v>România</v>
      </c>
      <c r="S560" s="5" t="str">
        <f ca="1">IFERROR(__xludf.DUMMYFUNCTION("""COMPUTED_VALUE"""),"Octavian")</f>
        <v>Octavian</v>
      </c>
      <c r="T560" s="7" t="str">
        <f ca="1">IFERROR(__xludf.DUMMYFUNCTION("""COMPUTED_VALUE"""),"http://www.ms.ro/2020/05/28/buletin-informativ-28-05-2020/")</f>
        <v>http://www.ms.ro/2020/05/28/buletin-informativ-28-05-2020/</v>
      </c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2.5">
      <c r="A561" s="5">
        <f ca="1">IFERROR(__xludf.DUMMYFUNCTION("""COMPUTED_VALUE"""),18629)</f>
        <v>18629</v>
      </c>
      <c r="B561" s="5"/>
      <c r="C561" s="5" t="str">
        <f ca="1">IFERROR(__xludf.DUMMYFUNCTION("""COMPUTED_VALUE"""),"Bihor")</f>
        <v>Bihor</v>
      </c>
      <c r="D561" s="13">
        <f ca="1">IFERROR(__xludf.DUMMYFUNCTION("""COMPUTED_VALUE"""),43979)</f>
        <v>43979</v>
      </c>
      <c r="E561" s="5" t="str">
        <f ca="1">IFERROR(__xludf.DUMMYFUNCTION("""COMPUTED_VALUE"""),"Nu")</f>
        <v>Nu</v>
      </c>
      <c r="F561" s="5"/>
      <c r="G561" s="5"/>
      <c r="H561" s="6"/>
      <c r="I561" s="5"/>
      <c r="J561" s="5"/>
      <c r="K561" s="7" t="str">
        <f ca="1">IFERROR(__xludf.DUMMYFUNCTION("""COMPUTED_VALUE"""),"https://stirioficiale.ro/informatii/buletin-de-presa-28-mai-2020-ora-13-00")</f>
        <v>https://stirioficiale.ro/informatii/buletin-de-presa-28-mai-2020-ora-13-00</v>
      </c>
      <c r="L561" s="5"/>
      <c r="M561" s="5"/>
      <c r="N561" s="5"/>
      <c r="O561" s="5"/>
      <c r="P561" s="5"/>
      <c r="Q561" s="5"/>
      <c r="R561" s="5" t="str">
        <f ca="1">IFERROR(__xludf.DUMMYFUNCTION("""COMPUTED_VALUE"""),"România")</f>
        <v>România</v>
      </c>
      <c r="S561" s="5" t="str">
        <f ca="1">IFERROR(__xludf.DUMMYFUNCTION("""COMPUTED_VALUE"""),"Octavian")</f>
        <v>Octavian</v>
      </c>
      <c r="T561" s="7" t="str">
        <f ca="1">IFERROR(__xludf.DUMMYFUNCTION("""COMPUTED_VALUE"""),"http://www.ms.ro/2020/05/28/buletin-informativ-28-05-2020/")</f>
        <v>http://www.ms.ro/2020/05/28/buletin-informativ-28-05-2020/</v>
      </c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12.5">
      <c r="A562" s="5">
        <f ca="1">IFERROR(__xludf.DUMMYFUNCTION("""COMPUTED_VALUE"""),18630)</f>
        <v>18630</v>
      </c>
      <c r="B562" s="5"/>
      <c r="C562" s="5" t="str">
        <f ca="1">IFERROR(__xludf.DUMMYFUNCTION("""COMPUTED_VALUE"""),"Bihor")</f>
        <v>Bihor</v>
      </c>
      <c r="D562" s="13">
        <f ca="1">IFERROR(__xludf.DUMMYFUNCTION("""COMPUTED_VALUE"""),43979)</f>
        <v>43979</v>
      </c>
      <c r="E562" s="5" t="str">
        <f ca="1">IFERROR(__xludf.DUMMYFUNCTION("""COMPUTED_VALUE"""),"Nu")</f>
        <v>Nu</v>
      </c>
      <c r="F562" s="5"/>
      <c r="G562" s="5"/>
      <c r="H562" s="6"/>
      <c r="I562" s="5"/>
      <c r="J562" s="5"/>
      <c r="K562" s="7" t="str">
        <f ca="1">IFERROR(__xludf.DUMMYFUNCTION("""COMPUTED_VALUE"""),"https://stirioficiale.ro/informatii/buletin-de-presa-28-mai-2020-ora-13-00")</f>
        <v>https://stirioficiale.ro/informatii/buletin-de-presa-28-mai-2020-ora-13-00</v>
      </c>
      <c r="L562" s="5"/>
      <c r="M562" s="5"/>
      <c r="N562" s="5"/>
      <c r="O562" s="5"/>
      <c r="P562" s="5"/>
      <c r="Q562" s="5"/>
      <c r="R562" s="5" t="str">
        <f ca="1">IFERROR(__xludf.DUMMYFUNCTION("""COMPUTED_VALUE"""),"România")</f>
        <v>România</v>
      </c>
      <c r="S562" s="5" t="str">
        <f ca="1">IFERROR(__xludf.DUMMYFUNCTION("""COMPUTED_VALUE"""),"Octavian")</f>
        <v>Octavian</v>
      </c>
      <c r="T562" s="7" t="str">
        <f ca="1">IFERROR(__xludf.DUMMYFUNCTION("""COMPUTED_VALUE"""),"http://www.ms.ro/2020/05/28/buletin-informativ-28-05-2020/")</f>
        <v>http://www.ms.ro/2020/05/28/buletin-informativ-28-05-2020/</v>
      </c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2.5">
      <c r="A563" s="5">
        <f ca="1">IFERROR(__xludf.DUMMYFUNCTION("""COMPUTED_VALUE"""),18631)</f>
        <v>18631</v>
      </c>
      <c r="B563" s="5"/>
      <c r="C563" s="5" t="str">
        <f ca="1">IFERROR(__xludf.DUMMYFUNCTION("""COMPUTED_VALUE"""),"Bihor")</f>
        <v>Bihor</v>
      </c>
      <c r="D563" s="13">
        <f ca="1">IFERROR(__xludf.DUMMYFUNCTION("""COMPUTED_VALUE"""),43979)</f>
        <v>43979</v>
      </c>
      <c r="E563" s="5" t="str">
        <f ca="1">IFERROR(__xludf.DUMMYFUNCTION("""COMPUTED_VALUE"""),"Nu")</f>
        <v>Nu</v>
      </c>
      <c r="F563" s="5"/>
      <c r="G563" s="5"/>
      <c r="H563" s="6"/>
      <c r="I563" s="5"/>
      <c r="J563" s="5"/>
      <c r="K563" s="7" t="str">
        <f ca="1">IFERROR(__xludf.DUMMYFUNCTION("""COMPUTED_VALUE"""),"https://stirioficiale.ro/informatii/buletin-de-presa-28-mai-2020-ora-13-00")</f>
        <v>https://stirioficiale.ro/informatii/buletin-de-presa-28-mai-2020-ora-13-00</v>
      </c>
      <c r="L563" s="5"/>
      <c r="M563" s="5"/>
      <c r="N563" s="5"/>
      <c r="O563" s="5"/>
      <c r="P563" s="5"/>
      <c r="Q563" s="5"/>
      <c r="R563" s="5" t="str">
        <f ca="1">IFERROR(__xludf.DUMMYFUNCTION("""COMPUTED_VALUE"""),"România")</f>
        <v>România</v>
      </c>
      <c r="S563" s="5" t="str">
        <f ca="1">IFERROR(__xludf.DUMMYFUNCTION("""COMPUTED_VALUE"""),"Octavian")</f>
        <v>Octavian</v>
      </c>
      <c r="T563" s="7" t="str">
        <f ca="1">IFERROR(__xludf.DUMMYFUNCTION("""COMPUTED_VALUE"""),"http://www.ms.ro/2020/05/28/buletin-informativ-28-05-2020/")</f>
        <v>http://www.ms.ro/2020/05/28/buletin-informativ-28-05-2020/</v>
      </c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t="12.5">
      <c r="A564" s="5">
        <f ca="1">IFERROR(__xludf.DUMMYFUNCTION("""COMPUTED_VALUE"""),18632)</f>
        <v>18632</v>
      </c>
      <c r="B564" s="5"/>
      <c r="C564" s="5" t="str">
        <f ca="1">IFERROR(__xludf.DUMMYFUNCTION("""COMPUTED_VALUE"""),"Bihor")</f>
        <v>Bihor</v>
      </c>
      <c r="D564" s="13">
        <f ca="1">IFERROR(__xludf.DUMMYFUNCTION("""COMPUTED_VALUE"""),43979)</f>
        <v>43979</v>
      </c>
      <c r="E564" s="5" t="str">
        <f ca="1">IFERROR(__xludf.DUMMYFUNCTION("""COMPUTED_VALUE"""),"Nu")</f>
        <v>Nu</v>
      </c>
      <c r="F564" s="5"/>
      <c r="G564" s="5"/>
      <c r="H564" s="6"/>
      <c r="I564" s="5"/>
      <c r="J564" s="5"/>
      <c r="K564" s="7" t="str">
        <f ca="1">IFERROR(__xludf.DUMMYFUNCTION("""COMPUTED_VALUE"""),"https://stirioficiale.ro/informatii/buletin-de-presa-28-mai-2020-ora-13-00")</f>
        <v>https://stirioficiale.ro/informatii/buletin-de-presa-28-mai-2020-ora-13-00</v>
      </c>
      <c r="L564" s="5"/>
      <c r="M564" s="5"/>
      <c r="N564" s="5"/>
      <c r="O564" s="5"/>
      <c r="P564" s="5"/>
      <c r="Q564" s="5"/>
      <c r="R564" s="5" t="str">
        <f ca="1">IFERROR(__xludf.DUMMYFUNCTION("""COMPUTED_VALUE"""),"România")</f>
        <v>România</v>
      </c>
      <c r="S564" s="5" t="str">
        <f ca="1">IFERROR(__xludf.DUMMYFUNCTION("""COMPUTED_VALUE"""),"Octavian")</f>
        <v>Octavian</v>
      </c>
      <c r="T564" s="7" t="str">
        <f ca="1">IFERROR(__xludf.DUMMYFUNCTION("""COMPUTED_VALUE"""),"http://www.ms.ro/2020/05/28/buletin-informativ-28-05-2020/")</f>
        <v>http://www.ms.ro/2020/05/28/buletin-informativ-28-05-2020/</v>
      </c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2.5">
      <c r="A565" s="5">
        <f ca="1">IFERROR(__xludf.DUMMYFUNCTION("""COMPUTED_VALUE"""),18633)</f>
        <v>18633</v>
      </c>
      <c r="B565" s="5"/>
      <c r="C565" s="5" t="str">
        <f ca="1">IFERROR(__xludf.DUMMYFUNCTION("""COMPUTED_VALUE"""),"Bihor")</f>
        <v>Bihor</v>
      </c>
      <c r="D565" s="13">
        <f ca="1">IFERROR(__xludf.DUMMYFUNCTION("""COMPUTED_VALUE"""),43979)</f>
        <v>43979</v>
      </c>
      <c r="E565" s="5" t="str">
        <f ca="1">IFERROR(__xludf.DUMMYFUNCTION("""COMPUTED_VALUE"""),"Nu")</f>
        <v>Nu</v>
      </c>
      <c r="F565" s="5"/>
      <c r="G565" s="5"/>
      <c r="H565" s="6"/>
      <c r="I565" s="5"/>
      <c r="J565" s="5"/>
      <c r="K565" s="7" t="str">
        <f ca="1">IFERROR(__xludf.DUMMYFUNCTION("""COMPUTED_VALUE"""),"https://stirioficiale.ro/informatii/buletin-de-presa-28-mai-2020-ora-13-00")</f>
        <v>https://stirioficiale.ro/informatii/buletin-de-presa-28-mai-2020-ora-13-00</v>
      </c>
      <c r="L565" s="5"/>
      <c r="M565" s="5"/>
      <c r="N565" s="5"/>
      <c r="O565" s="5"/>
      <c r="P565" s="5"/>
      <c r="Q565" s="5"/>
      <c r="R565" s="5" t="str">
        <f ca="1">IFERROR(__xludf.DUMMYFUNCTION("""COMPUTED_VALUE"""),"România")</f>
        <v>România</v>
      </c>
      <c r="S565" s="5" t="str">
        <f ca="1">IFERROR(__xludf.DUMMYFUNCTION("""COMPUTED_VALUE"""),"Octavian")</f>
        <v>Octavian</v>
      </c>
      <c r="T565" s="7" t="str">
        <f ca="1">IFERROR(__xludf.DUMMYFUNCTION("""COMPUTED_VALUE"""),"http://www.ms.ro/2020/05/28/buletin-informativ-28-05-2020/")</f>
        <v>http://www.ms.ro/2020/05/28/buletin-informativ-28-05-2020/</v>
      </c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t="12.5">
      <c r="A566" s="5">
        <f ca="1">IFERROR(__xludf.DUMMYFUNCTION("""COMPUTED_VALUE"""),18634)</f>
        <v>18634</v>
      </c>
      <c r="B566" s="5"/>
      <c r="C566" s="5" t="str">
        <f ca="1">IFERROR(__xludf.DUMMYFUNCTION("""COMPUTED_VALUE"""),"Bihor")</f>
        <v>Bihor</v>
      </c>
      <c r="D566" s="13">
        <f ca="1">IFERROR(__xludf.DUMMYFUNCTION("""COMPUTED_VALUE"""),43979)</f>
        <v>43979</v>
      </c>
      <c r="E566" s="5" t="str">
        <f ca="1">IFERROR(__xludf.DUMMYFUNCTION("""COMPUTED_VALUE"""),"Nu")</f>
        <v>Nu</v>
      </c>
      <c r="F566" s="5"/>
      <c r="G566" s="5"/>
      <c r="H566" s="6"/>
      <c r="I566" s="5"/>
      <c r="J566" s="5"/>
      <c r="K566" s="7" t="str">
        <f ca="1">IFERROR(__xludf.DUMMYFUNCTION("""COMPUTED_VALUE"""),"https://stirioficiale.ro/informatii/buletin-de-presa-28-mai-2020-ora-13-00")</f>
        <v>https://stirioficiale.ro/informatii/buletin-de-presa-28-mai-2020-ora-13-00</v>
      </c>
      <c r="L566" s="5"/>
      <c r="M566" s="5"/>
      <c r="N566" s="5"/>
      <c r="O566" s="5"/>
      <c r="P566" s="5"/>
      <c r="Q566" s="5"/>
      <c r="R566" s="5" t="str">
        <f ca="1">IFERROR(__xludf.DUMMYFUNCTION("""COMPUTED_VALUE"""),"România")</f>
        <v>România</v>
      </c>
      <c r="S566" s="5" t="str">
        <f ca="1">IFERROR(__xludf.DUMMYFUNCTION("""COMPUTED_VALUE"""),"Octavian")</f>
        <v>Octavian</v>
      </c>
      <c r="T566" s="7" t="str">
        <f ca="1">IFERROR(__xludf.DUMMYFUNCTION("""COMPUTED_VALUE"""),"http://www.ms.ro/2020/05/28/buletin-informativ-28-05-2020/")</f>
        <v>http://www.ms.ro/2020/05/28/buletin-informativ-28-05-2020/</v>
      </c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2.5">
      <c r="A567" s="5">
        <f ca="1">IFERROR(__xludf.DUMMYFUNCTION("""COMPUTED_VALUE"""),18635)</f>
        <v>18635</v>
      </c>
      <c r="B567" s="5"/>
      <c r="C567" s="5" t="str">
        <f ca="1">IFERROR(__xludf.DUMMYFUNCTION("""COMPUTED_VALUE"""),"Bihor")</f>
        <v>Bihor</v>
      </c>
      <c r="D567" s="13">
        <f ca="1">IFERROR(__xludf.DUMMYFUNCTION("""COMPUTED_VALUE"""),43979)</f>
        <v>43979</v>
      </c>
      <c r="E567" s="5" t="str">
        <f ca="1">IFERROR(__xludf.DUMMYFUNCTION("""COMPUTED_VALUE"""),"Nu")</f>
        <v>Nu</v>
      </c>
      <c r="F567" s="5"/>
      <c r="G567" s="5"/>
      <c r="H567" s="6"/>
      <c r="I567" s="5"/>
      <c r="J567" s="5"/>
      <c r="K567" s="7" t="str">
        <f ca="1">IFERROR(__xludf.DUMMYFUNCTION("""COMPUTED_VALUE"""),"https://stirioficiale.ro/informatii/buletin-de-presa-28-mai-2020-ora-13-00")</f>
        <v>https://stirioficiale.ro/informatii/buletin-de-presa-28-mai-2020-ora-13-00</v>
      </c>
      <c r="L567" s="5"/>
      <c r="M567" s="5"/>
      <c r="N567" s="5"/>
      <c r="O567" s="5"/>
      <c r="P567" s="5"/>
      <c r="Q567" s="5"/>
      <c r="R567" s="5" t="str">
        <f ca="1">IFERROR(__xludf.DUMMYFUNCTION("""COMPUTED_VALUE"""),"România")</f>
        <v>România</v>
      </c>
      <c r="S567" s="5" t="str">
        <f ca="1">IFERROR(__xludf.DUMMYFUNCTION("""COMPUTED_VALUE"""),"Octavian")</f>
        <v>Octavian</v>
      </c>
      <c r="T567" s="7" t="str">
        <f ca="1">IFERROR(__xludf.DUMMYFUNCTION("""COMPUTED_VALUE"""),"http://www.ms.ro/2020/05/28/buletin-informativ-28-05-2020/")</f>
        <v>http://www.ms.ro/2020/05/28/buletin-informativ-28-05-2020/</v>
      </c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t="12.5">
      <c r="A568" s="5">
        <f ca="1">IFERROR(__xludf.DUMMYFUNCTION("""COMPUTED_VALUE"""),18800)</f>
        <v>18800</v>
      </c>
      <c r="B568" s="5">
        <f ca="1">IFERROR(__xludf.DUMMYFUNCTION("""COMPUTED_VALUE"""),17420)</f>
        <v>17420</v>
      </c>
      <c r="C568" s="5" t="str">
        <f ca="1">IFERROR(__xludf.DUMMYFUNCTION("""COMPUTED_VALUE"""),"Bihor")</f>
        <v>Bihor</v>
      </c>
      <c r="D568" s="13">
        <f ca="1">IFERROR(__xludf.DUMMYFUNCTION("""COMPUTED_VALUE"""),43980)</f>
        <v>43980</v>
      </c>
      <c r="E568" s="5" t="str">
        <f ca="1">IFERROR(__xludf.DUMMYFUNCTION("""COMPUTED_VALUE"""),"Nu")</f>
        <v>Nu</v>
      </c>
      <c r="F568" s="5"/>
      <c r="G568" s="5"/>
      <c r="H568" s="6"/>
      <c r="I568" s="5"/>
      <c r="J568" s="5"/>
      <c r="K568" s="7" t="str">
        <f ca="1">IFERROR(__xludf.DUMMYFUNCTION("""COMPUTED_VALUE"""),"https://www.bihon.ro/stirile-judetului-bihor/plexus-confirma-4-angajati-pozitivi-covid-19-inchid-fabrica-temporar-2293555/")</f>
        <v>https://www.bihon.ro/stirile-judetului-bihor/plexus-confirma-4-angajati-pozitivi-covid-19-inchid-fabrica-temporar-2293555/</v>
      </c>
      <c r="L568" s="5"/>
      <c r="M568" s="5"/>
      <c r="N568" s="5"/>
      <c r="O568" s="5"/>
      <c r="P568" s="5" t="str">
        <f ca="1">IFERROR(__xludf.DUMMYFUNCTION("""COMPUTED_VALUE"""),"Angajat Plexus Corp")</f>
        <v>Angajat Plexus Corp</v>
      </c>
      <c r="Q568" s="5" t="str">
        <f ca="1">IFERROR(__xludf.DUMMYFUNCTION("""COMPUTED_VALUE"""),"Comunitar")</f>
        <v>Comunitar</v>
      </c>
      <c r="R568" s="5" t="str">
        <f ca="1">IFERROR(__xludf.DUMMYFUNCTION("""COMPUTED_VALUE"""),"România")</f>
        <v>România</v>
      </c>
      <c r="S568" s="5" t="str">
        <f ca="1">IFERROR(__xludf.DUMMYFUNCTION("""COMPUTED_VALUE"""),"Ruxandra")</f>
        <v>Ruxandra</v>
      </c>
      <c r="T568" s="7" t="str">
        <f ca="1">IFERROR(__xludf.DUMMYFUNCTION("""COMPUTED_VALUE"""),"http://www.ms.ro/2020/05/29/buletin-informativ-29-05-2020/")</f>
        <v>http://www.ms.ro/2020/05/29/buletin-informativ-29-05-2020/</v>
      </c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2.5">
      <c r="A569" s="5">
        <f ca="1">IFERROR(__xludf.DUMMYFUNCTION("""COMPUTED_VALUE"""),18801)</f>
        <v>18801</v>
      </c>
      <c r="B569" s="5">
        <f ca="1">IFERROR(__xludf.DUMMYFUNCTION("""COMPUTED_VALUE"""),17420)</f>
        <v>17420</v>
      </c>
      <c r="C569" s="5" t="str">
        <f ca="1">IFERROR(__xludf.DUMMYFUNCTION("""COMPUTED_VALUE"""),"Bihor")</f>
        <v>Bihor</v>
      </c>
      <c r="D569" s="13">
        <f ca="1">IFERROR(__xludf.DUMMYFUNCTION("""COMPUTED_VALUE"""),43980)</f>
        <v>43980</v>
      </c>
      <c r="E569" s="5" t="str">
        <f ca="1">IFERROR(__xludf.DUMMYFUNCTION("""COMPUTED_VALUE"""),"Nu")</f>
        <v>Nu</v>
      </c>
      <c r="F569" s="5"/>
      <c r="G569" s="5"/>
      <c r="H569" s="6"/>
      <c r="I569" s="5"/>
      <c r="J569" s="5"/>
      <c r="K569" s="7" t="str">
        <f ca="1">IFERROR(__xludf.DUMMYFUNCTION("""COMPUTED_VALUE"""),"https://www.bihon.ro/stirile-judetului-bihor/plexus-confirma-4-angajati-pozitivi-covid-19-inchid-fabrica-temporar-2293555/")</f>
        <v>https://www.bihon.ro/stirile-judetului-bihor/plexus-confirma-4-angajati-pozitivi-covid-19-inchid-fabrica-temporar-2293555/</v>
      </c>
      <c r="L569" s="5"/>
      <c r="M569" s="5"/>
      <c r="N569" s="5"/>
      <c r="O569" s="5"/>
      <c r="P569" s="5" t="str">
        <f ca="1">IFERROR(__xludf.DUMMYFUNCTION("""COMPUTED_VALUE"""),"Angajat Plexus Corp")</f>
        <v>Angajat Plexus Corp</v>
      </c>
      <c r="Q569" s="5" t="str">
        <f ca="1">IFERROR(__xludf.DUMMYFUNCTION("""COMPUTED_VALUE"""),"Comunitar")</f>
        <v>Comunitar</v>
      </c>
      <c r="R569" s="5" t="str">
        <f ca="1">IFERROR(__xludf.DUMMYFUNCTION("""COMPUTED_VALUE"""),"România")</f>
        <v>România</v>
      </c>
      <c r="S569" s="5" t="str">
        <f ca="1">IFERROR(__xludf.DUMMYFUNCTION("""COMPUTED_VALUE"""),"Ruxandra")</f>
        <v>Ruxandra</v>
      </c>
      <c r="T569" s="7" t="str">
        <f ca="1">IFERROR(__xludf.DUMMYFUNCTION("""COMPUTED_VALUE"""),"http://www.ms.ro/2020/05/29/buletin-informativ-29-05-2020/")</f>
        <v>http://www.ms.ro/2020/05/29/buletin-informativ-29-05-2020/</v>
      </c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t="12.5">
      <c r="A570" s="5">
        <f ca="1">IFERROR(__xludf.DUMMYFUNCTION("""COMPUTED_VALUE"""),18802)</f>
        <v>18802</v>
      </c>
      <c r="B570" s="5">
        <f ca="1">IFERROR(__xludf.DUMMYFUNCTION("""COMPUTED_VALUE"""),17420)</f>
        <v>17420</v>
      </c>
      <c r="C570" s="5" t="str">
        <f ca="1">IFERROR(__xludf.DUMMYFUNCTION("""COMPUTED_VALUE"""),"Bihor")</f>
        <v>Bihor</v>
      </c>
      <c r="D570" s="13">
        <f ca="1">IFERROR(__xludf.DUMMYFUNCTION("""COMPUTED_VALUE"""),43980)</f>
        <v>43980</v>
      </c>
      <c r="E570" s="5" t="str">
        <f ca="1">IFERROR(__xludf.DUMMYFUNCTION("""COMPUTED_VALUE"""),"Nu")</f>
        <v>Nu</v>
      </c>
      <c r="F570" s="5"/>
      <c r="G570" s="5"/>
      <c r="H570" s="6"/>
      <c r="I570" s="5"/>
      <c r="J570" s="5"/>
      <c r="K570" s="7" t="str">
        <f ca="1">IFERROR(__xludf.DUMMYFUNCTION("""COMPUTED_VALUE"""),"https://www.bihon.ro/stirile-judetului-bihor/plexus-confirma-4-angajati-pozitivi-covid-19-inchid-fabrica-temporar-2293555/")</f>
        <v>https://www.bihon.ro/stirile-judetului-bihor/plexus-confirma-4-angajati-pozitivi-covid-19-inchid-fabrica-temporar-2293555/</v>
      </c>
      <c r="L570" s="5"/>
      <c r="M570" s="5"/>
      <c r="N570" s="5"/>
      <c r="O570" s="5"/>
      <c r="P570" s="5" t="str">
        <f ca="1">IFERROR(__xludf.DUMMYFUNCTION("""COMPUTED_VALUE"""),"Angajat Plexus Corp")</f>
        <v>Angajat Plexus Corp</v>
      </c>
      <c r="Q570" s="5" t="str">
        <f ca="1">IFERROR(__xludf.DUMMYFUNCTION("""COMPUTED_VALUE"""),"Comunitar")</f>
        <v>Comunitar</v>
      </c>
      <c r="R570" s="5" t="str">
        <f ca="1">IFERROR(__xludf.DUMMYFUNCTION("""COMPUTED_VALUE"""),"România")</f>
        <v>România</v>
      </c>
      <c r="S570" s="5" t="str">
        <f ca="1">IFERROR(__xludf.DUMMYFUNCTION("""COMPUTED_VALUE"""),"Ruxandra")</f>
        <v>Ruxandra</v>
      </c>
      <c r="T570" s="7" t="str">
        <f ca="1">IFERROR(__xludf.DUMMYFUNCTION("""COMPUTED_VALUE"""),"http://www.ms.ro/2020/05/29/buletin-informativ-29-05-2020/")</f>
        <v>http://www.ms.ro/2020/05/29/buletin-informativ-29-05-2020/</v>
      </c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2.5">
      <c r="A571" s="5">
        <f ca="1">IFERROR(__xludf.DUMMYFUNCTION("""COMPUTED_VALUE"""),18803)</f>
        <v>18803</v>
      </c>
      <c r="B571" s="5"/>
      <c r="C571" s="5" t="str">
        <f ca="1">IFERROR(__xludf.DUMMYFUNCTION("""COMPUTED_VALUE"""),"Bihor")</f>
        <v>Bihor</v>
      </c>
      <c r="D571" s="13">
        <f ca="1">IFERROR(__xludf.DUMMYFUNCTION("""COMPUTED_VALUE"""),43980)</f>
        <v>43980</v>
      </c>
      <c r="E571" s="5" t="str">
        <f ca="1">IFERROR(__xludf.DUMMYFUNCTION("""COMPUTED_VALUE"""),"Nu")</f>
        <v>Nu</v>
      </c>
      <c r="F571" s="5"/>
      <c r="G571" s="5"/>
      <c r="H571" s="6"/>
      <c r="I571" s="5"/>
      <c r="J571" s="5"/>
      <c r="K571" s="7" t="str">
        <f ca="1">IFERROR(__xludf.DUMMYFUNCTION("""COMPUTED_VALUE"""),"https://stirioficiale.ro/informatii/buletin-de-presa-29-mai-2020-ora-13-00")</f>
        <v>https://stirioficiale.ro/informatii/buletin-de-presa-29-mai-2020-ora-13-00</v>
      </c>
      <c r="L571" s="5"/>
      <c r="M571" s="5"/>
      <c r="N571" s="5"/>
      <c r="O571" s="5"/>
      <c r="P571" s="5"/>
      <c r="Q571" s="5"/>
      <c r="R571" s="5" t="str">
        <f ca="1">IFERROR(__xludf.DUMMYFUNCTION("""COMPUTED_VALUE"""),"România")</f>
        <v>România</v>
      </c>
      <c r="S571" s="5" t="str">
        <f ca="1">IFERROR(__xludf.DUMMYFUNCTION("""COMPUTED_VALUE"""),"Octavian")</f>
        <v>Octavian</v>
      </c>
      <c r="T571" s="7" t="str">
        <f ca="1">IFERROR(__xludf.DUMMYFUNCTION("""COMPUTED_VALUE"""),"http://www.ms.ro/2020/05/29/buletin-informativ-29-05-2020/")</f>
        <v>http://www.ms.ro/2020/05/29/buletin-informativ-29-05-2020/</v>
      </c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t="12.5">
      <c r="A572" s="5">
        <f ca="1">IFERROR(__xludf.DUMMYFUNCTION("""COMPUTED_VALUE"""),18804)</f>
        <v>18804</v>
      </c>
      <c r="B572" s="5"/>
      <c r="C572" s="5" t="str">
        <f ca="1">IFERROR(__xludf.DUMMYFUNCTION("""COMPUTED_VALUE"""),"Bihor")</f>
        <v>Bihor</v>
      </c>
      <c r="D572" s="13">
        <f ca="1">IFERROR(__xludf.DUMMYFUNCTION("""COMPUTED_VALUE"""),43980)</f>
        <v>43980</v>
      </c>
      <c r="E572" s="5" t="str">
        <f ca="1">IFERROR(__xludf.DUMMYFUNCTION("""COMPUTED_VALUE"""),"Nu")</f>
        <v>Nu</v>
      </c>
      <c r="F572" s="5"/>
      <c r="G572" s="5"/>
      <c r="H572" s="6"/>
      <c r="I572" s="5"/>
      <c r="J572" s="5"/>
      <c r="K572" s="7" t="str">
        <f ca="1">IFERROR(__xludf.DUMMYFUNCTION("""COMPUTED_VALUE"""),"https://stirioficiale.ro/informatii/buletin-de-presa-29-mai-2020-ora-13-00")</f>
        <v>https://stirioficiale.ro/informatii/buletin-de-presa-29-mai-2020-ora-13-00</v>
      </c>
      <c r="L572" s="5"/>
      <c r="M572" s="5"/>
      <c r="N572" s="5"/>
      <c r="O572" s="5"/>
      <c r="P572" s="5"/>
      <c r="Q572" s="5"/>
      <c r="R572" s="5" t="str">
        <f ca="1">IFERROR(__xludf.DUMMYFUNCTION("""COMPUTED_VALUE"""),"România")</f>
        <v>România</v>
      </c>
      <c r="S572" s="5" t="str">
        <f ca="1">IFERROR(__xludf.DUMMYFUNCTION("""COMPUTED_VALUE"""),"Octavian")</f>
        <v>Octavian</v>
      </c>
      <c r="T572" s="7" t="str">
        <f ca="1">IFERROR(__xludf.DUMMYFUNCTION("""COMPUTED_VALUE"""),"http://www.ms.ro/2020/05/29/buletin-informativ-29-05-2020/")</f>
        <v>http://www.ms.ro/2020/05/29/buletin-informativ-29-05-2020/</v>
      </c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2.5">
      <c r="A573" s="5">
        <f ca="1">IFERROR(__xludf.DUMMYFUNCTION("""COMPUTED_VALUE"""),18805)</f>
        <v>18805</v>
      </c>
      <c r="B573" s="5"/>
      <c r="C573" s="5" t="str">
        <f ca="1">IFERROR(__xludf.DUMMYFUNCTION("""COMPUTED_VALUE"""),"Bihor")</f>
        <v>Bihor</v>
      </c>
      <c r="D573" s="13">
        <f ca="1">IFERROR(__xludf.DUMMYFUNCTION("""COMPUTED_VALUE"""),43980)</f>
        <v>43980</v>
      </c>
      <c r="E573" s="5" t="str">
        <f ca="1">IFERROR(__xludf.DUMMYFUNCTION("""COMPUTED_VALUE"""),"Nu")</f>
        <v>Nu</v>
      </c>
      <c r="F573" s="5"/>
      <c r="G573" s="5"/>
      <c r="H573" s="6"/>
      <c r="I573" s="5"/>
      <c r="J573" s="5"/>
      <c r="K573" s="7" t="str">
        <f ca="1">IFERROR(__xludf.DUMMYFUNCTION("""COMPUTED_VALUE"""),"https://stirioficiale.ro/informatii/buletin-de-presa-29-mai-2020-ora-13-00")</f>
        <v>https://stirioficiale.ro/informatii/buletin-de-presa-29-mai-2020-ora-13-00</v>
      </c>
      <c r="L573" s="5"/>
      <c r="M573" s="5"/>
      <c r="N573" s="5"/>
      <c r="O573" s="5"/>
      <c r="P573" s="5"/>
      <c r="Q573" s="5"/>
      <c r="R573" s="5" t="str">
        <f ca="1">IFERROR(__xludf.DUMMYFUNCTION("""COMPUTED_VALUE"""),"România")</f>
        <v>România</v>
      </c>
      <c r="S573" s="5" t="str">
        <f ca="1">IFERROR(__xludf.DUMMYFUNCTION("""COMPUTED_VALUE"""),"Octavian")</f>
        <v>Octavian</v>
      </c>
      <c r="T573" s="7" t="str">
        <f ca="1">IFERROR(__xludf.DUMMYFUNCTION("""COMPUTED_VALUE"""),"http://www.ms.ro/2020/05/29/buletin-informativ-29-05-2020/")</f>
        <v>http://www.ms.ro/2020/05/29/buletin-informativ-29-05-2020/</v>
      </c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t="12.5">
      <c r="A574" s="5">
        <f ca="1">IFERROR(__xludf.DUMMYFUNCTION("""COMPUTED_VALUE"""),18806)</f>
        <v>18806</v>
      </c>
      <c r="B574" s="5"/>
      <c r="C574" s="5" t="str">
        <f ca="1">IFERROR(__xludf.DUMMYFUNCTION("""COMPUTED_VALUE"""),"Bihor")</f>
        <v>Bihor</v>
      </c>
      <c r="D574" s="13">
        <f ca="1">IFERROR(__xludf.DUMMYFUNCTION("""COMPUTED_VALUE"""),43980)</f>
        <v>43980</v>
      </c>
      <c r="E574" s="5" t="str">
        <f ca="1">IFERROR(__xludf.DUMMYFUNCTION("""COMPUTED_VALUE"""),"Nu")</f>
        <v>Nu</v>
      </c>
      <c r="F574" s="5"/>
      <c r="G574" s="5"/>
      <c r="H574" s="6"/>
      <c r="I574" s="5"/>
      <c r="J574" s="5"/>
      <c r="K574" s="7" t="str">
        <f ca="1">IFERROR(__xludf.DUMMYFUNCTION("""COMPUTED_VALUE"""),"https://stirioficiale.ro/informatii/buletin-de-presa-29-mai-2020-ora-13-00")</f>
        <v>https://stirioficiale.ro/informatii/buletin-de-presa-29-mai-2020-ora-13-00</v>
      </c>
      <c r="L574" s="5"/>
      <c r="M574" s="5"/>
      <c r="N574" s="5"/>
      <c r="O574" s="5"/>
      <c r="P574" s="5"/>
      <c r="Q574" s="5"/>
      <c r="R574" s="5" t="str">
        <f ca="1">IFERROR(__xludf.DUMMYFUNCTION("""COMPUTED_VALUE"""),"România")</f>
        <v>România</v>
      </c>
      <c r="S574" s="5" t="str">
        <f ca="1">IFERROR(__xludf.DUMMYFUNCTION("""COMPUTED_VALUE"""),"Octavian")</f>
        <v>Octavian</v>
      </c>
      <c r="T574" s="7" t="str">
        <f ca="1">IFERROR(__xludf.DUMMYFUNCTION("""COMPUTED_VALUE"""),"http://www.ms.ro/2020/05/29/buletin-informativ-29-05-2020/")</f>
        <v>http://www.ms.ro/2020/05/29/buletin-informativ-29-05-2020/</v>
      </c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2.5">
      <c r="A575" s="5">
        <f ca="1">IFERROR(__xludf.DUMMYFUNCTION("""COMPUTED_VALUE"""),18807)</f>
        <v>18807</v>
      </c>
      <c r="B575" s="5"/>
      <c r="C575" s="5" t="str">
        <f ca="1">IFERROR(__xludf.DUMMYFUNCTION("""COMPUTED_VALUE"""),"Bihor")</f>
        <v>Bihor</v>
      </c>
      <c r="D575" s="13">
        <f ca="1">IFERROR(__xludf.DUMMYFUNCTION("""COMPUTED_VALUE"""),43980)</f>
        <v>43980</v>
      </c>
      <c r="E575" s="5" t="str">
        <f ca="1">IFERROR(__xludf.DUMMYFUNCTION("""COMPUTED_VALUE"""),"Nu")</f>
        <v>Nu</v>
      </c>
      <c r="F575" s="5"/>
      <c r="G575" s="5"/>
      <c r="H575" s="6"/>
      <c r="I575" s="5"/>
      <c r="J575" s="5"/>
      <c r="K575" s="7" t="str">
        <f ca="1">IFERROR(__xludf.DUMMYFUNCTION("""COMPUTED_VALUE"""),"https://stirioficiale.ro/informatii/buletin-de-presa-29-mai-2020-ora-13-00")</f>
        <v>https://stirioficiale.ro/informatii/buletin-de-presa-29-mai-2020-ora-13-00</v>
      </c>
      <c r="L575" s="5"/>
      <c r="M575" s="5"/>
      <c r="N575" s="5"/>
      <c r="O575" s="5"/>
      <c r="P575" s="5"/>
      <c r="Q575" s="5"/>
      <c r="R575" s="5" t="str">
        <f ca="1">IFERROR(__xludf.DUMMYFUNCTION("""COMPUTED_VALUE"""),"România")</f>
        <v>România</v>
      </c>
      <c r="S575" s="5" t="str">
        <f ca="1">IFERROR(__xludf.DUMMYFUNCTION("""COMPUTED_VALUE"""),"Octavian")</f>
        <v>Octavian</v>
      </c>
      <c r="T575" s="7" t="str">
        <f ca="1">IFERROR(__xludf.DUMMYFUNCTION("""COMPUTED_VALUE"""),"http://www.ms.ro/2020/05/29/buletin-informativ-29-05-2020/")</f>
        <v>http://www.ms.ro/2020/05/29/buletin-informativ-29-05-2020/</v>
      </c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t="12.5">
      <c r="A576" s="5">
        <f ca="1">IFERROR(__xludf.DUMMYFUNCTION("""COMPUTED_VALUE"""),18808)</f>
        <v>18808</v>
      </c>
      <c r="B576" s="5"/>
      <c r="C576" s="5" t="str">
        <f ca="1">IFERROR(__xludf.DUMMYFUNCTION("""COMPUTED_VALUE"""),"Bihor")</f>
        <v>Bihor</v>
      </c>
      <c r="D576" s="13">
        <f ca="1">IFERROR(__xludf.DUMMYFUNCTION("""COMPUTED_VALUE"""),43980)</f>
        <v>43980</v>
      </c>
      <c r="E576" s="5" t="str">
        <f ca="1">IFERROR(__xludf.DUMMYFUNCTION("""COMPUTED_VALUE"""),"Nu")</f>
        <v>Nu</v>
      </c>
      <c r="F576" s="5"/>
      <c r="G576" s="5"/>
      <c r="H576" s="6"/>
      <c r="I576" s="5"/>
      <c r="J576" s="5"/>
      <c r="K576" s="7" t="str">
        <f ca="1">IFERROR(__xludf.DUMMYFUNCTION("""COMPUTED_VALUE"""),"https://stirioficiale.ro/informatii/buletin-de-presa-29-mai-2020-ora-13-00")</f>
        <v>https://stirioficiale.ro/informatii/buletin-de-presa-29-mai-2020-ora-13-00</v>
      </c>
      <c r="L576" s="5"/>
      <c r="M576" s="5"/>
      <c r="N576" s="5"/>
      <c r="O576" s="5"/>
      <c r="P576" s="5"/>
      <c r="Q576" s="5"/>
      <c r="R576" s="5" t="str">
        <f ca="1">IFERROR(__xludf.DUMMYFUNCTION("""COMPUTED_VALUE"""),"România")</f>
        <v>România</v>
      </c>
      <c r="S576" s="5" t="str">
        <f ca="1">IFERROR(__xludf.DUMMYFUNCTION("""COMPUTED_VALUE"""),"Octavian")</f>
        <v>Octavian</v>
      </c>
      <c r="T576" s="7" t="str">
        <f ca="1">IFERROR(__xludf.DUMMYFUNCTION("""COMPUTED_VALUE"""),"http://www.ms.ro/2020/05/29/buletin-informativ-29-05-2020/")</f>
        <v>http://www.ms.ro/2020/05/29/buletin-informativ-29-05-2020/</v>
      </c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2.5">
      <c r="A577" s="5">
        <f ca="1">IFERROR(__xludf.DUMMYFUNCTION("""COMPUTED_VALUE"""),18809)</f>
        <v>18809</v>
      </c>
      <c r="B577" s="5"/>
      <c r="C577" s="5" t="str">
        <f ca="1">IFERROR(__xludf.DUMMYFUNCTION("""COMPUTED_VALUE"""),"Bihor")</f>
        <v>Bihor</v>
      </c>
      <c r="D577" s="13">
        <f ca="1">IFERROR(__xludf.DUMMYFUNCTION("""COMPUTED_VALUE"""),43980)</f>
        <v>43980</v>
      </c>
      <c r="E577" s="5" t="str">
        <f ca="1">IFERROR(__xludf.DUMMYFUNCTION("""COMPUTED_VALUE"""),"Nu")</f>
        <v>Nu</v>
      </c>
      <c r="F577" s="5"/>
      <c r="G577" s="5"/>
      <c r="H577" s="6"/>
      <c r="I577" s="5"/>
      <c r="J577" s="5"/>
      <c r="K577" s="7" t="str">
        <f ca="1">IFERROR(__xludf.DUMMYFUNCTION("""COMPUTED_VALUE"""),"https://stirioficiale.ro/informatii/buletin-de-presa-29-mai-2020-ora-13-00")</f>
        <v>https://stirioficiale.ro/informatii/buletin-de-presa-29-mai-2020-ora-13-00</v>
      </c>
      <c r="L577" s="5"/>
      <c r="M577" s="5"/>
      <c r="N577" s="5"/>
      <c r="O577" s="5"/>
      <c r="P577" s="5"/>
      <c r="Q577" s="5"/>
      <c r="R577" s="5" t="str">
        <f ca="1">IFERROR(__xludf.DUMMYFUNCTION("""COMPUTED_VALUE"""),"România")</f>
        <v>România</v>
      </c>
      <c r="S577" s="5" t="str">
        <f ca="1">IFERROR(__xludf.DUMMYFUNCTION("""COMPUTED_VALUE"""),"Octavian")</f>
        <v>Octavian</v>
      </c>
      <c r="T577" s="7" t="str">
        <f ca="1">IFERROR(__xludf.DUMMYFUNCTION("""COMPUTED_VALUE"""),"http://www.ms.ro/2020/05/29/buletin-informativ-29-05-2020/")</f>
        <v>http://www.ms.ro/2020/05/29/buletin-informativ-29-05-2020/</v>
      </c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12.5">
      <c r="A578" s="5">
        <f ca="1">IFERROR(__xludf.DUMMYFUNCTION("""COMPUTED_VALUE"""),18810)</f>
        <v>18810</v>
      </c>
      <c r="B578" s="5"/>
      <c r="C578" s="5" t="str">
        <f ca="1">IFERROR(__xludf.DUMMYFUNCTION("""COMPUTED_VALUE"""),"Bihor")</f>
        <v>Bihor</v>
      </c>
      <c r="D578" s="13">
        <f ca="1">IFERROR(__xludf.DUMMYFUNCTION("""COMPUTED_VALUE"""),43980)</f>
        <v>43980</v>
      </c>
      <c r="E578" s="5" t="str">
        <f ca="1">IFERROR(__xludf.DUMMYFUNCTION("""COMPUTED_VALUE"""),"Nu")</f>
        <v>Nu</v>
      </c>
      <c r="F578" s="5"/>
      <c r="G578" s="5"/>
      <c r="H578" s="6"/>
      <c r="I578" s="5"/>
      <c r="J578" s="5"/>
      <c r="K578" s="7" t="str">
        <f ca="1">IFERROR(__xludf.DUMMYFUNCTION("""COMPUTED_VALUE"""),"https://stirioficiale.ro/informatii/buletin-de-presa-29-mai-2020-ora-13-00")</f>
        <v>https://stirioficiale.ro/informatii/buletin-de-presa-29-mai-2020-ora-13-00</v>
      </c>
      <c r="L578" s="5"/>
      <c r="M578" s="5"/>
      <c r="N578" s="5"/>
      <c r="O578" s="5"/>
      <c r="P578" s="5"/>
      <c r="Q578" s="5"/>
      <c r="R578" s="5" t="str">
        <f ca="1">IFERROR(__xludf.DUMMYFUNCTION("""COMPUTED_VALUE"""),"România")</f>
        <v>România</v>
      </c>
      <c r="S578" s="5" t="str">
        <f ca="1">IFERROR(__xludf.DUMMYFUNCTION("""COMPUTED_VALUE"""),"Octavian")</f>
        <v>Octavian</v>
      </c>
      <c r="T578" s="7" t="str">
        <f ca="1">IFERROR(__xludf.DUMMYFUNCTION("""COMPUTED_VALUE"""),"http://www.ms.ro/2020/05/29/buletin-informativ-29-05-2020/")</f>
        <v>http://www.ms.ro/2020/05/29/buletin-informativ-29-05-2020/</v>
      </c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2.5">
      <c r="A579" s="5">
        <f ca="1">IFERROR(__xludf.DUMMYFUNCTION("""COMPUTED_VALUE"""),18811)</f>
        <v>18811</v>
      </c>
      <c r="B579" s="5"/>
      <c r="C579" s="5" t="str">
        <f ca="1">IFERROR(__xludf.DUMMYFUNCTION("""COMPUTED_VALUE"""),"Bihor")</f>
        <v>Bihor</v>
      </c>
      <c r="D579" s="13">
        <f ca="1">IFERROR(__xludf.DUMMYFUNCTION("""COMPUTED_VALUE"""),43980)</f>
        <v>43980</v>
      </c>
      <c r="E579" s="5" t="str">
        <f ca="1">IFERROR(__xludf.DUMMYFUNCTION("""COMPUTED_VALUE"""),"Nu")</f>
        <v>Nu</v>
      </c>
      <c r="F579" s="5"/>
      <c r="G579" s="5"/>
      <c r="H579" s="6"/>
      <c r="I579" s="5"/>
      <c r="J579" s="5"/>
      <c r="K579" s="7" t="str">
        <f ca="1">IFERROR(__xludf.DUMMYFUNCTION("""COMPUTED_VALUE"""),"https://stirioficiale.ro/informatii/buletin-de-presa-29-mai-2020-ora-13-00")</f>
        <v>https://stirioficiale.ro/informatii/buletin-de-presa-29-mai-2020-ora-13-00</v>
      </c>
      <c r="L579" s="5"/>
      <c r="M579" s="5"/>
      <c r="N579" s="5"/>
      <c r="O579" s="5"/>
      <c r="P579" s="5"/>
      <c r="Q579" s="5"/>
      <c r="R579" s="5" t="str">
        <f ca="1">IFERROR(__xludf.DUMMYFUNCTION("""COMPUTED_VALUE"""),"România")</f>
        <v>România</v>
      </c>
      <c r="S579" s="5" t="str">
        <f ca="1">IFERROR(__xludf.DUMMYFUNCTION("""COMPUTED_VALUE"""),"Octavian")</f>
        <v>Octavian</v>
      </c>
      <c r="T579" s="7" t="str">
        <f ca="1">IFERROR(__xludf.DUMMYFUNCTION("""COMPUTED_VALUE"""),"http://www.ms.ro/2020/05/29/buletin-informativ-29-05-2020/")</f>
        <v>http://www.ms.ro/2020/05/29/buletin-informativ-29-05-2020/</v>
      </c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t="12.5">
      <c r="A580" s="5">
        <f ca="1">IFERROR(__xludf.DUMMYFUNCTION("""COMPUTED_VALUE"""),18996)</f>
        <v>18996</v>
      </c>
      <c r="B580" s="5"/>
      <c r="C580" s="5" t="str">
        <f ca="1">IFERROR(__xludf.DUMMYFUNCTION("""COMPUTED_VALUE"""),"Bihor")</f>
        <v>Bihor</v>
      </c>
      <c r="D580" s="13">
        <f ca="1">IFERROR(__xludf.DUMMYFUNCTION("""COMPUTED_VALUE"""),43981)</f>
        <v>43981</v>
      </c>
      <c r="E580" s="5" t="str">
        <f ca="1">IFERROR(__xludf.DUMMYFUNCTION("""COMPUTED_VALUE"""),"Nu")</f>
        <v>Nu</v>
      </c>
      <c r="F580" s="5"/>
      <c r="G580" s="5"/>
      <c r="H580" s="6"/>
      <c r="I580" s="5"/>
      <c r="J580" s="5"/>
      <c r="K580" s="7" t="str">
        <f ca="1">IFERROR(__xludf.DUMMYFUNCTION("""COMPUTED_VALUE"""),"https://www.bihon.ro/stirile-judetului-bihor/rezultatul-testarii-la-plexus-21-de-angajati-pozitivi-covid-19-iata-ce-masuri-ia-compania-americana-2295625/")</f>
        <v>https://www.bihon.ro/stirile-judetului-bihor/rezultatul-testarii-la-plexus-21-de-angajati-pozitivi-covid-19-iata-ce-masuri-ia-compania-americana-2295625/</v>
      </c>
      <c r="L580" s="5"/>
      <c r="M580" s="5"/>
      <c r="N580" s="5"/>
      <c r="O580" s="5"/>
      <c r="P580" s="5" t="str">
        <f ca="1">IFERROR(__xludf.DUMMYFUNCTION("""COMPUTED_VALUE"""),"Angajat Plexus Corp")</f>
        <v>Angajat Plexus Corp</v>
      </c>
      <c r="Q580" s="5" t="str">
        <f ca="1">IFERROR(__xludf.DUMMYFUNCTION("""COMPUTED_VALUE"""),"Comunitar")</f>
        <v>Comunitar</v>
      </c>
      <c r="R580" s="5" t="str">
        <f ca="1">IFERROR(__xludf.DUMMYFUNCTION("""COMPUTED_VALUE"""),"România")</f>
        <v>România</v>
      </c>
      <c r="S580" s="5" t="str">
        <f ca="1">IFERROR(__xludf.DUMMYFUNCTION("""COMPUTED_VALUE"""),"Ruxandra")</f>
        <v>Ruxandra</v>
      </c>
      <c r="T580" s="7" t="str">
        <f ca="1">IFERROR(__xludf.DUMMYFUNCTION("""COMPUTED_VALUE"""),"http://www.ms.ro/2020/05/30/buletin-informativ-30-05-2020/")</f>
        <v>http://www.ms.ro/2020/05/30/buletin-informativ-30-05-2020/</v>
      </c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2.5">
      <c r="A581" s="5">
        <f ca="1">IFERROR(__xludf.DUMMYFUNCTION("""COMPUTED_VALUE"""),18997)</f>
        <v>18997</v>
      </c>
      <c r="B581" s="5"/>
      <c r="C581" s="5" t="str">
        <f ca="1">IFERROR(__xludf.DUMMYFUNCTION("""COMPUTED_VALUE"""),"Bihor")</f>
        <v>Bihor</v>
      </c>
      <c r="D581" s="13">
        <f ca="1">IFERROR(__xludf.DUMMYFUNCTION("""COMPUTED_VALUE"""),43981)</f>
        <v>43981</v>
      </c>
      <c r="E581" s="5" t="str">
        <f ca="1">IFERROR(__xludf.DUMMYFUNCTION("""COMPUTED_VALUE"""),"Nu")</f>
        <v>Nu</v>
      </c>
      <c r="F581" s="5"/>
      <c r="G581" s="5"/>
      <c r="H581" s="6"/>
      <c r="I581" s="5"/>
      <c r="J581" s="5"/>
      <c r="K581" s="7" t="str">
        <f ca="1">IFERROR(__xludf.DUMMYFUNCTION("""COMPUTED_VALUE"""),"https://www.bihon.ro/stirile-judetului-bihor/rezultatul-testarii-la-plexus-21-de-angajati-pozitivi-covid-19-iata-ce-masuri-ia-compania-americana-2295625/")</f>
        <v>https://www.bihon.ro/stirile-judetului-bihor/rezultatul-testarii-la-plexus-21-de-angajati-pozitivi-covid-19-iata-ce-masuri-ia-compania-americana-2295625/</v>
      </c>
      <c r="L581" s="5"/>
      <c r="M581" s="5"/>
      <c r="N581" s="5"/>
      <c r="O581" s="5"/>
      <c r="P581" s="5" t="str">
        <f ca="1">IFERROR(__xludf.DUMMYFUNCTION("""COMPUTED_VALUE"""),"Angajat Plexus Corp")</f>
        <v>Angajat Plexus Corp</v>
      </c>
      <c r="Q581" s="5" t="str">
        <f ca="1">IFERROR(__xludf.DUMMYFUNCTION("""COMPUTED_VALUE"""),"Comunitar")</f>
        <v>Comunitar</v>
      </c>
      <c r="R581" s="5" t="str">
        <f ca="1">IFERROR(__xludf.DUMMYFUNCTION("""COMPUTED_VALUE"""),"România")</f>
        <v>România</v>
      </c>
      <c r="S581" s="5" t="str">
        <f ca="1">IFERROR(__xludf.DUMMYFUNCTION("""COMPUTED_VALUE"""),"Ruxandra")</f>
        <v>Ruxandra</v>
      </c>
      <c r="T581" s="7" t="str">
        <f ca="1">IFERROR(__xludf.DUMMYFUNCTION("""COMPUTED_VALUE"""),"http://www.ms.ro/2020/05/30/buletin-informativ-30-05-2020/")</f>
        <v>http://www.ms.ro/2020/05/30/buletin-informativ-30-05-2020/</v>
      </c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t="12.5">
      <c r="A582" s="5">
        <f ca="1">IFERROR(__xludf.DUMMYFUNCTION("""COMPUTED_VALUE"""),18998)</f>
        <v>18998</v>
      </c>
      <c r="B582" s="5"/>
      <c r="C582" s="5" t="str">
        <f ca="1">IFERROR(__xludf.DUMMYFUNCTION("""COMPUTED_VALUE"""),"Bihor")</f>
        <v>Bihor</v>
      </c>
      <c r="D582" s="13">
        <f ca="1">IFERROR(__xludf.DUMMYFUNCTION("""COMPUTED_VALUE"""),43981)</f>
        <v>43981</v>
      </c>
      <c r="E582" s="5" t="str">
        <f ca="1">IFERROR(__xludf.DUMMYFUNCTION("""COMPUTED_VALUE"""),"Nu")</f>
        <v>Nu</v>
      </c>
      <c r="F582" s="5"/>
      <c r="G582" s="5"/>
      <c r="H582" s="6"/>
      <c r="I582" s="5"/>
      <c r="J582" s="5"/>
      <c r="K582" s="7" t="str">
        <f ca="1">IFERROR(__xludf.DUMMYFUNCTION("""COMPUTED_VALUE"""),"https://www.bihon.ro/stirile-judetului-bihor/rezultatul-testarii-la-plexus-21-de-angajati-pozitivi-covid-19-iata-ce-masuri-ia-compania-americana-2295625/")</f>
        <v>https://www.bihon.ro/stirile-judetului-bihor/rezultatul-testarii-la-plexus-21-de-angajati-pozitivi-covid-19-iata-ce-masuri-ia-compania-americana-2295625/</v>
      </c>
      <c r="L582" s="5"/>
      <c r="M582" s="5"/>
      <c r="N582" s="5"/>
      <c r="O582" s="5"/>
      <c r="P582" s="5" t="str">
        <f ca="1">IFERROR(__xludf.DUMMYFUNCTION("""COMPUTED_VALUE"""),"Angajat Plexus Corp")</f>
        <v>Angajat Plexus Corp</v>
      </c>
      <c r="Q582" s="5" t="str">
        <f ca="1">IFERROR(__xludf.DUMMYFUNCTION("""COMPUTED_VALUE"""),"Comunitar")</f>
        <v>Comunitar</v>
      </c>
      <c r="R582" s="5" t="str">
        <f ca="1">IFERROR(__xludf.DUMMYFUNCTION("""COMPUTED_VALUE"""),"România")</f>
        <v>România</v>
      </c>
      <c r="S582" s="5" t="str">
        <f ca="1">IFERROR(__xludf.DUMMYFUNCTION("""COMPUTED_VALUE"""),"Ruxandra")</f>
        <v>Ruxandra</v>
      </c>
      <c r="T582" s="7" t="str">
        <f ca="1">IFERROR(__xludf.DUMMYFUNCTION("""COMPUTED_VALUE"""),"http://www.ms.ro/2020/05/30/buletin-informativ-30-05-2020/")</f>
        <v>http://www.ms.ro/2020/05/30/buletin-informativ-30-05-2020/</v>
      </c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2.5">
      <c r="A583" s="5">
        <f ca="1">IFERROR(__xludf.DUMMYFUNCTION("""COMPUTED_VALUE"""),18999)</f>
        <v>18999</v>
      </c>
      <c r="B583" s="5"/>
      <c r="C583" s="5" t="str">
        <f ca="1">IFERROR(__xludf.DUMMYFUNCTION("""COMPUTED_VALUE"""),"Bihor")</f>
        <v>Bihor</v>
      </c>
      <c r="D583" s="13">
        <f ca="1">IFERROR(__xludf.DUMMYFUNCTION("""COMPUTED_VALUE"""),43981)</f>
        <v>43981</v>
      </c>
      <c r="E583" s="5" t="str">
        <f ca="1">IFERROR(__xludf.DUMMYFUNCTION("""COMPUTED_VALUE"""),"Nu")</f>
        <v>Nu</v>
      </c>
      <c r="F583" s="5"/>
      <c r="G583" s="5"/>
      <c r="H583" s="6"/>
      <c r="I583" s="5"/>
      <c r="J583" s="5"/>
      <c r="K583" s="7" t="str">
        <f ca="1">IFERROR(__xludf.DUMMYFUNCTION("""COMPUTED_VALUE"""),"https://www.bihon.ro/stirile-judetului-bihor/rezultatul-testarii-la-plexus-21-de-angajati-pozitivi-covid-19-iata-ce-masuri-ia-compania-americana-2295625/")</f>
        <v>https://www.bihon.ro/stirile-judetului-bihor/rezultatul-testarii-la-plexus-21-de-angajati-pozitivi-covid-19-iata-ce-masuri-ia-compania-americana-2295625/</v>
      </c>
      <c r="L583" s="5"/>
      <c r="M583" s="5"/>
      <c r="N583" s="5"/>
      <c r="O583" s="5"/>
      <c r="P583" s="5" t="str">
        <f ca="1">IFERROR(__xludf.DUMMYFUNCTION("""COMPUTED_VALUE"""),"Angajat Plexus Corp")</f>
        <v>Angajat Plexus Corp</v>
      </c>
      <c r="Q583" s="5" t="str">
        <f ca="1">IFERROR(__xludf.DUMMYFUNCTION("""COMPUTED_VALUE"""),"Comunitar")</f>
        <v>Comunitar</v>
      </c>
      <c r="R583" s="5" t="str">
        <f ca="1">IFERROR(__xludf.DUMMYFUNCTION("""COMPUTED_VALUE"""),"România")</f>
        <v>România</v>
      </c>
      <c r="S583" s="5" t="str">
        <f ca="1">IFERROR(__xludf.DUMMYFUNCTION("""COMPUTED_VALUE"""),"Ruxandra")</f>
        <v>Ruxandra</v>
      </c>
      <c r="T583" s="7" t="str">
        <f ca="1">IFERROR(__xludf.DUMMYFUNCTION("""COMPUTED_VALUE"""),"http://www.ms.ro/2020/05/30/buletin-informativ-30-05-2020/")</f>
        <v>http://www.ms.ro/2020/05/30/buletin-informativ-30-05-2020/</v>
      </c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12.5">
      <c r="A584" s="5">
        <f ca="1">IFERROR(__xludf.DUMMYFUNCTION("""COMPUTED_VALUE"""),19137)</f>
        <v>19137</v>
      </c>
      <c r="B584" s="5"/>
      <c r="C584" s="5" t="str">
        <f ca="1">IFERROR(__xludf.DUMMYFUNCTION("""COMPUTED_VALUE"""),"Bihor")</f>
        <v>Bihor</v>
      </c>
      <c r="D584" s="13">
        <f ca="1">IFERROR(__xludf.DUMMYFUNCTION("""COMPUTED_VALUE"""),43982)</f>
        <v>43982</v>
      </c>
      <c r="E584" s="5" t="str">
        <f ca="1">IFERROR(__xludf.DUMMYFUNCTION("""COMPUTED_VALUE"""),"Nu")</f>
        <v>Nu</v>
      </c>
      <c r="F584" s="5"/>
      <c r="G584" s="5"/>
      <c r="H584" s="6"/>
      <c r="I584" s="5"/>
      <c r="J584" s="5"/>
      <c r="K584" s="7" t="str">
        <f ca="1">IFERROR(__xludf.DUMMYFUNCTION("""COMPUTED_VALUE"""),"https://www.bihon.ro/stirile-judetului-bihor/rezultatul-testarii-la-plexus-21-de-angajati-pozitivi-covid-19-iata-ce-masuri-ia-compania-americana-2295625/")</f>
        <v>https://www.bihon.ro/stirile-judetului-bihor/rezultatul-testarii-la-plexus-21-de-angajati-pozitivi-covid-19-iata-ce-masuri-ia-compania-americana-2295625/</v>
      </c>
      <c r="L584" s="5"/>
      <c r="M584" s="5"/>
      <c r="N584" s="5"/>
      <c r="O584" s="5"/>
      <c r="P584" s="5" t="str">
        <f ca="1">IFERROR(__xludf.DUMMYFUNCTION("""COMPUTED_VALUE"""),"Angajat Plexus Corp")</f>
        <v>Angajat Plexus Corp</v>
      </c>
      <c r="Q584" s="5" t="str">
        <f ca="1">IFERROR(__xludf.DUMMYFUNCTION("""COMPUTED_VALUE"""),"Comunitar")</f>
        <v>Comunitar</v>
      </c>
      <c r="R584" s="5" t="str">
        <f ca="1">IFERROR(__xludf.DUMMYFUNCTION("""COMPUTED_VALUE"""),"România")</f>
        <v>România</v>
      </c>
      <c r="S584" s="5" t="str">
        <f ca="1">IFERROR(__xludf.DUMMYFUNCTION("""COMPUTED_VALUE"""),"Ruxandra")</f>
        <v>Ruxandra</v>
      </c>
      <c r="T584" s="7" t="str">
        <f ca="1">IFERROR(__xludf.DUMMYFUNCTION("""COMPUTED_VALUE"""),"http://www.ms.ro/2020/05/31/buletin-informativ-31-05-2020/")</f>
        <v>http://www.ms.ro/2020/05/31/buletin-informativ-31-05-2020/</v>
      </c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2.5">
      <c r="A585" s="5">
        <f ca="1">IFERROR(__xludf.DUMMYFUNCTION("""COMPUTED_VALUE"""),19138)</f>
        <v>19138</v>
      </c>
      <c r="B585" s="5"/>
      <c r="C585" s="5" t="str">
        <f ca="1">IFERROR(__xludf.DUMMYFUNCTION("""COMPUTED_VALUE"""),"Bihor")</f>
        <v>Bihor</v>
      </c>
      <c r="D585" s="13">
        <f ca="1">IFERROR(__xludf.DUMMYFUNCTION("""COMPUTED_VALUE"""),43982)</f>
        <v>43982</v>
      </c>
      <c r="E585" s="5" t="str">
        <f ca="1">IFERROR(__xludf.DUMMYFUNCTION("""COMPUTED_VALUE"""),"Nu")</f>
        <v>Nu</v>
      </c>
      <c r="F585" s="5"/>
      <c r="G585" s="5"/>
      <c r="H585" s="6"/>
      <c r="I585" s="5"/>
      <c r="J585" s="5"/>
      <c r="K585" s="7" t="str">
        <f ca="1">IFERROR(__xludf.DUMMYFUNCTION("""COMPUTED_VALUE"""),"https://www.bihon.ro/stirile-judetului-bihor/rezultatul-testarii-la-plexus-21-de-angajati-pozitivi-covid-19-iata-ce-masuri-ia-compania-americana-2295625/")</f>
        <v>https://www.bihon.ro/stirile-judetului-bihor/rezultatul-testarii-la-plexus-21-de-angajati-pozitivi-covid-19-iata-ce-masuri-ia-compania-americana-2295625/</v>
      </c>
      <c r="L585" s="5"/>
      <c r="M585" s="5"/>
      <c r="N585" s="5"/>
      <c r="O585" s="5"/>
      <c r="P585" s="5" t="str">
        <f ca="1">IFERROR(__xludf.DUMMYFUNCTION("""COMPUTED_VALUE"""),"Angajat Plexus Corp")</f>
        <v>Angajat Plexus Corp</v>
      </c>
      <c r="Q585" s="5" t="str">
        <f ca="1">IFERROR(__xludf.DUMMYFUNCTION("""COMPUTED_VALUE"""),"Comunitar")</f>
        <v>Comunitar</v>
      </c>
      <c r="R585" s="5" t="str">
        <f ca="1">IFERROR(__xludf.DUMMYFUNCTION("""COMPUTED_VALUE"""),"România")</f>
        <v>România</v>
      </c>
      <c r="S585" s="5" t="str">
        <f ca="1">IFERROR(__xludf.DUMMYFUNCTION("""COMPUTED_VALUE"""),"Ruxandra")</f>
        <v>Ruxandra</v>
      </c>
      <c r="T585" s="7" t="str">
        <f ca="1">IFERROR(__xludf.DUMMYFUNCTION("""COMPUTED_VALUE"""),"http://www.ms.ro/2020/05/31/buletin-informativ-31-05-2020/")</f>
        <v>http://www.ms.ro/2020/05/31/buletin-informativ-31-05-2020/</v>
      </c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t="12.5">
      <c r="A586" s="5">
        <f ca="1">IFERROR(__xludf.DUMMYFUNCTION("""COMPUTED_VALUE"""),19139)</f>
        <v>19139</v>
      </c>
      <c r="B586" s="5"/>
      <c r="C586" s="5" t="str">
        <f ca="1">IFERROR(__xludf.DUMMYFUNCTION("""COMPUTED_VALUE"""),"Bihor")</f>
        <v>Bihor</v>
      </c>
      <c r="D586" s="13">
        <f ca="1">IFERROR(__xludf.DUMMYFUNCTION("""COMPUTED_VALUE"""),43982)</f>
        <v>43982</v>
      </c>
      <c r="E586" s="5" t="str">
        <f ca="1">IFERROR(__xludf.DUMMYFUNCTION("""COMPUTED_VALUE"""),"Nu")</f>
        <v>Nu</v>
      </c>
      <c r="F586" s="5"/>
      <c r="G586" s="5"/>
      <c r="H586" s="6"/>
      <c r="I586" s="5"/>
      <c r="J586" s="5"/>
      <c r="K586" s="7" t="str">
        <f ca="1">IFERROR(__xludf.DUMMYFUNCTION("""COMPUTED_VALUE"""),"https://www.bihon.ro/stirile-judetului-bihor/rezultatul-testarii-la-plexus-21-de-angajati-pozitivi-covid-19-iata-ce-masuri-ia-compania-americana-2295625/")</f>
        <v>https://www.bihon.ro/stirile-judetului-bihor/rezultatul-testarii-la-plexus-21-de-angajati-pozitivi-covid-19-iata-ce-masuri-ia-compania-americana-2295625/</v>
      </c>
      <c r="L586" s="5"/>
      <c r="M586" s="5"/>
      <c r="N586" s="5"/>
      <c r="O586" s="5"/>
      <c r="P586" s="5" t="str">
        <f ca="1">IFERROR(__xludf.DUMMYFUNCTION("""COMPUTED_VALUE"""),"Angajat Plexus Corp")</f>
        <v>Angajat Plexus Corp</v>
      </c>
      <c r="Q586" s="5" t="str">
        <f ca="1">IFERROR(__xludf.DUMMYFUNCTION("""COMPUTED_VALUE"""),"Comunitar")</f>
        <v>Comunitar</v>
      </c>
      <c r="R586" s="5" t="str">
        <f ca="1">IFERROR(__xludf.DUMMYFUNCTION("""COMPUTED_VALUE"""),"România")</f>
        <v>România</v>
      </c>
      <c r="S586" s="5" t="str">
        <f ca="1">IFERROR(__xludf.DUMMYFUNCTION("""COMPUTED_VALUE"""),"Ruxandra")</f>
        <v>Ruxandra</v>
      </c>
      <c r="T586" s="7" t="str">
        <f ca="1">IFERROR(__xludf.DUMMYFUNCTION("""COMPUTED_VALUE"""),"http://www.ms.ro/2020/05/31/buletin-informativ-31-05-2020/")</f>
        <v>http://www.ms.ro/2020/05/31/buletin-informativ-31-05-2020/</v>
      </c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2.5">
      <c r="A587" s="5">
        <f ca="1">IFERROR(__xludf.DUMMYFUNCTION("""COMPUTED_VALUE"""),19140)</f>
        <v>19140</v>
      </c>
      <c r="B587" s="5"/>
      <c r="C587" s="5" t="str">
        <f ca="1">IFERROR(__xludf.DUMMYFUNCTION("""COMPUTED_VALUE"""),"Bihor")</f>
        <v>Bihor</v>
      </c>
      <c r="D587" s="13">
        <f ca="1">IFERROR(__xludf.DUMMYFUNCTION("""COMPUTED_VALUE"""),43982)</f>
        <v>43982</v>
      </c>
      <c r="E587" s="5" t="str">
        <f ca="1">IFERROR(__xludf.DUMMYFUNCTION("""COMPUTED_VALUE"""),"Nu")</f>
        <v>Nu</v>
      </c>
      <c r="F587" s="5"/>
      <c r="G587" s="5"/>
      <c r="H587" s="6"/>
      <c r="I587" s="5"/>
      <c r="J587" s="5"/>
      <c r="K587" s="7" t="str">
        <f ca="1">IFERROR(__xludf.DUMMYFUNCTION("""COMPUTED_VALUE"""),"https://www.bihon.ro/stirile-judetului-bihor/rezultatul-testarii-la-plexus-21-de-angajati-pozitivi-covid-19-iata-ce-masuri-ia-compania-americana-2295625/")</f>
        <v>https://www.bihon.ro/stirile-judetului-bihor/rezultatul-testarii-la-plexus-21-de-angajati-pozitivi-covid-19-iata-ce-masuri-ia-compania-americana-2295625/</v>
      </c>
      <c r="L587" s="5"/>
      <c r="M587" s="5"/>
      <c r="N587" s="5"/>
      <c r="O587" s="5"/>
      <c r="P587" s="5" t="str">
        <f ca="1">IFERROR(__xludf.DUMMYFUNCTION("""COMPUTED_VALUE"""),"Angajat Plexus Corp")</f>
        <v>Angajat Plexus Corp</v>
      </c>
      <c r="Q587" s="5" t="str">
        <f ca="1">IFERROR(__xludf.DUMMYFUNCTION("""COMPUTED_VALUE"""),"Comunitar")</f>
        <v>Comunitar</v>
      </c>
      <c r="R587" s="5" t="str">
        <f ca="1">IFERROR(__xludf.DUMMYFUNCTION("""COMPUTED_VALUE"""),"România")</f>
        <v>România</v>
      </c>
      <c r="S587" s="5" t="str">
        <f ca="1">IFERROR(__xludf.DUMMYFUNCTION("""COMPUTED_VALUE"""),"Ruxandra")</f>
        <v>Ruxandra</v>
      </c>
      <c r="T587" s="7" t="str">
        <f ca="1">IFERROR(__xludf.DUMMYFUNCTION("""COMPUTED_VALUE"""),"http://www.ms.ro/2020/05/31/buletin-informativ-31-05-2020/")</f>
        <v>http://www.ms.ro/2020/05/31/buletin-informativ-31-05-2020/</v>
      </c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t="12.5">
      <c r="A588" s="5">
        <f ca="1">IFERROR(__xludf.DUMMYFUNCTION("""COMPUTED_VALUE"""),19141)</f>
        <v>19141</v>
      </c>
      <c r="B588" s="5"/>
      <c r="C588" s="5" t="str">
        <f ca="1">IFERROR(__xludf.DUMMYFUNCTION("""COMPUTED_VALUE"""),"Bihor")</f>
        <v>Bihor</v>
      </c>
      <c r="D588" s="13">
        <f ca="1">IFERROR(__xludf.DUMMYFUNCTION("""COMPUTED_VALUE"""),43982)</f>
        <v>43982</v>
      </c>
      <c r="E588" s="5" t="str">
        <f ca="1">IFERROR(__xludf.DUMMYFUNCTION("""COMPUTED_VALUE"""),"Nu")</f>
        <v>Nu</v>
      </c>
      <c r="F588" s="5"/>
      <c r="G588" s="5"/>
      <c r="H588" s="6"/>
      <c r="I588" s="5"/>
      <c r="J588" s="5"/>
      <c r="K588" s="7" t="str">
        <f ca="1">IFERROR(__xludf.DUMMYFUNCTION("""COMPUTED_VALUE"""),"https://www.bihon.ro/stirile-judetului-bihor/rezultatul-testarii-la-plexus-21-de-angajati-pozitivi-covid-19-iata-ce-masuri-ia-compania-americana-2295625/")</f>
        <v>https://www.bihon.ro/stirile-judetului-bihor/rezultatul-testarii-la-plexus-21-de-angajati-pozitivi-covid-19-iata-ce-masuri-ia-compania-americana-2295625/</v>
      </c>
      <c r="L588" s="5"/>
      <c r="M588" s="5"/>
      <c r="N588" s="5"/>
      <c r="O588" s="5"/>
      <c r="P588" s="5" t="str">
        <f ca="1">IFERROR(__xludf.DUMMYFUNCTION("""COMPUTED_VALUE"""),"Angajat Plexus Corp")</f>
        <v>Angajat Plexus Corp</v>
      </c>
      <c r="Q588" s="5" t="str">
        <f ca="1">IFERROR(__xludf.DUMMYFUNCTION("""COMPUTED_VALUE"""),"Comunitar")</f>
        <v>Comunitar</v>
      </c>
      <c r="R588" s="5" t="str">
        <f ca="1">IFERROR(__xludf.DUMMYFUNCTION("""COMPUTED_VALUE"""),"România")</f>
        <v>România</v>
      </c>
      <c r="S588" s="5" t="str">
        <f ca="1">IFERROR(__xludf.DUMMYFUNCTION("""COMPUTED_VALUE"""),"Ruxandra")</f>
        <v>Ruxandra</v>
      </c>
      <c r="T588" s="7" t="str">
        <f ca="1">IFERROR(__xludf.DUMMYFUNCTION("""COMPUTED_VALUE"""),"http://www.ms.ro/2020/05/31/buletin-informativ-31-05-2020/")</f>
        <v>http://www.ms.ro/2020/05/31/buletin-informativ-31-05-2020/</v>
      </c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2.5">
      <c r="A589" s="5">
        <f ca="1">IFERROR(__xludf.DUMMYFUNCTION("""COMPUTED_VALUE"""),19142)</f>
        <v>19142</v>
      </c>
      <c r="B589" s="5"/>
      <c r="C589" s="5" t="str">
        <f ca="1">IFERROR(__xludf.DUMMYFUNCTION("""COMPUTED_VALUE"""),"Bihor")</f>
        <v>Bihor</v>
      </c>
      <c r="D589" s="13">
        <f ca="1">IFERROR(__xludf.DUMMYFUNCTION("""COMPUTED_VALUE"""),43982)</f>
        <v>43982</v>
      </c>
      <c r="E589" s="5" t="str">
        <f ca="1">IFERROR(__xludf.DUMMYFUNCTION("""COMPUTED_VALUE"""),"Nu")</f>
        <v>Nu</v>
      </c>
      <c r="F589" s="5"/>
      <c r="G589" s="5"/>
      <c r="H589" s="6"/>
      <c r="I589" s="5"/>
      <c r="J589" s="5"/>
      <c r="K589" s="7" t="str">
        <f ca="1">IFERROR(__xludf.DUMMYFUNCTION("""COMPUTED_VALUE"""),"https://www.bihon.ro/stirile-judetului-bihor/rezultatul-testarii-la-plexus-21-de-angajati-pozitivi-covid-19-iata-ce-masuri-ia-compania-americana-2295625/")</f>
        <v>https://www.bihon.ro/stirile-judetului-bihor/rezultatul-testarii-la-plexus-21-de-angajati-pozitivi-covid-19-iata-ce-masuri-ia-compania-americana-2295625/</v>
      </c>
      <c r="L589" s="5"/>
      <c r="M589" s="5"/>
      <c r="N589" s="5"/>
      <c r="O589" s="5"/>
      <c r="P589" s="5" t="str">
        <f ca="1">IFERROR(__xludf.DUMMYFUNCTION("""COMPUTED_VALUE"""),"Angajat Plexus Corp")</f>
        <v>Angajat Plexus Corp</v>
      </c>
      <c r="Q589" s="5" t="str">
        <f ca="1">IFERROR(__xludf.DUMMYFUNCTION("""COMPUTED_VALUE"""),"Comunitar")</f>
        <v>Comunitar</v>
      </c>
      <c r="R589" s="5" t="str">
        <f ca="1">IFERROR(__xludf.DUMMYFUNCTION("""COMPUTED_VALUE"""),"România")</f>
        <v>România</v>
      </c>
      <c r="S589" s="5" t="str">
        <f ca="1">IFERROR(__xludf.DUMMYFUNCTION("""COMPUTED_VALUE"""),"Ruxandra")</f>
        <v>Ruxandra</v>
      </c>
      <c r="T589" s="7" t="str">
        <f ca="1">IFERROR(__xludf.DUMMYFUNCTION("""COMPUTED_VALUE"""),"http://www.ms.ro/2020/05/31/buletin-informativ-31-05-2020/")</f>
        <v>http://www.ms.ro/2020/05/31/buletin-informativ-31-05-2020/</v>
      </c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t="12.5">
      <c r="A590" s="5">
        <f ca="1">IFERROR(__xludf.DUMMYFUNCTION("""COMPUTED_VALUE"""),19143)</f>
        <v>19143</v>
      </c>
      <c r="B590" s="5"/>
      <c r="C590" s="5" t="str">
        <f ca="1">IFERROR(__xludf.DUMMYFUNCTION("""COMPUTED_VALUE"""),"Bihor")</f>
        <v>Bihor</v>
      </c>
      <c r="D590" s="13">
        <f ca="1">IFERROR(__xludf.DUMMYFUNCTION("""COMPUTED_VALUE"""),43982)</f>
        <v>43982</v>
      </c>
      <c r="E590" s="5" t="str">
        <f ca="1">IFERROR(__xludf.DUMMYFUNCTION("""COMPUTED_VALUE"""),"Nu")</f>
        <v>Nu</v>
      </c>
      <c r="F590" s="5"/>
      <c r="G590" s="5"/>
      <c r="H590" s="6"/>
      <c r="I590" s="5"/>
      <c r="J590" s="5"/>
      <c r="K590" s="7" t="str">
        <f ca="1">IFERROR(__xludf.DUMMYFUNCTION("""COMPUTED_VALUE"""),"https://www.bihon.ro/stirile-judetului-bihor/rezultatul-testarii-la-plexus-21-de-angajati-pozitivi-covid-19-iata-ce-masuri-ia-compania-americana-2295625/")</f>
        <v>https://www.bihon.ro/stirile-judetului-bihor/rezultatul-testarii-la-plexus-21-de-angajati-pozitivi-covid-19-iata-ce-masuri-ia-compania-americana-2295625/</v>
      </c>
      <c r="L590" s="5"/>
      <c r="M590" s="5"/>
      <c r="N590" s="5"/>
      <c r="O590" s="5"/>
      <c r="P590" s="5" t="str">
        <f ca="1">IFERROR(__xludf.DUMMYFUNCTION("""COMPUTED_VALUE"""),"Angajat Plexus Corp")</f>
        <v>Angajat Plexus Corp</v>
      </c>
      <c r="Q590" s="5" t="str">
        <f ca="1">IFERROR(__xludf.DUMMYFUNCTION("""COMPUTED_VALUE"""),"Comunitar")</f>
        <v>Comunitar</v>
      </c>
      <c r="R590" s="5" t="str">
        <f ca="1">IFERROR(__xludf.DUMMYFUNCTION("""COMPUTED_VALUE"""),"România")</f>
        <v>România</v>
      </c>
      <c r="S590" s="5" t="str">
        <f ca="1">IFERROR(__xludf.DUMMYFUNCTION("""COMPUTED_VALUE"""),"Ruxandra")</f>
        <v>Ruxandra</v>
      </c>
      <c r="T590" s="7" t="str">
        <f ca="1">IFERROR(__xludf.DUMMYFUNCTION("""COMPUTED_VALUE"""),"http://www.ms.ro/2020/05/31/buletin-informativ-31-05-2020/")</f>
        <v>http://www.ms.ro/2020/05/31/buletin-informativ-31-05-2020/</v>
      </c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2.5">
      <c r="A591" s="5">
        <f ca="1">IFERROR(__xludf.DUMMYFUNCTION("""COMPUTED_VALUE"""),19144)</f>
        <v>19144</v>
      </c>
      <c r="B591" s="5"/>
      <c r="C591" s="5" t="str">
        <f ca="1">IFERROR(__xludf.DUMMYFUNCTION("""COMPUTED_VALUE"""),"Bihor")</f>
        <v>Bihor</v>
      </c>
      <c r="D591" s="13">
        <f ca="1">IFERROR(__xludf.DUMMYFUNCTION("""COMPUTED_VALUE"""),43982)</f>
        <v>43982</v>
      </c>
      <c r="E591" s="5" t="str">
        <f ca="1">IFERROR(__xludf.DUMMYFUNCTION("""COMPUTED_VALUE"""),"Nu")</f>
        <v>Nu</v>
      </c>
      <c r="F591" s="5"/>
      <c r="G591" s="5"/>
      <c r="H591" s="6"/>
      <c r="I591" s="5"/>
      <c r="J591" s="5"/>
      <c r="K591" s="7" t="str">
        <f ca="1">IFERROR(__xludf.DUMMYFUNCTION("""COMPUTED_VALUE"""),"https://www.bihon.ro/stirile-judetului-bihor/rezultatul-testarii-la-plexus-21-de-angajati-pozitivi-covid-19-iata-ce-masuri-ia-compania-americana-2295625/")</f>
        <v>https://www.bihon.ro/stirile-judetului-bihor/rezultatul-testarii-la-plexus-21-de-angajati-pozitivi-covid-19-iata-ce-masuri-ia-compania-americana-2295625/</v>
      </c>
      <c r="L591" s="5"/>
      <c r="M591" s="5"/>
      <c r="N591" s="5"/>
      <c r="O591" s="5"/>
      <c r="P591" s="5" t="str">
        <f ca="1">IFERROR(__xludf.DUMMYFUNCTION("""COMPUTED_VALUE"""),"Angajat Plexus Corp")</f>
        <v>Angajat Plexus Corp</v>
      </c>
      <c r="Q591" s="5" t="str">
        <f ca="1">IFERROR(__xludf.DUMMYFUNCTION("""COMPUTED_VALUE"""),"Comunitar")</f>
        <v>Comunitar</v>
      </c>
      <c r="R591" s="5" t="str">
        <f ca="1">IFERROR(__xludf.DUMMYFUNCTION("""COMPUTED_VALUE"""),"România")</f>
        <v>România</v>
      </c>
      <c r="S591" s="5" t="str">
        <f ca="1">IFERROR(__xludf.DUMMYFUNCTION("""COMPUTED_VALUE"""),"Ruxandra")</f>
        <v>Ruxandra</v>
      </c>
      <c r="T591" s="7" t="str">
        <f ca="1">IFERROR(__xludf.DUMMYFUNCTION("""COMPUTED_VALUE"""),"http://www.ms.ro/2020/05/31/buletin-informativ-31-05-2020/")</f>
        <v>http://www.ms.ro/2020/05/31/buletin-informativ-31-05-2020/</v>
      </c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t="12.5">
      <c r="A592" s="5">
        <f ca="1">IFERROR(__xludf.DUMMYFUNCTION("""COMPUTED_VALUE"""),19145)</f>
        <v>19145</v>
      </c>
      <c r="B592" s="5"/>
      <c r="C592" s="5" t="str">
        <f ca="1">IFERROR(__xludf.DUMMYFUNCTION("""COMPUTED_VALUE"""),"Bihor")</f>
        <v>Bihor</v>
      </c>
      <c r="D592" s="13">
        <f ca="1">IFERROR(__xludf.DUMMYFUNCTION("""COMPUTED_VALUE"""),43982)</f>
        <v>43982</v>
      </c>
      <c r="E592" s="5" t="str">
        <f ca="1">IFERROR(__xludf.DUMMYFUNCTION("""COMPUTED_VALUE"""),"Nu")</f>
        <v>Nu</v>
      </c>
      <c r="F592" s="5"/>
      <c r="G592" s="5"/>
      <c r="H592" s="6"/>
      <c r="I592" s="5"/>
      <c r="J592" s="5"/>
      <c r="K592" s="7" t="str">
        <f ca="1">IFERROR(__xludf.DUMMYFUNCTION("""COMPUTED_VALUE"""),"https://www.bihon.ro/stirile-judetului-bihor/rezultatul-testarii-la-plexus-21-de-angajati-pozitivi-covid-19-iata-ce-masuri-ia-compania-americana-2295625/")</f>
        <v>https://www.bihon.ro/stirile-judetului-bihor/rezultatul-testarii-la-plexus-21-de-angajati-pozitivi-covid-19-iata-ce-masuri-ia-compania-americana-2295625/</v>
      </c>
      <c r="L592" s="5"/>
      <c r="M592" s="5"/>
      <c r="N592" s="5"/>
      <c r="O592" s="5"/>
      <c r="P592" s="5" t="str">
        <f ca="1">IFERROR(__xludf.DUMMYFUNCTION("""COMPUTED_VALUE"""),"Angajat Plexus Corp")</f>
        <v>Angajat Plexus Corp</v>
      </c>
      <c r="Q592" s="5" t="str">
        <f ca="1">IFERROR(__xludf.DUMMYFUNCTION("""COMPUTED_VALUE"""),"Comunitar")</f>
        <v>Comunitar</v>
      </c>
      <c r="R592" s="5" t="str">
        <f ca="1">IFERROR(__xludf.DUMMYFUNCTION("""COMPUTED_VALUE"""),"România")</f>
        <v>România</v>
      </c>
      <c r="S592" s="5" t="str">
        <f ca="1">IFERROR(__xludf.DUMMYFUNCTION("""COMPUTED_VALUE"""),"Ruxandra")</f>
        <v>Ruxandra</v>
      </c>
      <c r="T592" s="7" t="str">
        <f ca="1">IFERROR(__xludf.DUMMYFUNCTION("""COMPUTED_VALUE"""),"http://www.ms.ro/2020/05/31/buletin-informativ-31-05-2020/")</f>
        <v>http://www.ms.ro/2020/05/31/buletin-informativ-31-05-2020/</v>
      </c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2.5">
      <c r="A593" s="5">
        <f ca="1">IFERROR(__xludf.DUMMYFUNCTION("""COMPUTED_VALUE"""),19146)</f>
        <v>19146</v>
      </c>
      <c r="B593" s="5"/>
      <c r="C593" s="5" t="str">
        <f ca="1">IFERROR(__xludf.DUMMYFUNCTION("""COMPUTED_VALUE"""),"Bihor")</f>
        <v>Bihor</v>
      </c>
      <c r="D593" s="13">
        <f ca="1">IFERROR(__xludf.DUMMYFUNCTION("""COMPUTED_VALUE"""),43982)</f>
        <v>43982</v>
      </c>
      <c r="E593" s="5" t="str">
        <f ca="1">IFERROR(__xludf.DUMMYFUNCTION("""COMPUTED_VALUE"""),"Nu")</f>
        <v>Nu</v>
      </c>
      <c r="F593" s="5"/>
      <c r="G593" s="5"/>
      <c r="H593" s="6"/>
      <c r="I593" s="5"/>
      <c r="J593" s="5"/>
      <c r="K593" s="7" t="str">
        <f ca="1">IFERROR(__xludf.DUMMYFUNCTION("""COMPUTED_VALUE"""),"https://www.bihon.ro/stirile-judetului-bihor/rezultatul-testarii-la-plexus-21-de-angajati-pozitivi-covid-19-iata-ce-masuri-ia-compania-americana-2295625/")</f>
        <v>https://www.bihon.ro/stirile-judetului-bihor/rezultatul-testarii-la-plexus-21-de-angajati-pozitivi-covid-19-iata-ce-masuri-ia-compania-americana-2295625/</v>
      </c>
      <c r="L593" s="5"/>
      <c r="M593" s="5"/>
      <c r="N593" s="5"/>
      <c r="O593" s="5"/>
      <c r="P593" s="5" t="str">
        <f ca="1">IFERROR(__xludf.DUMMYFUNCTION("""COMPUTED_VALUE"""),"Angajat Plexus Corp")</f>
        <v>Angajat Plexus Corp</v>
      </c>
      <c r="Q593" s="5" t="str">
        <f ca="1">IFERROR(__xludf.DUMMYFUNCTION("""COMPUTED_VALUE"""),"Comunitar")</f>
        <v>Comunitar</v>
      </c>
      <c r="R593" s="5" t="str">
        <f ca="1">IFERROR(__xludf.DUMMYFUNCTION("""COMPUTED_VALUE"""),"România")</f>
        <v>România</v>
      </c>
      <c r="S593" s="5" t="str">
        <f ca="1">IFERROR(__xludf.DUMMYFUNCTION("""COMPUTED_VALUE"""),"Ruxandra")</f>
        <v>Ruxandra</v>
      </c>
      <c r="T593" s="7" t="str">
        <f ca="1">IFERROR(__xludf.DUMMYFUNCTION("""COMPUTED_VALUE"""),"http://www.ms.ro/2020/05/31/buletin-informativ-31-05-2020/")</f>
        <v>http://www.ms.ro/2020/05/31/buletin-informativ-31-05-2020/</v>
      </c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t="12.5">
      <c r="A594" s="5">
        <f ca="1">IFERROR(__xludf.DUMMYFUNCTION("""COMPUTED_VALUE"""),19147)</f>
        <v>19147</v>
      </c>
      <c r="B594" s="5"/>
      <c r="C594" s="5" t="str">
        <f ca="1">IFERROR(__xludf.DUMMYFUNCTION("""COMPUTED_VALUE"""),"Bihor")</f>
        <v>Bihor</v>
      </c>
      <c r="D594" s="13">
        <f ca="1">IFERROR(__xludf.DUMMYFUNCTION("""COMPUTED_VALUE"""),43982)</f>
        <v>43982</v>
      </c>
      <c r="E594" s="5" t="str">
        <f ca="1">IFERROR(__xludf.DUMMYFUNCTION("""COMPUTED_VALUE"""),"Nu")</f>
        <v>Nu</v>
      </c>
      <c r="F594" s="5"/>
      <c r="G594" s="5"/>
      <c r="H594" s="6"/>
      <c r="I594" s="5"/>
      <c r="J594" s="5"/>
      <c r="K594" s="7" t="str">
        <f ca="1">IFERROR(__xludf.DUMMYFUNCTION("""COMPUTED_VALUE"""),"https://stirioficiale.ro/informatii/buletin-de-presa-31-mai-2020-ora-13-00")</f>
        <v>https://stirioficiale.ro/informatii/buletin-de-presa-31-mai-2020-ora-13-00</v>
      </c>
      <c r="L594" s="5"/>
      <c r="M594" s="5"/>
      <c r="N594" s="5"/>
      <c r="O594" s="5"/>
      <c r="P594" s="5"/>
      <c r="Q594" s="5"/>
      <c r="R594" s="5" t="str">
        <f ca="1">IFERROR(__xludf.DUMMYFUNCTION("""COMPUTED_VALUE"""),"România")</f>
        <v>România</v>
      </c>
      <c r="S594" s="5" t="str">
        <f ca="1">IFERROR(__xludf.DUMMYFUNCTION("""COMPUTED_VALUE"""),"Octavian")</f>
        <v>Octavian</v>
      </c>
      <c r="T594" s="7" t="str">
        <f ca="1">IFERROR(__xludf.DUMMYFUNCTION("""COMPUTED_VALUE"""),"http://www.ms.ro/2020/05/31/buletin-informativ-31-05-2020/")</f>
        <v>http://www.ms.ro/2020/05/31/buletin-informativ-31-05-2020/</v>
      </c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2.5">
      <c r="A595" s="5">
        <f ca="1">IFERROR(__xludf.DUMMYFUNCTION("""COMPUTED_VALUE"""),19148)</f>
        <v>19148</v>
      </c>
      <c r="B595" s="5"/>
      <c r="C595" s="5" t="str">
        <f ca="1">IFERROR(__xludf.DUMMYFUNCTION("""COMPUTED_VALUE"""),"Bihor")</f>
        <v>Bihor</v>
      </c>
      <c r="D595" s="13">
        <f ca="1">IFERROR(__xludf.DUMMYFUNCTION("""COMPUTED_VALUE"""),43982)</f>
        <v>43982</v>
      </c>
      <c r="E595" s="5" t="str">
        <f ca="1">IFERROR(__xludf.DUMMYFUNCTION("""COMPUTED_VALUE"""),"Nu")</f>
        <v>Nu</v>
      </c>
      <c r="F595" s="5"/>
      <c r="G595" s="5"/>
      <c r="H595" s="6"/>
      <c r="I595" s="5"/>
      <c r="J595" s="5"/>
      <c r="K595" s="7" t="str">
        <f ca="1">IFERROR(__xludf.DUMMYFUNCTION("""COMPUTED_VALUE"""),"https://stirioficiale.ro/informatii/buletin-de-presa-31-mai-2020-ora-13-00")</f>
        <v>https://stirioficiale.ro/informatii/buletin-de-presa-31-mai-2020-ora-13-00</v>
      </c>
      <c r="L595" s="5"/>
      <c r="M595" s="5"/>
      <c r="N595" s="5"/>
      <c r="O595" s="5"/>
      <c r="P595" s="5"/>
      <c r="Q595" s="5"/>
      <c r="R595" s="5" t="str">
        <f ca="1">IFERROR(__xludf.DUMMYFUNCTION("""COMPUTED_VALUE"""),"România")</f>
        <v>România</v>
      </c>
      <c r="S595" s="5" t="str">
        <f ca="1">IFERROR(__xludf.DUMMYFUNCTION("""COMPUTED_VALUE"""),"Octavian")</f>
        <v>Octavian</v>
      </c>
      <c r="T595" s="7" t="str">
        <f ca="1">IFERROR(__xludf.DUMMYFUNCTION("""COMPUTED_VALUE"""),"http://www.ms.ro/2020/05/31/buletin-informativ-31-05-2020/")</f>
        <v>http://www.ms.ro/2020/05/31/buletin-informativ-31-05-2020/</v>
      </c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t="12.5">
      <c r="A596" s="5">
        <f ca="1">IFERROR(__xludf.DUMMYFUNCTION("""COMPUTED_VALUE"""),19149)</f>
        <v>19149</v>
      </c>
      <c r="B596" s="5"/>
      <c r="C596" s="5" t="str">
        <f ca="1">IFERROR(__xludf.DUMMYFUNCTION("""COMPUTED_VALUE"""),"Bihor")</f>
        <v>Bihor</v>
      </c>
      <c r="D596" s="13">
        <f ca="1">IFERROR(__xludf.DUMMYFUNCTION("""COMPUTED_VALUE"""),43982)</f>
        <v>43982</v>
      </c>
      <c r="E596" s="5" t="str">
        <f ca="1">IFERROR(__xludf.DUMMYFUNCTION("""COMPUTED_VALUE"""),"Nu")</f>
        <v>Nu</v>
      </c>
      <c r="F596" s="5"/>
      <c r="G596" s="5"/>
      <c r="H596" s="6"/>
      <c r="I596" s="5"/>
      <c r="J596" s="5"/>
      <c r="K596" s="7" t="str">
        <f ca="1">IFERROR(__xludf.DUMMYFUNCTION("""COMPUTED_VALUE"""),"https://stirioficiale.ro/informatii/buletin-de-presa-31-mai-2020-ora-13-00")</f>
        <v>https://stirioficiale.ro/informatii/buletin-de-presa-31-mai-2020-ora-13-00</v>
      </c>
      <c r="L596" s="5"/>
      <c r="M596" s="5"/>
      <c r="N596" s="5"/>
      <c r="O596" s="5"/>
      <c r="P596" s="5"/>
      <c r="Q596" s="5"/>
      <c r="R596" s="5" t="str">
        <f ca="1">IFERROR(__xludf.DUMMYFUNCTION("""COMPUTED_VALUE"""),"România")</f>
        <v>România</v>
      </c>
      <c r="S596" s="5" t="str">
        <f ca="1">IFERROR(__xludf.DUMMYFUNCTION("""COMPUTED_VALUE"""),"Octavian")</f>
        <v>Octavian</v>
      </c>
      <c r="T596" s="7" t="str">
        <f ca="1">IFERROR(__xludf.DUMMYFUNCTION("""COMPUTED_VALUE"""),"http://www.ms.ro/2020/05/31/buletin-informativ-31-05-2020/")</f>
        <v>http://www.ms.ro/2020/05/31/buletin-informativ-31-05-2020/</v>
      </c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2.5">
      <c r="A597" s="5">
        <f ca="1">IFERROR(__xludf.DUMMYFUNCTION("""COMPUTED_VALUE"""),19150)</f>
        <v>19150</v>
      </c>
      <c r="B597" s="5"/>
      <c r="C597" s="5" t="str">
        <f ca="1">IFERROR(__xludf.DUMMYFUNCTION("""COMPUTED_VALUE"""),"Bihor")</f>
        <v>Bihor</v>
      </c>
      <c r="D597" s="13">
        <f ca="1">IFERROR(__xludf.DUMMYFUNCTION("""COMPUTED_VALUE"""),43982)</f>
        <v>43982</v>
      </c>
      <c r="E597" s="5" t="str">
        <f ca="1">IFERROR(__xludf.DUMMYFUNCTION("""COMPUTED_VALUE"""),"Nu")</f>
        <v>Nu</v>
      </c>
      <c r="F597" s="5"/>
      <c r="G597" s="5"/>
      <c r="H597" s="6"/>
      <c r="I597" s="5"/>
      <c r="J597" s="5"/>
      <c r="K597" s="7" t="str">
        <f ca="1">IFERROR(__xludf.DUMMYFUNCTION("""COMPUTED_VALUE"""),"https://stirioficiale.ro/informatii/buletin-de-presa-31-mai-2020-ora-13-00")</f>
        <v>https://stirioficiale.ro/informatii/buletin-de-presa-31-mai-2020-ora-13-00</v>
      </c>
      <c r="L597" s="5"/>
      <c r="M597" s="5"/>
      <c r="N597" s="5"/>
      <c r="O597" s="5"/>
      <c r="P597" s="5"/>
      <c r="Q597" s="5"/>
      <c r="R597" s="5" t="str">
        <f ca="1">IFERROR(__xludf.DUMMYFUNCTION("""COMPUTED_VALUE"""),"România")</f>
        <v>România</v>
      </c>
      <c r="S597" s="5" t="str">
        <f ca="1">IFERROR(__xludf.DUMMYFUNCTION("""COMPUTED_VALUE"""),"Octavian")</f>
        <v>Octavian</v>
      </c>
      <c r="T597" s="7" t="str">
        <f ca="1">IFERROR(__xludf.DUMMYFUNCTION("""COMPUTED_VALUE"""),"http://www.ms.ro/2020/05/31/buletin-informativ-31-05-2020/")</f>
        <v>http://www.ms.ro/2020/05/31/buletin-informativ-31-05-2020/</v>
      </c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t="12.5">
      <c r="A598" s="5">
        <f ca="1">IFERROR(__xludf.DUMMYFUNCTION("""COMPUTED_VALUE"""),19151)</f>
        <v>19151</v>
      </c>
      <c r="B598" s="5"/>
      <c r="C598" s="5" t="str">
        <f ca="1">IFERROR(__xludf.DUMMYFUNCTION("""COMPUTED_VALUE"""),"Bihor")</f>
        <v>Bihor</v>
      </c>
      <c r="D598" s="13">
        <f ca="1">IFERROR(__xludf.DUMMYFUNCTION("""COMPUTED_VALUE"""),43982)</f>
        <v>43982</v>
      </c>
      <c r="E598" s="5" t="str">
        <f ca="1">IFERROR(__xludf.DUMMYFUNCTION("""COMPUTED_VALUE"""),"Nu")</f>
        <v>Nu</v>
      </c>
      <c r="F598" s="5"/>
      <c r="G598" s="5"/>
      <c r="H598" s="6"/>
      <c r="I598" s="5"/>
      <c r="J598" s="5"/>
      <c r="K598" s="7" t="str">
        <f ca="1">IFERROR(__xludf.DUMMYFUNCTION("""COMPUTED_VALUE"""),"https://stirioficiale.ro/informatii/buletin-de-presa-31-mai-2020-ora-13-00")</f>
        <v>https://stirioficiale.ro/informatii/buletin-de-presa-31-mai-2020-ora-13-00</v>
      </c>
      <c r="L598" s="5"/>
      <c r="M598" s="5"/>
      <c r="N598" s="5"/>
      <c r="O598" s="5"/>
      <c r="P598" s="5"/>
      <c r="Q598" s="5"/>
      <c r="R598" s="5" t="str">
        <f ca="1">IFERROR(__xludf.DUMMYFUNCTION("""COMPUTED_VALUE"""),"România")</f>
        <v>România</v>
      </c>
      <c r="S598" s="5" t="str">
        <f ca="1">IFERROR(__xludf.DUMMYFUNCTION("""COMPUTED_VALUE"""),"Octavian")</f>
        <v>Octavian</v>
      </c>
      <c r="T598" s="7" t="str">
        <f ca="1">IFERROR(__xludf.DUMMYFUNCTION("""COMPUTED_VALUE"""),"http://www.ms.ro/2020/05/31/buletin-informativ-31-05-2020/")</f>
        <v>http://www.ms.ro/2020/05/31/buletin-informativ-31-05-2020/</v>
      </c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2.5">
      <c r="A599" s="5">
        <f ca="1">IFERROR(__xludf.DUMMYFUNCTION("""COMPUTED_VALUE"""),19152)</f>
        <v>19152</v>
      </c>
      <c r="B599" s="5"/>
      <c r="C599" s="5" t="str">
        <f ca="1">IFERROR(__xludf.DUMMYFUNCTION("""COMPUTED_VALUE"""),"Bihor")</f>
        <v>Bihor</v>
      </c>
      <c r="D599" s="13">
        <f ca="1">IFERROR(__xludf.DUMMYFUNCTION("""COMPUTED_VALUE"""),43982)</f>
        <v>43982</v>
      </c>
      <c r="E599" s="5" t="str">
        <f ca="1">IFERROR(__xludf.DUMMYFUNCTION("""COMPUTED_VALUE"""),"Nu")</f>
        <v>Nu</v>
      </c>
      <c r="F599" s="5"/>
      <c r="G599" s="5"/>
      <c r="H599" s="6"/>
      <c r="I599" s="5"/>
      <c r="J599" s="5"/>
      <c r="K599" s="7" t="str">
        <f ca="1">IFERROR(__xludf.DUMMYFUNCTION("""COMPUTED_VALUE"""),"https://stirioficiale.ro/informatii/buletin-de-presa-31-mai-2020-ora-13-00")</f>
        <v>https://stirioficiale.ro/informatii/buletin-de-presa-31-mai-2020-ora-13-00</v>
      </c>
      <c r="L599" s="5"/>
      <c r="M599" s="5"/>
      <c r="N599" s="5"/>
      <c r="O599" s="5"/>
      <c r="P599" s="5"/>
      <c r="Q599" s="5"/>
      <c r="R599" s="5" t="str">
        <f ca="1">IFERROR(__xludf.DUMMYFUNCTION("""COMPUTED_VALUE"""),"România")</f>
        <v>România</v>
      </c>
      <c r="S599" s="5" t="str">
        <f ca="1">IFERROR(__xludf.DUMMYFUNCTION("""COMPUTED_VALUE"""),"Octavian")</f>
        <v>Octavian</v>
      </c>
      <c r="T599" s="7" t="str">
        <f ca="1">IFERROR(__xludf.DUMMYFUNCTION("""COMPUTED_VALUE"""),"http://www.ms.ro/2020/05/31/buletin-informativ-31-05-2020/")</f>
        <v>http://www.ms.ro/2020/05/31/buletin-informativ-31-05-2020/</v>
      </c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t="12.5">
      <c r="A600" s="5">
        <f ca="1">IFERROR(__xludf.DUMMYFUNCTION("""COMPUTED_VALUE"""),19153)</f>
        <v>19153</v>
      </c>
      <c r="B600" s="5"/>
      <c r="C600" s="5" t="str">
        <f ca="1">IFERROR(__xludf.DUMMYFUNCTION("""COMPUTED_VALUE"""),"Bihor")</f>
        <v>Bihor</v>
      </c>
      <c r="D600" s="13">
        <f ca="1">IFERROR(__xludf.DUMMYFUNCTION("""COMPUTED_VALUE"""),43982)</f>
        <v>43982</v>
      </c>
      <c r="E600" s="5" t="str">
        <f ca="1">IFERROR(__xludf.DUMMYFUNCTION("""COMPUTED_VALUE"""),"Nu")</f>
        <v>Nu</v>
      </c>
      <c r="F600" s="5"/>
      <c r="G600" s="5"/>
      <c r="H600" s="6"/>
      <c r="I600" s="5"/>
      <c r="J600" s="5"/>
      <c r="K600" s="7" t="str">
        <f ca="1">IFERROR(__xludf.DUMMYFUNCTION("""COMPUTED_VALUE"""),"https://stirioficiale.ro/informatii/buletin-de-presa-31-mai-2020-ora-13-00")</f>
        <v>https://stirioficiale.ro/informatii/buletin-de-presa-31-mai-2020-ora-13-00</v>
      </c>
      <c r="L600" s="5"/>
      <c r="M600" s="5"/>
      <c r="N600" s="5"/>
      <c r="O600" s="5"/>
      <c r="P600" s="5"/>
      <c r="Q600" s="5"/>
      <c r="R600" s="5" t="str">
        <f ca="1">IFERROR(__xludf.DUMMYFUNCTION("""COMPUTED_VALUE"""),"România")</f>
        <v>România</v>
      </c>
      <c r="S600" s="5" t="str">
        <f ca="1">IFERROR(__xludf.DUMMYFUNCTION("""COMPUTED_VALUE"""),"Octavian")</f>
        <v>Octavian</v>
      </c>
      <c r="T600" s="7" t="str">
        <f ca="1">IFERROR(__xludf.DUMMYFUNCTION("""COMPUTED_VALUE"""),"http://www.ms.ro/2020/05/31/buletin-informativ-31-05-2020/")</f>
        <v>http://www.ms.ro/2020/05/31/buletin-informativ-31-05-2020/</v>
      </c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2.5">
      <c r="A601" s="5">
        <f ca="1">IFERROR(__xludf.DUMMYFUNCTION("""COMPUTED_VALUE"""),19154)</f>
        <v>19154</v>
      </c>
      <c r="B601" s="5"/>
      <c r="C601" s="5" t="str">
        <f ca="1">IFERROR(__xludf.DUMMYFUNCTION("""COMPUTED_VALUE"""),"Bihor")</f>
        <v>Bihor</v>
      </c>
      <c r="D601" s="13">
        <f ca="1">IFERROR(__xludf.DUMMYFUNCTION("""COMPUTED_VALUE"""),43982)</f>
        <v>43982</v>
      </c>
      <c r="E601" s="5" t="str">
        <f ca="1">IFERROR(__xludf.DUMMYFUNCTION("""COMPUTED_VALUE"""),"Nu")</f>
        <v>Nu</v>
      </c>
      <c r="F601" s="5"/>
      <c r="G601" s="5"/>
      <c r="H601" s="6"/>
      <c r="I601" s="5"/>
      <c r="J601" s="5"/>
      <c r="K601" s="7" t="str">
        <f ca="1">IFERROR(__xludf.DUMMYFUNCTION("""COMPUTED_VALUE"""),"https://stirioficiale.ro/informatii/buletin-de-presa-31-mai-2020-ora-13-00")</f>
        <v>https://stirioficiale.ro/informatii/buletin-de-presa-31-mai-2020-ora-13-00</v>
      </c>
      <c r="L601" s="5"/>
      <c r="M601" s="5"/>
      <c r="N601" s="5"/>
      <c r="O601" s="5"/>
      <c r="P601" s="5"/>
      <c r="Q601" s="5"/>
      <c r="R601" s="5" t="str">
        <f ca="1">IFERROR(__xludf.DUMMYFUNCTION("""COMPUTED_VALUE"""),"România")</f>
        <v>România</v>
      </c>
      <c r="S601" s="5" t="str">
        <f ca="1">IFERROR(__xludf.DUMMYFUNCTION("""COMPUTED_VALUE"""),"Octavian")</f>
        <v>Octavian</v>
      </c>
      <c r="T601" s="7" t="str">
        <f ca="1">IFERROR(__xludf.DUMMYFUNCTION("""COMPUTED_VALUE"""),"http://www.ms.ro/2020/05/31/buletin-informativ-31-05-2020/")</f>
        <v>http://www.ms.ro/2020/05/31/buletin-informativ-31-05-2020/</v>
      </c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t="12.5">
      <c r="A602" s="5">
        <f ca="1">IFERROR(__xludf.DUMMYFUNCTION("""COMPUTED_VALUE"""),19155)</f>
        <v>19155</v>
      </c>
      <c r="B602" s="5"/>
      <c r="C602" s="5" t="str">
        <f ca="1">IFERROR(__xludf.DUMMYFUNCTION("""COMPUTED_VALUE"""),"Bihor")</f>
        <v>Bihor</v>
      </c>
      <c r="D602" s="13">
        <f ca="1">IFERROR(__xludf.DUMMYFUNCTION("""COMPUTED_VALUE"""),43982)</f>
        <v>43982</v>
      </c>
      <c r="E602" s="5" t="str">
        <f ca="1">IFERROR(__xludf.DUMMYFUNCTION("""COMPUTED_VALUE"""),"Nu")</f>
        <v>Nu</v>
      </c>
      <c r="F602" s="5"/>
      <c r="G602" s="5"/>
      <c r="H602" s="6"/>
      <c r="I602" s="5"/>
      <c r="J602" s="5"/>
      <c r="K602" s="7" t="str">
        <f ca="1">IFERROR(__xludf.DUMMYFUNCTION("""COMPUTED_VALUE"""),"https://stirioficiale.ro/informatii/buletin-de-presa-31-mai-2020-ora-13-00")</f>
        <v>https://stirioficiale.ro/informatii/buletin-de-presa-31-mai-2020-ora-13-00</v>
      </c>
      <c r="L602" s="5"/>
      <c r="M602" s="5"/>
      <c r="N602" s="5"/>
      <c r="O602" s="5"/>
      <c r="P602" s="5"/>
      <c r="Q602" s="5"/>
      <c r="R602" s="5" t="str">
        <f ca="1">IFERROR(__xludf.DUMMYFUNCTION("""COMPUTED_VALUE"""),"România")</f>
        <v>România</v>
      </c>
      <c r="S602" s="5" t="str">
        <f ca="1">IFERROR(__xludf.DUMMYFUNCTION("""COMPUTED_VALUE"""),"Octavian")</f>
        <v>Octavian</v>
      </c>
      <c r="T602" s="7" t="str">
        <f ca="1">IFERROR(__xludf.DUMMYFUNCTION("""COMPUTED_VALUE"""),"http://www.ms.ro/2020/05/31/buletin-informativ-31-05-2020/")</f>
        <v>http://www.ms.ro/2020/05/31/buletin-informativ-31-05-2020/</v>
      </c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2.5">
      <c r="A603" s="5">
        <f ca="1">IFERROR(__xludf.DUMMYFUNCTION("""COMPUTED_VALUE"""),19156)</f>
        <v>19156</v>
      </c>
      <c r="B603" s="5"/>
      <c r="C603" s="5" t="str">
        <f ca="1">IFERROR(__xludf.DUMMYFUNCTION("""COMPUTED_VALUE"""),"Bihor")</f>
        <v>Bihor</v>
      </c>
      <c r="D603" s="13">
        <f ca="1">IFERROR(__xludf.DUMMYFUNCTION("""COMPUTED_VALUE"""),43982)</f>
        <v>43982</v>
      </c>
      <c r="E603" s="5" t="str">
        <f ca="1">IFERROR(__xludf.DUMMYFUNCTION("""COMPUTED_VALUE"""),"Nu")</f>
        <v>Nu</v>
      </c>
      <c r="F603" s="5"/>
      <c r="G603" s="5"/>
      <c r="H603" s="6"/>
      <c r="I603" s="5"/>
      <c r="J603" s="5"/>
      <c r="K603" s="7" t="str">
        <f ca="1">IFERROR(__xludf.DUMMYFUNCTION("""COMPUTED_VALUE"""),"https://stirioficiale.ro/informatii/buletin-de-presa-31-mai-2020-ora-13-00")</f>
        <v>https://stirioficiale.ro/informatii/buletin-de-presa-31-mai-2020-ora-13-00</v>
      </c>
      <c r="L603" s="5"/>
      <c r="M603" s="5"/>
      <c r="N603" s="5"/>
      <c r="O603" s="5"/>
      <c r="P603" s="5"/>
      <c r="Q603" s="5"/>
      <c r="R603" s="5" t="str">
        <f ca="1">IFERROR(__xludf.DUMMYFUNCTION("""COMPUTED_VALUE"""),"România")</f>
        <v>România</v>
      </c>
      <c r="S603" s="5" t="str">
        <f ca="1">IFERROR(__xludf.DUMMYFUNCTION("""COMPUTED_VALUE"""),"Octavian")</f>
        <v>Octavian</v>
      </c>
      <c r="T603" s="7" t="str">
        <f ca="1">IFERROR(__xludf.DUMMYFUNCTION("""COMPUTED_VALUE"""),"http://www.ms.ro/2020/05/31/buletin-informativ-31-05-2020/")</f>
        <v>http://www.ms.ro/2020/05/31/buletin-informativ-31-05-2020/</v>
      </c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t="12.5">
      <c r="A604" s="5">
        <f ca="1">IFERROR(__xludf.DUMMYFUNCTION("""COMPUTED_VALUE"""),19157)</f>
        <v>19157</v>
      </c>
      <c r="B604" s="5"/>
      <c r="C604" s="5" t="str">
        <f ca="1">IFERROR(__xludf.DUMMYFUNCTION("""COMPUTED_VALUE"""),"Bihor")</f>
        <v>Bihor</v>
      </c>
      <c r="D604" s="13">
        <f ca="1">IFERROR(__xludf.DUMMYFUNCTION("""COMPUTED_VALUE"""),43982)</f>
        <v>43982</v>
      </c>
      <c r="E604" s="5" t="str">
        <f ca="1">IFERROR(__xludf.DUMMYFUNCTION("""COMPUTED_VALUE"""),"Nu")</f>
        <v>Nu</v>
      </c>
      <c r="F604" s="5"/>
      <c r="G604" s="5"/>
      <c r="H604" s="6"/>
      <c r="I604" s="5"/>
      <c r="J604" s="5"/>
      <c r="K604" s="7" t="str">
        <f ca="1">IFERROR(__xludf.DUMMYFUNCTION("""COMPUTED_VALUE"""),"https://stirioficiale.ro/informatii/buletin-de-presa-31-mai-2020-ora-13-00")</f>
        <v>https://stirioficiale.ro/informatii/buletin-de-presa-31-mai-2020-ora-13-00</v>
      </c>
      <c r="L604" s="5"/>
      <c r="M604" s="5"/>
      <c r="N604" s="5"/>
      <c r="O604" s="5"/>
      <c r="P604" s="5"/>
      <c r="Q604" s="5"/>
      <c r="R604" s="5" t="str">
        <f ca="1">IFERROR(__xludf.DUMMYFUNCTION("""COMPUTED_VALUE"""),"România")</f>
        <v>România</v>
      </c>
      <c r="S604" s="5" t="str">
        <f ca="1">IFERROR(__xludf.DUMMYFUNCTION("""COMPUTED_VALUE"""),"Octavian")</f>
        <v>Octavian</v>
      </c>
      <c r="T604" s="7" t="str">
        <f ca="1">IFERROR(__xludf.DUMMYFUNCTION("""COMPUTED_VALUE"""),"http://www.ms.ro/2020/05/31/buletin-informativ-31-05-2020/")</f>
        <v>http://www.ms.ro/2020/05/31/buletin-informativ-31-05-2020/</v>
      </c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2.5">
      <c r="A605" s="5">
        <f ca="1">IFERROR(__xludf.DUMMYFUNCTION("""COMPUTED_VALUE"""),19158)</f>
        <v>19158</v>
      </c>
      <c r="B605" s="5"/>
      <c r="C605" s="5" t="str">
        <f ca="1">IFERROR(__xludf.DUMMYFUNCTION("""COMPUTED_VALUE"""),"Bihor")</f>
        <v>Bihor</v>
      </c>
      <c r="D605" s="13">
        <f ca="1">IFERROR(__xludf.DUMMYFUNCTION("""COMPUTED_VALUE"""),43982)</f>
        <v>43982</v>
      </c>
      <c r="E605" s="5" t="str">
        <f ca="1">IFERROR(__xludf.DUMMYFUNCTION("""COMPUTED_VALUE"""),"Nu")</f>
        <v>Nu</v>
      </c>
      <c r="F605" s="5"/>
      <c r="G605" s="5"/>
      <c r="H605" s="6"/>
      <c r="I605" s="5"/>
      <c r="J605" s="5"/>
      <c r="K605" s="7" t="str">
        <f ca="1">IFERROR(__xludf.DUMMYFUNCTION("""COMPUTED_VALUE"""),"https://stirioficiale.ro/informatii/buletin-de-presa-31-mai-2020-ora-13-00")</f>
        <v>https://stirioficiale.ro/informatii/buletin-de-presa-31-mai-2020-ora-13-00</v>
      </c>
      <c r="L605" s="5"/>
      <c r="M605" s="5"/>
      <c r="N605" s="5"/>
      <c r="O605" s="5"/>
      <c r="P605" s="5"/>
      <c r="Q605" s="5"/>
      <c r="R605" s="5" t="str">
        <f ca="1">IFERROR(__xludf.DUMMYFUNCTION("""COMPUTED_VALUE"""),"România")</f>
        <v>România</v>
      </c>
      <c r="S605" s="5" t="str">
        <f ca="1">IFERROR(__xludf.DUMMYFUNCTION("""COMPUTED_VALUE"""),"Octavian")</f>
        <v>Octavian</v>
      </c>
      <c r="T605" s="7" t="str">
        <f ca="1">IFERROR(__xludf.DUMMYFUNCTION("""COMPUTED_VALUE"""),"http://www.ms.ro/2020/05/31/buletin-informativ-31-05-2020/")</f>
        <v>http://www.ms.ro/2020/05/31/buletin-informativ-31-05-2020/</v>
      </c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t="12.5">
      <c r="A606" s="5">
        <f ca="1">IFERROR(__xludf.DUMMYFUNCTION("""COMPUTED_VALUE"""),19265)</f>
        <v>19265</v>
      </c>
      <c r="B606" s="5"/>
      <c r="C606" s="5" t="str">
        <f ca="1">IFERROR(__xludf.DUMMYFUNCTION("""COMPUTED_VALUE"""),"Bihor")</f>
        <v>Bihor</v>
      </c>
      <c r="D606" s="13">
        <f ca="1">IFERROR(__xludf.DUMMYFUNCTION("""COMPUTED_VALUE"""),43983)</f>
        <v>43983</v>
      </c>
      <c r="E606" s="5" t="str">
        <f ca="1">IFERROR(__xludf.DUMMYFUNCTION("""COMPUTED_VALUE"""),"Nu")</f>
        <v>Nu</v>
      </c>
      <c r="F606" s="5"/>
      <c r="G606" s="5"/>
      <c r="H606" s="6"/>
      <c r="I606" s="5"/>
      <c r="J606" s="5"/>
      <c r="K606" s="7" t="str">
        <f ca="1">IFERROR(__xludf.DUMMYFUNCTION("""COMPUTED_VALUE"""),"https://stirioficiale.ro/informatii/buletin-de-presa-1-iunie-2020-ora-13-00")</f>
        <v>https://stirioficiale.ro/informatii/buletin-de-presa-1-iunie-2020-ora-13-00</v>
      </c>
      <c r="L606" s="5"/>
      <c r="M606" s="5"/>
      <c r="N606" s="5"/>
      <c r="O606" s="5"/>
      <c r="P606" s="5"/>
      <c r="Q606" s="5"/>
      <c r="R606" s="5" t="str">
        <f ca="1">IFERROR(__xludf.DUMMYFUNCTION("""COMPUTED_VALUE"""),"România")</f>
        <v>România</v>
      </c>
      <c r="S606" s="5" t="str">
        <f ca="1">IFERROR(__xludf.DUMMYFUNCTION("""COMPUTED_VALUE"""),"Octavian")</f>
        <v>Octavian</v>
      </c>
      <c r="T606" s="7" t="str">
        <f ca="1">IFERROR(__xludf.DUMMYFUNCTION("""COMPUTED_VALUE"""),"http://www.ms.ro/2020/06/01/buletin-informativ-01-06-2020/")</f>
        <v>http://www.ms.ro/2020/06/01/buletin-informativ-01-06-2020/</v>
      </c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2.5">
      <c r="A607" s="5">
        <f ca="1">IFERROR(__xludf.DUMMYFUNCTION("""COMPUTED_VALUE"""),19266)</f>
        <v>19266</v>
      </c>
      <c r="B607" s="5"/>
      <c r="C607" s="5" t="str">
        <f ca="1">IFERROR(__xludf.DUMMYFUNCTION("""COMPUTED_VALUE"""),"Bihor")</f>
        <v>Bihor</v>
      </c>
      <c r="D607" s="13">
        <f ca="1">IFERROR(__xludf.DUMMYFUNCTION("""COMPUTED_VALUE"""),43983)</f>
        <v>43983</v>
      </c>
      <c r="E607" s="5" t="str">
        <f ca="1">IFERROR(__xludf.DUMMYFUNCTION("""COMPUTED_VALUE"""),"Nu")</f>
        <v>Nu</v>
      </c>
      <c r="F607" s="5"/>
      <c r="G607" s="5"/>
      <c r="H607" s="6"/>
      <c r="I607" s="5"/>
      <c r="J607" s="5"/>
      <c r="K607" s="7" t="str">
        <f ca="1">IFERROR(__xludf.DUMMYFUNCTION("""COMPUTED_VALUE"""),"https://stirioficiale.ro/informatii/buletin-de-presa-1-iunie-2020-ora-13-00")</f>
        <v>https://stirioficiale.ro/informatii/buletin-de-presa-1-iunie-2020-ora-13-00</v>
      </c>
      <c r="L607" s="5"/>
      <c r="M607" s="5"/>
      <c r="N607" s="5"/>
      <c r="O607" s="5"/>
      <c r="P607" s="5"/>
      <c r="Q607" s="5"/>
      <c r="R607" s="5" t="str">
        <f ca="1">IFERROR(__xludf.DUMMYFUNCTION("""COMPUTED_VALUE"""),"România")</f>
        <v>România</v>
      </c>
      <c r="S607" s="5" t="str">
        <f ca="1">IFERROR(__xludf.DUMMYFUNCTION("""COMPUTED_VALUE"""),"Octavian")</f>
        <v>Octavian</v>
      </c>
      <c r="T607" s="7" t="str">
        <f ca="1">IFERROR(__xludf.DUMMYFUNCTION("""COMPUTED_VALUE"""),"http://www.ms.ro/2020/06/01/buletin-informativ-01-06-2020/")</f>
        <v>http://www.ms.ro/2020/06/01/buletin-informativ-01-06-2020/</v>
      </c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t="12.5">
      <c r="A608" s="5">
        <f ca="1">IFERROR(__xludf.DUMMYFUNCTION("""COMPUTED_VALUE"""),19267)</f>
        <v>19267</v>
      </c>
      <c r="B608" s="5"/>
      <c r="C608" s="5" t="str">
        <f ca="1">IFERROR(__xludf.DUMMYFUNCTION("""COMPUTED_VALUE"""),"Bihor")</f>
        <v>Bihor</v>
      </c>
      <c r="D608" s="13">
        <f ca="1">IFERROR(__xludf.DUMMYFUNCTION("""COMPUTED_VALUE"""),43983)</f>
        <v>43983</v>
      </c>
      <c r="E608" s="5" t="str">
        <f ca="1">IFERROR(__xludf.DUMMYFUNCTION("""COMPUTED_VALUE"""),"Nu")</f>
        <v>Nu</v>
      </c>
      <c r="F608" s="5"/>
      <c r="G608" s="5"/>
      <c r="H608" s="6"/>
      <c r="I608" s="5"/>
      <c r="J608" s="5"/>
      <c r="K608" s="7" t="str">
        <f ca="1">IFERROR(__xludf.DUMMYFUNCTION("""COMPUTED_VALUE"""),"https://stirioficiale.ro/informatii/buletin-de-presa-1-iunie-2020-ora-13-00")</f>
        <v>https://stirioficiale.ro/informatii/buletin-de-presa-1-iunie-2020-ora-13-00</v>
      </c>
      <c r="L608" s="5"/>
      <c r="M608" s="5"/>
      <c r="N608" s="5"/>
      <c r="O608" s="5"/>
      <c r="P608" s="5"/>
      <c r="Q608" s="5"/>
      <c r="R608" s="5" t="str">
        <f ca="1">IFERROR(__xludf.DUMMYFUNCTION("""COMPUTED_VALUE"""),"România")</f>
        <v>România</v>
      </c>
      <c r="S608" s="5" t="str">
        <f ca="1">IFERROR(__xludf.DUMMYFUNCTION("""COMPUTED_VALUE"""),"Octavian")</f>
        <v>Octavian</v>
      </c>
      <c r="T608" s="7" t="str">
        <f ca="1">IFERROR(__xludf.DUMMYFUNCTION("""COMPUTED_VALUE"""),"http://www.ms.ro/2020/06/01/buletin-informativ-01-06-2020/")</f>
        <v>http://www.ms.ro/2020/06/01/buletin-informativ-01-06-2020/</v>
      </c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2.5">
      <c r="A609" s="5">
        <f ca="1">IFERROR(__xludf.DUMMYFUNCTION("""COMPUTED_VALUE"""),19268)</f>
        <v>19268</v>
      </c>
      <c r="B609" s="5"/>
      <c r="C609" s="5" t="str">
        <f ca="1">IFERROR(__xludf.DUMMYFUNCTION("""COMPUTED_VALUE"""),"Bihor")</f>
        <v>Bihor</v>
      </c>
      <c r="D609" s="13">
        <f ca="1">IFERROR(__xludf.DUMMYFUNCTION("""COMPUTED_VALUE"""),43983)</f>
        <v>43983</v>
      </c>
      <c r="E609" s="5" t="str">
        <f ca="1">IFERROR(__xludf.DUMMYFUNCTION("""COMPUTED_VALUE"""),"Nu")</f>
        <v>Nu</v>
      </c>
      <c r="F609" s="5"/>
      <c r="G609" s="5"/>
      <c r="H609" s="6"/>
      <c r="I609" s="5"/>
      <c r="J609" s="5"/>
      <c r="K609" s="7" t="str">
        <f ca="1">IFERROR(__xludf.DUMMYFUNCTION("""COMPUTED_VALUE"""),"https://stirioficiale.ro/informatii/buletin-de-presa-1-iunie-2020-ora-13-00")</f>
        <v>https://stirioficiale.ro/informatii/buletin-de-presa-1-iunie-2020-ora-13-00</v>
      </c>
      <c r="L609" s="5"/>
      <c r="M609" s="5"/>
      <c r="N609" s="5"/>
      <c r="O609" s="5"/>
      <c r="P609" s="5"/>
      <c r="Q609" s="5"/>
      <c r="R609" s="5" t="str">
        <f ca="1">IFERROR(__xludf.DUMMYFUNCTION("""COMPUTED_VALUE"""),"România")</f>
        <v>România</v>
      </c>
      <c r="S609" s="5" t="str">
        <f ca="1">IFERROR(__xludf.DUMMYFUNCTION("""COMPUTED_VALUE"""),"Octavian")</f>
        <v>Octavian</v>
      </c>
      <c r="T609" s="7" t="str">
        <f ca="1">IFERROR(__xludf.DUMMYFUNCTION("""COMPUTED_VALUE"""),"http://www.ms.ro/2020/06/01/buletin-informativ-01-06-2020/")</f>
        <v>http://www.ms.ro/2020/06/01/buletin-informativ-01-06-2020/</v>
      </c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t="12.5">
      <c r="A610" s="5">
        <f ca="1">IFERROR(__xludf.DUMMYFUNCTION("""COMPUTED_VALUE"""),19411)</f>
        <v>19411</v>
      </c>
      <c r="B610" s="5"/>
      <c r="C610" s="5" t="str">
        <f ca="1">IFERROR(__xludf.DUMMYFUNCTION("""COMPUTED_VALUE"""),"Bihor")</f>
        <v>Bihor</v>
      </c>
      <c r="D610" s="13">
        <f ca="1">IFERROR(__xludf.DUMMYFUNCTION("""COMPUTED_VALUE"""),43984)</f>
        <v>43984</v>
      </c>
      <c r="E610" s="5" t="str">
        <f ca="1">IFERROR(__xludf.DUMMYFUNCTION("""COMPUTED_VALUE"""),"Nu")</f>
        <v>Nu</v>
      </c>
      <c r="F610" s="5"/>
      <c r="G610" s="5"/>
      <c r="H610" s="6"/>
      <c r="I610" s="5"/>
      <c r="J610" s="5"/>
      <c r="K610" s="7" t="str">
        <f ca="1">IFERROR(__xludf.DUMMYFUNCTION("""COMPUTED_VALUE"""),"https://stirioficiale.ro/informatii/buletin-de-presa-2-iunie-2020-ora-13-00")</f>
        <v>https://stirioficiale.ro/informatii/buletin-de-presa-2-iunie-2020-ora-13-00</v>
      </c>
      <c r="L610" s="5"/>
      <c r="M610" s="5"/>
      <c r="N610" s="5"/>
      <c r="O610" s="5"/>
      <c r="P610" s="5"/>
      <c r="Q610" s="5"/>
      <c r="R610" s="5" t="str">
        <f ca="1">IFERROR(__xludf.DUMMYFUNCTION("""COMPUTED_VALUE"""),"România")</f>
        <v>România</v>
      </c>
      <c r="S610" s="5" t="str">
        <f ca="1">IFERROR(__xludf.DUMMYFUNCTION("""COMPUTED_VALUE"""),"Octavian")</f>
        <v>Octavian</v>
      </c>
      <c r="T610" s="7" t="str">
        <f ca="1">IFERROR(__xludf.DUMMYFUNCTION("""COMPUTED_VALUE"""),"http://www.ms.ro/2020/06/02/buletin-informativ-02-06-2020/")</f>
        <v>http://www.ms.ro/2020/06/02/buletin-informativ-02-06-2020/</v>
      </c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2.5">
      <c r="A611" s="5">
        <f ca="1">IFERROR(__xludf.DUMMYFUNCTION("""COMPUTED_VALUE"""),19412)</f>
        <v>19412</v>
      </c>
      <c r="B611" s="5"/>
      <c r="C611" s="5" t="str">
        <f ca="1">IFERROR(__xludf.DUMMYFUNCTION("""COMPUTED_VALUE"""),"Bihor")</f>
        <v>Bihor</v>
      </c>
      <c r="D611" s="13">
        <f ca="1">IFERROR(__xludf.DUMMYFUNCTION("""COMPUTED_VALUE"""),43984)</f>
        <v>43984</v>
      </c>
      <c r="E611" s="5" t="str">
        <f ca="1">IFERROR(__xludf.DUMMYFUNCTION("""COMPUTED_VALUE"""),"Nu")</f>
        <v>Nu</v>
      </c>
      <c r="F611" s="5"/>
      <c r="G611" s="5"/>
      <c r="H611" s="6"/>
      <c r="I611" s="5"/>
      <c r="J611" s="5"/>
      <c r="K611" s="7" t="str">
        <f ca="1">IFERROR(__xludf.DUMMYFUNCTION("""COMPUTED_VALUE"""),"https://stirioficiale.ro/informatii/buletin-de-presa-2-iunie-2020-ora-13-00")</f>
        <v>https://stirioficiale.ro/informatii/buletin-de-presa-2-iunie-2020-ora-13-00</v>
      </c>
      <c r="L611" s="5"/>
      <c r="M611" s="5"/>
      <c r="N611" s="5"/>
      <c r="O611" s="5"/>
      <c r="P611" s="5"/>
      <c r="Q611" s="5"/>
      <c r="R611" s="5" t="str">
        <f ca="1">IFERROR(__xludf.DUMMYFUNCTION("""COMPUTED_VALUE"""),"România")</f>
        <v>România</v>
      </c>
      <c r="S611" s="5" t="str">
        <f ca="1">IFERROR(__xludf.DUMMYFUNCTION("""COMPUTED_VALUE"""),"Octavian")</f>
        <v>Octavian</v>
      </c>
      <c r="T611" s="7" t="str">
        <f ca="1">IFERROR(__xludf.DUMMYFUNCTION("""COMPUTED_VALUE"""),"http://www.ms.ro/2020/06/02/buletin-informativ-02-06-2020/")</f>
        <v>http://www.ms.ro/2020/06/02/buletin-informativ-02-06-2020/</v>
      </c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12.5">
      <c r="A612" s="5">
        <f ca="1">IFERROR(__xludf.DUMMYFUNCTION("""COMPUTED_VALUE"""),19413)</f>
        <v>19413</v>
      </c>
      <c r="B612" s="5"/>
      <c r="C612" s="5" t="str">
        <f ca="1">IFERROR(__xludf.DUMMYFUNCTION("""COMPUTED_VALUE"""),"Bihor")</f>
        <v>Bihor</v>
      </c>
      <c r="D612" s="13">
        <f ca="1">IFERROR(__xludf.DUMMYFUNCTION("""COMPUTED_VALUE"""),43984)</f>
        <v>43984</v>
      </c>
      <c r="E612" s="5" t="str">
        <f ca="1">IFERROR(__xludf.DUMMYFUNCTION("""COMPUTED_VALUE"""),"Nu")</f>
        <v>Nu</v>
      </c>
      <c r="F612" s="5"/>
      <c r="G612" s="5"/>
      <c r="H612" s="6"/>
      <c r="I612" s="5"/>
      <c r="J612" s="5"/>
      <c r="K612" s="7" t="str">
        <f ca="1">IFERROR(__xludf.DUMMYFUNCTION("""COMPUTED_VALUE"""),"https://stirioficiale.ro/informatii/buletin-de-presa-2-iunie-2020-ora-13-00")</f>
        <v>https://stirioficiale.ro/informatii/buletin-de-presa-2-iunie-2020-ora-13-00</v>
      </c>
      <c r="L612" s="5"/>
      <c r="M612" s="5"/>
      <c r="N612" s="5"/>
      <c r="O612" s="5"/>
      <c r="P612" s="5"/>
      <c r="Q612" s="5"/>
      <c r="R612" s="5" t="str">
        <f ca="1">IFERROR(__xludf.DUMMYFUNCTION("""COMPUTED_VALUE"""),"România")</f>
        <v>România</v>
      </c>
      <c r="S612" s="5" t="str">
        <f ca="1">IFERROR(__xludf.DUMMYFUNCTION("""COMPUTED_VALUE"""),"Octavian")</f>
        <v>Octavian</v>
      </c>
      <c r="T612" s="7" t="str">
        <f ca="1">IFERROR(__xludf.DUMMYFUNCTION("""COMPUTED_VALUE"""),"http://www.ms.ro/2020/06/02/buletin-informativ-02-06-2020/")</f>
        <v>http://www.ms.ro/2020/06/02/buletin-informativ-02-06-2020/</v>
      </c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2.5">
      <c r="A613" s="5">
        <f ca="1">IFERROR(__xludf.DUMMYFUNCTION("""COMPUTED_VALUE"""),19414)</f>
        <v>19414</v>
      </c>
      <c r="B613" s="5"/>
      <c r="C613" s="5" t="str">
        <f ca="1">IFERROR(__xludf.DUMMYFUNCTION("""COMPUTED_VALUE"""),"Bihor")</f>
        <v>Bihor</v>
      </c>
      <c r="D613" s="13">
        <f ca="1">IFERROR(__xludf.DUMMYFUNCTION("""COMPUTED_VALUE"""),43984)</f>
        <v>43984</v>
      </c>
      <c r="E613" s="5" t="str">
        <f ca="1">IFERROR(__xludf.DUMMYFUNCTION("""COMPUTED_VALUE"""),"Nu")</f>
        <v>Nu</v>
      </c>
      <c r="F613" s="5"/>
      <c r="G613" s="5"/>
      <c r="H613" s="6"/>
      <c r="I613" s="5"/>
      <c r="J613" s="5"/>
      <c r="K613" s="7" t="str">
        <f ca="1">IFERROR(__xludf.DUMMYFUNCTION("""COMPUTED_VALUE"""),"https://stirioficiale.ro/informatii/buletin-de-presa-2-iunie-2020-ora-13-00")</f>
        <v>https://stirioficiale.ro/informatii/buletin-de-presa-2-iunie-2020-ora-13-00</v>
      </c>
      <c r="L613" s="5"/>
      <c r="M613" s="5"/>
      <c r="N613" s="5"/>
      <c r="O613" s="5"/>
      <c r="P613" s="5"/>
      <c r="Q613" s="5"/>
      <c r="R613" s="5" t="str">
        <f ca="1">IFERROR(__xludf.DUMMYFUNCTION("""COMPUTED_VALUE"""),"România")</f>
        <v>România</v>
      </c>
      <c r="S613" s="5" t="str">
        <f ca="1">IFERROR(__xludf.DUMMYFUNCTION("""COMPUTED_VALUE"""),"Octavian")</f>
        <v>Octavian</v>
      </c>
      <c r="T613" s="7" t="str">
        <f ca="1">IFERROR(__xludf.DUMMYFUNCTION("""COMPUTED_VALUE"""),"http://www.ms.ro/2020/06/02/buletin-informativ-02-06-2020/")</f>
        <v>http://www.ms.ro/2020/06/02/buletin-informativ-02-06-2020/</v>
      </c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t="12.5">
      <c r="A614" s="5">
        <f ca="1">IFERROR(__xludf.DUMMYFUNCTION("""COMPUTED_VALUE"""),19415)</f>
        <v>19415</v>
      </c>
      <c r="B614" s="5"/>
      <c r="C614" s="5" t="str">
        <f ca="1">IFERROR(__xludf.DUMMYFUNCTION("""COMPUTED_VALUE"""),"Bihor")</f>
        <v>Bihor</v>
      </c>
      <c r="D614" s="13">
        <f ca="1">IFERROR(__xludf.DUMMYFUNCTION("""COMPUTED_VALUE"""),43984)</f>
        <v>43984</v>
      </c>
      <c r="E614" s="5" t="str">
        <f ca="1">IFERROR(__xludf.DUMMYFUNCTION("""COMPUTED_VALUE"""),"Nu")</f>
        <v>Nu</v>
      </c>
      <c r="F614" s="5"/>
      <c r="G614" s="5"/>
      <c r="H614" s="6"/>
      <c r="I614" s="5"/>
      <c r="J614" s="5"/>
      <c r="K614" s="7" t="str">
        <f ca="1">IFERROR(__xludf.DUMMYFUNCTION("""COMPUTED_VALUE"""),"https://stirioficiale.ro/informatii/buletin-de-presa-2-iunie-2020-ora-13-00")</f>
        <v>https://stirioficiale.ro/informatii/buletin-de-presa-2-iunie-2020-ora-13-00</v>
      </c>
      <c r="L614" s="5"/>
      <c r="M614" s="5"/>
      <c r="N614" s="5"/>
      <c r="O614" s="5"/>
      <c r="P614" s="5"/>
      <c r="Q614" s="5"/>
      <c r="R614" s="5" t="str">
        <f ca="1">IFERROR(__xludf.DUMMYFUNCTION("""COMPUTED_VALUE"""),"România")</f>
        <v>România</v>
      </c>
      <c r="S614" s="5" t="str">
        <f ca="1">IFERROR(__xludf.DUMMYFUNCTION("""COMPUTED_VALUE"""),"Octavian")</f>
        <v>Octavian</v>
      </c>
      <c r="T614" s="7" t="str">
        <f ca="1">IFERROR(__xludf.DUMMYFUNCTION("""COMPUTED_VALUE"""),"http://www.ms.ro/2020/06/02/buletin-informativ-02-06-2020/")</f>
        <v>http://www.ms.ro/2020/06/02/buletin-informativ-02-06-2020/</v>
      </c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2.5">
      <c r="A615" s="5">
        <f ca="1">IFERROR(__xludf.DUMMYFUNCTION("""COMPUTED_VALUE"""),19416)</f>
        <v>19416</v>
      </c>
      <c r="B615" s="5"/>
      <c r="C615" s="5" t="str">
        <f ca="1">IFERROR(__xludf.DUMMYFUNCTION("""COMPUTED_VALUE"""),"Bihor")</f>
        <v>Bihor</v>
      </c>
      <c r="D615" s="13">
        <f ca="1">IFERROR(__xludf.DUMMYFUNCTION("""COMPUTED_VALUE"""),43984)</f>
        <v>43984</v>
      </c>
      <c r="E615" s="5" t="str">
        <f ca="1">IFERROR(__xludf.DUMMYFUNCTION("""COMPUTED_VALUE"""),"Nu")</f>
        <v>Nu</v>
      </c>
      <c r="F615" s="5"/>
      <c r="G615" s="5"/>
      <c r="H615" s="6"/>
      <c r="I615" s="5"/>
      <c r="J615" s="5"/>
      <c r="K615" s="7" t="str">
        <f ca="1">IFERROR(__xludf.DUMMYFUNCTION("""COMPUTED_VALUE"""),"https://stirioficiale.ro/informatii/buletin-de-presa-2-iunie-2020-ora-13-00")</f>
        <v>https://stirioficiale.ro/informatii/buletin-de-presa-2-iunie-2020-ora-13-00</v>
      </c>
      <c r="L615" s="5"/>
      <c r="M615" s="5"/>
      <c r="N615" s="5"/>
      <c r="O615" s="5"/>
      <c r="P615" s="5"/>
      <c r="Q615" s="5"/>
      <c r="R615" s="5" t="str">
        <f ca="1">IFERROR(__xludf.DUMMYFUNCTION("""COMPUTED_VALUE"""),"România")</f>
        <v>România</v>
      </c>
      <c r="S615" s="5" t="str">
        <f ca="1">IFERROR(__xludf.DUMMYFUNCTION("""COMPUTED_VALUE"""),"Octavian")</f>
        <v>Octavian</v>
      </c>
      <c r="T615" s="7" t="str">
        <f ca="1">IFERROR(__xludf.DUMMYFUNCTION("""COMPUTED_VALUE"""),"http://www.ms.ro/2020/06/02/buletin-informativ-02-06-2020/")</f>
        <v>http://www.ms.ro/2020/06/02/buletin-informativ-02-06-2020/</v>
      </c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ht="12.5">
      <c r="A616" s="5">
        <f ca="1">IFERROR(__xludf.DUMMYFUNCTION("""COMPUTED_VALUE"""),19417)</f>
        <v>19417</v>
      </c>
      <c r="B616" s="5"/>
      <c r="C616" s="5" t="str">
        <f ca="1">IFERROR(__xludf.DUMMYFUNCTION("""COMPUTED_VALUE"""),"Bihor")</f>
        <v>Bihor</v>
      </c>
      <c r="D616" s="13">
        <f ca="1">IFERROR(__xludf.DUMMYFUNCTION("""COMPUTED_VALUE"""),43984)</f>
        <v>43984</v>
      </c>
      <c r="E616" s="5" t="str">
        <f ca="1">IFERROR(__xludf.DUMMYFUNCTION("""COMPUTED_VALUE"""),"Nu")</f>
        <v>Nu</v>
      </c>
      <c r="F616" s="5"/>
      <c r="G616" s="5"/>
      <c r="H616" s="6"/>
      <c r="I616" s="5"/>
      <c r="J616" s="5"/>
      <c r="K616" s="7" t="str">
        <f ca="1">IFERROR(__xludf.DUMMYFUNCTION("""COMPUTED_VALUE"""),"https://stirioficiale.ro/informatii/buletin-de-presa-2-iunie-2020-ora-13-00")</f>
        <v>https://stirioficiale.ro/informatii/buletin-de-presa-2-iunie-2020-ora-13-00</v>
      </c>
      <c r="L616" s="5"/>
      <c r="M616" s="5"/>
      <c r="N616" s="5"/>
      <c r="O616" s="5"/>
      <c r="P616" s="5"/>
      <c r="Q616" s="5"/>
      <c r="R616" s="5" t="str">
        <f ca="1">IFERROR(__xludf.DUMMYFUNCTION("""COMPUTED_VALUE"""),"România")</f>
        <v>România</v>
      </c>
      <c r="S616" s="5" t="str">
        <f ca="1">IFERROR(__xludf.DUMMYFUNCTION("""COMPUTED_VALUE"""),"Octavian")</f>
        <v>Octavian</v>
      </c>
      <c r="T616" s="7" t="str">
        <f ca="1">IFERROR(__xludf.DUMMYFUNCTION("""COMPUTED_VALUE"""),"http://www.ms.ro/2020/06/02/buletin-informativ-02-06-2020/")</f>
        <v>http://www.ms.ro/2020/06/02/buletin-informativ-02-06-2020/</v>
      </c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2.5">
      <c r="A617" s="5">
        <f ca="1">IFERROR(__xludf.DUMMYFUNCTION("""COMPUTED_VALUE"""),19418)</f>
        <v>19418</v>
      </c>
      <c r="B617" s="5"/>
      <c r="C617" s="5" t="str">
        <f ca="1">IFERROR(__xludf.DUMMYFUNCTION("""COMPUTED_VALUE"""),"Bihor")</f>
        <v>Bihor</v>
      </c>
      <c r="D617" s="13">
        <f ca="1">IFERROR(__xludf.DUMMYFUNCTION("""COMPUTED_VALUE"""),43984)</f>
        <v>43984</v>
      </c>
      <c r="E617" s="5" t="str">
        <f ca="1">IFERROR(__xludf.DUMMYFUNCTION("""COMPUTED_VALUE"""),"Nu")</f>
        <v>Nu</v>
      </c>
      <c r="F617" s="5"/>
      <c r="G617" s="5"/>
      <c r="H617" s="6"/>
      <c r="I617" s="5"/>
      <c r="J617" s="5"/>
      <c r="K617" s="7" t="str">
        <f ca="1">IFERROR(__xludf.DUMMYFUNCTION("""COMPUTED_VALUE"""),"https://stirioficiale.ro/informatii/buletin-de-presa-2-iunie-2020-ora-13-00")</f>
        <v>https://stirioficiale.ro/informatii/buletin-de-presa-2-iunie-2020-ora-13-00</v>
      </c>
      <c r="L617" s="5"/>
      <c r="M617" s="5"/>
      <c r="N617" s="5"/>
      <c r="O617" s="5"/>
      <c r="P617" s="5"/>
      <c r="Q617" s="5"/>
      <c r="R617" s="5" t="str">
        <f ca="1">IFERROR(__xludf.DUMMYFUNCTION("""COMPUTED_VALUE"""),"România")</f>
        <v>România</v>
      </c>
      <c r="S617" s="5" t="str">
        <f ca="1">IFERROR(__xludf.DUMMYFUNCTION("""COMPUTED_VALUE"""),"Octavian")</f>
        <v>Octavian</v>
      </c>
      <c r="T617" s="7" t="str">
        <f ca="1">IFERROR(__xludf.DUMMYFUNCTION("""COMPUTED_VALUE"""),"http://www.ms.ro/2020/06/02/buletin-informativ-02-06-2020/")</f>
        <v>http://www.ms.ro/2020/06/02/buletin-informativ-02-06-2020/</v>
      </c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ht="12.5">
      <c r="A618" s="5">
        <f ca="1">IFERROR(__xludf.DUMMYFUNCTION("""COMPUTED_VALUE"""),19419)</f>
        <v>19419</v>
      </c>
      <c r="B618" s="5"/>
      <c r="C618" s="5" t="str">
        <f ca="1">IFERROR(__xludf.DUMMYFUNCTION("""COMPUTED_VALUE"""),"Bihor")</f>
        <v>Bihor</v>
      </c>
      <c r="D618" s="13">
        <f ca="1">IFERROR(__xludf.DUMMYFUNCTION("""COMPUTED_VALUE"""),43984)</f>
        <v>43984</v>
      </c>
      <c r="E618" s="5" t="str">
        <f ca="1">IFERROR(__xludf.DUMMYFUNCTION("""COMPUTED_VALUE"""),"Nu")</f>
        <v>Nu</v>
      </c>
      <c r="F618" s="5"/>
      <c r="G618" s="5"/>
      <c r="H618" s="6"/>
      <c r="I618" s="5"/>
      <c r="J618" s="5"/>
      <c r="K618" s="7" t="str">
        <f ca="1">IFERROR(__xludf.DUMMYFUNCTION("""COMPUTED_VALUE"""),"https://stirioficiale.ro/informatii/buletin-de-presa-2-iunie-2020-ora-13-00")</f>
        <v>https://stirioficiale.ro/informatii/buletin-de-presa-2-iunie-2020-ora-13-00</v>
      </c>
      <c r="L618" s="5"/>
      <c r="M618" s="5"/>
      <c r="N618" s="5"/>
      <c r="O618" s="5"/>
      <c r="P618" s="5"/>
      <c r="Q618" s="5"/>
      <c r="R618" s="5" t="str">
        <f ca="1">IFERROR(__xludf.DUMMYFUNCTION("""COMPUTED_VALUE"""),"România")</f>
        <v>România</v>
      </c>
      <c r="S618" s="5" t="str">
        <f ca="1">IFERROR(__xludf.DUMMYFUNCTION("""COMPUTED_VALUE"""),"Octavian")</f>
        <v>Octavian</v>
      </c>
      <c r="T618" s="7" t="str">
        <f ca="1">IFERROR(__xludf.DUMMYFUNCTION("""COMPUTED_VALUE"""),"http://www.ms.ro/2020/06/02/buletin-informativ-02-06-2020/")</f>
        <v>http://www.ms.ro/2020/06/02/buletin-informativ-02-06-2020/</v>
      </c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2.5">
      <c r="A619" s="5">
        <f ca="1">IFERROR(__xludf.DUMMYFUNCTION("""COMPUTED_VALUE"""),19420)</f>
        <v>19420</v>
      </c>
      <c r="B619" s="5"/>
      <c r="C619" s="5" t="str">
        <f ca="1">IFERROR(__xludf.DUMMYFUNCTION("""COMPUTED_VALUE"""),"Bihor")</f>
        <v>Bihor</v>
      </c>
      <c r="D619" s="13">
        <f ca="1">IFERROR(__xludf.DUMMYFUNCTION("""COMPUTED_VALUE"""),43984)</f>
        <v>43984</v>
      </c>
      <c r="E619" s="5" t="str">
        <f ca="1">IFERROR(__xludf.DUMMYFUNCTION("""COMPUTED_VALUE"""),"Nu")</f>
        <v>Nu</v>
      </c>
      <c r="F619" s="5"/>
      <c r="G619" s="5"/>
      <c r="H619" s="6"/>
      <c r="I619" s="5"/>
      <c r="J619" s="5"/>
      <c r="K619" s="7" t="str">
        <f ca="1">IFERROR(__xludf.DUMMYFUNCTION("""COMPUTED_VALUE"""),"https://stirioficiale.ro/informatii/buletin-de-presa-2-iunie-2020-ora-13-00")</f>
        <v>https://stirioficiale.ro/informatii/buletin-de-presa-2-iunie-2020-ora-13-00</v>
      </c>
      <c r="L619" s="5"/>
      <c r="M619" s="5"/>
      <c r="N619" s="5"/>
      <c r="O619" s="5"/>
      <c r="P619" s="5"/>
      <c r="Q619" s="5"/>
      <c r="R619" s="5" t="str">
        <f ca="1">IFERROR(__xludf.DUMMYFUNCTION("""COMPUTED_VALUE"""),"România")</f>
        <v>România</v>
      </c>
      <c r="S619" s="5" t="str">
        <f ca="1">IFERROR(__xludf.DUMMYFUNCTION("""COMPUTED_VALUE"""),"Octavian")</f>
        <v>Octavian</v>
      </c>
      <c r="T619" s="7" t="str">
        <f ca="1">IFERROR(__xludf.DUMMYFUNCTION("""COMPUTED_VALUE"""),"http://www.ms.ro/2020/06/02/buletin-informativ-02-06-2020/")</f>
        <v>http://www.ms.ro/2020/06/02/buletin-informativ-02-06-2020/</v>
      </c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ht="12.5">
      <c r="A620" s="5">
        <f ca="1">IFERROR(__xludf.DUMMYFUNCTION("""COMPUTED_VALUE"""),19421)</f>
        <v>19421</v>
      </c>
      <c r="B620" s="5"/>
      <c r="C620" s="5" t="str">
        <f ca="1">IFERROR(__xludf.DUMMYFUNCTION("""COMPUTED_VALUE"""),"Bihor")</f>
        <v>Bihor</v>
      </c>
      <c r="D620" s="13">
        <f ca="1">IFERROR(__xludf.DUMMYFUNCTION("""COMPUTED_VALUE"""),43984)</f>
        <v>43984</v>
      </c>
      <c r="E620" s="5" t="str">
        <f ca="1">IFERROR(__xludf.DUMMYFUNCTION("""COMPUTED_VALUE"""),"Nu")</f>
        <v>Nu</v>
      </c>
      <c r="F620" s="5"/>
      <c r="G620" s="5"/>
      <c r="H620" s="6"/>
      <c r="I620" s="5"/>
      <c r="J620" s="5"/>
      <c r="K620" s="7" t="str">
        <f ca="1">IFERROR(__xludf.DUMMYFUNCTION("""COMPUTED_VALUE"""),"https://stirioficiale.ro/informatii/buletin-de-presa-2-iunie-2020-ora-13-00")</f>
        <v>https://stirioficiale.ro/informatii/buletin-de-presa-2-iunie-2020-ora-13-00</v>
      </c>
      <c r="L620" s="5"/>
      <c r="M620" s="5"/>
      <c r="N620" s="5"/>
      <c r="O620" s="5"/>
      <c r="P620" s="5"/>
      <c r="Q620" s="5"/>
      <c r="R620" s="5" t="str">
        <f ca="1">IFERROR(__xludf.DUMMYFUNCTION("""COMPUTED_VALUE"""),"România")</f>
        <v>România</v>
      </c>
      <c r="S620" s="5" t="str">
        <f ca="1">IFERROR(__xludf.DUMMYFUNCTION("""COMPUTED_VALUE"""),"Octavian")</f>
        <v>Octavian</v>
      </c>
      <c r="T620" s="7" t="str">
        <f ca="1">IFERROR(__xludf.DUMMYFUNCTION("""COMPUTED_VALUE"""),"http://www.ms.ro/2020/06/02/buletin-informativ-02-06-2020/")</f>
        <v>http://www.ms.ro/2020/06/02/buletin-informativ-02-06-2020/</v>
      </c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2.5">
      <c r="A621" s="5">
        <f ca="1">IFERROR(__xludf.DUMMYFUNCTION("""COMPUTED_VALUE"""),19422)</f>
        <v>19422</v>
      </c>
      <c r="B621" s="5"/>
      <c r="C621" s="5" t="str">
        <f ca="1">IFERROR(__xludf.DUMMYFUNCTION("""COMPUTED_VALUE"""),"Bihor")</f>
        <v>Bihor</v>
      </c>
      <c r="D621" s="13">
        <f ca="1">IFERROR(__xludf.DUMMYFUNCTION("""COMPUTED_VALUE"""),43984)</f>
        <v>43984</v>
      </c>
      <c r="E621" s="5" t="str">
        <f ca="1">IFERROR(__xludf.DUMMYFUNCTION("""COMPUTED_VALUE"""),"Nu")</f>
        <v>Nu</v>
      </c>
      <c r="F621" s="5"/>
      <c r="G621" s="5"/>
      <c r="H621" s="6"/>
      <c r="I621" s="5"/>
      <c r="J621" s="5"/>
      <c r="K621" s="7" t="str">
        <f ca="1">IFERROR(__xludf.DUMMYFUNCTION("""COMPUTED_VALUE"""),"https://stirioficiale.ro/informatii/buletin-de-presa-2-iunie-2020-ora-13-00")</f>
        <v>https://stirioficiale.ro/informatii/buletin-de-presa-2-iunie-2020-ora-13-00</v>
      </c>
      <c r="L621" s="5"/>
      <c r="M621" s="5"/>
      <c r="N621" s="5"/>
      <c r="O621" s="5"/>
      <c r="P621" s="5"/>
      <c r="Q621" s="5"/>
      <c r="R621" s="5" t="str">
        <f ca="1">IFERROR(__xludf.DUMMYFUNCTION("""COMPUTED_VALUE"""),"România")</f>
        <v>România</v>
      </c>
      <c r="S621" s="5" t="str">
        <f ca="1">IFERROR(__xludf.DUMMYFUNCTION("""COMPUTED_VALUE"""),"Octavian")</f>
        <v>Octavian</v>
      </c>
      <c r="T621" s="7" t="str">
        <f ca="1">IFERROR(__xludf.DUMMYFUNCTION("""COMPUTED_VALUE"""),"http://www.ms.ro/2020/06/02/buletin-informativ-02-06-2020/")</f>
        <v>http://www.ms.ro/2020/06/02/buletin-informativ-02-06-2020/</v>
      </c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ht="12.5">
      <c r="A622" s="5">
        <f ca="1">IFERROR(__xludf.DUMMYFUNCTION("""COMPUTED_VALUE"""),19524)</f>
        <v>19524</v>
      </c>
      <c r="B622" s="5"/>
      <c r="C622" s="5" t="str">
        <f ca="1">IFERROR(__xludf.DUMMYFUNCTION("""COMPUTED_VALUE"""),"Bihor")</f>
        <v>Bihor</v>
      </c>
      <c r="D622" s="13">
        <f ca="1">IFERROR(__xludf.DUMMYFUNCTION("""COMPUTED_VALUE"""),43985)</f>
        <v>43985</v>
      </c>
      <c r="E622" s="5" t="str">
        <f ca="1">IFERROR(__xludf.DUMMYFUNCTION("""COMPUTED_VALUE"""),"Nu")</f>
        <v>Nu</v>
      </c>
      <c r="F622" s="5"/>
      <c r="G622" s="5"/>
      <c r="H622" s="6"/>
      <c r="I622" s="5"/>
      <c r="J622" s="5"/>
      <c r="K622" s="7" t="str">
        <f ca="1">IFERROR(__xludf.DUMMYFUNCTION("""COMPUTED_VALUE"""),"https://stirioficiale.ro/informatii/buletin-de-presa-3-iunie-2020-ora-13-00")</f>
        <v>https://stirioficiale.ro/informatii/buletin-de-presa-3-iunie-2020-ora-13-00</v>
      </c>
      <c r="L622" s="5"/>
      <c r="M622" s="5"/>
      <c r="N622" s="5"/>
      <c r="O622" s="5"/>
      <c r="P622" s="5"/>
      <c r="Q622" s="5"/>
      <c r="R622" s="5" t="str">
        <f ca="1">IFERROR(__xludf.DUMMYFUNCTION("""COMPUTED_VALUE"""),"România")</f>
        <v>România</v>
      </c>
      <c r="S622" s="5" t="str">
        <f ca="1">IFERROR(__xludf.DUMMYFUNCTION("""COMPUTED_VALUE"""),"Octavian")</f>
        <v>Octavian</v>
      </c>
      <c r="T622" s="7" t="str">
        <f ca="1">IFERROR(__xludf.DUMMYFUNCTION("""COMPUTED_VALUE"""),"http://www.ms.ro/2020/06/03/buletin-informativ-03-06-2020/")</f>
        <v>http://www.ms.ro/2020/06/03/buletin-informativ-03-06-2020/</v>
      </c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2.5">
      <c r="A623" s="5">
        <f ca="1">IFERROR(__xludf.DUMMYFUNCTION("""COMPUTED_VALUE"""),19525)</f>
        <v>19525</v>
      </c>
      <c r="B623" s="5"/>
      <c r="C623" s="5" t="str">
        <f ca="1">IFERROR(__xludf.DUMMYFUNCTION("""COMPUTED_VALUE"""),"Bihor")</f>
        <v>Bihor</v>
      </c>
      <c r="D623" s="13">
        <f ca="1">IFERROR(__xludf.DUMMYFUNCTION("""COMPUTED_VALUE"""),43985)</f>
        <v>43985</v>
      </c>
      <c r="E623" s="5" t="str">
        <f ca="1">IFERROR(__xludf.DUMMYFUNCTION("""COMPUTED_VALUE"""),"Nu")</f>
        <v>Nu</v>
      </c>
      <c r="F623" s="5"/>
      <c r="G623" s="5"/>
      <c r="H623" s="6"/>
      <c r="I623" s="5"/>
      <c r="J623" s="5"/>
      <c r="K623" s="7" t="str">
        <f ca="1">IFERROR(__xludf.DUMMYFUNCTION("""COMPUTED_VALUE"""),"https://stirioficiale.ro/informatii/buletin-de-presa-3-iunie-2020-ora-13-00")</f>
        <v>https://stirioficiale.ro/informatii/buletin-de-presa-3-iunie-2020-ora-13-00</v>
      </c>
      <c r="L623" s="5"/>
      <c r="M623" s="5"/>
      <c r="N623" s="5"/>
      <c r="O623" s="5"/>
      <c r="P623" s="5"/>
      <c r="Q623" s="5"/>
      <c r="R623" s="5" t="str">
        <f ca="1">IFERROR(__xludf.DUMMYFUNCTION("""COMPUTED_VALUE"""),"România")</f>
        <v>România</v>
      </c>
      <c r="S623" s="5" t="str">
        <f ca="1">IFERROR(__xludf.DUMMYFUNCTION("""COMPUTED_VALUE"""),"Octavian")</f>
        <v>Octavian</v>
      </c>
      <c r="T623" s="7" t="str">
        <f ca="1">IFERROR(__xludf.DUMMYFUNCTION("""COMPUTED_VALUE"""),"http://www.ms.ro/2020/06/03/buletin-informativ-03-06-2020/")</f>
        <v>http://www.ms.ro/2020/06/03/buletin-informativ-03-06-2020/</v>
      </c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ht="12.5">
      <c r="A624" s="5">
        <f ca="1">IFERROR(__xludf.DUMMYFUNCTION("""COMPUTED_VALUE"""),19526)</f>
        <v>19526</v>
      </c>
      <c r="B624" s="5"/>
      <c r="C624" s="5" t="str">
        <f ca="1">IFERROR(__xludf.DUMMYFUNCTION("""COMPUTED_VALUE"""),"Bihor")</f>
        <v>Bihor</v>
      </c>
      <c r="D624" s="13">
        <f ca="1">IFERROR(__xludf.DUMMYFUNCTION("""COMPUTED_VALUE"""),43985)</f>
        <v>43985</v>
      </c>
      <c r="E624" s="5" t="str">
        <f ca="1">IFERROR(__xludf.DUMMYFUNCTION("""COMPUTED_VALUE"""),"Nu")</f>
        <v>Nu</v>
      </c>
      <c r="F624" s="5"/>
      <c r="G624" s="5"/>
      <c r="H624" s="6"/>
      <c r="I624" s="5"/>
      <c r="J624" s="5"/>
      <c r="K624" s="7" t="str">
        <f ca="1">IFERROR(__xludf.DUMMYFUNCTION("""COMPUTED_VALUE"""),"https://stirioficiale.ro/informatii/buletin-de-presa-3-iunie-2020-ora-13-00")</f>
        <v>https://stirioficiale.ro/informatii/buletin-de-presa-3-iunie-2020-ora-13-00</v>
      </c>
      <c r="L624" s="5"/>
      <c r="M624" s="5"/>
      <c r="N624" s="5"/>
      <c r="O624" s="5"/>
      <c r="P624" s="5"/>
      <c r="Q624" s="5"/>
      <c r="R624" s="5" t="str">
        <f ca="1">IFERROR(__xludf.DUMMYFUNCTION("""COMPUTED_VALUE"""),"România")</f>
        <v>România</v>
      </c>
      <c r="S624" s="5" t="str">
        <f ca="1">IFERROR(__xludf.DUMMYFUNCTION("""COMPUTED_VALUE"""),"Octavian")</f>
        <v>Octavian</v>
      </c>
      <c r="T624" s="7" t="str">
        <f ca="1">IFERROR(__xludf.DUMMYFUNCTION("""COMPUTED_VALUE"""),"http://www.ms.ro/2020/06/03/buletin-informativ-03-06-2020/")</f>
        <v>http://www.ms.ro/2020/06/03/buletin-informativ-03-06-2020/</v>
      </c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2.5">
      <c r="A625" s="5">
        <f ca="1">IFERROR(__xludf.DUMMYFUNCTION("""COMPUTED_VALUE"""),19681)</f>
        <v>19681</v>
      </c>
      <c r="B625" s="5"/>
      <c r="C625" s="5" t="str">
        <f ca="1">IFERROR(__xludf.DUMMYFUNCTION("""COMPUTED_VALUE"""),"Bihor")</f>
        <v>Bihor</v>
      </c>
      <c r="D625" s="13">
        <f ca="1">IFERROR(__xludf.DUMMYFUNCTION("""COMPUTED_VALUE"""),43986)</f>
        <v>43986</v>
      </c>
      <c r="E625" s="5" t="str">
        <f ca="1">IFERROR(__xludf.DUMMYFUNCTION("""COMPUTED_VALUE"""),"Nu")</f>
        <v>Nu</v>
      </c>
      <c r="F625" s="5"/>
      <c r="G625" s="5"/>
      <c r="H625" s="6"/>
      <c r="I625" s="5"/>
      <c r="J625" s="5"/>
      <c r="K625" s="7" t="str">
        <f ca="1">IFERROR(__xludf.DUMMYFUNCTION("""COMPUTED_VALUE"""),"https://stirioficiale.ro/informatii/buletin-de-presa-4-iunie-2020-ora-13-00")</f>
        <v>https://stirioficiale.ro/informatii/buletin-de-presa-4-iunie-2020-ora-13-00</v>
      </c>
      <c r="L625" s="5"/>
      <c r="M625" s="5"/>
      <c r="N625" s="5"/>
      <c r="O625" s="5"/>
      <c r="P625" s="5"/>
      <c r="Q625" s="5"/>
      <c r="R625" s="5" t="str">
        <f ca="1">IFERROR(__xludf.DUMMYFUNCTION("""COMPUTED_VALUE"""),"România")</f>
        <v>România</v>
      </c>
      <c r="S625" s="5" t="str">
        <f ca="1">IFERROR(__xludf.DUMMYFUNCTION("""COMPUTED_VALUE"""),"Octavian")</f>
        <v>Octavian</v>
      </c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ht="12.5">
      <c r="A626" s="5">
        <f ca="1">IFERROR(__xludf.DUMMYFUNCTION("""COMPUTED_VALUE"""),19682)</f>
        <v>19682</v>
      </c>
      <c r="B626" s="5"/>
      <c r="C626" s="5" t="str">
        <f ca="1">IFERROR(__xludf.DUMMYFUNCTION("""COMPUTED_VALUE"""),"Bihor")</f>
        <v>Bihor</v>
      </c>
      <c r="D626" s="13">
        <f ca="1">IFERROR(__xludf.DUMMYFUNCTION("""COMPUTED_VALUE"""),43986)</f>
        <v>43986</v>
      </c>
      <c r="E626" s="5" t="str">
        <f ca="1">IFERROR(__xludf.DUMMYFUNCTION("""COMPUTED_VALUE"""),"Nu")</f>
        <v>Nu</v>
      </c>
      <c r="F626" s="5"/>
      <c r="G626" s="5"/>
      <c r="H626" s="6"/>
      <c r="I626" s="5"/>
      <c r="J626" s="5"/>
      <c r="K626" s="7" t="str">
        <f ca="1">IFERROR(__xludf.DUMMYFUNCTION("""COMPUTED_VALUE"""),"https://stirioficiale.ro/informatii/buletin-de-presa-4-iunie-2020-ora-13-00")</f>
        <v>https://stirioficiale.ro/informatii/buletin-de-presa-4-iunie-2020-ora-13-00</v>
      </c>
      <c r="L626" s="5"/>
      <c r="M626" s="5"/>
      <c r="N626" s="5"/>
      <c r="O626" s="5"/>
      <c r="P626" s="5"/>
      <c r="Q626" s="5"/>
      <c r="R626" s="5" t="str">
        <f ca="1">IFERROR(__xludf.DUMMYFUNCTION("""COMPUTED_VALUE"""),"România")</f>
        <v>România</v>
      </c>
      <c r="S626" s="5" t="str">
        <f ca="1">IFERROR(__xludf.DUMMYFUNCTION("""COMPUTED_VALUE"""),"Octavian")</f>
        <v>Octavian</v>
      </c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2.5">
      <c r="A627" s="5">
        <f ca="1">IFERROR(__xludf.DUMMYFUNCTION("""COMPUTED_VALUE"""),19683)</f>
        <v>19683</v>
      </c>
      <c r="B627" s="5"/>
      <c r="C627" s="5" t="str">
        <f ca="1">IFERROR(__xludf.DUMMYFUNCTION("""COMPUTED_VALUE"""),"Bihor")</f>
        <v>Bihor</v>
      </c>
      <c r="D627" s="13">
        <f ca="1">IFERROR(__xludf.DUMMYFUNCTION("""COMPUTED_VALUE"""),43986)</f>
        <v>43986</v>
      </c>
      <c r="E627" s="5" t="str">
        <f ca="1">IFERROR(__xludf.DUMMYFUNCTION("""COMPUTED_VALUE"""),"Nu")</f>
        <v>Nu</v>
      </c>
      <c r="F627" s="5"/>
      <c r="G627" s="5"/>
      <c r="H627" s="6"/>
      <c r="I627" s="5"/>
      <c r="J627" s="5"/>
      <c r="K627" s="7" t="str">
        <f ca="1">IFERROR(__xludf.DUMMYFUNCTION("""COMPUTED_VALUE"""),"https://stirioficiale.ro/informatii/buletin-de-presa-4-iunie-2020-ora-13-00")</f>
        <v>https://stirioficiale.ro/informatii/buletin-de-presa-4-iunie-2020-ora-13-00</v>
      </c>
      <c r="L627" s="5"/>
      <c r="M627" s="5"/>
      <c r="N627" s="5"/>
      <c r="O627" s="5"/>
      <c r="P627" s="5"/>
      <c r="Q627" s="5"/>
      <c r="R627" s="5" t="str">
        <f ca="1">IFERROR(__xludf.DUMMYFUNCTION("""COMPUTED_VALUE"""),"România")</f>
        <v>România</v>
      </c>
      <c r="S627" s="5" t="str">
        <f ca="1">IFERROR(__xludf.DUMMYFUNCTION("""COMPUTED_VALUE"""),"Octavian")</f>
        <v>Octavian</v>
      </c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ht="12.5">
      <c r="A628" s="5">
        <f ca="1">IFERROR(__xludf.DUMMYFUNCTION("""COMPUTED_VALUE"""),19684)</f>
        <v>19684</v>
      </c>
      <c r="B628" s="5"/>
      <c r="C628" s="5" t="str">
        <f ca="1">IFERROR(__xludf.DUMMYFUNCTION("""COMPUTED_VALUE"""),"Bihor")</f>
        <v>Bihor</v>
      </c>
      <c r="D628" s="13">
        <f ca="1">IFERROR(__xludf.DUMMYFUNCTION("""COMPUTED_VALUE"""),43986)</f>
        <v>43986</v>
      </c>
      <c r="E628" s="5" t="str">
        <f ca="1">IFERROR(__xludf.DUMMYFUNCTION("""COMPUTED_VALUE"""),"Nu")</f>
        <v>Nu</v>
      </c>
      <c r="F628" s="5"/>
      <c r="G628" s="5"/>
      <c r="H628" s="6"/>
      <c r="I628" s="5"/>
      <c r="J628" s="5"/>
      <c r="K628" s="7" t="str">
        <f ca="1">IFERROR(__xludf.DUMMYFUNCTION("""COMPUTED_VALUE"""),"https://stirioficiale.ro/informatii/buletin-de-presa-4-iunie-2020-ora-13-00")</f>
        <v>https://stirioficiale.ro/informatii/buletin-de-presa-4-iunie-2020-ora-13-00</v>
      </c>
      <c r="L628" s="5"/>
      <c r="M628" s="5"/>
      <c r="N628" s="5"/>
      <c r="O628" s="5"/>
      <c r="P628" s="5"/>
      <c r="Q628" s="5"/>
      <c r="R628" s="5" t="str">
        <f ca="1">IFERROR(__xludf.DUMMYFUNCTION("""COMPUTED_VALUE"""),"România")</f>
        <v>România</v>
      </c>
      <c r="S628" s="5" t="str">
        <f ca="1">IFERROR(__xludf.DUMMYFUNCTION("""COMPUTED_VALUE"""),"Octavian")</f>
        <v>Octavian</v>
      </c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2.5">
      <c r="A629" s="5">
        <f ca="1">IFERROR(__xludf.DUMMYFUNCTION("""COMPUTED_VALUE"""),19685)</f>
        <v>19685</v>
      </c>
      <c r="B629" s="5"/>
      <c r="C629" s="5" t="str">
        <f ca="1">IFERROR(__xludf.DUMMYFUNCTION("""COMPUTED_VALUE"""),"Bihor")</f>
        <v>Bihor</v>
      </c>
      <c r="D629" s="13">
        <f ca="1">IFERROR(__xludf.DUMMYFUNCTION("""COMPUTED_VALUE"""),43986)</f>
        <v>43986</v>
      </c>
      <c r="E629" s="5" t="str">
        <f ca="1">IFERROR(__xludf.DUMMYFUNCTION("""COMPUTED_VALUE"""),"Nu")</f>
        <v>Nu</v>
      </c>
      <c r="F629" s="5"/>
      <c r="G629" s="5"/>
      <c r="H629" s="6"/>
      <c r="I629" s="5"/>
      <c r="J629" s="5"/>
      <c r="K629" s="7" t="str">
        <f ca="1">IFERROR(__xludf.DUMMYFUNCTION("""COMPUTED_VALUE"""),"https://stirioficiale.ro/informatii/buletin-de-presa-4-iunie-2020-ora-13-00")</f>
        <v>https://stirioficiale.ro/informatii/buletin-de-presa-4-iunie-2020-ora-13-00</v>
      </c>
      <c r="L629" s="5"/>
      <c r="M629" s="5"/>
      <c r="N629" s="5"/>
      <c r="O629" s="5"/>
      <c r="P629" s="5"/>
      <c r="Q629" s="5"/>
      <c r="R629" s="5" t="str">
        <f ca="1">IFERROR(__xludf.DUMMYFUNCTION("""COMPUTED_VALUE"""),"România")</f>
        <v>România</v>
      </c>
      <c r="S629" s="5" t="str">
        <f ca="1">IFERROR(__xludf.DUMMYFUNCTION("""COMPUTED_VALUE"""),"Octavian")</f>
        <v>Octavian</v>
      </c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ht="12.5">
      <c r="A630" s="5">
        <f ca="1">IFERROR(__xludf.DUMMYFUNCTION("""COMPUTED_VALUE"""),19915)</f>
        <v>19915</v>
      </c>
      <c r="B630" s="5"/>
      <c r="C630" s="5" t="str">
        <f ca="1">IFERROR(__xludf.DUMMYFUNCTION("""COMPUTED_VALUE"""),"Bihor")</f>
        <v>Bihor</v>
      </c>
      <c r="D630" s="13">
        <f ca="1">IFERROR(__xludf.DUMMYFUNCTION("""COMPUTED_VALUE"""),43987)</f>
        <v>43987</v>
      </c>
      <c r="E630" s="5" t="str">
        <f ca="1">IFERROR(__xludf.DUMMYFUNCTION("""COMPUTED_VALUE"""),"Nu")</f>
        <v>Nu</v>
      </c>
      <c r="F630" s="5"/>
      <c r="G630" s="5"/>
      <c r="H630" s="6"/>
      <c r="I630" s="5"/>
      <c r="J630" s="5"/>
      <c r="K630" s="7" t="str">
        <f ca="1">IFERROR(__xludf.DUMMYFUNCTION("""COMPUTED_VALUE"""),"https://stirioficiale.ro/informatii/buletin-de-presa-5-iunie-2020-ora-13-00")</f>
        <v>https://stirioficiale.ro/informatii/buletin-de-presa-5-iunie-2020-ora-13-00</v>
      </c>
      <c r="L630" s="5"/>
      <c r="M630" s="5"/>
      <c r="N630" s="5"/>
      <c r="O630" s="5"/>
      <c r="P630" s="5"/>
      <c r="Q630" s="5"/>
      <c r="R630" s="5" t="str">
        <f ca="1">IFERROR(__xludf.DUMMYFUNCTION("""COMPUTED_VALUE"""),"România")</f>
        <v>România</v>
      </c>
      <c r="S630" s="5" t="str">
        <f ca="1">IFERROR(__xludf.DUMMYFUNCTION("""COMPUTED_VALUE"""),"Octavian")</f>
        <v>Octavian</v>
      </c>
      <c r="T630" s="7" t="str">
        <f ca="1">IFERROR(__xludf.DUMMYFUNCTION("""COMPUTED_VALUE"""),"http://www.ms.ro/2020/06/05/buletin-informativ-05-06-2020/")</f>
        <v>http://www.ms.ro/2020/06/05/buletin-informativ-05-06-2020/</v>
      </c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2.5">
      <c r="A631" s="5">
        <f ca="1">IFERROR(__xludf.DUMMYFUNCTION("""COMPUTED_VALUE"""),19916)</f>
        <v>19916</v>
      </c>
      <c r="B631" s="5"/>
      <c r="C631" s="5" t="str">
        <f ca="1">IFERROR(__xludf.DUMMYFUNCTION("""COMPUTED_VALUE"""),"Bihor")</f>
        <v>Bihor</v>
      </c>
      <c r="D631" s="13">
        <f ca="1">IFERROR(__xludf.DUMMYFUNCTION("""COMPUTED_VALUE"""),43987)</f>
        <v>43987</v>
      </c>
      <c r="E631" s="5" t="str">
        <f ca="1">IFERROR(__xludf.DUMMYFUNCTION("""COMPUTED_VALUE"""),"Nu")</f>
        <v>Nu</v>
      </c>
      <c r="F631" s="5"/>
      <c r="G631" s="5"/>
      <c r="H631" s="6"/>
      <c r="I631" s="5"/>
      <c r="J631" s="5"/>
      <c r="K631" s="7" t="str">
        <f ca="1">IFERROR(__xludf.DUMMYFUNCTION("""COMPUTED_VALUE"""),"https://stirioficiale.ro/informatii/buletin-de-presa-5-iunie-2020-ora-13-00")</f>
        <v>https://stirioficiale.ro/informatii/buletin-de-presa-5-iunie-2020-ora-13-00</v>
      </c>
      <c r="L631" s="5"/>
      <c r="M631" s="5"/>
      <c r="N631" s="5"/>
      <c r="O631" s="5"/>
      <c r="P631" s="5"/>
      <c r="Q631" s="5"/>
      <c r="R631" s="5" t="str">
        <f ca="1">IFERROR(__xludf.DUMMYFUNCTION("""COMPUTED_VALUE"""),"România")</f>
        <v>România</v>
      </c>
      <c r="S631" s="5" t="str">
        <f ca="1">IFERROR(__xludf.DUMMYFUNCTION("""COMPUTED_VALUE"""),"Octavian")</f>
        <v>Octavian</v>
      </c>
      <c r="T631" s="7" t="str">
        <f ca="1">IFERROR(__xludf.DUMMYFUNCTION("""COMPUTED_VALUE"""),"http://www.ms.ro/2020/06/05/buletin-informativ-05-06-2020/")</f>
        <v>http://www.ms.ro/2020/06/05/buletin-informativ-05-06-2020/</v>
      </c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ht="12.5">
      <c r="A632" s="5">
        <f ca="1">IFERROR(__xludf.DUMMYFUNCTION("""COMPUTED_VALUE"""),19917)</f>
        <v>19917</v>
      </c>
      <c r="B632" s="5"/>
      <c r="C632" s="5" t="str">
        <f ca="1">IFERROR(__xludf.DUMMYFUNCTION("""COMPUTED_VALUE"""),"Bihor")</f>
        <v>Bihor</v>
      </c>
      <c r="D632" s="13">
        <f ca="1">IFERROR(__xludf.DUMMYFUNCTION("""COMPUTED_VALUE"""),43987)</f>
        <v>43987</v>
      </c>
      <c r="E632" s="5" t="str">
        <f ca="1">IFERROR(__xludf.DUMMYFUNCTION("""COMPUTED_VALUE"""),"Nu")</f>
        <v>Nu</v>
      </c>
      <c r="F632" s="5"/>
      <c r="G632" s="5"/>
      <c r="H632" s="6"/>
      <c r="I632" s="5"/>
      <c r="J632" s="5"/>
      <c r="K632" s="7" t="str">
        <f ca="1">IFERROR(__xludf.DUMMYFUNCTION("""COMPUTED_VALUE"""),"https://stirioficiale.ro/informatii/buletin-de-presa-5-iunie-2020-ora-13-00")</f>
        <v>https://stirioficiale.ro/informatii/buletin-de-presa-5-iunie-2020-ora-13-00</v>
      </c>
      <c r="L632" s="5"/>
      <c r="M632" s="5"/>
      <c r="N632" s="5"/>
      <c r="O632" s="5"/>
      <c r="P632" s="5"/>
      <c r="Q632" s="5"/>
      <c r="R632" s="5" t="str">
        <f ca="1">IFERROR(__xludf.DUMMYFUNCTION("""COMPUTED_VALUE"""),"România")</f>
        <v>România</v>
      </c>
      <c r="S632" s="5" t="str">
        <f ca="1">IFERROR(__xludf.DUMMYFUNCTION("""COMPUTED_VALUE"""),"Octavian")</f>
        <v>Octavian</v>
      </c>
      <c r="T632" s="7" t="str">
        <f ca="1">IFERROR(__xludf.DUMMYFUNCTION("""COMPUTED_VALUE"""),"http://www.ms.ro/2020/06/05/buletin-informativ-05-06-2020/")</f>
        <v>http://www.ms.ro/2020/06/05/buletin-informativ-05-06-2020/</v>
      </c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2.5">
      <c r="A633" s="5">
        <f ca="1">IFERROR(__xludf.DUMMYFUNCTION("""COMPUTED_VALUE"""),20111)</f>
        <v>20111</v>
      </c>
      <c r="B633" s="5"/>
      <c r="C633" s="5" t="str">
        <f ca="1">IFERROR(__xludf.DUMMYFUNCTION("""COMPUTED_VALUE"""),"Bihor")</f>
        <v>Bihor</v>
      </c>
      <c r="D633" s="13">
        <f ca="1">IFERROR(__xludf.DUMMYFUNCTION("""COMPUTED_VALUE"""),43988)</f>
        <v>43988</v>
      </c>
      <c r="E633" s="5" t="str">
        <f ca="1">IFERROR(__xludf.DUMMYFUNCTION("""COMPUTED_VALUE"""),"Nu")</f>
        <v>Nu</v>
      </c>
      <c r="F633" s="5"/>
      <c r="G633" s="5"/>
      <c r="H633" s="6"/>
      <c r="I633" s="5"/>
      <c r="J633" s="5"/>
      <c r="K633" s="7" t="str">
        <f ca="1">IFERROR(__xludf.DUMMYFUNCTION("""COMPUTED_VALUE"""),"https://stirioficiale.ro/informatii/buletin-de-presa-6-iunie-2020-ora-13-00")</f>
        <v>https://stirioficiale.ro/informatii/buletin-de-presa-6-iunie-2020-ora-13-00</v>
      </c>
      <c r="L633" s="5"/>
      <c r="M633" s="5"/>
      <c r="N633" s="5"/>
      <c r="O633" s="5"/>
      <c r="P633" s="5"/>
      <c r="Q633" s="5"/>
      <c r="R633" s="5" t="str">
        <f ca="1">IFERROR(__xludf.DUMMYFUNCTION("""COMPUTED_VALUE"""),"România")</f>
        <v>România</v>
      </c>
      <c r="S633" s="5" t="str">
        <f ca="1">IFERROR(__xludf.DUMMYFUNCTION("""COMPUTED_VALUE"""),"Octavian")</f>
        <v>Octavian</v>
      </c>
      <c r="T633" s="7" t="str">
        <f ca="1">IFERROR(__xludf.DUMMYFUNCTION("""COMPUTED_VALUE"""),"http://www.ms.ro/2020/06/06/buletin-informativ-06-06-2020/")</f>
        <v>http://www.ms.ro/2020/06/06/buletin-informativ-06-06-2020/</v>
      </c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ht="12.5">
      <c r="A634" s="5">
        <f ca="1">IFERROR(__xludf.DUMMYFUNCTION("""COMPUTED_VALUE"""),20112)</f>
        <v>20112</v>
      </c>
      <c r="B634" s="5"/>
      <c r="C634" s="5" t="str">
        <f ca="1">IFERROR(__xludf.DUMMYFUNCTION("""COMPUTED_VALUE"""),"Bihor")</f>
        <v>Bihor</v>
      </c>
      <c r="D634" s="13">
        <f ca="1">IFERROR(__xludf.DUMMYFUNCTION("""COMPUTED_VALUE"""),43988)</f>
        <v>43988</v>
      </c>
      <c r="E634" s="5" t="str">
        <f ca="1">IFERROR(__xludf.DUMMYFUNCTION("""COMPUTED_VALUE"""),"Nu")</f>
        <v>Nu</v>
      </c>
      <c r="F634" s="5"/>
      <c r="G634" s="5"/>
      <c r="H634" s="6"/>
      <c r="I634" s="5"/>
      <c r="J634" s="5"/>
      <c r="K634" s="7" t="str">
        <f ca="1">IFERROR(__xludf.DUMMYFUNCTION("""COMPUTED_VALUE"""),"https://stirioficiale.ro/informatii/buletin-de-presa-6-iunie-2020-ora-13-00")</f>
        <v>https://stirioficiale.ro/informatii/buletin-de-presa-6-iunie-2020-ora-13-00</v>
      </c>
      <c r="L634" s="5"/>
      <c r="M634" s="5"/>
      <c r="N634" s="5"/>
      <c r="O634" s="5"/>
      <c r="P634" s="5"/>
      <c r="Q634" s="5"/>
      <c r="R634" s="5" t="str">
        <f ca="1">IFERROR(__xludf.DUMMYFUNCTION("""COMPUTED_VALUE"""),"România")</f>
        <v>România</v>
      </c>
      <c r="S634" s="5" t="str">
        <f ca="1">IFERROR(__xludf.DUMMYFUNCTION("""COMPUTED_VALUE"""),"Octavian")</f>
        <v>Octavian</v>
      </c>
      <c r="T634" s="7" t="str">
        <f ca="1">IFERROR(__xludf.DUMMYFUNCTION("""COMPUTED_VALUE"""),"http://www.ms.ro/2020/06/06/buletin-informativ-06-06-2020/")</f>
        <v>http://www.ms.ro/2020/06/06/buletin-informativ-06-06-2020/</v>
      </c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2.5">
      <c r="A635" s="5">
        <f ca="1">IFERROR(__xludf.DUMMYFUNCTION("""COMPUTED_VALUE"""),20113)</f>
        <v>20113</v>
      </c>
      <c r="B635" s="5"/>
      <c r="C635" s="5" t="str">
        <f ca="1">IFERROR(__xludf.DUMMYFUNCTION("""COMPUTED_VALUE"""),"Bihor")</f>
        <v>Bihor</v>
      </c>
      <c r="D635" s="13">
        <f ca="1">IFERROR(__xludf.DUMMYFUNCTION("""COMPUTED_VALUE"""),43988)</f>
        <v>43988</v>
      </c>
      <c r="E635" s="5" t="str">
        <f ca="1">IFERROR(__xludf.DUMMYFUNCTION("""COMPUTED_VALUE"""),"Nu")</f>
        <v>Nu</v>
      </c>
      <c r="F635" s="5"/>
      <c r="G635" s="5"/>
      <c r="H635" s="6"/>
      <c r="I635" s="5"/>
      <c r="J635" s="5"/>
      <c r="K635" s="7" t="str">
        <f ca="1">IFERROR(__xludf.DUMMYFUNCTION("""COMPUTED_VALUE"""),"https://stirioficiale.ro/informatii/buletin-de-presa-6-iunie-2020-ora-13-00")</f>
        <v>https://stirioficiale.ro/informatii/buletin-de-presa-6-iunie-2020-ora-13-00</v>
      </c>
      <c r="L635" s="5"/>
      <c r="M635" s="5"/>
      <c r="N635" s="5"/>
      <c r="O635" s="5"/>
      <c r="P635" s="5"/>
      <c r="Q635" s="5"/>
      <c r="R635" s="5" t="str">
        <f ca="1">IFERROR(__xludf.DUMMYFUNCTION("""COMPUTED_VALUE"""),"România")</f>
        <v>România</v>
      </c>
      <c r="S635" s="5" t="str">
        <f ca="1">IFERROR(__xludf.DUMMYFUNCTION("""COMPUTED_VALUE"""),"Octavian")</f>
        <v>Octavian</v>
      </c>
      <c r="T635" s="7" t="str">
        <f ca="1">IFERROR(__xludf.DUMMYFUNCTION("""COMPUTED_VALUE"""),"http://www.ms.ro/2020/06/06/buletin-informativ-06-06-2020/")</f>
        <v>http://www.ms.ro/2020/06/06/buletin-informativ-06-06-2020/</v>
      </c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ht="12.5">
      <c r="A636" s="5">
        <f ca="1">IFERROR(__xludf.DUMMYFUNCTION("""COMPUTED_VALUE"""),20114)</f>
        <v>20114</v>
      </c>
      <c r="B636" s="5"/>
      <c r="C636" s="5" t="str">
        <f ca="1">IFERROR(__xludf.DUMMYFUNCTION("""COMPUTED_VALUE"""),"Bihor")</f>
        <v>Bihor</v>
      </c>
      <c r="D636" s="13">
        <f ca="1">IFERROR(__xludf.DUMMYFUNCTION("""COMPUTED_VALUE"""),43988)</f>
        <v>43988</v>
      </c>
      <c r="E636" s="5" t="str">
        <f ca="1">IFERROR(__xludf.DUMMYFUNCTION("""COMPUTED_VALUE"""),"Nu")</f>
        <v>Nu</v>
      </c>
      <c r="F636" s="5"/>
      <c r="G636" s="5"/>
      <c r="H636" s="6"/>
      <c r="I636" s="5"/>
      <c r="J636" s="5"/>
      <c r="K636" s="7" t="str">
        <f ca="1">IFERROR(__xludf.DUMMYFUNCTION("""COMPUTED_VALUE"""),"https://stirioficiale.ro/informatii/buletin-de-presa-6-iunie-2020-ora-13-00")</f>
        <v>https://stirioficiale.ro/informatii/buletin-de-presa-6-iunie-2020-ora-13-00</v>
      </c>
      <c r="L636" s="5"/>
      <c r="M636" s="5"/>
      <c r="N636" s="5"/>
      <c r="O636" s="5"/>
      <c r="P636" s="5"/>
      <c r="Q636" s="5"/>
      <c r="R636" s="5" t="str">
        <f ca="1">IFERROR(__xludf.DUMMYFUNCTION("""COMPUTED_VALUE"""),"România")</f>
        <v>România</v>
      </c>
      <c r="S636" s="5" t="str">
        <f ca="1">IFERROR(__xludf.DUMMYFUNCTION("""COMPUTED_VALUE"""),"Octavian")</f>
        <v>Octavian</v>
      </c>
      <c r="T636" s="7" t="str">
        <f ca="1">IFERROR(__xludf.DUMMYFUNCTION("""COMPUTED_VALUE"""),"http://www.ms.ro/2020/06/06/buletin-informativ-06-06-2020/")</f>
        <v>http://www.ms.ro/2020/06/06/buletin-informativ-06-06-2020/</v>
      </c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2.5">
      <c r="A637" s="5">
        <f ca="1">IFERROR(__xludf.DUMMYFUNCTION("""COMPUTED_VALUE"""),20115)</f>
        <v>20115</v>
      </c>
      <c r="B637" s="5"/>
      <c r="C637" s="5" t="str">
        <f ca="1">IFERROR(__xludf.DUMMYFUNCTION("""COMPUTED_VALUE"""),"Bihor")</f>
        <v>Bihor</v>
      </c>
      <c r="D637" s="13">
        <f ca="1">IFERROR(__xludf.DUMMYFUNCTION("""COMPUTED_VALUE"""),43988)</f>
        <v>43988</v>
      </c>
      <c r="E637" s="5" t="str">
        <f ca="1">IFERROR(__xludf.DUMMYFUNCTION("""COMPUTED_VALUE"""),"Nu")</f>
        <v>Nu</v>
      </c>
      <c r="F637" s="5"/>
      <c r="G637" s="5"/>
      <c r="H637" s="6"/>
      <c r="I637" s="5"/>
      <c r="J637" s="5"/>
      <c r="K637" s="7" t="str">
        <f ca="1">IFERROR(__xludf.DUMMYFUNCTION("""COMPUTED_VALUE"""),"https://stirioficiale.ro/informatii/buletin-de-presa-6-iunie-2020-ora-13-00")</f>
        <v>https://stirioficiale.ro/informatii/buletin-de-presa-6-iunie-2020-ora-13-00</v>
      </c>
      <c r="L637" s="5"/>
      <c r="M637" s="5"/>
      <c r="N637" s="5"/>
      <c r="O637" s="5"/>
      <c r="P637" s="5"/>
      <c r="Q637" s="5"/>
      <c r="R637" s="5" t="str">
        <f ca="1">IFERROR(__xludf.DUMMYFUNCTION("""COMPUTED_VALUE"""),"România")</f>
        <v>România</v>
      </c>
      <c r="S637" s="5" t="str">
        <f ca="1">IFERROR(__xludf.DUMMYFUNCTION("""COMPUTED_VALUE"""),"Octavian")</f>
        <v>Octavian</v>
      </c>
      <c r="T637" s="7" t="str">
        <f ca="1">IFERROR(__xludf.DUMMYFUNCTION("""COMPUTED_VALUE"""),"http://www.ms.ro/2020/06/06/buletin-informativ-06-06-2020/")</f>
        <v>http://www.ms.ro/2020/06/06/buletin-informativ-06-06-2020/</v>
      </c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ht="12.5">
      <c r="A638" s="5">
        <f ca="1">IFERROR(__xludf.DUMMYFUNCTION("""COMPUTED_VALUE"""),20116)</f>
        <v>20116</v>
      </c>
      <c r="B638" s="5"/>
      <c r="C638" s="5" t="str">
        <f ca="1">IFERROR(__xludf.DUMMYFUNCTION("""COMPUTED_VALUE"""),"Bihor")</f>
        <v>Bihor</v>
      </c>
      <c r="D638" s="13">
        <f ca="1">IFERROR(__xludf.DUMMYFUNCTION("""COMPUTED_VALUE"""),43988)</f>
        <v>43988</v>
      </c>
      <c r="E638" s="5" t="str">
        <f ca="1">IFERROR(__xludf.DUMMYFUNCTION("""COMPUTED_VALUE"""),"Nu")</f>
        <v>Nu</v>
      </c>
      <c r="F638" s="5"/>
      <c r="G638" s="5"/>
      <c r="H638" s="6"/>
      <c r="I638" s="5"/>
      <c r="J638" s="5"/>
      <c r="K638" s="7" t="str">
        <f ca="1">IFERROR(__xludf.DUMMYFUNCTION("""COMPUTED_VALUE"""),"https://stirioficiale.ro/informatii/buletin-de-presa-6-iunie-2020-ora-13-00")</f>
        <v>https://stirioficiale.ro/informatii/buletin-de-presa-6-iunie-2020-ora-13-00</v>
      </c>
      <c r="L638" s="5"/>
      <c r="M638" s="5"/>
      <c r="N638" s="5"/>
      <c r="O638" s="5"/>
      <c r="P638" s="5"/>
      <c r="Q638" s="5"/>
      <c r="R638" s="5" t="str">
        <f ca="1">IFERROR(__xludf.DUMMYFUNCTION("""COMPUTED_VALUE"""),"România")</f>
        <v>România</v>
      </c>
      <c r="S638" s="5" t="str">
        <f ca="1">IFERROR(__xludf.DUMMYFUNCTION("""COMPUTED_VALUE"""),"Octavian")</f>
        <v>Octavian</v>
      </c>
      <c r="T638" s="7" t="str">
        <f ca="1">IFERROR(__xludf.DUMMYFUNCTION("""COMPUTED_VALUE"""),"http://www.ms.ro/2020/06/06/buletin-informativ-06-06-2020/")</f>
        <v>http://www.ms.ro/2020/06/06/buletin-informativ-06-06-2020/</v>
      </c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2.5">
      <c r="A639" s="5">
        <f ca="1">IFERROR(__xludf.DUMMYFUNCTION("""COMPUTED_VALUE"""),20117)</f>
        <v>20117</v>
      </c>
      <c r="B639" s="5"/>
      <c r="C639" s="5" t="str">
        <f ca="1">IFERROR(__xludf.DUMMYFUNCTION("""COMPUTED_VALUE"""),"Bihor")</f>
        <v>Bihor</v>
      </c>
      <c r="D639" s="13">
        <f ca="1">IFERROR(__xludf.DUMMYFUNCTION("""COMPUTED_VALUE"""),43988)</f>
        <v>43988</v>
      </c>
      <c r="E639" s="5" t="str">
        <f ca="1">IFERROR(__xludf.DUMMYFUNCTION("""COMPUTED_VALUE"""),"Nu")</f>
        <v>Nu</v>
      </c>
      <c r="F639" s="5"/>
      <c r="G639" s="5"/>
      <c r="H639" s="6"/>
      <c r="I639" s="5"/>
      <c r="J639" s="5"/>
      <c r="K639" s="7" t="str">
        <f ca="1">IFERROR(__xludf.DUMMYFUNCTION("""COMPUTED_VALUE"""),"https://stirioficiale.ro/informatii/buletin-de-presa-6-iunie-2020-ora-13-00")</f>
        <v>https://stirioficiale.ro/informatii/buletin-de-presa-6-iunie-2020-ora-13-00</v>
      </c>
      <c r="L639" s="5"/>
      <c r="M639" s="5"/>
      <c r="N639" s="5"/>
      <c r="O639" s="5"/>
      <c r="P639" s="5"/>
      <c r="Q639" s="5"/>
      <c r="R639" s="5" t="str">
        <f ca="1">IFERROR(__xludf.DUMMYFUNCTION("""COMPUTED_VALUE"""),"România")</f>
        <v>România</v>
      </c>
      <c r="S639" s="5" t="str">
        <f ca="1">IFERROR(__xludf.DUMMYFUNCTION("""COMPUTED_VALUE"""),"Octavian")</f>
        <v>Octavian</v>
      </c>
      <c r="T639" s="7" t="str">
        <f ca="1">IFERROR(__xludf.DUMMYFUNCTION("""COMPUTED_VALUE"""),"http://www.ms.ro/2020/06/06/buletin-informativ-06-06-2020/")</f>
        <v>http://www.ms.ro/2020/06/06/buletin-informativ-06-06-2020/</v>
      </c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ht="12.5">
      <c r="A640" s="5">
        <f ca="1">IFERROR(__xludf.DUMMYFUNCTION("""COMPUTED_VALUE"""),20118)</f>
        <v>20118</v>
      </c>
      <c r="B640" s="5"/>
      <c r="C640" s="5" t="str">
        <f ca="1">IFERROR(__xludf.DUMMYFUNCTION("""COMPUTED_VALUE"""),"Bihor")</f>
        <v>Bihor</v>
      </c>
      <c r="D640" s="13">
        <f ca="1">IFERROR(__xludf.DUMMYFUNCTION("""COMPUTED_VALUE"""),43988)</f>
        <v>43988</v>
      </c>
      <c r="E640" s="5" t="str">
        <f ca="1">IFERROR(__xludf.DUMMYFUNCTION("""COMPUTED_VALUE"""),"Nu")</f>
        <v>Nu</v>
      </c>
      <c r="F640" s="5"/>
      <c r="G640" s="5"/>
      <c r="H640" s="6"/>
      <c r="I640" s="5"/>
      <c r="J640" s="5"/>
      <c r="K640" s="7" t="str">
        <f ca="1">IFERROR(__xludf.DUMMYFUNCTION("""COMPUTED_VALUE"""),"https://stirioficiale.ro/informatii/buletin-de-presa-6-iunie-2020-ora-13-00")</f>
        <v>https://stirioficiale.ro/informatii/buletin-de-presa-6-iunie-2020-ora-13-00</v>
      </c>
      <c r="L640" s="5"/>
      <c r="M640" s="5"/>
      <c r="N640" s="5"/>
      <c r="O640" s="5"/>
      <c r="P640" s="5"/>
      <c r="Q640" s="5"/>
      <c r="R640" s="5" t="str">
        <f ca="1">IFERROR(__xludf.DUMMYFUNCTION("""COMPUTED_VALUE"""),"România")</f>
        <v>România</v>
      </c>
      <c r="S640" s="5" t="str">
        <f ca="1">IFERROR(__xludf.DUMMYFUNCTION("""COMPUTED_VALUE"""),"Octavian")</f>
        <v>Octavian</v>
      </c>
      <c r="T640" s="7" t="str">
        <f ca="1">IFERROR(__xludf.DUMMYFUNCTION("""COMPUTED_VALUE"""),"http://www.ms.ro/2020/06/06/buletin-informativ-06-06-2020/")</f>
        <v>http://www.ms.ro/2020/06/06/buletin-informativ-06-06-2020/</v>
      </c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2.5">
      <c r="A641" s="5">
        <f ca="1">IFERROR(__xludf.DUMMYFUNCTION("""COMPUTED_VALUE"""),20325)</f>
        <v>20325</v>
      </c>
      <c r="B641" s="5"/>
      <c r="C641" s="5" t="str">
        <f ca="1">IFERROR(__xludf.DUMMYFUNCTION("""COMPUTED_VALUE"""),"Bihor")</f>
        <v>Bihor</v>
      </c>
      <c r="D641" s="13">
        <f ca="1">IFERROR(__xludf.DUMMYFUNCTION("""COMPUTED_VALUE"""),43989)</f>
        <v>43989</v>
      </c>
      <c r="E641" s="5" t="str">
        <f ca="1">IFERROR(__xludf.DUMMYFUNCTION("""COMPUTED_VALUE"""),"Nu")</f>
        <v>Nu</v>
      </c>
      <c r="F641" s="5"/>
      <c r="G641" s="5"/>
      <c r="H641" s="6"/>
      <c r="I641" s="5"/>
      <c r="J641" s="5"/>
      <c r="K641" s="7" t="str">
        <f ca="1">IFERROR(__xludf.DUMMYFUNCTION("""COMPUTED_VALUE"""),"https://stirioficiale.ro/informatii/buletin-de-presa-7-iunie-2020-ora-13-00")</f>
        <v>https://stirioficiale.ro/informatii/buletin-de-presa-7-iunie-2020-ora-13-00</v>
      </c>
      <c r="L641" s="5"/>
      <c r="M641" s="5"/>
      <c r="N641" s="5"/>
      <c r="O641" s="5"/>
      <c r="P641" s="5"/>
      <c r="Q641" s="5"/>
      <c r="R641" s="5" t="str">
        <f ca="1">IFERROR(__xludf.DUMMYFUNCTION("""COMPUTED_VALUE"""),"România")</f>
        <v>România</v>
      </c>
      <c r="S641" s="5" t="str">
        <f ca="1">IFERROR(__xludf.DUMMYFUNCTION("""COMPUTED_VALUE"""),"Octavian")</f>
        <v>Octavian</v>
      </c>
      <c r="T641" s="7" t="str">
        <f ca="1">IFERROR(__xludf.DUMMYFUNCTION("""COMPUTED_VALUE"""),"http://www.ms.ro/2020/06/07/buletin-informativ-07-06-2020/")</f>
        <v>http://www.ms.ro/2020/06/07/buletin-informativ-07-06-2020/</v>
      </c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ht="12.5">
      <c r="A642" s="5">
        <f ca="1">IFERROR(__xludf.DUMMYFUNCTION("""COMPUTED_VALUE"""),20326)</f>
        <v>20326</v>
      </c>
      <c r="B642" s="5"/>
      <c r="C642" s="5" t="str">
        <f ca="1">IFERROR(__xludf.DUMMYFUNCTION("""COMPUTED_VALUE"""),"Bihor")</f>
        <v>Bihor</v>
      </c>
      <c r="D642" s="13">
        <f ca="1">IFERROR(__xludf.DUMMYFUNCTION("""COMPUTED_VALUE"""),43989)</f>
        <v>43989</v>
      </c>
      <c r="E642" s="5" t="str">
        <f ca="1">IFERROR(__xludf.DUMMYFUNCTION("""COMPUTED_VALUE"""),"Nu")</f>
        <v>Nu</v>
      </c>
      <c r="F642" s="5"/>
      <c r="G642" s="5"/>
      <c r="H642" s="6"/>
      <c r="I642" s="5"/>
      <c r="J642" s="5"/>
      <c r="K642" s="7" t="str">
        <f ca="1">IFERROR(__xludf.DUMMYFUNCTION("""COMPUTED_VALUE"""),"https://stirioficiale.ro/informatii/buletin-de-presa-7-iunie-2020-ora-13-00")</f>
        <v>https://stirioficiale.ro/informatii/buletin-de-presa-7-iunie-2020-ora-13-00</v>
      </c>
      <c r="L642" s="5"/>
      <c r="M642" s="5"/>
      <c r="N642" s="5"/>
      <c r="O642" s="5"/>
      <c r="P642" s="5"/>
      <c r="Q642" s="5"/>
      <c r="R642" s="5" t="str">
        <f ca="1">IFERROR(__xludf.DUMMYFUNCTION("""COMPUTED_VALUE"""),"România")</f>
        <v>România</v>
      </c>
      <c r="S642" s="5" t="str">
        <f ca="1">IFERROR(__xludf.DUMMYFUNCTION("""COMPUTED_VALUE"""),"Octavian")</f>
        <v>Octavian</v>
      </c>
      <c r="T642" s="7" t="str">
        <f ca="1">IFERROR(__xludf.DUMMYFUNCTION("""COMPUTED_VALUE"""),"http://www.ms.ro/2020/06/07/buletin-informativ-07-06-2020/")</f>
        <v>http://www.ms.ro/2020/06/07/buletin-informativ-07-06-2020/</v>
      </c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2.5">
      <c r="A643" s="5">
        <f ca="1">IFERROR(__xludf.DUMMYFUNCTION("""COMPUTED_VALUE"""),20327)</f>
        <v>20327</v>
      </c>
      <c r="B643" s="5"/>
      <c r="C643" s="5" t="str">
        <f ca="1">IFERROR(__xludf.DUMMYFUNCTION("""COMPUTED_VALUE"""),"Bihor")</f>
        <v>Bihor</v>
      </c>
      <c r="D643" s="13">
        <f ca="1">IFERROR(__xludf.DUMMYFUNCTION("""COMPUTED_VALUE"""),43989)</f>
        <v>43989</v>
      </c>
      <c r="E643" s="5" t="str">
        <f ca="1">IFERROR(__xludf.DUMMYFUNCTION("""COMPUTED_VALUE"""),"Nu")</f>
        <v>Nu</v>
      </c>
      <c r="F643" s="5"/>
      <c r="G643" s="5"/>
      <c r="H643" s="6"/>
      <c r="I643" s="5"/>
      <c r="J643" s="5"/>
      <c r="K643" s="7" t="str">
        <f ca="1">IFERROR(__xludf.DUMMYFUNCTION("""COMPUTED_VALUE"""),"https://stirioficiale.ro/informatii/buletin-de-presa-7-iunie-2020-ora-13-00")</f>
        <v>https://stirioficiale.ro/informatii/buletin-de-presa-7-iunie-2020-ora-13-00</v>
      </c>
      <c r="L643" s="5"/>
      <c r="M643" s="5"/>
      <c r="N643" s="5"/>
      <c r="O643" s="5"/>
      <c r="P643" s="5"/>
      <c r="Q643" s="5"/>
      <c r="R643" s="5" t="str">
        <f ca="1">IFERROR(__xludf.DUMMYFUNCTION("""COMPUTED_VALUE"""),"România")</f>
        <v>România</v>
      </c>
      <c r="S643" s="5" t="str">
        <f ca="1">IFERROR(__xludf.DUMMYFUNCTION("""COMPUTED_VALUE"""),"Octavian")</f>
        <v>Octavian</v>
      </c>
      <c r="T643" s="7" t="str">
        <f ca="1">IFERROR(__xludf.DUMMYFUNCTION("""COMPUTED_VALUE"""),"http://www.ms.ro/2020/06/07/buletin-informativ-07-06-2020/")</f>
        <v>http://www.ms.ro/2020/06/07/buletin-informativ-07-06-2020/</v>
      </c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ht="12.5">
      <c r="A644" s="5">
        <f ca="1">IFERROR(__xludf.DUMMYFUNCTION("""COMPUTED_VALUE"""),20772)</f>
        <v>20772</v>
      </c>
      <c r="B644" s="5"/>
      <c r="C644" s="5" t="str">
        <f ca="1">IFERROR(__xludf.DUMMYFUNCTION("""COMPUTED_VALUE"""),"Bihor")</f>
        <v>Bihor</v>
      </c>
      <c r="D644" s="13">
        <f ca="1">IFERROR(__xludf.DUMMYFUNCTION("""COMPUTED_VALUE"""),43992)</f>
        <v>43992</v>
      </c>
      <c r="E644" s="5" t="str">
        <f ca="1">IFERROR(__xludf.DUMMYFUNCTION("""COMPUTED_VALUE"""),"Nu")</f>
        <v>Nu</v>
      </c>
      <c r="F644" s="5"/>
      <c r="G644" s="5"/>
      <c r="H644" s="6"/>
      <c r="I644" s="5"/>
      <c r="J644" s="5"/>
      <c r="K644" s="7" t="str">
        <f ca="1">IFERROR(__xludf.DUMMYFUNCTION("""COMPUTED_VALUE"""),"https://stirioficiale.ro/informatii/buletin-de-presa-10-iunie-2020-ora-13-00")</f>
        <v>https://stirioficiale.ro/informatii/buletin-de-presa-10-iunie-2020-ora-13-00</v>
      </c>
      <c r="L644" s="5"/>
      <c r="M644" s="5"/>
      <c r="N644" s="5"/>
      <c r="O644" s="5"/>
      <c r="P644" s="5"/>
      <c r="Q644" s="5"/>
      <c r="R644" s="5" t="str">
        <f ca="1">IFERROR(__xludf.DUMMYFUNCTION("""COMPUTED_VALUE"""),"România")</f>
        <v>România</v>
      </c>
      <c r="S644" s="5" t="str">
        <f ca="1">IFERROR(__xludf.DUMMYFUNCTION("""COMPUTED_VALUE"""),"Octavian")</f>
        <v>Octavian</v>
      </c>
      <c r="T644" s="7" t="str">
        <f ca="1">IFERROR(__xludf.DUMMYFUNCTION("""COMPUTED_VALUE"""),"http://www.ms.ro/2020/06/10/buletin-informativ-10-06-2020/")</f>
        <v>http://www.ms.ro/2020/06/10/buletin-informativ-10-06-2020/</v>
      </c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2.5">
      <c r="A645" s="5">
        <f ca="1">IFERROR(__xludf.DUMMYFUNCTION("""COMPUTED_VALUE"""),20954)</f>
        <v>20954</v>
      </c>
      <c r="B645" s="5"/>
      <c r="C645" s="5" t="str">
        <f ca="1">IFERROR(__xludf.DUMMYFUNCTION("""COMPUTED_VALUE"""),"Bihor")</f>
        <v>Bihor</v>
      </c>
      <c r="D645" s="13">
        <f ca="1">IFERROR(__xludf.DUMMYFUNCTION("""COMPUTED_VALUE"""),43993)</f>
        <v>43993</v>
      </c>
      <c r="E645" s="5" t="str">
        <f ca="1">IFERROR(__xludf.DUMMYFUNCTION("""COMPUTED_VALUE"""),"Nu")</f>
        <v>Nu</v>
      </c>
      <c r="F645" s="5"/>
      <c r="G645" s="5"/>
      <c r="H645" s="6"/>
      <c r="I645" s="5"/>
      <c r="J645" s="5"/>
      <c r="K645" s="7" t="str">
        <f ca="1">IFERROR(__xludf.DUMMYFUNCTION("""COMPUTED_VALUE"""),"https://stirioficiale.ro/informatii/buletin-de-presa-11-iunie-2020-ora-13-00")</f>
        <v>https://stirioficiale.ro/informatii/buletin-de-presa-11-iunie-2020-ora-13-00</v>
      </c>
      <c r="L645" s="5"/>
      <c r="M645" s="5"/>
      <c r="N645" s="5"/>
      <c r="O645" s="5"/>
      <c r="P645" s="5"/>
      <c r="Q645" s="5"/>
      <c r="R645" s="5" t="str">
        <f ca="1">IFERROR(__xludf.DUMMYFUNCTION("""COMPUTED_VALUE"""),"România")</f>
        <v>România</v>
      </c>
      <c r="S645" s="5" t="str">
        <f ca="1">IFERROR(__xludf.DUMMYFUNCTION("""COMPUTED_VALUE"""),"Octavian")</f>
        <v>Octavian</v>
      </c>
      <c r="T645" s="7" t="str">
        <f ca="1">IFERROR(__xludf.DUMMYFUNCTION("""COMPUTED_VALUE"""),"http://www.ms.ro/2020/06/11/buletin-informativ-11-06-2020/")</f>
        <v>http://www.ms.ro/2020/06/11/buletin-informativ-11-06-2020/</v>
      </c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ht="12.5">
      <c r="A646" s="5">
        <f ca="1">IFERROR(__xludf.DUMMYFUNCTION("""COMPUTED_VALUE"""),20955)</f>
        <v>20955</v>
      </c>
      <c r="B646" s="5"/>
      <c r="C646" s="5" t="str">
        <f ca="1">IFERROR(__xludf.DUMMYFUNCTION("""COMPUTED_VALUE"""),"Bihor")</f>
        <v>Bihor</v>
      </c>
      <c r="D646" s="13">
        <f ca="1">IFERROR(__xludf.DUMMYFUNCTION("""COMPUTED_VALUE"""),43993)</f>
        <v>43993</v>
      </c>
      <c r="E646" s="5" t="str">
        <f ca="1">IFERROR(__xludf.DUMMYFUNCTION("""COMPUTED_VALUE"""),"Nu")</f>
        <v>Nu</v>
      </c>
      <c r="F646" s="5"/>
      <c r="G646" s="5"/>
      <c r="H646" s="6"/>
      <c r="I646" s="5"/>
      <c r="J646" s="5"/>
      <c r="K646" s="7" t="str">
        <f ca="1">IFERROR(__xludf.DUMMYFUNCTION("""COMPUTED_VALUE"""),"https://stirioficiale.ro/informatii/buletin-de-presa-11-iunie-2020-ora-13-00")</f>
        <v>https://stirioficiale.ro/informatii/buletin-de-presa-11-iunie-2020-ora-13-00</v>
      </c>
      <c r="L646" s="5"/>
      <c r="M646" s="5"/>
      <c r="N646" s="5"/>
      <c r="O646" s="5"/>
      <c r="P646" s="5"/>
      <c r="Q646" s="5"/>
      <c r="R646" s="5" t="str">
        <f ca="1">IFERROR(__xludf.DUMMYFUNCTION("""COMPUTED_VALUE"""),"România")</f>
        <v>România</v>
      </c>
      <c r="S646" s="5" t="str">
        <f ca="1">IFERROR(__xludf.DUMMYFUNCTION("""COMPUTED_VALUE"""),"Octavian")</f>
        <v>Octavian</v>
      </c>
      <c r="T646" s="7" t="str">
        <f ca="1">IFERROR(__xludf.DUMMYFUNCTION("""COMPUTED_VALUE"""),"http://www.ms.ro/2020/06/11/buletin-informativ-11-06-2020/")</f>
        <v>http://www.ms.ro/2020/06/11/buletin-informativ-11-06-2020/</v>
      </c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2.5">
      <c r="A647" s="5">
        <f ca="1">IFERROR(__xludf.DUMMYFUNCTION("""COMPUTED_VALUE"""),21204)</f>
        <v>21204</v>
      </c>
      <c r="B647" s="5"/>
      <c r="C647" s="5" t="str">
        <f ca="1">IFERROR(__xludf.DUMMYFUNCTION("""COMPUTED_VALUE"""),"Bihor")</f>
        <v>Bihor</v>
      </c>
      <c r="D647" s="13">
        <f ca="1">IFERROR(__xludf.DUMMYFUNCTION("""COMPUTED_VALUE"""),43994)</f>
        <v>43994</v>
      </c>
      <c r="E647" s="5" t="str">
        <f ca="1">IFERROR(__xludf.DUMMYFUNCTION("""COMPUTED_VALUE"""),"Nu")</f>
        <v>Nu</v>
      </c>
      <c r="F647" s="5"/>
      <c r="G647" s="5"/>
      <c r="H647" s="6"/>
      <c r="I647" s="5"/>
      <c r="J647" s="5"/>
      <c r="K647" s="7" t="str">
        <f ca="1">IFERROR(__xludf.DUMMYFUNCTION("""COMPUTED_VALUE"""),"https://stirioficiale.ro/informatii/buletin-de-presa-12-iunie-2020-ora-13-00")</f>
        <v>https://stirioficiale.ro/informatii/buletin-de-presa-12-iunie-2020-ora-13-00</v>
      </c>
      <c r="L647" s="5"/>
      <c r="M647" s="5"/>
      <c r="N647" s="5"/>
      <c r="O647" s="5"/>
      <c r="P647" s="5"/>
      <c r="Q647" s="5"/>
      <c r="R647" s="5" t="str">
        <f ca="1">IFERROR(__xludf.DUMMYFUNCTION("""COMPUTED_VALUE"""),"România")</f>
        <v>România</v>
      </c>
      <c r="S647" s="5" t="str">
        <f ca="1">IFERROR(__xludf.DUMMYFUNCTION("""COMPUTED_VALUE"""),"Octavian")</f>
        <v>Octavian</v>
      </c>
      <c r="T647" s="7" t="str">
        <f ca="1">IFERROR(__xludf.DUMMYFUNCTION("""COMPUTED_VALUE"""),"http://www.ms.ro/2020/06/12/buletin-informativ-12-06-2020/")</f>
        <v>http://www.ms.ro/2020/06/12/buletin-informativ-12-06-2020/</v>
      </c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ht="12.5">
      <c r="A648" s="5">
        <f ca="1">IFERROR(__xludf.DUMMYFUNCTION("""COMPUTED_VALUE"""),21205)</f>
        <v>21205</v>
      </c>
      <c r="B648" s="5"/>
      <c r="C648" s="5" t="str">
        <f ca="1">IFERROR(__xludf.DUMMYFUNCTION("""COMPUTED_VALUE"""),"Bihor")</f>
        <v>Bihor</v>
      </c>
      <c r="D648" s="13">
        <f ca="1">IFERROR(__xludf.DUMMYFUNCTION("""COMPUTED_VALUE"""),43994)</f>
        <v>43994</v>
      </c>
      <c r="E648" s="5" t="str">
        <f ca="1">IFERROR(__xludf.DUMMYFUNCTION("""COMPUTED_VALUE"""),"Nu")</f>
        <v>Nu</v>
      </c>
      <c r="F648" s="5"/>
      <c r="G648" s="5"/>
      <c r="H648" s="6"/>
      <c r="I648" s="5"/>
      <c r="J648" s="5"/>
      <c r="K648" s="7" t="str">
        <f ca="1">IFERROR(__xludf.DUMMYFUNCTION("""COMPUTED_VALUE"""),"https://stirioficiale.ro/informatii/buletin-de-presa-12-iunie-2020-ora-13-00")</f>
        <v>https://stirioficiale.ro/informatii/buletin-de-presa-12-iunie-2020-ora-13-00</v>
      </c>
      <c r="L648" s="5"/>
      <c r="M648" s="5"/>
      <c r="N648" s="5"/>
      <c r="O648" s="5"/>
      <c r="P648" s="5"/>
      <c r="Q648" s="5"/>
      <c r="R648" s="5" t="str">
        <f ca="1">IFERROR(__xludf.DUMMYFUNCTION("""COMPUTED_VALUE"""),"România")</f>
        <v>România</v>
      </c>
      <c r="S648" s="5" t="str">
        <f ca="1">IFERROR(__xludf.DUMMYFUNCTION("""COMPUTED_VALUE"""),"Octavian")</f>
        <v>Octavian</v>
      </c>
      <c r="T648" s="7" t="str">
        <f ca="1">IFERROR(__xludf.DUMMYFUNCTION("""COMPUTED_VALUE"""),"http://www.ms.ro/2020/06/12/buletin-informativ-12-06-2020/")</f>
        <v>http://www.ms.ro/2020/06/12/buletin-informativ-12-06-2020/</v>
      </c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2.5">
      <c r="A649" s="5">
        <f ca="1">IFERROR(__xludf.DUMMYFUNCTION("""COMPUTED_VALUE"""),21429)</f>
        <v>21429</v>
      </c>
      <c r="B649" s="5"/>
      <c r="C649" s="5" t="str">
        <f ca="1">IFERROR(__xludf.DUMMYFUNCTION("""COMPUTED_VALUE"""),"Bihor")</f>
        <v>Bihor</v>
      </c>
      <c r="D649" s="13">
        <f ca="1">IFERROR(__xludf.DUMMYFUNCTION("""COMPUTED_VALUE"""),43995)</f>
        <v>43995</v>
      </c>
      <c r="E649" s="5" t="str">
        <f ca="1">IFERROR(__xludf.DUMMYFUNCTION("""COMPUTED_VALUE"""),"Nu")</f>
        <v>Nu</v>
      </c>
      <c r="F649" s="5"/>
      <c r="G649" s="5"/>
      <c r="H649" s="6"/>
      <c r="I649" s="5"/>
      <c r="J649" s="5"/>
      <c r="K649" s="7" t="str">
        <f ca="1">IFERROR(__xludf.DUMMYFUNCTION("""COMPUTED_VALUE"""),"https://stirioficiale.ro/informatii/buletin-de-presa-13-iunie-2020-ora-13-00")</f>
        <v>https://stirioficiale.ro/informatii/buletin-de-presa-13-iunie-2020-ora-13-00</v>
      </c>
      <c r="L649" s="5"/>
      <c r="M649" s="5"/>
      <c r="N649" s="5"/>
      <c r="O649" s="5"/>
      <c r="P649" s="5"/>
      <c r="Q649" s="5"/>
      <c r="R649" s="5" t="str">
        <f ca="1">IFERROR(__xludf.DUMMYFUNCTION("""COMPUTED_VALUE"""),"România")</f>
        <v>România</v>
      </c>
      <c r="S649" s="5" t="str">
        <f ca="1">IFERROR(__xludf.DUMMYFUNCTION("""COMPUTED_VALUE"""),"Octavian")</f>
        <v>Octavian</v>
      </c>
      <c r="T649" s="7" t="str">
        <f ca="1">IFERROR(__xludf.DUMMYFUNCTION("""COMPUTED_VALUE"""),"http://www.ms.ro/2020/06/13/buletin-informativ-13-06-2020/")</f>
        <v>http://www.ms.ro/2020/06/13/buletin-informativ-13-06-2020/</v>
      </c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ht="12.5">
      <c r="A650" s="5">
        <f ca="1">IFERROR(__xludf.DUMMYFUNCTION("""COMPUTED_VALUE"""),21430)</f>
        <v>21430</v>
      </c>
      <c r="B650" s="5"/>
      <c r="C650" s="5" t="str">
        <f ca="1">IFERROR(__xludf.DUMMYFUNCTION("""COMPUTED_VALUE"""),"Bihor")</f>
        <v>Bihor</v>
      </c>
      <c r="D650" s="13">
        <f ca="1">IFERROR(__xludf.DUMMYFUNCTION("""COMPUTED_VALUE"""),43995)</f>
        <v>43995</v>
      </c>
      <c r="E650" s="5" t="str">
        <f ca="1">IFERROR(__xludf.DUMMYFUNCTION("""COMPUTED_VALUE"""),"Nu")</f>
        <v>Nu</v>
      </c>
      <c r="F650" s="5"/>
      <c r="G650" s="5"/>
      <c r="H650" s="6"/>
      <c r="I650" s="5"/>
      <c r="J650" s="5"/>
      <c r="K650" s="7" t="str">
        <f ca="1">IFERROR(__xludf.DUMMYFUNCTION("""COMPUTED_VALUE"""),"https://stirioficiale.ro/informatii/buletin-de-presa-13-iunie-2020-ora-13-00")</f>
        <v>https://stirioficiale.ro/informatii/buletin-de-presa-13-iunie-2020-ora-13-00</v>
      </c>
      <c r="L650" s="5"/>
      <c r="M650" s="5"/>
      <c r="N650" s="5"/>
      <c r="O650" s="5"/>
      <c r="P650" s="5"/>
      <c r="Q650" s="5"/>
      <c r="R650" s="5" t="str">
        <f ca="1">IFERROR(__xludf.DUMMYFUNCTION("""COMPUTED_VALUE"""),"România")</f>
        <v>România</v>
      </c>
      <c r="S650" s="5" t="str">
        <f ca="1">IFERROR(__xludf.DUMMYFUNCTION("""COMPUTED_VALUE"""),"Octavian")</f>
        <v>Octavian</v>
      </c>
      <c r="T650" s="7" t="str">
        <f ca="1">IFERROR(__xludf.DUMMYFUNCTION("""COMPUTED_VALUE"""),"http://www.ms.ro/2020/06/13/buletin-informativ-13-06-2020/")</f>
        <v>http://www.ms.ro/2020/06/13/buletin-informativ-13-06-2020/</v>
      </c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2.5">
      <c r="A651" s="5">
        <f ca="1">IFERROR(__xludf.DUMMYFUNCTION("""COMPUTED_VALUE"""),21705)</f>
        <v>21705</v>
      </c>
      <c r="B651" s="5"/>
      <c r="C651" s="5" t="str">
        <f ca="1">IFERROR(__xludf.DUMMYFUNCTION("""COMPUTED_VALUE"""),"Bihor")</f>
        <v>Bihor</v>
      </c>
      <c r="D651" s="13">
        <f ca="1">IFERROR(__xludf.DUMMYFUNCTION("""COMPUTED_VALUE"""),43996)</f>
        <v>43996</v>
      </c>
      <c r="E651" s="5" t="str">
        <f ca="1">IFERROR(__xludf.DUMMYFUNCTION("""COMPUTED_VALUE"""),"Nu")</f>
        <v>Nu</v>
      </c>
      <c r="F651" s="5"/>
      <c r="G651" s="5"/>
      <c r="H651" s="6"/>
      <c r="I651" s="5"/>
      <c r="J651" s="5"/>
      <c r="K651" s="7" t="str">
        <f ca="1">IFERROR(__xludf.DUMMYFUNCTION("""COMPUTED_VALUE"""),"https://stirioficiale.ro/informatii/buletin-de-presa-14-iunie-2020-ora-13-00")</f>
        <v>https://stirioficiale.ro/informatii/buletin-de-presa-14-iunie-2020-ora-13-00</v>
      </c>
      <c r="L651" s="5"/>
      <c r="M651" s="5"/>
      <c r="N651" s="5"/>
      <c r="O651" s="5"/>
      <c r="P651" s="5"/>
      <c r="Q651" s="5"/>
      <c r="R651" s="5" t="str">
        <f ca="1">IFERROR(__xludf.DUMMYFUNCTION("""COMPUTED_VALUE"""),"România")</f>
        <v>România</v>
      </c>
      <c r="S651" s="5" t="str">
        <f ca="1">IFERROR(__xludf.DUMMYFUNCTION("""COMPUTED_VALUE"""),"Ruxandra")</f>
        <v>Ruxandra</v>
      </c>
      <c r="T651" s="7" t="str">
        <f ca="1">IFERROR(__xludf.DUMMYFUNCTION("""COMPUTED_VALUE"""),"http://www.ms.ro/2020/06/14/buletin-informativ-14-06-2020/")</f>
        <v>http://www.ms.ro/2020/06/14/buletin-informativ-14-06-2020/</v>
      </c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ht="12.5">
      <c r="A652" s="5">
        <f ca="1">IFERROR(__xludf.DUMMYFUNCTION("""COMPUTED_VALUE"""),21706)</f>
        <v>21706</v>
      </c>
      <c r="B652" s="5"/>
      <c r="C652" s="5" t="str">
        <f ca="1">IFERROR(__xludf.DUMMYFUNCTION("""COMPUTED_VALUE"""),"Bihor")</f>
        <v>Bihor</v>
      </c>
      <c r="D652" s="13">
        <f ca="1">IFERROR(__xludf.DUMMYFUNCTION("""COMPUTED_VALUE"""),43996)</f>
        <v>43996</v>
      </c>
      <c r="E652" s="5" t="str">
        <f ca="1">IFERROR(__xludf.DUMMYFUNCTION("""COMPUTED_VALUE"""),"Nu")</f>
        <v>Nu</v>
      </c>
      <c r="F652" s="5"/>
      <c r="G652" s="5"/>
      <c r="H652" s="6"/>
      <c r="I652" s="5"/>
      <c r="J652" s="5"/>
      <c r="K652" s="7" t="str">
        <f ca="1">IFERROR(__xludf.DUMMYFUNCTION("""COMPUTED_VALUE"""),"https://stirioficiale.ro/informatii/buletin-de-presa-14-iunie-2020-ora-13-00")</f>
        <v>https://stirioficiale.ro/informatii/buletin-de-presa-14-iunie-2020-ora-13-00</v>
      </c>
      <c r="L652" s="5"/>
      <c r="M652" s="5"/>
      <c r="N652" s="5"/>
      <c r="O652" s="5"/>
      <c r="P652" s="5"/>
      <c r="Q652" s="5"/>
      <c r="R652" s="5" t="str">
        <f ca="1">IFERROR(__xludf.DUMMYFUNCTION("""COMPUTED_VALUE"""),"România")</f>
        <v>România</v>
      </c>
      <c r="S652" s="5" t="str">
        <f ca="1">IFERROR(__xludf.DUMMYFUNCTION("""COMPUTED_VALUE"""),"Ruxandra")</f>
        <v>Ruxandra</v>
      </c>
      <c r="T652" s="7" t="str">
        <f ca="1">IFERROR(__xludf.DUMMYFUNCTION("""COMPUTED_VALUE"""),"http://www.ms.ro/2020/06/14/buletin-informativ-14-06-2020/")</f>
        <v>http://www.ms.ro/2020/06/14/buletin-informativ-14-06-2020/</v>
      </c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2.5">
      <c r="A653" s="5">
        <f ca="1">IFERROR(__xludf.DUMMYFUNCTION("""COMPUTED_VALUE"""),21707)</f>
        <v>21707</v>
      </c>
      <c r="B653" s="5"/>
      <c r="C653" s="5" t="str">
        <f ca="1">IFERROR(__xludf.DUMMYFUNCTION("""COMPUTED_VALUE"""),"Bihor")</f>
        <v>Bihor</v>
      </c>
      <c r="D653" s="13">
        <f ca="1">IFERROR(__xludf.DUMMYFUNCTION("""COMPUTED_VALUE"""),43996)</f>
        <v>43996</v>
      </c>
      <c r="E653" s="5" t="str">
        <f ca="1">IFERROR(__xludf.DUMMYFUNCTION("""COMPUTED_VALUE"""),"Nu")</f>
        <v>Nu</v>
      </c>
      <c r="F653" s="5"/>
      <c r="G653" s="5"/>
      <c r="H653" s="6"/>
      <c r="I653" s="5"/>
      <c r="J653" s="5"/>
      <c r="K653" s="7" t="str">
        <f ca="1">IFERROR(__xludf.DUMMYFUNCTION("""COMPUTED_VALUE"""),"https://stirioficiale.ro/informatii/buletin-de-presa-14-iunie-2020-ora-13-00")</f>
        <v>https://stirioficiale.ro/informatii/buletin-de-presa-14-iunie-2020-ora-13-00</v>
      </c>
      <c r="L653" s="5"/>
      <c r="M653" s="5"/>
      <c r="N653" s="5"/>
      <c r="O653" s="5"/>
      <c r="P653" s="5"/>
      <c r="Q653" s="5"/>
      <c r="R653" s="5" t="str">
        <f ca="1">IFERROR(__xludf.DUMMYFUNCTION("""COMPUTED_VALUE"""),"România")</f>
        <v>România</v>
      </c>
      <c r="S653" s="5" t="str">
        <f ca="1">IFERROR(__xludf.DUMMYFUNCTION("""COMPUTED_VALUE"""),"Ruxandra")</f>
        <v>Ruxandra</v>
      </c>
      <c r="T653" s="7" t="str">
        <f ca="1">IFERROR(__xludf.DUMMYFUNCTION("""COMPUTED_VALUE"""),"http://www.ms.ro/2020/06/14/buletin-informativ-14-06-2020/")</f>
        <v>http://www.ms.ro/2020/06/14/buletin-informativ-14-06-2020/</v>
      </c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ht="12.5">
      <c r="A654" s="5">
        <f ca="1">IFERROR(__xludf.DUMMYFUNCTION("""COMPUTED_VALUE"""),21708)</f>
        <v>21708</v>
      </c>
      <c r="B654" s="5"/>
      <c r="C654" s="5" t="str">
        <f ca="1">IFERROR(__xludf.DUMMYFUNCTION("""COMPUTED_VALUE"""),"Bihor")</f>
        <v>Bihor</v>
      </c>
      <c r="D654" s="13">
        <f ca="1">IFERROR(__xludf.DUMMYFUNCTION("""COMPUTED_VALUE"""),43996)</f>
        <v>43996</v>
      </c>
      <c r="E654" s="5" t="str">
        <f ca="1">IFERROR(__xludf.DUMMYFUNCTION("""COMPUTED_VALUE"""),"Nu")</f>
        <v>Nu</v>
      </c>
      <c r="F654" s="5"/>
      <c r="G654" s="5"/>
      <c r="H654" s="6"/>
      <c r="I654" s="5"/>
      <c r="J654" s="5"/>
      <c r="K654" s="7" t="str">
        <f ca="1">IFERROR(__xludf.DUMMYFUNCTION("""COMPUTED_VALUE"""),"https://stirioficiale.ro/informatii/buletin-de-presa-14-iunie-2020-ora-13-00")</f>
        <v>https://stirioficiale.ro/informatii/buletin-de-presa-14-iunie-2020-ora-13-00</v>
      </c>
      <c r="L654" s="5"/>
      <c r="M654" s="5"/>
      <c r="N654" s="5"/>
      <c r="O654" s="5"/>
      <c r="P654" s="5"/>
      <c r="Q654" s="5"/>
      <c r="R654" s="5" t="str">
        <f ca="1">IFERROR(__xludf.DUMMYFUNCTION("""COMPUTED_VALUE"""),"România")</f>
        <v>România</v>
      </c>
      <c r="S654" s="5" t="str">
        <f ca="1">IFERROR(__xludf.DUMMYFUNCTION("""COMPUTED_VALUE"""),"Ruxandra")</f>
        <v>Ruxandra</v>
      </c>
      <c r="T654" s="7" t="str">
        <f ca="1">IFERROR(__xludf.DUMMYFUNCTION("""COMPUTED_VALUE"""),"http://www.ms.ro/2020/06/14/buletin-informativ-14-06-2020/")</f>
        <v>http://www.ms.ro/2020/06/14/buletin-informativ-14-06-2020/</v>
      </c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2.5">
      <c r="A655" s="5">
        <f ca="1">IFERROR(__xludf.DUMMYFUNCTION("""COMPUTED_VALUE"""),21709)</f>
        <v>21709</v>
      </c>
      <c r="B655" s="5"/>
      <c r="C655" s="5" t="str">
        <f ca="1">IFERROR(__xludf.DUMMYFUNCTION("""COMPUTED_VALUE"""),"Bihor")</f>
        <v>Bihor</v>
      </c>
      <c r="D655" s="13">
        <f ca="1">IFERROR(__xludf.DUMMYFUNCTION("""COMPUTED_VALUE"""),43996)</f>
        <v>43996</v>
      </c>
      <c r="E655" s="5" t="str">
        <f ca="1">IFERROR(__xludf.DUMMYFUNCTION("""COMPUTED_VALUE"""),"Nu")</f>
        <v>Nu</v>
      </c>
      <c r="F655" s="5"/>
      <c r="G655" s="5"/>
      <c r="H655" s="6"/>
      <c r="I655" s="5"/>
      <c r="J655" s="5"/>
      <c r="K655" s="7" t="str">
        <f ca="1">IFERROR(__xludf.DUMMYFUNCTION("""COMPUTED_VALUE"""),"https://stirioficiale.ro/informatii/buletin-de-presa-14-iunie-2020-ora-13-00")</f>
        <v>https://stirioficiale.ro/informatii/buletin-de-presa-14-iunie-2020-ora-13-00</v>
      </c>
      <c r="L655" s="5"/>
      <c r="M655" s="5"/>
      <c r="N655" s="5"/>
      <c r="O655" s="5"/>
      <c r="P655" s="5"/>
      <c r="Q655" s="5"/>
      <c r="R655" s="5" t="str">
        <f ca="1">IFERROR(__xludf.DUMMYFUNCTION("""COMPUTED_VALUE"""),"România")</f>
        <v>România</v>
      </c>
      <c r="S655" s="5" t="str">
        <f ca="1">IFERROR(__xludf.DUMMYFUNCTION("""COMPUTED_VALUE"""),"Ruxandra")</f>
        <v>Ruxandra</v>
      </c>
      <c r="T655" s="7" t="str">
        <f ca="1">IFERROR(__xludf.DUMMYFUNCTION("""COMPUTED_VALUE"""),"http://www.ms.ro/2020/06/14/buletin-informativ-14-06-2020/")</f>
        <v>http://www.ms.ro/2020/06/14/buletin-informativ-14-06-2020/</v>
      </c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ht="12.5">
      <c r="A656" s="5">
        <f ca="1">IFERROR(__xludf.DUMMYFUNCTION("""COMPUTED_VALUE"""),22014)</f>
        <v>22014</v>
      </c>
      <c r="B656" s="5"/>
      <c r="C656" s="5" t="str">
        <f ca="1">IFERROR(__xludf.DUMMYFUNCTION("""COMPUTED_VALUE"""),"Bihor")</f>
        <v>Bihor</v>
      </c>
      <c r="D656" s="13">
        <f ca="1">IFERROR(__xludf.DUMMYFUNCTION("""COMPUTED_VALUE"""),43997)</f>
        <v>43997</v>
      </c>
      <c r="E656" s="5" t="str">
        <f ca="1">IFERROR(__xludf.DUMMYFUNCTION("""COMPUTED_VALUE"""),"Nu")</f>
        <v>Nu</v>
      </c>
      <c r="F656" s="5"/>
      <c r="G656" s="5"/>
      <c r="H656" s="6"/>
      <c r="I656" s="5"/>
      <c r="J656" s="5"/>
      <c r="K656" s="7" t="str">
        <f ca="1">IFERROR(__xludf.DUMMYFUNCTION("""COMPUTED_VALUE"""),"https://stirioficiale.ro/informatii/buletin-de-presa-15-iunie-2020-ora-13-00")</f>
        <v>https://stirioficiale.ro/informatii/buletin-de-presa-15-iunie-2020-ora-13-00</v>
      </c>
      <c r="L656" s="5"/>
      <c r="M656" s="5"/>
      <c r="N656" s="5"/>
      <c r="O656" s="5"/>
      <c r="P656" s="5"/>
      <c r="Q656" s="5"/>
      <c r="R656" s="5" t="str">
        <f ca="1">IFERROR(__xludf.DUMMYFUNCTION("""COMPUTED_VALUE"""),"România")</f>
        <v>România</v>
      </c>
      <c r="S656" s="5" t="str">
        <f ca="1">IFERROR(__xludf.DUMMYFUNCTION("""COMPUTED_VALUE"""),"Octavian")</f>
        <v>Octavian</v>
      </c>
      <c r="T656" s="7" t="str">
        <f ca="1">IFERROR(__xludf.DUMMYFUNCTION("""COMPUTED_VALUE"""),"http://www.ms.ro/2020/06/15/buletin-informativ-15-06-2020/")</f>
        <v>http://www.ms.ro/2020/06/15/buletin-informativ-15-06-2020/</v>
      </c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2.5">
      <c r="A657" s="5">
        <f ca="1">IFERROR(__xludf.DUMMYFUNCTION("""COMPUTED_VALUE"""),22437)</f>
        <v>22437</v>
      </c>
      <c r="B657" s="5"/>
      <c r="C657" s="5" t="str">
        <f ca="1">IFERROR(__xludf.DUMMYFUNCTION("""COMPUTED_VALUE"""),"Bihor")</f>
        <v>Bihor</v>
      </c>
      <c r="D657" s="13">
        <f ca="1">IFERROR(__xludf.DUMMYFUNCTION("""COMPUTED_VALUE"""),43999)</f>
        <v>43999</v>
      </c>
      <c r="E657" s="5" t="str">
        <f ca="1">IFERROR(__xludf.DUMMYFUNCTION("""COMPUTED_VALUE"""),"Nu")</f>
        <v>Nu</v>
      </c>
      <c r="F657" s="5"/>
      <c r="G657" s="5"/>
      <c r="H657" s="6"/>
      <c r="I657" s="5"/>
      <c r="J657" s="5"/>
      <c r="K657" s="7" t="str">
        <f ca="1">IFERROR(__xludf.DUMMYFUNCTION("""COMPUTED_VALUE"""),"https://stirioficiale.ro/informatii/buletin-de-presa-17-iunie-2020-ora-13-00")</f>
        <v>https://stirioficiale.ro/informatii/buletin-de-presa-17-iunie-2020-ora-13-00</v>
      </c>
      <c r="L657" s="5"/>
      <c r="M657" s="5"/>
      <c r="N657" s="5"/>
      <c r="O657" s="5"/>
      <c r="P657" s="5"/>
      <c r="Q657" s="5"/>
      <c r="R657" s="5" t="str">
        <f ca="1">IFERROR(__xludf.DUMMYFUNCTION("""COMPUTED_VALUE"""),"România")</f>
        <v>România</v>
      </c>
      <c r="S657" s="5" t="str">
        <f ca="1">IFERROR(__xludf.DUMMYFUNCTION("""COMPUTED_VALUE"""),"Octavian")</f>
        <v>Octavian</v>
      </c>
      <c r="T657" s="7" t="str">
        <f ca="1">IFERROR(__xludf.DUMMYFUNCTION("""COMPUTED_VALUE"""),"http://www.ms.ro/2020/06/17/buletin-informativ-17-06-2020/")</f>
        <v>http://www.ms.ro/2020/06/17/buletin-informativ-17-06-2020/</v>
      </c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ht="12.5">
      <c r="A658" s="5">
        <f ca="1">IFERROR(__xludf.DUMMYFUNCTION("""COMPUTED_VALUE"""),23109)</f>
        <v>23109</v>
      </c>
      <c r="B658" s="5"/>
      <c r="C658" s="5" t="str">
        <f ca="1">IFERROR(__xludf.DUMMYFUNCTION("""COMPUTED_VALUE"""),"Bihor")</f>
        <v>Bihor</v>
      </c>
      <c r="D658" s="13">
        <f ca="1">IFERROR(__xludf.DUMMYFUNCTION("""COMPUTED_VALUE"""),44001)</f>
        <v>44001</v>
      </c>
      <c r="E658" s="5" t="str">
        <f ca="1">IFERROR(__xludf.DUMMYFUNCTION("""COMPUTED_VALUE"""),"Nu")</f>
        <v>Nu</v>
      </c>
      <c r="F658" s="5"/>
      <c r="G658" s="5"/>
      <c r="H658" s="6"/>
      <c r="I658" s="5" t="str">
        <f ca="1">IFERROR(__xludf.DUMMYFUNCTION("""COMPUTED_VALUE"""),"Masculin")</f>
        <v>Masculin</v>
      </c>
      <c r="J658" s="5"/>
      <c r="K658" s="7" t="str">
        <f ca="1">IFERROR(__xludf.DUMMYFUNCTION("""COMPUTED_VALUE"""),"https://www.ebihoreanul.ro/stiri/inca-patru-bihoreni-infectati-cu-coronavirus-intre-care-si-un-copil-157134.html")</f>
        <v>https://www.ebihoreanul.ro/stiri/inca-patru-bihoreni-infectati-cu-coronavirus-intre-care-si-un-copil-157134.html</v>
      </c>
      <c r="L658" s="5"/>
      <c r="M658" s="5"/>
      <c r="N658" s="5"/>
      <c r="O658" s="5"/>
      <c r="P658" s="5"/>
      <c r="Q658" s="5"/>
      <c r="R658" s="5" t="str">
        <f ca="1">IFERROR(__xludf.DUMMYFUNCTION("""COMPUTED_VALUE"""),"România")</f>
        <v>România</v>
      </c>
      <c r="S658" s="5" t="str">
        <f ca="1">IFERROR(__xludf.DUMMYFUNCTION("""COMPUTED_VALUE"""),"Octavian")</f>
        <v>Octavian</v>
      </c>
      <c r="T658" s="7" t="str">
        <f ca="1">IFERROR(__xludf.DUMMYFUNCTION("""COMPUTED_VALUE"""),"http://www.ms.ro/2020/06/19/buletin-informativ-19-06-2020/")</f>
        <v>http://www.ms.ro/2020/06/19/buletin-informativ-19-06-2020/</v>
      </c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2.5">
      <c r="A659" s="5">
        <f ca="1">IFERROR(__xludf.DUMMYFUNCTION("""COMPUTED_VALUE"""),23110)</f>
        <v>23110</v>
      </c>
      <c r="B659" s="5"/>
      <c r="C659" s="5" t="str">
        <f ca="1">IFERROR(__xludf.DUMMYFUNCTION("""COMPUTED_VALUE"""),"Bihor")</f>
        <v>Bihor</v>
      </c>
      <c r="D659" s="13">
        <f ca="1">IFERROR(__xludf.DUMMYFUNCTION("""COMPUTED_VALUE"""),44001)</f>
        <v>44001</v>
      </c>
      <c r="E659" s="5" t="str">
        <f ca="1">IFERROR(__xludf.DUMMYFUNCTION("""COMPUTED_VALUE"""),"Nu")</f>
        <v>Nu</v>
      </c>
      <c r="F659" s="5"/>
      <c r="G659" s="5"/>
      <c r="H659" s="6"/>
      <c r="I659" s="5"/>
      <c r="J659" s="5"/>
      <c r="K659" s="7" t="str">
        <f ca="1">IFERROR(__xludf.DUMMYFUNCTION("""COMPUTED_VALUE"""),"https://stirioficiale.ro/informatii/buletin-de-presa-19-iunie-2020-ora-13-00")</f>
        <v>https://stirioficiale.ro/informatii/buletin-de-presa-19-iunie-2020-ora-13-00</v>
      </c>
      <c r="L659" s="5"/>
      <c r="M659" s="5"/>
      <c r="N659" s="5"/>
      <c r="O659" s="5"/>
      <c r="P659" s="5"/>
      <c r="Q659" s="5"/>
      <c r="R659" s="5" t="str">
        <f ca="1">IFERROR(__xludf.DUMMYFUNCTION("""COMPUTED_VALUE"""),"România")</f>
        <v>România</v>
      </c>
      <c r="S659" s="5" t="str">
        <f ca="1">IFERROR(__xludf.DUMMYFUNCTION("""COMPUTED_VALUE"""),"Octavian")</f>
        <v>Octavian</v>
      </c>
      <c r="T659" s="7" t="str">
        <f ca="1">IFERROR(__xludf.DUMMYFUNCTION("""COMPUTED_VALUE"""),"http://www.ms.ro/2020/06/19/buletin-informativ-19-06-2020/")</f>
        <v>http://www.ms.ro/2020/06/19/buletin-informativ-19-06-2020/</v>
      </c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ht="12.5">
      <c r="A660" s="5">
        <f ca="1">IFERROR(__xludf.DUMMYFUNCTION("""COMPUTED_VALUE"""),23111)</f>
        <v>23111</v>
      </c>
      <c r="B660" s="5"/>
      <c r="C660" s="5" t="str">
        <f ca="1">IFERROR(__xludf.DUMMYFUNCTION("""COMPUTED_VALUE"""),"Bihor")</f>
        <v>Bihor</v>
      </c>
      <c r="D660" s="13">
        <f ca="1">IFERROR(__xludf.DUMMYFUNCTION("""COMPUTED_VALUE"""),44001)</f>
        <v>44001</v>
      </c>
      <c r="E660" s="5" t="str">
        <f ca="1">IFERROR(__xludf.DUMMYFUNCTION("""COMPUTED_VALUE"""),"Nu")</f>
        <v>Nu</v>
      </c>
      <c r="F660" s="5"/>
      <c r="G660" s="5"/>
      <c r="H660" s="6"/>
      <c r="I660" s="5"/>
      <c r="J660" s="5"/>
      <c r="K660" s="7" t="str">
        <f ca="1">IFERROR(__xludf.DUMMYFUNCTION("""COMPUTED_VALUE"""),"https://stirioficiale.ro/informatii/buletin-de-presa-19-iunie-2020-ora-13-00")</f>
        <v>https://stirioficiale.ro/informatii/buletin-de-presa-19-iunie-2020-ora-13-00</v>
      </c>
      <c r="L660" s="5"/>
      <c r="M660" s="5"/>
      <c r="N660" s="5"/>
      <c r="O660" s="5"/>
      <c r="P660" s="5"/>
      <c r="Q660" s="5"/>
      <c r="R660" s="5" t="str">
        <f ca="1">IFERROR(__xludf.DUMMYFUNCTION("""COMPUTED_VALUE"""),"România")</f>
        <v>România</v>
      </c>
      <c r="S660" s="5" t="str">
        <f ca="1">IFERROR(__xludf.DUMMYFUNCTION("""COMPUTED_VALUE"""),"Octavian")</f>
        <v>Octavian</v>
      </c>
      <c r="T660" s="7" t="str">
        <f ca="1">IFERROR(__xludf.DUMMYFUNCTION("""COMPUTED_VALUE"""),"http://www.ms.ro/2020/06/19/buletin-informativ-19-06-2020/")</f>
        <v>http://www.ms.ro/2020/06/19/buletin-informativ-19-06-2020/</v>
      </c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2.5">
      <c r="A661" s="5">
        <f ca="1">IFERROR(__xludf.DUMMYFUNCTION("""COMPUTED_VALUE"""),23112)</f>
        <v>23112</v>
      </c>
      <c r="B661" s="5"/>
      <c r="C661" s="5" t="str">
        <f ca="1">IFERROR(__xludf.DUMMYFUNCTION("""COMPUTED_VALUE"""),"Bihor")</f>
        <v>Bihor</v>
      </c>
      <c r="D661" s="13">
        <f ca="1">IFERROR(__xludf.DUMMYFUNCTION("""COMPUTED_VALUE"""),44001)</f>
        <v>44001</v>
      </c>
      <c r="E661" s="5" t="str">
        <f ca="1">IFERROR(__xludf.DUMMYFUNCTION("""COMPUTED_VALUE"""),"Nu")</f>
        <v>Nu</v>
      </c>
      <c r="F661" s="5"/>
      <c r="G661" s="5"/>
      <c r="H661" s="6"/>
      <c r="I661" s="5"/>
      <c r="J661" s="5"/>
      <c r="K661" s="7" t="str">
        <f ca="1">IFERROR(__xludf.DUMMYFUNCTION("""COMPUTED_VALUE"""),"https://stirioficiale.ro/informatii/buletin-de-presa-19-iunie-2020-ora-13-00")</f>
        <v>https://stirioficiale.ro/informatii/buletin-de-presa-19-iunie-2020-ora-13-00</v>
      </c>
      <c r="L661" s="5"/>
      <c r="M661" s="5"/>
      <c r="N661" s="5"/>
      <c r="O661" s="5"/>
      <c r="P661" s="5"/>
      <c r="Q661" s="5"/>
      <c r="R661" s="5" t="str">
        <f ca="1">IFERROR(__xludf.DUMMYFUNCTION("""COMPUTED_VALUE"""),"România")</f>
        <v>România</v>
      </c>
      <c r="S661" s="5" t="str">
        <f ca="1">IFERROR(__xludf.DUMMYFUNCTION("""COMPUTED_VALUE"""),"Octavian")</f>
        <v>Octavian</v>
      </c>
      <c r="T661" s="7" t="str">
        <f ca="1">IFERROR(__xludf.DUMMYFUNCTION("""COMPUTED_VALUE"""),"http://www.ms.ro/2020/06/19/buletin-informativ-19-06-2020/")</f>
        <v>http://www.ms.ro/2020/06/19/buletin-informativ-19-06-2020/</v>
      </c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ht="12.5">
      <c r="A662" s="5">
        <f ca="1">IFERROR(__xludf.DUMMYFUNCTION("""COMPUTED_VALUE"""),24302)</f>
        <v>24302</v>
      </c>
      <c r="B662" s="5"/>
      <c r="C662" s="5" t="str">
        <f ca="1">IFERROR(__xludf.DUMMYFUNCTION("""COMPUTED_VALUE"""),"Bihor")</f>
        <v>Bihor</v>
      </c>
      <c r="D662" s="13">
        <f ca="1">IFERROR(__xludf.DUMMYFUNCTION("""COMPUTED_VALUE"""),44005)</f>
        <v>44005</v>
      </c>
      <c r="E662" s="5" t="str">
        <f ca="1">IFERROR(__xludf.DUMMYFUNCTION("""COMPUTED_VALUE"""),"Nu")</f>
        <v>Nu</v>
      </c>
      <c r="F662" s="5"/>
      <c r="G662" s="5"/>
      <c r="H662" s="6"/>
      <c r="I662" s="5"/>
      <c r="J662" s="5"/>
      <c r="K662" s="7" t="str">
        <f ca="1">IFERROR(__xludf.DUMMYFUNCTION("""COMPUTED_VALUE"""),"https://stirioficiale.ro/informatii/buletin-de-presa-23-iunie-2020-ora-13-00")</f>
        <v>https://stirioficiale.ro/informatii/buletin-de-presa-23-iunie-2020-ora-13-00</v>
      </c>
      <c r="L662" s="5"/>
      <c r="M662" s="5"/>
      <c r="N662" s="5"/>
      <c r="O662" s="5"/>
      <c r="P662" s="5"/>
      <c r="Q662" s="5"/>
      <c r="R662" s="5" t="str">
        <f ca="1">IFERROR(__xludf.DUMMYFUNCTION("""COMPUTED_VALUE"""),"România")</f>
        <v>România</v>
      </c>
      <c r="S662" s="5" t="str">
        <f ca="1">IFERROR(__xludf.DUMMYFUNCTION("""COMPUTED_VALUE"""),"Octavian")</f>
        <v>Octavian</v>
      </c>
      <c r="T662" s="7" t="str">
        <f ca="1">IFERROR(__xludf.DUMMYFUNCTION("""COMPUTED_VALUE"""),"http://www.ms.ro/2020/06/23/buletin-informativ-23-06-2020/")</f>
        <v>http://www.ms.ro/2020/06/23/buletin-informativ-23-06-2020/</v>
      </c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2.5">
      <c r="A663" s="5">
        <f ca="1">IFERROR(__xludf.DUMMYFUNCTION("""COMPUTED_VALUE"""),24566)</f>
        <v>24566</v>
      </c>
      <c r="B663" s="5"/>
      <c r="C663" s="5" t="str">
        <f ca="1">IFERROR(__xludf.DUMMYFUNCTION("""COMPUTED_VALUE"""),"Bihor")</f>
        <v>Bihor</v>
      </c>
      <c r="D663" s="13">
        <f ca="1">IFERROR(__xludf.DUMMYFUNCTION("""COMPUTED_VALUE"""),44006)</f>
        <v>44006</v>
      </c>
      <c r="E663" s="5" t="str">
        <f ca="1">IFERROR(__xludf.DUMMYFUNCTION("""COMPUTED_VALUE"""),"Nu")</f>
        <v>Nu</v>
      </c>
      <c r="F663" s="5"/>
      <c r="G663" s="5"/>
      <c r="H663" s="6"/>
      <c r="I663" s="5"/>
      <c r="J663" s="5"/>
      <c r="K663" s="7" t="str">
        <f ca="1">IFERROR(__xludf.DUMMYFUNCTION("""COMPUTED_VALUE"""),"https://stirioficiale.ro/informatii/buletin-de-presa-24-iunie-2020-ora-13-00")</f>
        <v>https://stirioficiale.ro/informatii/buletin-de-presa-24-iunie-2020-ora-13-00</v>
      </c>
      <c r="L663" s="5"/>
      <c r="M663" s="5"/>
      <c r="N663" s="5"/>
      <c r="O663" s="5"/>
      <c r="P663" s="5"/>
      <c r="Q663" s="5"/>
      <c r="R663" s="5" t="str">
        <f ca="1">IFERROR(__xludf.DUMMYFUNCTION("""COMPUTED_VALUE"""),"România")</f>
        <v>România</v>
      </c>
      <c r="S663" s="5" t="str">
        <f ca="1">IFERROR(__xludf.DUMMYFUNCTION("""COMPUTED_VALUE"""),"Octavian")</f>
        <v>Octavian</v>
      </c>
      <c r="T663" s="7" t="str">
        <f ca="1">IFERROR(__xludf.DUMMYFUNCTION("""COMPUTED_VALUE"""),"http://www.ms.ro/2020/06/24/buletin-informativ-24-06-2020/")</f>
        <v>http://www.ms.ro/2020/06/24/buletin-informativ-24-06-2020/</v>
      </c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ht="12.5">
      <c r="A664" s="5">
        <f ca="1">IFERROR(__xludf.DUMMYFUNCTION("""COMPUTED_VALUE"""),24567)</f>
        <v>24567</v>
      </c>
      <c r="B664" s="5"/>
      <c r="C664" s="5" t="str">
        <f ca="1">IFERROR(__xludf.DUMMYFUNCTION("""COMPUTED_VALUE"""),"Bihor")</f>
        <v>Bihor</v>
      </c>
      <c r="D664" s="13">
        <f ca="1">IFERROR(__xludf.DUMMYFUNCTION("""COMPUTED_VALUE"""),44006)</f>
        <v>44006</v>
      </c>
      <c r="E664" s="5" t="str">
        <f ca="1">IFERROR(__xludf.DUMMYFUNCTION("""COMPUTED_VALUE"""),"Nu")</f>
        <v>Nu</v>
      </c>
      <c r="F664" s="5"/>
      <c r="G664" s="5"/>
      <c r="H664" s="6"/>
      <c r="I664" s="5"/>
      <c r="J664" s="5"/>
      <c r="K664" s="7" t="str">
        <f ca="1">IFERROR(__xludf.DUMMYFUNCTION("""COMPUTED_VALUE"""),"https://stirioficiale.ro/informatii/buletin-de-presa-24-iunie-2020-ora-13-00")</f>
        <v>https://stirioficiale.ro/informatii/buletin-de-presa-24-iunie-2020-ora-13-00</v>
      </c>
      <c r="L664" s="5"/>
      <c r="M664" s="5"/>
      <c r="N664" s="5"/>
      <c r="O664" s="5"/>
      <c r="P664" s="5"/>
      <c r="Q664" s="5"/>
      <c r="R664" s="5" t="str">
        <f ca="1">IFERROR(__xludf.DUMMYFUNCTION("""COMPUTED_VALUE"""),"România")</f>
        <v>România</v>
      </c>
      <c r="S664" s="5" t="str">
        <f ca="1">IFERROR(__xludf.DUMMYFUNCTION("""COMPUTED_VALUE"""),"Octavian")</f>
        <v>Octavian</v>
      </c>
      <c r="T664" s="7" t="str">
        <f ca="1">IFERROR(__xludf.DUMMYFUNCTION("""COMPUTED_VALUE"""),"http://www.ms.ro/2020/06/24/buletin-informativ-24-06-2020/")</f>
        <v>http://www.ms.ro/2020/06/24/buletin-informativ-24-06-2020/</v>
      </c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2.5">
      <c r="A665" s="5">
        <f ca="1">IFERROR(__xludf.DUMMYFUNCTION("""COMPUTED_VALUE"""),25352)</f>
        <v>25352</v>
      </c>
      <c r="B665" s="5"/>
      <c r="C665" s="5" t="str">
        <f ca="1">IFERROR(__xludf.DUMMYFUNCTION("""COMPUTED_VALUE"""),"Bihor")</f>
        <v>Bihor</v>
      </c>
      <c r="D665" s="13">
        <f ca="1">IFERROR(__xludf.DUMMYFUNCTION("""COMPUTED_VALUE"""),44008)</f>
        <v>44008</v>
      </c>
      <c r="E665" s="5" t="str">
        <f ca="1">IFERROR(__xludf.DUMMYFUNCTION("""COMPUTED_VALUE"""),"Nu")</f>
        <v>Nu</v>
      </c>
      <c r="F665" s="5"/>
      <c r="G665" s="5"/>
      <c r="H665" s="6"/>
      <c r="I665" s="5"/>
      <c r="J665" s="5"/>
      <c r="K665" s="7" t="str">
        <f ca="1">IFERROR(__xludf.DUMMYFUNCTION("""COMPUTED_VALUE"""),"https://stirioficiale.ro/informatii/buletin-de-presa-26-iunie-2020-ora-13-00")</f>
        <v>https://stirioficiale.ro/informatii/buletin-de-presa-26-iunie-2020-ora-13-00</v>
      </c>
      <c r="L665" s="5"/>
      <c r="M665" s="5"/>
      <c r="N665" s="5"/>
      <c r="O665" s="5"/>
      <c r="P665" s="5"/>
      <c r="Q665" s="5"/>
      <c r="R665" s="5" t="str">
        <f ca="1">IFERROR(__xludf.DUMMYFUNCTION("""COMPUTED_VALUE"""),"România")</f>
        <v>România</v>
      </c>
      <c r="S665" s="5" t="str">
        <f ca="1">IFERROR(__xludf.DUMMYFUNCTION("""COMPUTED_VALUE"""),"Octavian")</f>
        <v>Octavian</v>
      </c>
      <c r="T665" s="7" t="str">
        <f ca="1">IFERROR(__xludf.DUMMYFUNCTION("""COMPUTED_VALUE"""),"http://www.ms.ro/2020/06/26/buletin-informativ-26-06-2020/")</f>
        <v>http://www.ms.ro/2020/06/26/buletin-informativ-26-06-2020/</v>
      </c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ht="12.5">
      <c r="A666" s="5">
        <f ca="1">IFERROR(__xludf.DUMMYFUNCTION("""COMPUTED_VALUE"""),25716)</f>
        <v>25716</v>
      </c>
      <c r="B666" s="5"/>
      <c r="C666" s="5" t="str">
        <f ca="1">IFERROR(__xludf.DUMMYFUNCTION("""COMPUTED_VALUE"""),"Bihor")</f>
        <v>Bihor</v>
      </c>
      <c r="D666" s="13">
        <f ca="1">IFERROR(__xludf.DUMMYFUNCTION("""COMPUTED_VALUE"""),44009)</f>
        <v>44009</v>
      </c>
      <c r="E666" s="5" t="str">
        <f ca="1">IFERROR(__xludf.DUMMYFUNCTION("""COMPUTED_VALUE"""),"Nu")</f>
        <v>Nu</v>
      </c>
      <c r="F666" s="5"/>
      <c r="G666" s="5"/>
      <c r="H666" s="6"/>
      <c r="I666" s="5"/>
      <c r="J666" s="5"/>
      <c r="K666" s="7" t="str">
        <f ca="1">IFERROR(__xludf.DUMMYFUNCTION("""COMPUTED_VALUE"""),"https://stirioficiale.ro/informatii/buletin-de-presa-27-iunie-2020-ora-13-00")</f>
        <v>https://stirioficiale.ro/informatii/buletin-de-presa-27-iunie-2020-ora-13-00</v>
      </c>
      <c r="L666" s="5"/>
      <c r="M666" s="5"/>
      <c r="N666" s="5"/>
      <c r="O666" s="5"/>
      <c r="P666" s="5"/>
      <c r="Q666" s="5"/>
      <c r="R666" s="5" t="str">
        <f ca="1">IFERROR(__xludf.DUMMYFUNCTION("""COMPUTED_VALUE"""),"România")</f>
        <v>România</v>
      </c>
      <c r="S666" s="5" t="str">
        <f ca="1">IFERROR(__xludf.DUMMYFUNCTION("""COMPUTED_VALUE"""),"Octavian")</f>
        <v>Octavian</v>
      </c>
      <c r="T666" s="7" t="str">
        <f ca="1">IFERROR(__xludf.DUMMYFUNCTION("""COMPUTED_VALUE"""),"http://www.ms.ro/2020/06/27/buletin-informativ-27-06-2020/")</f>
        <v>http://www.ms.ro/2020/06/27/buletin-informativ-27-06-2020/</v>
      </c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2.5">
      <c r="A667" s="5">
        <f ca="1">IFERROR(__xludf.DUMMYFUNCTION("""COMPUTED_VALUE"""),25717)</f>
        <v>25717</v>
      </c>
      <c r="B667" s="5"/>
      <c r="C667" s="5" t="str">
        <f ca="1">IFERROR(__xludf.DUMMYFUNCTION("""COMPUTED_VALUE"""),"Bihor")</f>
        <v>Bihor</v>
      </c>
      <c r="D667" s="13">
        <f ca="1">IFERROR(__xludf.DUMMYFUNCTION("""COMPUTED_VALUE"""),44009)</f>
        <v>44009</v>
      </c>
      <c r="E667" s="5" t="str">
        <f ca="1">IFERROR(__xludf.DUMMYFUNCTION("""COMPUTED_VALUE"""),"Nu")</f>
        <v>Nu</v>
      </c>
      <c r="F667" s="5"/>
      <c r="G667" s="5"/>
      <c r="H667" s="6"/>
      <c r="I667" s="5"/>
      <c r="J667" s="5"/>
      <c r="K667" s="7" t="str">
        <f ca="1">IFERROR(__xludf.DUMMYFUNCTION("""COMPUTED_VALUE"""),"https://stirioficiale.ro/informatii/buletin-de-presa-27-iunie-2020-ora-13-00")</f>
        <v>https://stirioficiale.ro/informatii/buletin-de-presa-27-iunie-2020-ora-13-00</v>
      </c>
      <c r="L667" s="5"/>
      <c r="M667" s="5"/>
      <c r="N667" s="5"/>
      <c r="O667" s="5"/>
      <c r="P667" s="5"/>
      <c r="Q667" s="5"/>
      <c r="R667" s="5" t="str">
        <f ca="1">IFERROR(__xludf.DUMMYFUNCTION("""COMPUTED_VALUE"""),"România")</f>
        <v>România</v>
      </c>
      <c r="S667" s="5" t="str">
        <f ca="1">IFERROR(__xludf.DUMMYFUNCTION("""COMPUTED_VALUE"""),"Octavian")</f>
        <v>Octavian</v>
      </c>
      <c r="T667" s="7" t="str">
        <f ca="1">IFERROR(__xludf.DUMMYFUNCTION("""COMPUTED_VALUE"""),"http://www.ms.ro/2020/06/27/buletin-informativ-27-06-2020/")</f>
        <v>http://www.ms.ro/2020/06/27/buletin-informativ-27-06-2020/</v>
      </c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ht="12.5">
      <c r="A668" s="5">
        <f ca="1">IFERROR(__xludf.DUMMYFUNCTION("""COMPUTED_VALUE"""),26353)</f>
        <v>26353</v>
      </c>
      <c r="B668" s="5"/>
      <c r="C668" s="5" t="str">
        <f ca="1">IFERROR(__xludf.DUMMYFUNCTION("""COMPUTED_VALUE"""),"Bihor")</f>
        <v>Bihor</v>
      </c>
      <c r="D668" s="13">
        <f ca="1">IFERROR(__xludf.DUMMYFUNCTION("""COMPUTED_VALUE"""),44011)</f>
        <v>44011</v>
      </c>
      <c r="E668" s="5" t="str">
        <f ca="1">IFERROR(__xludf.DUMMYFUNCTION("""COMPUTED_VALUE"""),"Nu")</f>
        <v>Nu</v>
      </c>
      <c r="F668" s="5"/>
      <c r="G668" s="5"/>
      <c r="H668" s="6"/>
      <c r="I668" s="5"/>
      <c r="J668" s="5"/>
      <c r="K668" s="7" t="str">
        <f ca="1">IFERROR(__xludf.DUMMYFUNCTION("""COMPUTED_VALUE"""),"https://stirioficiale.ro/informatii/buletin-de-presa-29-iunie-2020-ora-13-00")</f>
        <v>https://stirioficiale.ro/informatii/buletin-de-presa-29-iunie-2020-ora-13-00</v>
      </c>
      <c r="L668" s="5"/>
      <c r="M668" s="5"/>
      <c r="N668" s="5"/>
      <c r="O668" s="5"/>
      <c r="P668" s="5"/>
      <c r="Q668" s="5"/>
      <c r="R668" s="5" t="str">
        <f ca="1">IFERROR(__xludf.DUMMYFUNCTION("""COMPUTED_VALUE"""),"România")</f>
        <v>România</v>
      </c>
      <c r="S668" s="5" t="str">
        <f ca="1">IFERROR(__xludf.DUMMYFUNCTION("""COMPUTED_VALUE"""),"Octavian")</f>
        <v>Octavian</v>
      </c>
      <c r="T668" s="7" t="str">
        <f ca="1">IFERROR(__xludf.DUMMYFUNCTION("""COMPUTED_VALUE"""),"http://www.ms.ro/2020/06/29/buletin-informativ-28-06-2020-2/")</f>
        <v>http://www.ms.ro/2020/06/29/buletin-informativ-28-06-2020-2/</v>
      </c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2.5">
      <c r="A669" s="5">
        <f ca="1">IFERROR(__xludf.DUMMYFUNCTION("""COMPUTED_VALUE"""),27343)</f>
        <v>27343</v>
      </c>
      <c r="B669" s="5"/>
      <c r="C669" s="5" t="str">
        <f ca="1">IFERROR(__xludf.DUMMYFUNCTION("""COMPUTED_VALUE"""),"Bihor")</f>
        <v>Bihor</v>
      </c>
      <c r="D669" s="13">
        <f ca="1">IFERROR(__xludf.DUMMYFUNCTION("""COMPUTED_VALUE"""),44014)</f>
        <v>44014</v>
      </c>
      <c r="E669" s="5" t="str">
        <f ca="1">IFERROR(__xludf.DUMMYFUNCTION("""COMPUTED_VALUE"""),"Nu")</f>
        <v>Nu</v>
      </c>
      <c r="F669" s="5"/>
      <c r="G669" s="5"/>
      <c r="H669" s="6"/>
      <c r="I669" s="5" t="str">
        <f ca="1">IFERROR(__xludf.DUMMYFUNCTION("""COMPUTED_VALUE"""),"Masculin")</f>
        <v>Masculin</v>
      </c>
      <c r="J669" s="5"/>
      <c r="K669" s="7" t="str">
        <f ca="1">IFERROR(__xludf.DUMMYFUNCTION("""COMPUTED_VALUE"""),"https://www.ebihoreanul.ro/stiri/inca-doi-bihoreni-confirmati-cu-coronavirus-intre-care-un-pacient-oncologic-si-altul-cu-afectiuni-pulmonare-157379.html")</f>
        <v>https://www.ebihoreanul.ro/stiri/inca-doi-bihoreni-confirmati-cu-coronavirus-intre-care-un-pacient-oncologic-si-altul-cu-afectiuni-pulmonare-157379.html</v>
      </c>
      <c r="L669" s="5"/>
      <c r="M669" s="5" t="str">
        <f ca="1">IFERROR(__xludf.DUMMYFUNCTION("""COMPUTED_VALUE"""),"Oradea")</f>
        <v>Oradea</v>
      </c>
      <c r="N669" s="5" t="str">
        <f ca="1">IFERROR(__xludf.DUMMYFUNCTION("""COMPUTED_VALUE"""),"Nu")</f>
        <v>Nu</v>
      </c>
      <c r="O669" s="5" t="str">
        <f ca="1">IFERROR(__xludf.DUMMYFUNCTION("""COMPUTED_VALUE"""),"Afecțiuni pulmonare")</f>
        <v>Afecțiuni pulmonare</v>
      </c>
      <c r="P669" s="5" t="str">
        <f ca="1">IFERROR(__xludf.DUMMYFUNCTION("""COMPUTED_VALUE"""),"Internat SM inițial pe secția pneumonologie și apoi datprită agravării pe ATI.")</f>
        <v>Internat SM inițial pe secția pneumonologie și apoi datprită agravării pe ATI.</v>
      </c>
      <c r="Q669" s="5"/>
      <c r="R669" s="5" t="str">
        <f ca="1">IFERROR(__xludf.DUMMYFUNCTION("""COMPUTED_VALUE"""),"România")</f>
        <v>România</v>
      </c>
      <c r="S669" s="5" t="str">
        <f ca="1">IFERROR(__xludf.DUMMYFUNCTION("""COMPUTED_VALUE"""),"Octavian")</f>
        <v>Octavian</v>
      </c>
      <c r="T669" s="7" t="str">
        <f ca="1">IFERROR(__xludf.DUMMYFUNCTION("""COMPUTED_VALUE"""),"http://www.ms.ro/2020/07/02/buletin-informativ-02-07-2020/")</f>
        <v>http://www.ms.ro/2020/07/02/buletin-informativ-02-07-2020/</v>
      </c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ht="12.5">
      <c r="A670" s="5">
        <f ca="1">IFERROR(__xludf.DUMMYFUNCTION("""COMPUTED_VALUE"""),27344)</f>
        <v>27344</v>
      </c>
      <c r="B670" s="5"/>
      <c r="C670" s="5" t="str">
        <f ca="1">IFERROR(__xludf.DUMMYFUNCTION("""COMPUTED_VALUE"""),"Bihor")</f>
        <v>Bihor</v>
      </c>
      <c r="D670" s="13">
        <f ca="1">IFERROR(__xludf.DUMMYFUNCTION("""COMPUTED_VALUE"""),44014)</f>
        <v>44014</v>
      </c>
      <c r="E670" s="5" t="str">
        <f ca="1">IFERROR(__xludf.DUMMYFUNCTION("""COMPUTED_VALUE"""),"Nu")</f>
        <v>Nu</v>
      </c>
      <c r="F670" s="5"/>
      <c r="G670" s="5"/>
      <c r="H670" s="6"/>
      <c r="I670" s="5" t="str">
        <f ca="1">IFERROR(__xludf.DUMMYFUNCTION("""COMPUTED_VALUE"""),"Feminin")</f>
        <v>Feminin</v>
      </c>
      <c r="J670" s="5"/>
      <c r="K670" s="7" t="str">
        <f ca="1">IFERROR(__xludf.DUMMYFUNCTION("""COMPUTED_VALUE"""),"https://www.ebihoreanul.ro/stiri/inca-doi-bihoreni-confirmati-cu-coronavirus-intre-care-un-pacient-oncologic-si-altul-cu-afectiuni-pulmonare-157379.html")</f>
        <v>https://www.ebihoreanul.ro/stiri/inca-doi-bihoreni-confirmati-cu-coronavirus-intre-care-un-pacient-oncologic-si-altul-cu-afectiuni-pulmonare-157379.html</v>
      </c>
      <c r="L670" s="5"/>
      <c r="M670" s="5" t="str">
        <f ca="1">IFERROR(__xludf.DUMMYFUNCTION("""COMPUTED_VALUE"""),"Oradea")</f>
        <v>Oradea</v>
      </c>
      <c r="N670" s="5"/>
      <c r="O670" s="5" t="str">
        <f ca="1">IFERROR(__xludf.DUMMYFUNCTION("""COMPUTED_VALUE"""),"Oncologice")</f>
        <v>Oncologice</v>
      </c>
      <c r="P670" s="5" t="str">
        <f ca="1">IFERROR(__xludf.DUMMYFUNCTION("""COMPUTED_VALUE"""),"Internată SM-SBI.")</f>
        <v>Internată SM-SBI.</v>
      </c>
      <c r="Q670" s="5"/>
      <c r="R670" s="5" t="str">
        <f ca="1">IFERROR(__xludf.DUMMYFUNCTION("""COMPUTED_VALUE"""),"România")</f>
        <v>România</v>
      </c>
      <c r="S670" s="5" t="str">
        <f ca="1">IFERROR(__xludf.DUMMYFUNCTION("""COMPUTED_VALUE"""),"Octavian")</f>
        <v>Octavian</v>
      </c>
      <c r="T670" s="7" t="str">
        <f ca="1">IFERROR(__xludf.DUMMYFUNCTION("""COMPUTED_VALUE"""),"http://www.ms.ro/2020/07/02/buletin-informativ-02-07-2020/")</f>
        <v>http://www.ms.ro/2020/07/02/buletin-informativ-02-07-2020/</v>
      </c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2.5">
      <c r="A671" s="5">
        <f ca="1">IFERROR(__xludf.DUMMYFUNCTION("""COMPUTED_VALUE"""),28205)</f>
        <v>28205</v>
      </c>
      <c r="B671" s="5"/>
      <c r="C671" s="5" t="str">
        <f ca="1">IFERROR(__xludf.DUMMYFUNCTION("""COMPUTED_VALUE"""),"Bihor")</f>
        <v>Bihor</v>
      </c>
      <c r="D671" s="13">
        <f ca="1">IFERROR(__xludf.DUMMYFUNCTION("""COMPUTED_VALUE"""),44016)</f>
        <v>44016</v>
      </c>
      <c r="E671" s="5" t="str">
        <f ca="1">IFERROR(__xludf.DUMMYFUNCTION("""COMPUTED_VALUE"""),"Nu")</f>
        <v>Nu</v>
      </c>
      <c r="F671" s="5"/>
      <c r="G671" s="5"/>
      <c r="H671" s="6"/>
      <c r="I671" s="5"/>
      <c r="J671" s="5"/>
      <c r="K671" s="7" t="str">
        <f ca="1">IFERROR(__xludf.DUMMYFUNCTION("""COMPUTED_VALUE"""),"https://stirioficiale.ro/informatii/buletin-de-presa-4-iulie-2020-ora-13-00")</f>
        <v>https://stirioficiale.ro/informatii/buletin-de-presa-4-iulie-2020-ora-13-00</v>
      </c>
      <c r="L671" s="5"/>
      <c r="M671" s="5"/>
      <c r="N671" s="5"/>
      <c r="O671" s="5"/>
      <c r="P671" s="5"/>
      <c r="Q671" s="5"/>
      <c r="R671" s="5" t="str">
        <f ca="1">IFERROR(__xludf.DUMMYFUNCTION("""COMPUTED_VALUE"""),"România")</f>
        <v>România</v>
      </c>
      <c r="S671" s="5" t="str">
        <f ca="1">IFERROR(__xludf.DUMMYFUNCTION("""COMPUTED_VALUE"""),"Octavian")</f>
        <v>Octavian</v>
      </c>
      <c r="T671" s="7" t="str">
        <f ca="1">IFERROR(__xludf.DUMMYFUNCTION("""COMPUTED_VALUE"""),"http://www.ms.ro/2020/07/04/buletin-informativ-04-07-2020/")</f>
        <v>http://www.ms.ro/2020/07/04/buletin-informativ-04-07-2020/</v>
      </c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ht="12.5">
      <c r="A672" s="5">
        <f ca="1">IFERROR(__xludf.DUMMYFUNCTION("""COMPUTED_VALUE"""),28206)</f>
        <v>28206</v>
      </c>
      <c r="B672" s="5"/>
      <c r="C672" s="5" t="str">
        <f ca="1">IFERROR(__xludf.DUMMYFUNCTION("""COMPUTED_VALUE"""),"Bihor")</f>
        <v>Bihor</v>
      </c>
      <c r="D672" s="13">
        <f ca="1">IFERROR(__xludf.DUMMYFUNCTION("""COMPUTED_VALUE"""),44016)</f>
        <v>44016</v>
      </c>
      <c r="E672" s="5" t="str">
        <f ca="1">IFERROR(__xludf.DUMMYFUNCTION("""COMPUTED_VALUE"""),"Nu")</f>
        <v>Nu</v>
      </c>
      <c r="F672" s="5"/>
      <c r="G672" s="5"/>
      <c r="H672" s="6"/>
      <c r="I672" s="5"/>
      <c r="J672" s="5"/>
      <c r="K672" s="7" t="str">
        <f ca="1">IFERROR(__xludf.DUMMYFUNCTION("""COMPUTED_VALUE"""),"https://stirioficiale.ro/informatii/buletin-de-presa-4-iulie-2020-ora-13-00")</f>
        <v>https://stirioficiale.ro/informatii/buletin-de-presa-4-iulie-2020-ora-13-00</v>
      </c>
      <c r="L672" s="5"/>
      <c r="M672" s="5"/>
      <c r="N672" s="5"/>
      <c r="O672" s="5"/>
      <c r="P672" s="5"/>
      <c r="Q672" s="5"/>
      <c r="R672" s="5" t="str">
        <f ca="1">IFERROR(__xludf.DUMMYFUNCTION("""COMPUTED_VALUE"""),"România")</f>
        <v>România</v>
      </c>
      <c r="S672" s="5" t="str">
        <f ca="1">IFERROR(__xludf.DUMMYFUNCTION("""COMPUTED_VALUE"""),"Octavian")</f>
        <v>Octavian</v>
      </c>
      <c r="T672" s="7" t="str">
        <f ca="1">IFERROR(__xludf.DUMMYFUNCTION("""COMPUTED_VALUE"""),"http://www.ms.ro/2020/07/04/buletin-informativ-04-07-2020/")</f>
        <v>http://www.ms.ro/2020/07/04/buletin-informativ-04-07-2020/</v>
      </c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2.5">
      <c r="A673" s="5">
        <f ca="1">IFERROR(__xludf.DUMMYFUNCTION("""COMPUTED_VALUE"""),28207)</f>
        <v>28207</v>
      </c>
      <c r="B673" s="5"/>
      <c r="C673" s="5" t="str">
        <f ca="1">IFERROR(__xludf.DUMMYFUNCTION("""COMPUTED_VALUE"""),"Bihor")</f>
        <v>Bihor</v>
      </c>
      <c r="D673" s="13">
        <f ca="1">IFERROR(__xludf.DUMMYFUNCTION("""COMPUTED_VALUE"""),44016)</f>
        <v>44016</v>
      </c>
      <c r="E673" s="5" t="str">
        <f ca="1">IFERROR(__xludf.DUMMYFUNCTION("""COMPUTED_VALUE"""),"Nu")</f>
        <v>Nu</v>
      </c>
      <c r="F673" s="5"/>
      <c r="G673" s="5"/>
      <c r="H673" s="6"/>
      <c r="I673" s="5"/>
      <c r="J673" s="5"/>
      <c r="K673" s="7" t="str">
        <f ca="1">IFERROR(__xludf.DUMMYFUNCTION("""COMPUTED_VALUE"""),"https://stirioficiale.ro/informatii/buletin-de-presa-4-iulie-2020-ora-13-00")</f>
        <v>https://stirioficiale.ro/informatii/buletin-de-presa-4-iulie-2020-ora-13-00</v>
      </c>
      <c r="L673" s="5"/>
      <c r="M673" s="5"/>
      <c r="N673" s="5"/>
      <c r="O673" s="5"/>
      <c r="P673" s="5"/>
      <c r="Q673" s="5"/>
      <c r="R673" s="5" t="str">
        <f ca="1">IFERROR(__xludf.DUMMYFUNCTION("""COMPUTED_VALUE"""),"România")</f>
        <v>România</v>
      </c>
      <c r="S673" s="5" t="str">
        <f ca="1">IFERROR(__xludf.DUMMYFUNCTION("""COMPUTED_VALUE"""),"Octavian")</f>
        <v>Octavian</v>
      </c>
      <c r="T673" s="7" t="str">
        <f ca="1">IFERROR(__xludf.DUMMYFUNCTION("""COMPUTED_VALUE"""),"http://www.ms.ro/2020/07/04/buletin-informativ-04-07-2020/")</f>
        <v>http://www.ms.ro/2020/07/04/buletin-informativ-04-07-2020/</v>
      </c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ht="12.5">
      <c r="A674" s="5">
        <f ca="1">IFERROR(__xludf.DUMMYFUNCTION("""COMPUTED_VALUE"""),28208)</f>
        <v>28208</v>
      </c>
      <c r="B674" s="5"/>
      <c r="C674" s="5" t="str">
        <f ca="1">IFERROR(__xludf.DUMMYFUNCTION("""COMPUTED_VALUE"""),"Bihor")</f>
        <v>Bihor</v>
      </c>
      <c r="D674" s="13">
        <f ca="1">IFERROR(__xludf.DUMMYFUNCTION("""COMPUTED_VALUE"""),44016)</f>
        <v>44016</v>
      </c>
      <c r="E674" s="5" t="str">
        <f ca="1">IFERROR(__xludf.DUMMYFUNCTION("""COMPUTED_VALUE"""),"Nu")</f>
        <v>Nu</v>
      </c>
      <c r="F674" s="5"/>
      <c r="G674" s="5"/>
      <c r="H674" s="6"/>
      <c r="I674" s="5"/>
      <c r="J674" s="5"/>
      <c r="K674" s="7" t="str">
        <f ca="1">IFERROR(__xludf.DUMMYFUNCTION("""COMPUTED_VALUE"""),"https://stirioficiale.ro/informatii/buletin-de-presa-4-iulie-2020-ora-13-00")</f>
        <v>https://stirioficiale.ro/informatii/buletin-de-presa-4-iulie-2020-ora-13-00</v>
      </c>
      <c r="L674" s="5"/>
      <c r="M674" s="5"/>
      <c r="N674" s="5"/>
      <c r="O674" s="5"/>
      <c r="P674" s="5"/>
      <c r="Q674" s="5"/>
      <c r="R674" s="5" t="str">
        <f ca="1">IFERROR(__xludf.DUMMYFUNCTION("""COMPUTED_VALUE"""),"România")</f>
        <v>România</v>
      </c>
      <c r="S674" s="5" t="str">
        <f ca="1">IFERROR(__xludf.DUMMYFUNCTION("""COMPUTED_VALUE"""),"Octavian")</f>
        <v>Octavian</v>
      </c>
      <c r="T674" s="7" t="str">
        <f ca="1">IFERROR(__xludf.DUMMYFUNCTION("""COMPUTED_VALUE"""),"http://www.ms.ro/2020/07/04/buletin-informativ-04-07-2020/")</f>
        <v>http://www.ms.ro/2020/07/04/buletin-informativ-04-07-2020/</v>
      </c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2.5">
      <c r="A675" s="5">
        <f ca="1">IFERROR(__xludf.DUMMYFUNCTION("""COMPUTED_VALUE"""),28209)</f>
        <v>28209</v>
      </c>
      <c r="B675" s="5"/>
      <c r="C675" s="5" t="str">
        <f ca="1">IFERROR(__xludf.DUMMYFUNCTION("""COMPUTED_VALUE"""),"Bihor")</f>
        <v>Bihor</v>
      </c>
      <c r="D675" s="13">
        <f ca="1">IFERROR(__xludf.DUMMYFUNCTION("""COMPUTED_VALUE"""),44016)</f>
        <v>44016</v>
      </c>
      <c r="E675" s="5" t="str">
        <f ca="1">IFERROR(__xludf.DUMMYFUNCTION("""COMPUTED_VALUE"""),"Nu")</f>
        <v>Nu</v>
      </c>
      <c r="F675" s="5"/>
      <c r="G675" s="5"/>
      <c r="H675" s="6"/>
      <c r="I675" s="5"/>
      <c r="J675" s="5"/>
      <c r="K675" s="7" t="str">
        <f ca="1">IFERROR(__xludf.DUMMYFUNCTION("""COMPUTED_VALUE"""),"https://stirioficiale.ro/informatii/buletin-de-presa-4-iulie-2020-ora-13-00")</f>
        <v>https://stirioficiale.ro/informatii/buletin-de-presa-4-iulie-2020-ora-13-00</v>
      </c>
      <c r="L675" s="5"/>
      <c r="M675" s="5"/>
      <c r="N675" s="5"/>
      <c r="O675" s="5"/>
      <c r="P675" s="5"/>
      <c r="Q675" s="5"/>
      <c r="R675" s="5" t="str">
        <f ca="1">IFERROR(__xludf.DUMMYFUNCTION("""COMPUTED_VALUE"""),"România")</f>
        <v>România</v>
      </c>
      <c r="S675" s="5" t="str">
        <f ca="1">IFERROR(__xludf.DUMMYFUNCTION("""COMPUTED_VALUE"""),"Octavian")</f>
        <v>Octavian</v>
      </c>
      <c r="T675" s="7" t="str">
        <f ca="1">IFERROR(__xludf.DUMMYFUNCTION("""COMPUTED_VALUE"""),"http://www.ms.ro/2020/07/04/buletin-informativ-04-07-2020/")</f>
        <v>http://www.ms.ro/2020/07/04/buletin-informativ-04-07-2020/</v>
      </c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ht="12.5">
      <c r="A676" s="5">
        <f ca="1">IFERROR(__xludf.DUMMYFUNCTION("""COMPUTED_VALUE"""),28210)</f>
        <v>28210</v>
      </c>
      <c r="B676" s="5"/>
      <c r="C676" s="5" t="str">
        <f ca="1">IFERROR(__xludf.DUMMYFUNCTION("""COMPUTED_VALUE"""),"Bihor")</f>
        <v>Bihor</v>
      </c>
      <c r="D676" s="13">
        <f ca="1">IFERROR(__xludf.DUMMYFUNCTION("""COMPUTED_VALUE"""),44016)</f>
        <v>44016</v>
      </c>
      <c r="E676" s="5" t="str">
        <f ca="1">IFERROR(__xludf.DUMMYFUNCTION("""COMPUTED_VALUE"""),"Nu")</f>
        <v>Nu</v>
      </c>
      <c r="F676" s="5"/>
      <c r="G676" s="5"/>
      <c r="H676" s="6"/>
      <c r="I676" s="5"/>
      <c r="J676" s="5"/>
      <c r="K676" s="7" t="str">
        <f ca="1">IFERROR(__xludf.DUMMYFUNCTION("""COMPUTED_VALUE"""),"https://stirioficiale.ro/informatii/buletin-de-presa-4-iulie-2020-ora-13-00")</f>
        <v>https://stirioficiale.ro/informatii/buletin-de-presa-4-iulie-2020-ora-13-00</v>
      </c>
      <c r="L676" s="5"/>
      <c r="M676" s="5"/>
      <c r="N676" s="5"/>
      <c r="O676" s="5"/>
      <c r="P676" s="5"/>
      <c r="Q676" s="5"/>
      <c r="R676" s="5" t="str">
        <f ca="1">IFERROR(__xludf.DUMMYFUNCTION("""COMPUTED_VALUE"""),"România")</f>
        <v>România</v>
      </c>
      <c r="S676" s="5" t="str">
        <f ca="1">IFERROR(__xludf.DUMMYFUNCTION("""COMPUTED_VALUE"""),"Octavian")</f>
        <v>Octavian</v>
      </c>
      <c r="T676" s="7" t="str">
        <f ca="1">IFERROR(__xludf.DUMMYFUNCTION("""COMPUTED_VALUE"""),"http://www.ms.ro/2020/07/04/buletin-informativ-04-07-2020/")</f>
        <v>http://www.ms.ro/2020/07/04/buletin-informativ-04-07-2020/</v>
      </c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2.5">
      <c r="A677" s="5">
        <f ca="1">IFERROR(__xludf.DUMMYFUNCTION("""COMPUTED_VALUE"""),28637)</f>
        <v>28637</v>
      </c>
      <c r="B677" s="5"/>
      <c r="C677" s="5" t="str">
        <f ca="1">IFERROR(__xludf.DUMMYFUNCTION("""COMPUTED_VALUE"""),"Bihor")</f>
        <v>Bihor</v>
      </c>
      <c r="D677" s="13">
        <f ca="1">IFERROR(__xludf.DUMMYFUNCTION("""COMPUTED_VALUE"""),44017)</f>
        <v>44017</v>
      </c>
      <c r="E677" s="5" t="str">
        <f ca="1">IFERROR(__xludf.DUMMYFUNCTION("""COMPUTED_VALUE"""),"Nu")</f>
        <v>Nu</v>
      </c>
      <c r="F677" s="5"/>
      <c r="G677" s="5"/>
      <c r="H677" s="6"/>
      <c r="I677" s="5"/>
      <c r="J677" s="5"/>
      <c r="K677" s="7" t="str">
        <f ca="1">IFERROR(__xludf.DUMMYFUNCTION("""COMPUTED_VALUE"""),"https://stirioficiale.ro/informatii/buletin-de-presa-5-iulie-2020-ora-13-00")</f>
        <v>https://stirioficiale.ro/informatii/buletin-de-presa-5-iulie-2020-ora-13-00</v>
      </c>
      <c r="L677" s="5"/>
      <c r="M677" s="5"/>
      <c r="N677" s="5"/>
      <c r="O677" s="5"/>
      <c r="P677" s="5"/>
      <c r="Q677" s="5"/>
      <c r="R677" s="5" t="str">
        <f ca="1">IFERROR(__xludf.DUMMYFUNCTION("""COMPUTED_VALUE"""),"România")</f>
        <v>România</v>
      </c>
      <c r="S677" s="5" t="str">
        <f ca="1">IFERROR(__xludf.DUMMYFUNCTION("""COMPUTED_VALUE"""),"Octavian")</f>
        <v>Octavian</v>
      </c>
      <c r="T677" s="7" t="str">
        <f ca="1">IFERROR(__xludf.DUMMYFUNCTION("""COMPUTED_VALUE"""),"http://www.ms.ro/2020/07/05/buletin-informativ-05-07-2020/")</f>
        <v>http://www.ms.ro/2020/07/05/buletin-informativ-05-07-2020/</v>
      </c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ht="12.5">
      <c r="A678" s="5">
        <f ca="1">IFERROR(__xludf.DUMMYFUNCTION("""COMPUTED_VALUE"""),28638)</f>
        <v>28638</v>
      </c>
      <c r="B678" s="5"/>
      <c r="C678" s="5" t="str">
        <f ca="1">IFERROR(__xludf.DUMMYFUNCTION("""COMPUTED_VALUE"""),"Bihor")</f>
        <v>Bihor</v>
      </c>
      <c r="D678" s="13">
        <f ca="1">IFERROR(__xludf.DUMMYFUNCTION("""COMPUTED_VALUE"""),44017)</f>
        <v>44017</v>
      </c>
      <c r="E678" s="5" t="str">
        <f ca="1">IFERROR(__xludf.DUMMYFUNCTION("""COMPUTED_VALUE"""),"Nu")</f>
        <v>Nu</v>
      </c>
      <c r="F678" s="5"/>
      <c r="G678" s="5"/>
      <c r="H678" s="6"/>
      <c r="I678" s="5"/>
      <c r="J678" s="5"/>
      <c r="K678" s="7" t="str">
        <f ca="1">IFERROR(__xludf.DUMMYFUNCTION("""COMPUTED_VALUE"""),"https://stirioficiale.ro/informatii/buletin-de-presa-5-iulie-2020-ora-13-00")</f>
        <v>https://stirioficiale.ro/informatii/buletin-de-presa-5-iulie-2020-ora-13-00</v>
      </c>
      <c r="L678" s="5"/>
      <c r="M678" s="5"/>
      <c r="N678" s="5"/>
      <c r="O678" s="5"/>
      <c r="P678" s="5"/>
      <c r="Q678" s="5"/>
      <c r="R678" s="5" t="str">
        <f ca="1">IFERROR(__xludf.DUMMYFUNCTION("""COMPUTED_VALUE"""),"România")</f>
        <v>România</v>
      </c>
      <c r="S678" s="5" t="str">
        <f ca="1">IFERROR(__xludf.DUMMYFUNCTION("""COMPUTED_VALUE"""),"Octavian")</f>
        <v>Octavian</v>
      </c>
      <c r="T678" s="7" t="str">
        <f ca="1">IFERROR(__xludf.DUMMYFUNCTION("""COMPUTED_VALUE"""),"http://www.ms.ro/2020/07/05/buletin-informativ-05-07-2020/")</f>
        <v>http://www.ms.ro/2020/07/05/buletin-informativ-05-07-2020/</v>
      </c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2.5">
      <c r="A679" s="5">
        <f ca="1">IFERROR(__xludf.DUMMYFUNCTION("""COMPUTED_VALUE"""),28639)</f>
        <v>28639</v>
      </c>
      <c r="B679" s="5"/>
      <c r="C679" s="5" t="str">
        <f ca="1">IFERROR(__xludf.DUMMYFUNCTION("""COMPUTED_VALUE"""),"Bihor")</f>
        <v>Bihor</v>
      </c>
      <c r="D679" s="13">
        <f ca="1">IFERROR(__xludf.DUMMYFUNCTION("""COMPUTED_VALUE"""),44017)</f>
        <v>44017</v>
      </c>
      <c r="E679" s="5" t="str">
        <f ca="1">IFERROR(__xludf.DUMMYFUNCTION("""COMPUTED_VALUE"""),"Nu")</f>
        <v>Nu</v>
      </c>
      <c r="F679" s="5"/>
      <c r="G679" s="5"/>
      <c r="H679" s="6"/>
      <c r="I679" s="5"/>
      <c r="J679" s="5"/>
      <c r="K679" s="7" t="str">
        <f ca="1">IFERROR(__xludf.DUMMYFUNCTION("""COMPUTED_VALUE"""),"https://stirioficiale.ro/informatii/buletin-de-presa-5-iulie-2020-ora-13-00")</f>
        <v>https://stirioficiale.ro/informatii/buletin-de-presa-5-iulie-2020-ora-13-00</v>
      </c>
      <c r="L679" s="5"/>
      <c r="M679" s="5"/>
      <c r="N679" s="5"/>
      <c r="O679" s="5"/>
      <c r="P679" s="5"/>
      <c r="Q679" s="5"/>
      <c r="R679" s="5" t="str">
        <f ca="1">IFERROR(__xludf.DUMMYFUNCTION("""COMPUTED_VALUE"""),"România")</f>
        <v>România</v>
      </c>
      <c r="S679" s="5" t="str">
        <f ca="1">IFERROR(__xludf.DUMMYFUNCTION("""COMPUTED_VALUE"""),"Octavian")</f>
        <v>Octavian</v>
      </c>
      <c r="T679" s="7" t="str">
        <f ca="1">IFERROR(__xludf.DUMMYFUNCTION("""COMPUTED_VALUE"""),"http://www.ms.ro/2020/07/05/buletin-informativ-05-07-2020/")</f>
        <v>http://www.ms.ro/2020/07/05/buletin-informativ-05-07-2020/</v>
      </c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ht="12.5">
      <c r="A680" s="5">
        <f ca="1">IFERROR(__xludf.DUMMYFUNCTION("""COMPUTED_VALUE"""),28640)</f>
        <v>28640</v>
      </c>
      <c r="B680" s="5"/>
      <c r="C680" s="5" t="str">
        <f ca="1">IFERROR(__xludf.DUMMYFUNCTION("""COMPUTED_VALUE"""),"Bihor")</f>
        <v>Bihor</v>
      </c>
      <c r="D680" s="13">
        <f ca="1">IFERROR(__xludf.DUMMYFUNCTION("""COMPUTED_VALUE"""),44017)</f>
        <v>44017</v>
      </c>
      <c r="E680" s="5" t="str">
        <f ca="1">IFERROR(__xludf.DUMMYFUNCTION("""COMPUTED_VALUE"""),"Nu")</f>
        <v>Nu</v>
      </c>
      <c r="F680" s="5"/>
      <c r="G680" s="5"/>
      <c r="H680" s="6"/>
      <c r="I680" s="5"/>
      <c r="J680" s="5"/>
      <c r="K680" s="7" t="str">
        <f ca="1">IFERROR(__xludf.DUMMYFUNCTION("""COMPUTED_VALUE"""),"https://stirioficiale.ro/informatii/buletin-de-presa-5-iulie-2020-ora-13-00")</f>
        <v>https://stirioficiale.ro/informatii/buletin-de-presa-5-iulie-2020-ora-13-00</v>
      </c>
      <c r="L680" s="5"/>
      <c r="M680" s="5"/>
      <c r="N680" s="5"/>
      <c r="O680" s="5"/>
      <c r="P680" s="5"/>
      <c r="Q680" s="5"/>
      <c r="R680" s="5" t="str">
        <f ca="1">IFERROR(__xludf.DUMMYFUNCTION("""COMPUTED_VALUE"""),"România")</f>
        <v>România</v>
      </c>
      <c r="S680" s="5" t="str">
        <f ca="1">IFERROR(__xludf.DUMMYFUNCTION("""COMPUTED_VALUE"""),"Octavian")</f>
        <v>Octavian</v>
      </c>
      <c r="T680" s="7" t="str">
        <f ca="1">IFERROR(__xludf.DUMMYFUNCTION("""COMPUTED_VALUE"""),"http://www.ms.ro/2020/07/05/buletin-informativ-05-07-2020/")</f>
        <v>http://www.ms.ro/2020/07/05/buletin-informativ-05-07-2020/</v>
      </c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2.5">
      <c r="A681" s="5">
        <f ca="1">IFERROR(__xludf.DUMMYFUNCTION("""COMPUTED_VALUE"""),28641)</f>
        <v>28641</v>
      </c>
      <c r="B681" s="5"/>
      <c r="C681" s="5" t="str">
        <f ca="1">IFERROR(__xludf.DUMMYFUNCTION("""COMPUTED_VALUE"""),"Bihor")</f>
        <v>Bihor</v>
      </c>
      <c r="D681" s="13">
        <f ca="1">IFERROR(__xludf.DUMMYFUNCTION("""COMPUTED_VALUE"""),44017)</f>
        <v>44017</v>
      </c>
      <c r="E681" s="5" t="str">
        <f ca="1">IFERROR(__xludf.DUMMYFUNCTION("""COMPUTED_VALUE"""),"Nu")</f>
        <v>Nu</v>
      </c>
      <c r="F681" s="5"/>
      <c r="G681" s="5"/>
      <c r="H681" s="6"/>
      <c r="I681" s="5"/>
      <c r="J681" s="5"/>
      <c r="K681" s="7" t="str">
        <f ca="1">IFERROR(__xludf.DUMMYFUNCTION("""COMPUTED_VALUE"""),"https://stirioficiale.ro/informatii/buletin-de-presa-5-iulie-2020-ora-13-00")</f>
        <v>https://stirioficiale.ro/informatii/buletin-de-presa-5-iulie-2020-ora-13-00</v>
      </c>
      <c r="L681" s="5"/>
      <c r="M681" s="5"/>
      <c r="N681" s="5"/>
      <c r="O681" s="5"/>
      <c r="P681" s="5"/>
      <c r="Q681" s="5"/>
      <c r="R681" s="5" t="str">
        <f ca="1">IFERROR(__xludf.DUMMYFUNCTION("""COMPUTED_VALUE"""),"România")</f>
        <v>România</v>
      </c>
      <c r="S681" s="5" t="str">
        <f ca="1">IFERROR(__xludf.DUMMYFUNCTION("""COMPUTED_VALUE"""),"Octavian")</f>
        <v>Octavian</v>
      </c>
      <c r="T681" s="7" t="str">
        <f ca="1">IFERROR(__xludf.DUMMYFUNCTION("""COMPUTED_VALUE"""),"http://www.ms.ro/2020/07/05/buletin-informativ-05-07-2020/")</f>
        <v>http://www.ms.ro/2020/07/05/buletin-informativ-05-07-2020/</v>
      </c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ht="12.5">
      <c r="A682" s="5">
        <f ca="1">IFERROR(__xludf.DUMMYFUNCTION("""COMPUTED_VALUE"""),28642)</f>
        <v>28642</v>
      </c>
      <c r="B682" s="5"/>
      <c r="C682" s="5" t="str">
        <f ca="1">IFERROR(__xludf.DUMMYFUNCTION("""COMPUTED_VALUE"""),"Bihor")</f>
        <v>Bihor</v>
      </c>
      <c r="D682" s="13">
        <f ca="1">IFERROR(__xludf.DUMMYFUNCTION("""COMPUTED_VALUE"""),44017)</f>
        <v>44017</v>
      </c>
      <c r="E682" s="5" t="str">
        <f ca="1">IFERROR(__xludf.DUMMYFUNCTION("""COMPUTED_VALUE"""),"Nu")</f>
        <v>Nu</v>
      </c>
      <c r="F682" s="5"/>
      <c r="G682" s="5"/>
      <c r="H682" s="6"/>
      <c r="I682" s="5"/>
      <c r="J682" s="5"/>
      <c r="K682" s="7" t="str">
        <f ca="1">IFERROR(__xludf.DUMMYFUNCTION("""COMPUTED_VALUE"""),"https://stirioficiale.ro/informatii/buletin-de-presa-5-iulie-2020-ora-13-00")</f>
        <v>https://stirioficiale.ro/informatii/buletin-de-presa-5-iulie-2020-ora-13-00</v>
      </c>
      <c r="L682" s="5"/>
      <c r="M682" s="5"/>
      <c r="N682" s="5"/>
      <c r="O682" s="5"/>
      <c r="P682" s="5"/>
      <c r="Q682" s="5"/>
      <c r="R682" s="5" t="str">
        <f ca="1">IFERROR(__xludf.DUMMYFUNCTION("""COMPUTED_VALUE"""),"România")</f>
        <v>România</v>
      </c>
      <c r="S682" s="5" t="str">
        <f ca="1">IFERROR(__xludf.DUMMYFUNCTION("""COMPUTED_VALUE"""),"Octavian")</f>
        <v>Octavian</v>
      </c>
      <c r="T682" s="7" t="str">
        <f ca="1">IFERROR(__xludf.DUMMYFUNCTION("""COMPUTED_VALUE"""),"http://www.ms.ro/2020/07/05/buletin-informativ-05-07-2020/")</f>
        <v>http://www.ms.ro/2020/07/05/buletin-informativ-05-07-2020/</v>
      </c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2.5">
      <c r="A683" s="5">
        <f ca="1">IFERROR(__xludf.DUMMYFUNCTION("""COMPUTED_VALUE"""),28643)</f>
        <v>28643</v>
      </c>
      <c r="B683" s="5"/>
      <c r="C683" s="5" t="str">
        <f ca="1">IFERROR(__xludf.DUMMYFUNCTION("""COMPUTED_VALUE"""),"Bihor")</f>
        <v>Bihor</v>
      </c>
      <c r="D683" s="13">
        <f ca="1">IFERROR(__xludf.DUMMYFUNCTION("""COMPUTED_VALUE"""),44017)</f>
        <v>44017</v>
      </c>
      <c r="E683" s="5" t="str">
        <f ca="1">IFERROR(__xludf.DUMMYFUNCTION("""COMPUTED_VALUE"""),"Nu")</f>
        <v>Nu</v>
      </c>
      <c r="F683" s="5"/>
      <c r="G683" s="5"/>
      <c r="H683" s="6"/>
      <c r="I683" s="5"/>
      <c r="J683" s="5"/>
      <c r="K683" s="7" t="str">
        <f ca="1">IFERROR(__xludf.DUMMYFUNCTION("""COMPUTED_VALUE"""),"https://stirioficiale.ro/informatii/buletin-de-presa-5-iulie-2020-ora-13-00")</f>
        <v>https://stirioficiale.ro/informatii/buletin-de-presa-5-iulie-2020-ora-13-00</v>
      </c>
      <c r="L683" s="5"/>
      <c r="M683" s="5"/>
      <c r="N683" s="5"/>
      <c r="O683" s="5"/>
      <c r="P683" s="5"/>
      <c r="Q683" s="5"/>
      <c r="R683" s="5" t="str">
        <f ca="1">IFERROR(__xludf.DUMMYFUNCTION("""COMPUTED_VALUE"""),"România")</f>
        <v>România</v>
      </c>
      <c r="S683" s="5" t="str">
        <f ca="1">IFERROR(__xludf.DUMMYFUNCTION("""COMPUTED_VALUE"""),"Octavian")</f>
        <v>Octavian</v>
      </c>
      <c r="T683" s="7" t="str">
        <f ca="1">IFERROR(__xludf.DUMMYFUNCTION("""COMPUTED_VALUE"""),"http://www.ms.ro/2020/07/05/buletin-informativ-05-07-2020/")</f>
        <v>http://www.ms.ro/2020/07/05/buletin-informativ-05-07-2020/</v>
      </c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ht="12.5">
      <c r="A684" s="5">
        <f ca="1">IFERROR(__xludf.DUMMYFUNCTION("""COMPUTED_VALUE"""),28644)</f>
        <v>28644</v>
      </c>
      <c r="B684" s="5"/>
      <c r="C684" s="5" t="str">
        <f ca="1">IFERROR(__xludf.DUMMYFUNCTION("""COMPUTED_VALUE"""),"Bihor")</f>
        <v>Bihor</v>
      </c>
      <c r="D684" s="13">
        <f ca="1">IFERROR(__xludf.DUMMYFUNCTION("""COMPUTED_VALUE"""),44017)</f>
        <v>44017</v>
      </c>
      <c r="E684" s="5" t="str">
        <f ca="1">IFERROR(__xludf.DUMMYFUNCTION("""COMPUTED_VALUE"""),"Nu")</f>
        <v>Nu</v>
      </c>
      <c r="F684" s="5"/>
      <c r="G684" s="5"/>
      <c r="H684" s="6"/>
      <c r="I684" s="5"/>
      <c r="J684" s="5"/>
      <c r="K684" s="7" t="str">
        <f ca="1">IFERROR(__xludf.DUMMYFUNCTION("""COMPUTED_VALUE"""),"https://stirioficiale.ro/informatii/buletin-de-presa-5-iulie-2020-ora-13-00")</f>
        <v>https://stirioficiale.ro/informatii/buletin-de-presa-5-iulie-2020-ora-13-00</v>
      </c>
      <c r="L684" s="5"/>
      <c r="M684" s="5"/>
      <c r="N684" s="5"/>
      <c r="O684" s="5"/>
      <c r="P684" s="5"/>
      <c r="Q684" s="5"/>
      <c r="R684" s="5" t="str">
        <f ca="1">IFERROR(__xludf.DUMMYFUNCTION("""COMPUTED_VALUE"""),"România")</f>
        <v>România</v>
      </c>
      <c r="S684" s="5" t="str">
        <f ca="1">IFERROR(__xludf.DUMMYFUNCTION("""COMPUTED_VALUE"""),"Octavian")</f>
        <v>Octavian</v>
      </c>
      <c r="T684" s="7" t="str">
        <f ca="1">IFERROR(__xludf.DUMMYFUNCTION("""COMPUTED_VALUE"""),"http://www.ms.ro/2020/07/05/buletin-informativ-05-07-2020/")</f>
        <v>http://www.ms.ro/2020/07/05/buletin-informativ-05-07-2020/</v>
      </c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2.5">
      <c r="A685" s="5">
        <f ca="1">IFERROR(__xludf.DUMMYFUNCTION("""COMPUTED_VALUE"""),28645)</f>
        <v>28645</v>
      </c>
      <c r="B685" s="5"/>
      <c r="C685" s="5" t="str">
        <f ca="1">IFERROR(__xludf.DUMMYFUNCTION("""COMPUTED_VALUE"""),"Bihor")</f>
        <v>Bihor</v>
      </c>
      <c r="D685" s="13">
        <f ca="1">IFERROR(__xludf.DUMMYFUNCTION("""COMPUTED_VALUE"""),44017)</f>
        <v>44017</v>
      </c>
      <c r="E685" s="5" t="str">
        <f ca="1">IFERROR(__xludf.DUMMYFUNCTION("""COMPUTED_VALUE"""),"Nu")</f>
        <v>Nu</v>
      </c>
      <c r="F685" s="5"/>
      <c r="G685" s="5"/>
      <c r="H685" s="6"/>
      <c r="I685" s="5"/>
      <c r="J685" s="5"/>
      <c r="K685" s="7" t="str">
        <f ca="1">IFERROR(__xludf.DUMMYFUNCTION("""COMPUTED_VALUE"""),"https://stirioficiale.ro/informatii/buletin-de-presa-5-iulie-2020-ora-13-00")</f>
        <v>https://stirioficiale.ro/informatii/buletin-de-presa-5-iulie-2020-ora-13-00</v>
      </c>
      <c r="L685" s="5"/>
      <c r="M685" s="5"/>
      <c r="N685" s="5"/>
      <c r="O685" s="5"/>
      <c r="P685" s="5"/>
      <c r="Q685" s="5"/>
      <c r="R685" s="5" t="str">
        <f ca="1">IFERROR(__xludf.DUMMYFUNCTION("""COMPUTED_VALUE"""),"România")</f>
        <v>România</v>
      </c>
      <c r="S685" s="5" t="str">
        <f ca="1">IFERROR(__xludf.DUMMYFUNCTION("""COMPUTED_VALUE"""),"Octavian")</f>
        <v>Octavian</v>
      </c>
      <c r="T685" s="7" t="str">
        <f ca="1">IFERROR(__xludf.DUMMYFUNCTION("""COMPUTED_VALUE"""),"http://www.ms.ro/2020/07/05/buletin-informativ-05-07-2020/")</f>
        <v>http://www.ms.ro/2020/07/05/buletin-informativ-05-07-2020/</v>
      </c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ht="12.5">
      <c r="A686" s="5">
        <f ca="1">IFERROR(__xludf.DUMMYFUNCTION("""COMPUTED_VALUE"""),28646)</f>
        <v>28646</v>
      </c>
      <c r="B686" s="5"/>
      <c r="C686" s="5" t="str">
        <f ca="1">IFERROR(__xludf.DUMMYFUNCTION("""COMPUTED_VALUE"""),"Bihor")</f>
        <v>Bihor</v>
      </c>
      <c r="D686" s="13">
        <f ca="1">IFERROR(__xludf.DUMMYFUNCTION("""COMPUTED_VALUE"""),44017)</f>
        <v>44017</v>
      </c>
      <c r="E686" s="5" t="str">
        <f ca="1">IFERROR(__xludf.DUMMYFUNCTION("""COMPUTED_VALUE"""),"Nu")</f>
        <v>Nu</v>
      </c>
      <c r="F686" s="5"/>
      <c r="G686" s="5"/>
      <c r="H686" s="6"/>
      <c r="I686" s="5"/>
      <c r="J686" s="5"/>
      <c r="K686" s="7" t="str">
        <f ca="1">IFERROR(__xludf.DUMMYFUNCTION("""COMPUTED_VALUE"""),"https://stirioficiale.ro/informatii/buletin-de-presa-5-iulie-2020-ora-13-00")</f>
        <v>https://stirioficiale.ro/informatii/buletin-de-presa-5-iulie-2020-ora-13-00</v>
      </c>
      <c r="L686" s="5"/>
      <c r="M686" s="5"/>
      <c r="N686" s="5"/>
      <c r="O686" s="5"/>
      <c r="P686" s="5"/>
      <c r="Q686" s="5"/>
      <c r="R686" s="5" t="str">
        <f ca="1">IFERROR(__xludf.DUMMYFUNCTION("""COMPUTED_VALUE"""),"România")</f>
        <v>România</v>
      </c>
      <c r="S686" s="5" t="str">
        <f ca="1">IFERROR(__xludf.DUMMYFUNCTION("""COMPUTED_VALUE"""),"Octavian")</f>
        <v>Octavian</v>
      </c>
      <c r="T686" s="7" t="str">
        <f ca="1">IFERROR(__xludf.DUMMYFUNCTION("""COMPUTED_VALUE"""),"http://www.ms.ro/2020/07/05/buletin-informativ-05-07-2020/")</f>
        <v>http://www.ms.ro/2020/07/05/buletin-informativ-05-07-2020/</v>
      </c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2.5">
      <c r="A687" s="5">
        <f ca="1">IFERROR(__xludf.DUMMYFUNCTION("""COMPUTED_VALUE"""),28647)</f>
        <v>28647</v>
      </c>
      <c r="B687" s="5"/>
      <c r="C687" s="5" t="str">
        <f ca="1">IFERROR(__xludf.DUMMYFUNCTION("""COMPUTED_VALUE"""),"Bihor")</f>
        <v>Bihor</v>
      </c>
      <c r="D687" s="13">
        <f ca="1">IFERROR(__xludf.DUMMYFUNCTION("""COMPUTED_VALUE"""),44017)</f>
        <v>44017</v>
      </c>
      <c r="E687" s="5" t="str">
        <f ca="1">IFERROR(__xludf.DUMMYFUNCTION("""COMPUTED_VALUE"""),"Nu")</f>
        <v>Nu</v>
      </c>
      <c r="F687" s="5"/>
      <c r="G687" s="5"/>
      <c r="H687" s="6"/>
      <c r="I687" s="5"/>
      <c r="J687" s="5"/>
      <c r="K687" s="7" t="str">
        <f ca="1">IFERROR(__xludf.DUMMYFUNCTION("""COMPUTED_VALUE"""),"https://stirioficiale.ro/informatii/buletin-de-presa-5-iulie-2020-ora-13-00")</f>
        <v>https://stirioficiale.ro/informatii/buletin-de-presa-5-iulie-2020-ora-13-00</v>
      </c>
      <c r="L687" s="5"/>
      <c r="M687" s="5"/>
      <c r="N687" s="5"/>
      <c r="O687" s="5"/>
      <c r="P687" s="5"/>
      <c r="Q687" s="5"/>
      <c r="R687" s="5" t="str">
        <f ca="1">IFERROR(__xludf.DUMMYFUNCTION("""COMPUTED_VALUE"""),"România")</f>
        <v>România</v>
      </c>
      <c r="S687" s="5" t="str">
        <f ca="1">IFERROR(__xludf.DUMMYFUNCTION("""COMPUTED_VALUE"""),"Octavian")</f>
        <v>Octavian</v>
      </c>
      <c r="T687" s="7" t="str">
        <f ca="1">IFERROR(__xludf.DUMMYFUNCTION("""COMPUTED_VALUE"""),"http://www.ms.ro/2020/07/05/buletin-informativ-05-07-2020/")</f>
        <v>http://www.ms.ro/2020/07/05/buletin-informativ-05-07-2020/</v>
      </c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ht="12.5">
      <c r="A688" s="5">
        <f ca="1">IFERROR(__xludf.DUMMYFUNCTION("""COMPUTED_VALUE"""),28648)</f>
        <v>28648</v>
      </c>
      <c r="B688" s="5"/>
      <c r="C688" s="5" t="str">
        <f ca="1">IFERROR(__xludf.DUMMYFUNCTION("""COMPUTED_VALUE"""),"Bihor")</f>
        <v>Bihor</v>
      </c>
      <c r="D688" s="13">
        <f ca="1">IFERROR(__xludf.DUMMYFUNCTION("""COMPUTED_VALUE"""),44017)</f>
        <v>44017</v>
      </c>
      <c r="E688" s="5" t="str">
        <f ca="1">IFERROR(__xludf.DUMMYFUNCTION("""COMPUTED_VALUE"""),"Nu")</f>
        <v>Nu</v>
      </c>
      <c r="F688" s="5"/>
      <c r="G688" s="5"/>
      <c r="H688" s="6"/>
      <c r="I688" s="5"/>
      <c r="J688" s="5"/>
      <c r="K688" s="7" t="str">
        <f ca="1">IFERROR(__xludf.DUMMYFUNCTION("""COMPUTED_VALUE"""),"https://stirioficiale.ro/informatii/buletin-de-presa-5-iulie-2020-ora-13-00")</f>
        <v>https://stirioficiale.ro/informatii/buletin-de-presa-5-iulie-2020-ora-13-00</v>
      </c>
      <c r="L688" s="5"/>
      <c r="M688" s="5"/>
      <c r="N688" s="5"/>
      <c r="O688" s="5"/>
      <c r="P688" s="5"/>
      <c r="Q688" s="5"/>
      <c r="R688" s="5" t="str">
        <f ca="1">IFERROR(__xludf.DUMMYFUNCTION("""COMPUTED_VALUE"""),"România")</f>
        <v>România</v>
      </c>
      <c r="S688" s="5" t="str">
        <f ca="1">IFERROR(__xludf.DUMMYFUNCTION("""COMPUTED_VALUE"""),"Octavian")</f>
        <v>Octavian</v>
      </c>
      <c r="T688" s="7" t="str">
        <f ca="1">IFERROR(__xludf.DUMMYFUNCTION("""COMPUTED_VALUE"""),"http://www.ms.ro/2020/07/05/buletin-informativ-05-07-2020/")</f>
        <v>http://www.ms.ro/2020/07/05/buletin-informativ-05-07-2020/</v>
      </c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2.5">
      <c r="A689" s="5">
        <f ca="1">IFERROR(__xludf.DUMMYFUNCTION("""COMPUTED_VALUE"""),28649)</f>
        <v>28649</v>
      </c>
      <c r="B689" s="5"/>
      <c r="C689" s="5" t="str">
        <f ca="1">IFERROR(__xludf.DUMMYFUNCTION("""COMPUTED_VALUE"""),"Bihor")</f>
        <v>Bihor</v>
      </c>
      <c r="D689" s="13">
        <f ca="1">IFERROR(__xludf.DUMMYFUNCTION("""COMPUTED_VALUE"""),44017)</f>
        <v>44017</v>
      </c>
      <c r="E689" s="5" t="str">
        <f ca="1">IFERROR(__xludf.DUMMYFUNCTION("""COMPUTED_VALUE"""),"Nu")</f>
        <v>Nu</v>
      </c>
      <c r="F689" s="5"/>
      <c r="G689" s="5"/>
      <c r="H689" s="6"/>
      <c r="I689" s="5"/>
      <c r="J689" s="5"/>
      <c r="K689" s="7" t="str">
        <f ca="1">IFERROR(__xludf.DUMMYFUNCTION("""COMPUTED_VALUE"""),"https://stirioficiale.ro/informatii/buletin-de-presa-5-iulie-2020-ora-13-00")</f>
        <v>https://stirioficiale.ro/informatii/buletin-de-presa-5-iulie-2020-ora-13-00</v>
      </c>
      <c r="L689" s="5"/>
      <c r="M689" s="5"/>
      <c r="N689" s="5"/>
      <c r="O689" s="5"/>
      <c r="P689" s="5"/>
      <c r="Q689" s="5"/>
      <c r="R689" s="5" t="str">
        <f ca="1">IFERROR(__xludf.DUMMYFUNCTION("""COMPUTED_VALUE"""),"România")</f>
        <v>România</v>
      </c>
      <c r="S689" s="5" t="str">
        <f ca="1">IFERROR(__xludf.DUMMYFUNCTION("""COMPUTED_VALUE"""),"Octavian")</f>
        <v>Octavian</v>
      </c>
      <c r="T689" s="7" t="str">
        <f ca="1">IFERROR(__xludf.DUMMYFUNCTION("""COMPUTED_VALUE"""),"http://www.ms.ro/2020/07/05/buletin-informativ-05-07-2020/")</f>
        <v>http://www.ms.ro/2020/07/05/buletin-informativ-05-07-2020/</v>
      </c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ht="12.5">
      <c r="A690" s="5">
        <f ca="1">IFERROR(__xludf.DUMMYFUNCTION("""COMPUTED_VALUE"""),28650)</f>
        <v>28650</v>
      </c>
      <c r="B690" s="5"/>
      <c r="C690" s="5" t="str">
        <f ca="1">IFERROR(__xludf.DUMMYFUNCTION("""COMPUTED_VALUE"""),"Bihor")</f>
        <v>Bihor</v>
      </c>
      <c r="D690" s="13">
        <f ca="1">IFERROR(__xludf.DUMMYFUNCTION("""COMPUTED_VALUE"""),44017)</f>
        <v>44017</v>
      </c>
      <c r="E690" s="5" t="str">
        <f ca="1">IFERROR(__xludf.DUMMYFUNCTION("""COMPUTED_VALUE"""),"Nu")</f>
        <v>Nu</v>
      </c>
      <c r="F690" s="5"/>
      <c r="G690" s="5"/>
      <c r="H690" s="6"/>
      <c r="I690" s="5"/>
      <c r="J690" s="5"/>
      <c r="K690" s="7" t="str">
        <f ca="1">IFERROR(__xludf.DUMMYFUNCTION("""COMPUTED_VALUE"""),"https://stirioficiale.ro/informatii/buletin-de-presa-5-iulie-2020-ora-13-00")</f>
        <v>https://stirioficiale.ro/informatii/buletin-de-presa-5-iulie-2020-ora-13-00</v>
      </c>
      <c r="L690" s="5"/>
      <c r="M690" s="5"/>
      <c r="N690" s="5"/>
      <c r="O690" s="5"/>
      <c r="P690" s="5"/>
      <c r="Q690" s="5"/>
      <c r="R690" s="5" t="str">
        <f ca="1">IFERROR(__xludf.DUMMYFUNCTION("""COMPUTED_VALUE"""),"România")</f>
        <v>România</v>
      </c>
      <c r="S690" s="5" t="str">
        <f ca="1">IFERROR(__xludf.DUMMYFUNCTION("""COMPUTED_VALUE"""),"Octavian")</f>
        <v>Octavian</v>
      </c>
      <c r="T690" s="7" t="str">
        <f ca="1">IFERROR(__xludf.DUMMYFUNCTION("""COMPUTED_VALUE"""),"http://www.ms.ro/2020/07/05/buletin-informativ-05-07-2020/")</f>
        <v>http://www.ms.ro/2020/07/05/buletin-informativ-05-07-2020/</v>
      </c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2.5">
      <c r="A691" s="5">
        <f ca="1">IFERROR(__xludf.DUMMYFUNCTION("""COMPUTED_VALUE"""),28651)</f>
        <v>28651</v>
      </c>
      <c r="B691" s="5"/>
      <c r="C691" s="5" t="str">
        <f ca="1">IFERROR(__xludf.DUMMYFUNCTION("""COMPUTED_VALUE"""),"Bihor")</f>
        <v>Bihor</v>
      </c>
      <c r="D691" s="13">
        <f ca="1">IFERROR(__xludf.DUMMYFUNCTION("""COMPUTED_VALUE"""),44017)</f>
        <v>44017</v>
      </c>
      <c r="E691" s="5" t="str">
        <f ca="1">IFERROR(__xludf.DUMMYFUNCTION("""COMPUTED_VALUE"""),"Nu")</f>
        <v>Nu</v>
      </c>
      <c r="F691" s="5"/>
      <c r="G691" s="5"/>
      <c r="H691" s="6"/>
      <c r="I691" s="5"/>
      <c r="J691" s="5"/>
      <c r="K691" s="7" t="str">
        <f ca="1">IFERROR(__xludf.DUMMYFUNCTION("""COMPUTED_VALUE"""),"https://stirioficiale.ro/informatii/buletin-de-presa-5-iulie-2020-ora-13-00")</f>
        <v>https://stirioficiale.ro/informatii/buletin-de-presa-5-iulie-2020-ora-13-00</v>
      </c>
      <c r="L691" s="5"/>
      <c r="M691" s="5"/>
      <c r="N691" s="5"/>
      <c r="O691" s="5"/>
      <c r="P691" s="5"/>
      <c r="Q691" s="5"/>
      <c r="R691" s="5" t="str">
        <f ca="1">IFERROR(__xludf.DUMMYFUNCTION("""COMPUTED_VALUE"""),"România")</f>
        <v>România</v>
      </c>
      <c r="S691" s="5" t="str">
        <f ca="1">IFERROR(__xludf.DUMMYFUNCTION("""COMPUTED_VALUE"""),"Octavian")</f>
        <v>Octavian</v>
      </c>
      <c r="T691" s="7" t="str">
        <f ca="1">IFERROR(__xludf.DUMMYFUNCTION("""COMPUTED_VALUE"""),"http://www.ms.ro/2020/07/05/buletin-informativ-05-07-2020/")</f>
        <v>http://www.ms.ro/2020/07/05/buletin-informativ-05-07-2020/</v>
      </c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ht="12.5">
      <c r="A692" s="5">
        <f ca="1">IFERROR(__xludf.DUMMYFUNCTION("""COMPUTED_VALUE"""),29008)</f>
        <v>29008</v>
      </c>
      <c r="B692" s="5"/>
      <c r="C692" s="5" t="str">
        <f ca="1">IFERROR(__xludf.DUMMYFUNCTION("""COMPUTED_VALUE"""),"Bihor")</f>
        <v>Bihor</v>
      </c>
      <c r="D692" s="13">
        <f ca="1">IFERROR(__xludf.DUMMYFUNCTION("""COMPUTED_VALUE"""),44018)</f>
        <v>44018</v>
      </c>
      <c r="E692" s="5" t="str">
        <f ca="1">IFERROR(__xludf.DUMMYFUNCTION("""COMPUTED_VALUE"""),"Nu")</f>
        <v>Nu</v>
      </c>
      <c r="F692" s="5"/>
      <c r="G692" s="5"/>
      <c r="H692" s="6"/>
      <c r="I692" s="5"/>
      <c r="J692" s="5"/>
      <c r="K692" s="7" t="str">
        <f ca="1">IFERROR(__xludf.DUMMYFUNCTION("""COMPUTED_VALUE"""),"https://stirioficiale.ro/informatii/buletin-de-presa-6-iulie-2020-ora-13-00")</f>
        <v>https://stirioficiale.ro/informatii/buletin-de-presa-6-iulie-2020-ora-13-00</v>
      </c>
      <c r="L692" s="5"/>
      <c r="M692" s="5"/>
      <c r="N692" s="5"/>
      <c r="O692" s="5"/>
      <c r="P692" s="5"/>
      <c r="Q692" s="5"/>
      <c r="R692" s="5" t="str">
        <f ca="1">IFERROR(__xludf.DUMMYFUNCTION("""COMPUTED_VALUE"""),"România")</f>
        <v>România</v>
      </c>
      <c r="S692" s="5" t="str">
        <f ca="1">IFERROR(__xludf.DUMMYFUNCTION("""COMPUTED_VALUE"""),"Ruxandra")</f>
        <v>Ruxandra</v>
      </c>
      <c r="T692" s="7" t="str">
        <f ca="1">IFERROR(__xludf.DUMMYFUNCTION("""COMPUTED_VALUE"""),"http://www.ms.ro/2020/07/06/buletin-informativ-06-07-2020/")</f>
        <v>http://www.ms.ro/2020/07/06/buletin-informativ-06-07-2020/</v>
      </c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2.5">
      <c r="A693" s="5">
        <f ca="1">IFERROR(__xludf.DUMMYFUNCTION("""COMPUTED_VALUE"""),29009)</f>
        <v>29009</v>
      </c>
      <c r="B693" s="5"/>
      <c r="C693" s="5" t="str">
        <f ca="1">IFERROR(__xludf.DUMMYFUNCTION("""COMPUTED_VALUE"""),"Bihor")</f>
        <v>Bihor</v>
      </c>
      <c r="D693" s="13">
        <f ca="1">IFERROR(__xludf.DUMMYFUNCTION("""COMPUTED_VALUE"""),44018)</f>
        <v>44018</v>
      </c>
      <c r="E693" s="5" t="str">
        <f ca="1">IFERROR(__xludf.DUMMYFUNCTION("""COMPUTED_VALUE"""),"Nu")</f>
        <v>Nu</v>
      </c>
      <c r="F693" s="5"/>
      <c r="G693" s="5"/>
      <c r="H693" s="6"/>
      <c r="I693" s="5"/>
      <c r="J693" s="5"/>
      <c r="K693" s="7" t="str">
        <f ca="1">IFERROR(__xludf.DUMMYFUNCTION("""COMPUTED_VALUE"""),"https://stirioficiale.ro/informatii/buletin-de-presa-6-iulie-2020-ora-13-00")</f>
        <v>https://stirioficiale.ro/informatii/buletin-de-presa-6-iulie-2020-ora-13-00</v>
      </c>
      <c r="L693" s="5"/>
      <c r="M693" s="5"/>
      <c r="N693" s="5"/>
      <c r="O693" s="5"/>
      <c r="P693" s="5"/>
      <c r="Q693" s="5"/>
      <c r="R693" s="5" t="str">
        <f ca="1">IFERROR(__xludf.DUMMYFUNCTION("""COMPUTED_VALUE"""),"România")</f>
        <v>România</v>
      </c>
      <c r="S693" s="5" t="str">
        <f ca="1">IFERROR(__xludf.DUMMYFUNCTION("""COMPUTED_VALUE"""),"Ruxandra")</f>
        <v>Ruxandra</v>
      </c>
      <c r="T693" s="7" t="str">
        <f ca="1">IFERROR(__xludf.DUMMYFUNCTION("""COMPUTED_VALUE"""),"http://www.ms.ro/2020/07/06/buletin-informativ-06-07-2020/")</f>
        <v>http://www.ms.ro/2020/07/06/buletin-informativ-06-07-2020/</v>
      </c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ht="12.5">
      <c r="A694" s="5">
        <f ca="1">IFERROR(__xludf.DUMMYFUNCTION("""COMPUTED_VALUE"""),29248)</f>
        <v>29248</v>
      </c>
      <c r="B694" s="5"/>
      <c r="C694" s="5" t="str">
        <f ca="1">IFERROR(__xludf.DUMMYFUNCTION("""COMPUTED_VALUE"""),"Bihor")</f>
        <v>Bihor</v>
      </c>
      <c r="D694" s="13">
        <f ca="1">IFERROR(__xludf.DUMMYFUNCTION("""COMPUTED_VALUE"""),44019)</f>
        <v>44019</v>
      </c>
      <c r="E694" s="5" t="str">
        <f ca="1">IFERROR(__xludf.DUMMYFUNCTION("""COMPUTED_VALUE"""),"Nu")</f>
        <v>Nu</v>
      </c>
      <c r="F694" s="5"/>
      <c r="G694" s="5"/>
      <c r="H694" s="6"/>
      <c r="I694" s="5"/>
      <c r="J694" s="5"/>
      <c r="K694" s="7" t="str">
        <f ca="1">IFERROR(__xludf.DUMMYFUNCTION("""COMPUTED_VALUE"""),"https://stirioficiale.ro/informatii/buletin-de-presa-7-iulie-2020-ora-13-00")</f>
        <v>https://stirioficiale.ro/informatii/buletin-de-presa-7-iulie-2020-ora-13-00</v>
      </c>
      <c r="L694" s="5"/>
      <c r="M694" s="5"/>
      <c r="N694" s="5"/>
      <c r="O694" s="5"/>
      <c r="P694" s="5"/>
      <c r="Q694" s="5"/>
      <c r="R694" s="5" t="str">
        <f ca="1">IFERROR(__xludf.DUMMYFUNCTION("""COMPUTED_VALUE"""),"România")</f>
        <v>România</v>
      </c>
      <c r="S694" s="5" t="str">
        <f ca="1">IFERROR(__xludf.DUMMYFUNCTION("""COMPUTED_VALUE"""),"Octavian")</f>
        <v>Octavian</v>
      </c>
      <c r="T694" s="7" t="str">
        <f ca="1">IFERROR(__xludf.DUMMYFUNCTION("""COMPUTED_VALUE"""),"http://www.ms.ro/2020/07/07/buletin-informativ-07-07-2020/")</f>
        <v>http://www.ms.ro/2020/07/07/buletin-informativ-07-07-2020/</v>
      </c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2.5">
      <c r="A695" s="5">
        <f ca="1">IFERROR(__xludf.DUMMYFUNCTION("""COMPUTED_VALUE"""),29683)</f>
        <v>29683</v>
      </c>
      <c r="B695" s="5"/>
      <c r="C695" s="5" t="str">
        <f ca="1">IFERROR(__xludf.DUMMYFUNCTION("""COMPUTED_VALUE"""),"Bihor")</f>
        <v>Bihor</v>
      </c>
      <c r="D695" s="13">
        <f ca="1">IFERROR(__xludf.DUMMYFUNCTION("""COMPUTED_VALUE"""),44020)</f>
        <v>44020</v>
      </c>
      <c r="E695" s="5" t="str">
        <f ca="1">IFERROR(__xludf.DUMMYFUNCTION("""COMPUTED_VALUE"""),"Nu")</f>
        <v>Nu</v>
      </c>
      <c r="F695" s="5"/>
      <c r="G695" s="5"/>
      <c r="H695" s="6"/>
      <c r="I695" s="5"/>
      <c r="J695" s="5"/>
      <c r="K695" s="7" t="str">
        <f ca="1">IFERROR(__xludf.DUMMYFUNCTION("""COMPUTED_VALUE"""),"https://stirioficiale.ro/informatii/buletin-de-presa-8-iulie-2020-ora-13-00")</f>
        <v>https://stirioficiale.ro/informatii/buletin-de-presa-8-iulie-2020-ora-13-00</v>
      </c>
      <c r="L695" s="5"/>
      <c r="M695" s="5"/>
      <c r="N695" s="5"/>
      <c r="O695" s="5"/>
      <c r="P695" s="5"/>
      <c r="Q695" s="5"/>
      <c r="R695" s="5" t="str">
        <f ca="1">IFERROR(__xludf.DUMMYFUNCTION("""COMPUTED_VALUE"""),"România")</f>
        <v>România</v>
      </c>
      <c r="S695" s="5" t="str">
        <f ca="1">IFERROR(__xludf.DUMMYFUNCTION("""COMPUTED_VALUE"""),"Octavian")</f>
        <v>Octavian</v>
      </c>
      <c r="T695" s="7" t="str">
        <f ca="1">IFERROR(__xludf.DUMMYFUNCTION("""COMPUTED_VALUE"""),"http://www.ms.ro/2020/07/08/buletin-informativ-07-08-2020/")</f>
        <v>http://www.ms.ro/2020/07/08/buletin-informativ-07-08-2020/</v>
      </c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ht="12.5">
      <c r="A696" s="5">
        <f ca="1">IFERROR(__xludf.DUMMYFUNCTION("""COMPUTED_VALUE"""),29684)</f>
        <v>29684</v>
      </c>
      <c r="B696" s="5"/>
      <c r="C696" s="5" t="str">
        <f ca="1">IFERROR(__xludf.DUMMYFUNCTION("""COMPUTED_VALUE"""),"Bihor")</f>
        <v>Bihor</v>
      </c>
      <c r="D696" s="13">
        <f ca="1">IFERROR(__xludf.DUMMYFUNCTION("""COMPUTED_VALUE"""),44020)</f>
        <v>44020</v>
      </c>
      <c r="E696" s="5" t="str">
        <f ca="1">IFERROR(__xludf.DUMMYFUNCTION("""COMPUTED_VALUE"""),"Nu")</f>
        <v>Nu</v>
      </c>
      <c r="F696" s="5"/>
      <c r="G696" s="5"/>
      <c r="H696" s="6"/>
      <c r="I696" s="5"/>
      <c r="J696" s="5"/>
      <c r="K696" s="7" t="str">
        <f ca="1">IFERROR(__xludf.DUMMYFUNCTION("""COMPUTED_VALUE"""),"https://stirioficiale.ro/informatii/buletin-de-presa-8-iulie-2020-ora-13-00")</f>
        <v>https://stirioficiale.ro/informatii/buletin-de-presa-8-iulie-2020-ora-13-00</v>
      </c>
      <c r="L696" s="5"/>
      <c r="M696" s="5"/>
      <c r="N696" s="5"/>
      <c r="O696" s="5"/>
      <c r="P696" s="5"/>
      <c r="Q696" s="5"/>
      <c r="R696" s="5" t="str">
        <f ca="1">IFERROR(__xludf.DUMMYFUNCTION("""COMPUTED_VALUE"""),"România")</f>
        <v>România</v>
      </c>
      <c r="S696" s="5" t="str">
        <f ca="1">IFERROR(__xludf.DUMMYFUNCTION("""COMPUTED_VALUE"""),"Octavian")</f>
        <v>Octavian</v>
      </c>
      <c r="T696" s="7" t="str">
        <f ca="1">IFERROR(__xludf.DUMMYFUNCTION("""COMPUTED_VALUE"""),"http://www.ms.ro/2020/07/08/buletin-informativ-07-08-2020/")</f>
        <v>http://www.ms.ro/2020/07/08/buletin-informativ-07-08-2020/</v>
      </c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2.5">
      <c r="A697" s="5">
        <f ca="1">IFERROR(__xludf.DUMMYFUNCTION("""COMPUTED_VALUE"""),29685)</f>
        <v>29685</v>
      </c>
      <c r="B697" s="5"/>
      <c r="C697" s="5" t="str">
        <f ca="1">IFERROR(__xludf.DUMMYFUNCTION("""COMPUTED_VALUE"""),"Bihor")</f>
        <v>Bihor</v>
      </c>
      <c r="D697" s="13">
        <f ca="1">IFERROR(__xludf.DUMMYFUNCTION("""COMPUTED_VALUE"""),44020)</f>
        <v>44020</v>
      </c>
      <c r="E697" s="5" t="str">
        <f ca="1">IFERROR(__xludf.DUMMYFUNCTION("""COMPUTED_VALUE"""),"Nu")</f>
        <v>Nu</v>
      </c>
      <c r="F697" s="5"/>
      <c r="G697" s="5"/>
      <c r="H697" s="6"/>
      <c r="I697" s="5"/>
      <c r="J697" s="5"/>
      <c r="K697" s="7" t="str">
        <f ca="1">IFERROR(__xludf.DUMMYFUNCTION("""COMPUTED_VALUE"""),"https://stirioficiale.ro/informatii/buletin-de-presa-8-iulie-2020-ora-13-00")</f>
        <v>https://stirioficiale.ro/informatii/buletin-de-presa-8-iulie-2020-ora-13-00</v>
      </c>
      <c r="L697" s="5"/>
      <c r="M697" s="5"/>
      <c r="N697" s="5"/>
      <c r="O697" s="5"/>
      <c r="P697" s="5"/>
      <c r="Q697" s="5"/>
      <c r="R697" s="5" t="str">
        <f ca="1">IFERROR(__xludf.DUMMYFUNCTION("""COMPUTED_VALUE"""),"România")</f>
        <v>România</v>
      </c>
      <c r="S697" s="5" t="str">
        <f ca="1">IFERROR(__xludf.DUMMYFUNCTION("""COMPUTED_VALUE"""),"Octavian")</f>
        <v>Octavian</v>
      </c>
      <c r="T697" s="7" t="str">
        <f ca="1">IFERROR(__xludf.DUMMYFUNCTION("""COMPUTED_VALUE"""),"http://www.ms.ro/2020/07/08/buletin-informativ-07-08-2020/")</f>
        <v>http://www.ms.ro/2020/07/08/buletin-informativ-07-08-2020/</v>
      </c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ht="12.5">
      <c r="A698" s="5">
        <f ca="1">IFERROR(__xludf.DUMMYFUNCTION("""COMPUTED_VALUE"""),29686)</f>
        <v>29686</v>
      </c>
      <c r="B698" s="5"/>
      <c r="C698" s="5" t="str">
        <f ca="1">IFERROR(__xludf.DUMMYFUNCTION("""COMPUTED_VALUE"""),"Bihor")</f>
        <v>Bihor</v>
      </c>
      <c r="D698" s="13">
        <f ca="1">IFERROR(__xludf.DUMMYFUNCTION("""COMPUTED_VALUE"""),44020)</f>
        <v>44020</v>
      </c>
      <c r="E698" s="5" t="str">
        <f ca="1">IFERROR(__xludf.DUMMYFUNCTION("""COMPUTED_VALUE"""),"Nu")</f>
        <v>Nu</v>
      </c>
      <c r="F698" s="5"/>
      <c r="G698" s="5"/>
      <c r="H698" s="6"/>
      <c r="I698" s="5"/>
      <c r="J698" s="5"/>
      <c r="K698" s="7" t="str">
        <f ca="1">IFERROR(__xludf.DUMMYFUNCTION("""COMPUTED_VALUE"""),"https://stirioficiale.ro/informatii/buletin-de-presa-8-iulie-2020-ora-13-00")</f>
        <v>https://stirioficiale.ro/informatii/buletin-de-presa-8-iulie-2020-ora-13-00</v>
      </c>
      <c r="L698" s="5"/>
      <c r="M698" s="5"/>
      <c r="N698" s="5"/>
      <c r="O698" s="5"/>
      <c r="P698" s="5"/>
      <c r="Q698" s="5"/>
      <c r="R698" s="5" t="str">
        <f ca="1">IFERROR(__xludf.DUMMYFUNCTION("""COMPUTED_VALUE"""),"România")</f>
        <v>România</v>
      </c>
      <c r="S698" s="5" t="str">
        <f ca="1">IFERROR(__xludf.DUMMYFUNCTION("""COMPUTED_VALUE"""),"Octavian")</f>
        <v>Octavian</v>
      </c>
      <c r="T698" s="7" t="str">
        <f ca="1">IFERROR(__xludf.DUMMYFUNCTION("""COMPUTED_VALUE"""),"http://www.ms.ro/2020/07/08/buletin-informativ-07-08-2020/")</f>
        <v>http://www.ms.ro/2020/07/08/buletin-informativ-07-08-2020/</v>
      </c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2.5">
      <c r="A699" s="5">
        <f ca="1">IFERROR(__xludf.DUMMYFUNCTION("""COMPUTED_VALUE"""),30246)</f>
        <v>30246</v>
      </c>
      <c r="B699" s="5"/>
      <c r="C699" s="5" t="str">
        <f ca="1">IFERROR(__xludf.DUMMYFUNCTION("""COMPUTED_VALUE"""),"Bihor")</f>
        <v>Bihor</v>
      </c>
      <c r="D699" s="13">
        <f ca="1">IFERROR(__xludf.DUMMYFUNCTION("""COMPUTED_VALUE"""),44021)</f>
        <v>44021</v>
      </c>
      <c r="E699" s="5" t="str">
        <f ca="1">IFERROR(__xludf.DUMMYFUNCTION("""COMPUTED_VALUE"""),"Nu")</f>
        <v>Nu</v>
      </c>
      <c r="F699" s="5"/>
      <c r="G699" s="5"/>
      <c r="H699" s="6"/>
      <c r="I699" s="5"/>
      <c r="J699" s="5"/>
      <c r="K699" s="7" t="str">
        <f ca="1">IFERROR(__xludf.DUMMYFUNCTION("""COMPUTED_VALUE"""),"https://stirioficiale.ro/informatii/buletin-de-presa-9-iulie-2020-ora-13-00")</f>
        <v>https://stirioficiale.ro/informatii/buletin-de-presa-9-iulie-2020-ora-13-00</v>
      </c>
      <c r="L699" s="5"/>
      <c r="M699" s="5"/>
      <c r="N699" s="5"/>
      <c r="O699" s="5"/>
      <c r="P699" s="5"/>
      <c r="Q699" s="5"/>
      <c r="R699" s="5" t="str">
        <f ca="1">IFERROR(__xludf.DUMMYFUNCTION("""COMPUTED_VALUE"""),"România")</f>
        <v>România</v>
      </c>
      <c r="S699" s="5" t="str">
        <f ca="1">IFERROR(__xludf.DUMMYFUNCTION("""COMPUTED_VALUE"""),"Octavian")</f>
        <v>Octavian</v>
      </c>
      <c r="T699" s="7" t="str">
        <f ca="1">IFERROR(__xludf.DUMMYFUNCTION("""COMPUTED_VALUE"""),"http://www.ms.ro/2020/07/09/buletin-informativ-09-07-2020/")</f>
        <v>http://www.ms.ro/2020/07/09/buletin-informativ-09-07-2020/</v>
      </c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ht="12.5">
      <c r="A700" s="5">
        <f ca="1">IFERROR(__xludf.DUMMYFUNCTION("""COMPUTED_VALUE"""),30247)</f>
        <v>30247</v>
      </c>
      <c r="B700" s="5"/>
      <c r="C700" s="5" t="str">
        <f ca="1">IFERROR(__xludf.DUMMYFUNCTION("""COMPUTED_VALUE"""),"Bihor")</f>
        <v>Bihor</v>
      </c>
      <c r="D700" s="13">
        <f ca="1">IFERROR(__xludf.DUMMYFUNCTION("""COMPUTED_VALUE"""),44021)</f>
        <v>44021</v>
      </c>
      <c r="E700" s="5" t="str">
        <f ca="1">IFERROR(__xludf.DUMMYFUNCTION("""COMPUTED_VALUE"""),"Nu")</f>
        <v>Nu</v>
      </c>
      <c r="F700" s="5"/>
      <c r="G700" s="5"/>
      <c r="H700" s="6"/>
      <c r="I700" s="5"/>
      <c r="J700" s="5"/>
      <c r="K700" s="7" t="str">
        <f ca="1">IFERROR(__xludf.DUMMYFUNCTION("""COMPUTED_VALUE"""),"https://stirioficiale.ro/informatii/buletin-de-presa-9-iulie-2020-ora-13-00")</f>
        <v>https://stirioficiale.ro/informatii/buletin-de-presa-9-iulie-2020-ora-13-00</v>
      </c>
      <c r="L700" s="5"/>
      <c r="M700" s="5"/>
      <c r="N700" s="5"/>
      <c r="O700" s="5"/>
      <c r="P700" s="5"/>
      <c r="Q700" s="5"/>
      <c r="R700" s="5" t="str">
        <f ca="1">IFERROR(__xludf.DUMMYFUNCTION("""COMPUTED_VALUE"""),"România")</f>
        <v>România</v>
      </c>
      <c r="S700" s="5" t="str">
        <f ca="1">IFERROR(__xludf.DUMMYFUNCTION("""COMPUTED_VALUE"""),"Octavian")</f>
        <v>Octavian</v>
      </c>
      <c r="T700" s="7" t="str">
        <f ca="1">IFERROR(__xludf.DUMMYFUNCTION("""COMPUTED_VALUE"""),"http://www.ms.ro/2020/07/09/buletin-informativ-09-07-2020/")</f>
        <v>http://www.ms.ro/2020/07/09/buletin-informativ-09-07-2020/</v>
      </c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2.5">
      <c r="A701" s="5">
        <f ca="1">IFERROR(__xludf.DUMMYFUNCTION("""COMPUTED_VALUE"""),30248)</f>
        <v>30248</v>
      </c>
      <c r="B701" s="5"/>
      <c r="C701" s="5" t="str">
        <f ca="1">IFERROR(__xludf.DUMMYFUNCTION("""COMPUTED_VALUE"""),"Bihor")</f>
        <v>Bihor</v>
      </c>
      <c r="D701" s="13">
        <f ca="1">IFERROR(__xludf.DUMMYFUNCTION("""COMPUTED_VALUE"""),44021)</f>
        <v>44021</v>
      </c>
      <c r="E701" s="5" t="str">
        <f ca="1">IFERROR(__xludf.DUMMYFUNCTION("""COMPUTED_VALUE"""),"Nu")</f>
        <v>Nu</v>
      </c>
      <c r="F701" s="5"/>
      <c r="G701" s="5"/>
      <c r="H701" s="6"/>
      <c r="I701" s="5"/>
      <c r="J701" s="5"/>
      <c r="K701" s="7" t="str">
        <f ca="1">IFERROR(__xludf.DUMMYFUNCTION("""COMPUTED_VALUE"""),"https://stirioficiale.ro/informatii/buletin-de-presa-9-iulie-2020-ora-13-00")</f>
        <v>https://stirioficiale.ro/informatii/buletin-de-presa-9-iulie-2020-ora-13-00</v>
      </c>
      <c r="L701" s="5"/>
      <c r="M701" s="5"/>
      <c r="N701" s="5"/>
      <c r="O701" s="5"/>
      <c r="P701" s="5"/>
      <c r="Q701" s="5"/>
      <c r="R701" s="5" t="str">
        <f ca="1">IFERROR(__xludf.DUMMYFUNCTION("""COMPUTED_VALUE"""),"România")</f>
        <v>România</v>
      </c>
      <c r="S701" s="5" t="str">
        <f ca="1">IFERROR(__xludf.DUMMYFUNCTION("""COMPUTED_VALUE"""),"Octavian")</f>
        <v>Octavian</v>
      </c>
      <c r="T701" s="7" t="str">
        <f ca="1">IFERROR(__xludf.DUMMYFUNCTION("""COMPUTED_VALUE"""),"http://www.ms.ro/2020/07/09/buletin-informativ-09-07-2020/")</f>
        <v>http://www.ms.ro/2020/07/09/buletin-informativ-09-07-2020/</v>
      </c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ht="12.5">
      <c r="A702" s="5">
        <f ca="1">IFERROR(__xludf.DUMMYFUNCTION("""COMPUTED_VALUE"""),30876)</f>
        <v>30876</v>
      </c>
      <c r="B702" s="5"/>
      <c r="C702" s="5" t="str">
        <f ca="1">IFERROR(__xludf.DUMMYFUNCTION("""COMPUTED_VALUE"""),"Bihor")</f>
        <v>Bihor</v>
      </c>
      <c r="D702" s="13">
        <f ca="1">IFERROR(__xludf.DUMMYFUNCTION("""COMPUTED_VALUE"""),44022)</f>
        <v>44022</v>
      </c>
      <c r="E702" s="5" t="str">
        <f ca="1">IFERROR(__xludf.DUMMYFUNCTION("""COMPUTED_VALUE"""),"Nu")</f>
        <v>Nu</v>
      </c>
      <c r="F702" s="5"/>
      <c r="G702" s="5"/>
      <c r="H702" s="6"/>
      <c r="I702" s="5" t="str">
        <f ca="1">IFERROR(__xludf.DUMMYFUNCTION("""COMPUTED_VALUE"""),"Feminin")</f>
        <v>Feminin</v>
      </c>
      <c r="J702" s="5"/>
      <c r="K702" s="7" t="str">
        <f ca="1">IFERROR(__xludf.DUMMYFUNCTION("""COMPUTED_VALUE"""),"https://www.ebihoreanul.ro/stiri/un-nou-caz-coronavirus-in-bihor-fiica-unui-pacient-internat-luna-trecuta-la-sectia-ati-a-spitalului-municipal-din-oradea-157554.html")</f>
        <v>https://www.ebihoreanul.ro/stiri/un-nou-caz-coronavirus-in-bihor-fiica-unui-pacient-internat-luna-trecuta-la-sectia-ati-a-spitalului-municipal-din-oradea-157554.html</v>
      </c>
      <c r="L702" s="5"/>
      <c r="M702" s="5"/>
      <c r="N702" s="5"/>
      <c r="O702" s="5"/>
      <c r="P702" s="5" t="str">
        <f ca="1">IFERROR(__xludf.DUMMYFUNCTION("""COMPUTED_VALUE"""),"Fiica unui pacient internat în stare gravă la SM Oradea ATI, refuzat internarea, cu domiciliu în zona limitrofă a orașului.")</f>
        <v>Fiica unui pacient internat în stare gravă la SM Oradea ATI, refuzat internarea, cu domiciliu în zona limitrofă a orașului.</v>
      </c>
      <c r="Q702" s="5" t="str">
        <f ca="1">IFERROR(__xludf.DUMMYFUNCTION("""COMPUTED_VALUE"""),"Comunitar")</f>
        <v>Comunitar</v>
      </c>
      <c r="R702" s="5" t="str">
        <f ca="1">IFERROR(__xludf.DUMMYFUNCTION("""COMPUTED_VALUE"""),"România")</f>
        <v>România</v>
      </c>
      <c r="S702" s="5" t="str">
        <f ca="1">IFERROR(__xludf.DUMMYFUNCTION("""COMPUTED_VALUE"""),"Octavian")</f>
        <v>Octavian</v>
      </c>
      <c r="T702" s="7" t="str">
        <f ca="1">IFERROR(__xludf.DUMMYFUNCTION("""COMPUTED_VALUE"""),"http://www.ms.ro/2020/07/10/buletin-informativ-10-07-2020/")</f>
        <v>http://www.ms.ro/2020/07/10/buletin-informativ-10-07-2020/</v>
      </c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2.5">
      <c r="A703" s="5">
        <f ca="1">IFERROR(__xludf.DUMMYFUNCTION("""COMPUTED_VALUE"""),31504)</f>
        <v>31504</v>
      </c>
      <c r="B703" s="5"/>
      <c r="C703" s="5" t="str">
        <f ca="1">IFERROR(__xludf.DUMMYFUNCTION("""COMPUTED_VALUE"""),"Bihor")</f>
        <v>Bihor</v>
      </c>
      <c r="D703" s="13">
        <f ca="1">IFERROR(__xludf.DUMMYFUNCTION("""COMPUTED_VALUE"""),44023)</f>
        <v>44023</v>
      </c>
      <c r="E703" s="5" t="str">
        <f ca="1">IFERROR(__xludf.DUMMYFUNCTION("""COMPUTED_VALUE"""),"Nu")</f>
        <v>Nu</v>
      </c>
      <c r="F703" s="5"/>
      <c r="G703" s="5"/>
      <c r="H703" s="6"/>
      <c r="I703" s="5"/>
      <c r="J703" s="5"/>
      <c r="K703" s="7" t="str">
        <f ca="1">IFERROR(__xludf.DUMMYFUNCTION("""COMPUTED_VALUE"""),"https://www.ebihoreanul.ro/stiri/doua-noi-cazuri-covid-in-bihor-descoperite-la-persoane-internate-in-spitalul-municipal-din-oradea-157581.html")</f>
        <v>https://www.ebihoreanul.ro/stiri/doua-noi-cazuri-covid-in-bihor-descoperite-la-persoane-internate-in-spitalul-municipal-din-oradea-157581.html</v>
      </c>
      <c r="L703" s="5"/>
      <c r="M703" s="5"/>
      <c r="N703" s="5"/>
      <c r="O703" s="5"/>
      <c r="P703" s="5" t="str">
        <f ca="1">IFERROR(__xludf.DUMMYFUNCTION("""COMPUTED_VALUE"""),"Pacient SM Oradea, Pneumolgie II și TBC II.")</f>
        <v>Pacient SM Oradea, Pneumolgie II și TBC II.</v>
      </c>
      <c r="Q703" s="5" t="str">
        <f ca="1">IFERROR(__xludf.DUMMYFUNCTION("""COMPUTED_VALUE"""),"Medical")</f>
        <v>Medical</v>
      </c>
      <c r="R703" s="5" t="str">
        <f ca="1">IFERROR(__xludf.DUMMYFUNCTION("""COMPUTED_VALUE"""),"România")</f>
        <v>România</v>
      </c>
      <c r="S703" s="5" t="str">
        <f ca="1">IFERROR(__xludf.DUMMYFUNCTION("""COMPUTED_VALUE"""),"Octavian")</f>
        <v>Octavian</v>
      </c>
      <c r="T703" s="7" t="str">
        <f ca="1">IFERROR(__xludf.DUMMYFUNCTION("""COMPUTED_VALUE"""),"http://www.ms.ro/2020/07/11/buletin-informativ-11-07-2020/")</f>
        <v>http://www.ms.ro/2020/07/11/buletin-informativ-11-07-2020/</v>
      </c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ht="12.5">
      <c r="A704" s="5">
        <f ca="1">IFERROR(__xludf.DUMMYFUNCTION("""COMPUTED_VALUE"""),31505)</f>
        <v>31505</v>
      </c>
      <c r="B704" s="5">
        <f ca="1">IFERROR(__xludf.DUMMYFUNCTION("""COMPUTED_VALUE"""),31504)</f>
        <v>31504</v>
      </c>
      <c r="C704" s="5" t="str">
        <f ca="1">IFERROR(__xludf.DUMMYFUNCTION("""COMPUTED_VALUE"""),"Bihor")</f>
        <v>Bihor</v>
      </c>
      <c r="D704" s="13">
        <f ca="1">IFERROR(__xludf.DUMMYFUNCTION("""COMPUTED_VALUE"""),44023)</f>
        <v>44023</v>
      </c>
      <c r="E704" s="5" t="str">
        <f ca="1">IFERROR(__xludf.DUMMYFUNCTION("""COMPUTED_VALUE"""),"Nu")</f>
        <v>Nu</v>
      </c>
      <c r="F704" s="5"/>
      <c r="G704" s="5"/>
      <c r="H704" s="6"/>
      <c r="I704" s="5"/>
      <c r="J704" s="5"/>
      <c r="K704" s="7" t="str">
        <f ca="1">IFERROR(__xludf.DUMMYFUNCTION("""COMPUTED_VALUE"""),"https://www.ebihoreanul.ro/stiri/doua-noi-cazuri-covid-in-bihor-descoperite-la-persoane-internate-in-spitalul-municipal-din-oradea-157581.html")</f>
        <v>https://www.ebihoreanul.ro/stiri/doua-noi-cazuri-covid-in-bihor-descoperite-la-persoane-internate-in-spitalul-municipal-din-oradea-157581.html</v>
      </c>
      <c r="L704" s="5"/>
      <c r="M704" s="5"/>
      <c r="N704" s="5"/>
      <c r="O704" s="5"/>
      <c r="P704" s="5" t="str">
        <f ca="1">IFERROR(__xludf.DUMMYFUNCTION("""COMPUTED_VALUE"""),"Pacient SM Oradea, Pneumolgie II și TBC II.")</f>
        <v>Pacient SM Oradea, Pneumolgie II și TBC II.</v>
      </c>
      <c r="Q704" s="5" t="str">
        <f ca="1">IFERROR(__xludf.DUMMYFUNCTION("""COMPUTED_VALUE"""),"Medical")</f>
        <v>Medical</v>
      </c>
      <c r="R704" s="5" t="str">
        <f ca="1">IFERROR(__xludf.DUMMYFUNCTION("""COMPUTED_VALUE"""),"România")</f>
        <v>România</v>
      </c>
      <c r="S704" s="5" t="str">
        <f ca="1">IFERROR(__xludf.DUMMYFUNCTION("""COMPUTED_VALUE"""),"Octavian")</f>
        <v>Octavian</v>
      </c>
      <c r="T704" s="7" t="str">
        <f ca="1">IFERROR(__xludf.DUMMYFUNCTION("""COMPUTED_VALUE"""),"http://www.ms.ro/2020/07/11/buletin-informativ-11-07-2020/")</f>
        <v>http://www.ms.ro/2020/07/11/buletin-informativ-11-07-2020/</v>
      </c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2.5">
      <c r="A705" s="5">
        <f ca="1">IFERROR(__xludf.DUMMYFUNCTION("""COMPUTED_VALUE"""),32150)</f>
        <v>32150</v>
      </c>
      <c r="B705" s="5"/>
      <c r="C705" s="5" t="str">
        <f ca="1">IFERROR(__xludf.DUMMYFUNCTION("""COMPUTED_VALUE"""),"Bihor")</f>
        <v>Bihor</v>
      </c>
      <c r="D705" s="13">
        <f ca="1">IFERROR(__xludf.DUMMYFUNCTION("""COMPUTED_VALUE"""),44024)</f>
        <v>44024</v>
      </c>
      <c r="E705" s="5" t="str">
        <f ca="1">IFERROR(__xludf.DUMMYFUNCTION("""COMPUTED_VALUE"""),"Nu")</f>
        <v>Nu</v>
      </c>
      <c r="F705" s="5"/>
      <c r="G705" s="5"/>
      <c r="H705" s="6"/>
      <c r="I705" s="5"/>
      <c r="J705" s="5"/>
      <c r="K705" s="7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705" s="5"/>
      <c r="M705" s="5"/>
      <c r="N705" s="5"/>
      <c r="O705" s="5"/>
      <c r="P705" s="5"/>
      <c r="Q705" s="5"/>
      <c r="R705" s="5" t="str">
        <f ca="1">IFERROR(__xludf.DUMMYFUNCTION("""COMPUTED_VALUE"""),"România")</f>
        <v>România</v>
      </c>
      <c r="S705" s="5" t="str">
        <f ca="1">IFERROR(__xludf.DUMMYFUNCTION("""COMPUTED_VALUE"""),"Octavian")</f>
        <v>Octavian</v>
      </c>
      <c r="T705" s="7" t="str">
        <f ca="1">IFERROR(__xludf.DUMMYFUNCTION("""COMPUTED_VALUE"""),"http://www.ms.ro/2020/07/12/buletin-informativ-12-07-2020/")</f>
        <v>http://www.ms.ro/2020/07/12/buletin-informativ-12-07-2020/</v>
      </c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ht="12.5">
      <c r="A706" s="5">
        <f ca="1">IFERROR(__xludf.DUMMYFUNCTION("""COMPUTED_VALUE"""),32596)</f>
        <v>32596</v>
      </c>
      <c r="B706" s="5"/>
      <c r="C706" s="5" t="str">
        <f ca="1">IFERROR(__xludf.DUMMYFUNCTION("""COMPUTED_VALUE"""),"Bihor")</f>
        <v>Bihor</v>
      </c>
      <c r="D706" s="13">
        <f ca="1">IFERROR(__xludf.DUMMYFUNCTION("""COMPUTED_VALUE"""),44025)</f>
        <v>44025</v>
      </c>
      <c r="E706" s="5" t="str">
        <f ca="1">IFERROR(__xludf.DUMMYFUNCTION("""COMPUTED_VALUE"""),"Nu")</f>
        <v>Nu</v>
      </c>
      <c r="F706" s="5"/>
      <c r="G706" s="5"/>
      <c r="H706" s="6"/>
      <c r="I706" s="5"/>
      <c r="J706" s="5"/>
      <c r="K706" s="7" t="str">
        <f ca="1">IFERROR(__xludf.DUMMYFUNCTION("""COMPUTED_VALUE"""),"https://stirioficiale.ro/informatii/buletin-de-presa-13-iulie-2020-ora-13-00")</f>
        <v>https://stirioficiale.ro/informatii/buletin-de-presa-13-iulie-2020-ora-13-00</v>
      </c>
      <c r="L706" s="5"/>
      <c r="M706" s="5"/>
      <c r="N706" s="5"/>
      <c r="O706" s="5"/>
      <c r="P706" s="5"/>
      <c r="Q706" s="5"/>
      <c r="R706" s="5" t="str">
        <f ca="1">IFERROR(__xludf.DUMMYFUNCTION("""COMPUTED_VALUE"""),"România")</f>
        <v>România</v>
      </c>
      <c r="S706" s="5" t="str">
        <f ca="1">IFERROR(__xludf.DUMMYFUNCTION("""COMPUTED_VALUE"""),"Octavian")</f>
        <v>Octavian</v>
      </c>
      <c r="T706" s="7" t="str">
        <f ca="1">IFERROR(__xludf.DUMMYFUNCTION("""COMPUTED_VALUE"""),"http://www.ms.ro/2020/07/13/buletin-informativ-13-07-2020/")</f>
        <v>http://www.ms.ro/2020/07/13/buletin-informativ-13-07-2020/</v>
      </c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2.5">
      <c r="A707" s="5">
        <f ca="1">IFERROR(__xludf.DUMMYFUNCTION("""COMPUTED_VALUE"""),32597)</f>
        <v>32597</v>
      </c>
      <c r="B707" s="5"/>
      <c r="C707" s="5" t="str">
        <f ca="1">IFERROR(__xludf.DUMMYFUNCTION("""COMPUTED_VALUE"""),"Bihor")</f>
        <v>Bihor</v>
      </c>
      <c r="D707" s="13">
        <f ca="1">IFERROR(__xludf.DUMMYFUNCTION("""COMPUTED_VALUE"""),44025)</f>
        <v>44025</v>
      </c>
      <c r="E707" s="5" t="str">
        <f ca="1">IFERROR(__xludf.DUMMYFUNCTION("""COMPUTED_VALUE"""),"Nu")</f>
        <v>Nu</v>
      </c>
      <c r="F707" s="5"/>
      <c r="G707" s="5"/>
      <c r="H707" s="6"/>
      <c r="I707" s="5"/>
      <c r="J707" s="5"/>
      <c r="K707" s="7" t="str">
        <f ca="1">IFERROR(__xludf.DUMMYFUNCTION("""COMPUTED_VALUE"""),"https://stirioficiale.ro/informatii/buletin-de-presa-13-iulie-2020-ora-13-00")</f>
        <v>https://stirioficiale.ro/informatii/buletin-de-presa-13-iulie-2020-ora-13-00</v>
      </c>
      <c r="L707" s="5"/>
      <c r="M707" s="5"/>
      <c r="N707" s="5"/>
      <c r="O707" s="5"/>
      <c r="P707" s="5"/>
      <c r="Q707" s="5"/>
      <c r="R707" s="5" t="str">
        <f ca="1">IFERROR(__xludf.DUMMYFUNCTION("""COMPUTED_VALUE"""),"România")</f>
        <v>România</v>
      </c>
      <c r="S707" s="5" t="str">
        <f ca="1">IFERROR(__xludf.DUMMYFUNCTION("""COMPUTED_VALUE"""),"Octavian")</f>
        <v>Octavian</v>
      </c>
      <c r="T707" s="7" t="str">
        <f ca="1">IFERROR(__xludf.DUMMYFUNCTION("""COMPUTED_VALUE"""),"http://www.ms.ro/2020/07/13/buletin-informativ-13-07-2020/")</f>
        <v>http://www.ms.ro/2020/07/13/buletin-informativ-13-07-2020/</v>
      </c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ht="12.5">
      <c r="A708" s="5">
        <f ca="1">IFERROR(__xludf.DUMMYFUNCTION("""COMPUTED_VALUE"""),32598)</f>
        <v>32598</v>
      </c>
      <c r="B708" s="5"/>
      <c r="C708" s="5" t="str">
        <f ca="1">IFERROR(__xludf.DUMMYFUNCTION("""COMPUTED_VALUE"""),"Bihor")</f>
        <v>Bihor</v>
      </c>
      <c r="D708" s="13">
        <f ca="1">IFERROR(__xludf.DUMMYFUNCTION("""COMPUTED_VALUE"""),44025)</f>
        <v>44025</v>
      </c>
      <c r="E708" s="5" t="str">
        <f ca="1">IFERROR(__xludf.DUMMYFUNCTION("""COMPUTED_VALUE"""),"Nu")</f>
        <v>Nu</v>
      </c>
      <c r="F708" s="5"/>
      <c r="G708" s="5"/>
      <c r="H708" s="6"/>
      <c r="I708" s="5"/>
      <c r="J708" s="5"/>
      <c r="K708" s="7" t="str">
        <f ca="1">IFERROR(__xludf.DUMMYFUNCTION("""COMPUTED_VALUE"""),"https://stirioficiale.ro/informatii/buletin-de-presa-13-iulie-2020-ora-13-00")</f>
        <v>https://stirioficiale.ro/informatii/buletin-de-presa-13-iulie-2020-ora-13-00</v>
      </c>
      <c r="L708" s="5"/>
      <c r="M708" s="5"/>
      <c r="N708" s="5"/>
      <c r="O708" s="5"/>
      <c r="P708" s="5"/>
      <c r="Q708" s="5"/>
      <c r="R708" s="5" t="str">
        <f ca="1">IFERROR(__xludf.DUMMYFUNCTION("""COMPUTED_VALUE"""),"România")</f>
        <v>România</v>
      </c>
      <c r="S708" s="5" t="str">
        <f ca="1">IFERROR(__xludf.DUMMYFUNCTION("""COMPUTED_VALUE"""),"Octavian")</f>
        <v>Octavian</v>
      </c>
      <c r="T708" s="7" t="str">
        <f ca="1">IFERROR(__xludf.DUMMYFUNCTION("""COMPUTED_VALUE"""),"http://www.ms.ro/2020/07/13/buletin-informativ-13-07-2020/")</f>
        <v>http://www.ms.ro/2020/07/13/buletin-informativ-13-07-2020/</v>
      </c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2.5">
      <c r="A709" s="5">
        <f ca="1">IFERROR(__xludf.DUMMYFUNCTION("""COMPUTED_VALUE"""),33070)</f>
        <v>33070</v>
      </c>
      <c r="B709" s="5"/>
      <c r="C709" s="5" t="str">
        <f ca="1">IFERROR(__xludf.DUMMYFUNCTION("""COMPUTED_VALUE"""),"Bihor")</f>
        <v>Bihor</v>
      </c>
      <c r="D709" s="13">
        <f ca="1">IFERROR(__xludf.DUMMYFUNCTION("""COMPUTED_VALUE"""),44026)</f>
        <v>44026</v>
      </c>
      <c r="E709" s="5" t="str">
        <f ca="1">IFERROR(__xludf.DUMMYFUNCTION("""COMPUTED_VALUE"""),"Nu")</f>
        <v>Nu</v>
      </c>
      <c r="F709" s="5"/>
      <c r="G709" s="5"/>
      <c r="H709" s="6"/>
      <c r="I709" s="5"/>
      <c r="J709" s="5"/>
      <c r="K709" s="7" t="str">
        <f ca="1">IFERROR(__xludf.DUMMYFUNCTION("""COMPUTED_VALUE"""),"https://www.alesdonline.ro/local/lugasu-de-jos/levente-sorban-avem-primul-caz-confirmat-de-coronavirus-la-lugasu-de-jos/")</f>
        <v>https://www.alesdonline.ro/local/lugasu-de-jos/levente-sorban-avem-primul-caz-confirmat-de-coronavirus-la-lugasu-de-jos/</v>
      </c>
      <c r="L709" s="5"/>
      <c r="M709" s="5" t="str">
        <f ca="1">IFERROR(__xludf.DUMMYFUNCTION("""COMPUTED_VALUE"""),"Lugașu de Jos")</f>
        <v>Lugașu de Jos</v>
      </c>
      <c r="N709" s="5"/>
      <c r="O709" s="5"/>
      <c r="P709" s="5"/>
      <c r="Q709" s="5"/>
      <c r="R709" s="5" t="str">
        <f ca="1">IFERROR(__xludf.DUMMYFUNCTION("""COMPUTED_VALUE"""),"România")</f>
        <v>România</v>
      </c>
      <c r="S709" s="5" t="str">
        <f ca="1">IFERROR(__xludf.DUMMYFUNCTION("""COMPUTED_VALUE"""),"Ruxandra")</f>
        <v>Ruxandra</v>
      </c>
      <c r="T709" s="7" t="str">
        <f ca="1">IFERROR(__xludf.DUMMYFUNCTION("""COMPUTED_VALUE"""),"http://www.ms.ro/2020/07/14/buletin-informativ-14-07-2020/")</f>
        <v>http://www.ms.ro/2020/07/14/buletin-informativ-14-07-2020/</v>
      </c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ht="12.5">
      <c r="A710" s="5">
        <f ca="1">IFERROR(__xludf.DUMMYFUNCTION("""COMPUTED_VALUE"""),33071)</f>
        <v>33071</v>
      </c>
      <c r="B710" s="5"/>
      <c r="C710" s="5" t="str">
        <f ca="1">IFERROR(__xludf.DUMMYFUNCTION("""COMPUTED_VALUE"""),"Bihor")</f>
        <v>Bihor</v>
      </c>
      <c r="D710" s="13">
        <f ca="1">IFERROR(__xludf.DUMMYFUNCTION("""COMPUTED_VALUE"""),44026)</f>
        <v>44026</v>
      </c>
      <c r="E710" s="5" t="str">
        <f ca="1">IFERROR(__xludf.DUMMYFUNCTION("""COMPUTED_VALUE"""),"Nu")</f>
        <v>Nu</v>
      </c>
      <c r="F710" s="5"/>
      <c r="G710" s="5"/>
      <c r="H710" s="6"/>
      <c r="I710" s="5"/>
      <c r="J710" s="5"/>
      <c r="K710" s="7" t="str">
        <f ca="1">IFERROR(__xludf.DUMMYFUNCTION("""COMPUTED_VALUE"""),"https://stirioficiale.ro/informatii/buletin-de-presa-14-iulie-2020-ora-13-00")</f>
        <v>https://stirioficiale.ro/informatii/buletin-de-presa-14-iulie-2020-ora-13-00</v>
      </c>
      <c r="L710" s="5"/>
      <c r="M710" s="5"/>
      <c r="N710" s="5"/>
      <c r="O710" s="5"/>
      <c r="P710" s="5"/>
      <c r="Q710" s="5"/>
      <c r="R710" s="5" t="str">
        <f ca="1">IFERROR(__xludf.DUMMYFUNCTION("""COMPUTED_VALUE"""),"România")</f>
        <v>România</v>
      </c>
      <c r="S710" s="5" t="str">
        <f ca="1">IFERROR(__xludf.DUMMYFUNCTION("""COMPUTED_VALUE"""),"Octavian")</f>
        <v>Octavian</v>
      </c>
      <c r="T710" s="7" t="str">
        <f ca="1">IFERROR(__xludf.DUMMYFUNCTION("""COMPUTED_VALUE"""),"http://www.ms.ro/2020/07/14/buletin-informativ-14-07-2020/")</f>
        <v>http://www.ms.ro/2020/07/14/buletin-informativ-14-07-2020/</v>
      </c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2.5">
      <c r="A711" s="5">
        <f ca="1">IFERROR(__xludf.DUMMYFUNCTION("""COMPUTED_VALUE"""),33072)</f>
        <v>33072</v>
      </c>
      <c r="B711" s="5"/>
      <c r="C711" s="5" t="str">
        <f ca="1">IFERROR(__xludf.DUMMYFUNCTION("""COMPUTED_VALUE"""),"Bihor")</f>
        <v>Bihor</v>
      </c>
      <c r="D711" s="13">
        <f ca="1">IFERROR(__xludf.DUMMYFUNCTION("""COMPUTED_VALUE"""),44026)</f>
        <v>44026</v>
      </c>
      <c r="E711" s="5" t="str">
        <f ca="1">IFERROR(__xludf.DUMMYFUNCTION("""COMPUTED_VALUE"""),"Nu")</f>
        <v>Nu</v>
      </c>
      <c r="F711" s="5"/>
      <c r="G711" s="5"/>
      <c r="H711" s="6"/>
      <c r="I711" s="5"/>
      <c r="J711" s="5"/>
      <c r="K711" s="7" t="str">
        <f ca="1">IFERROR(__xludf.DUMMYFUNCTION("""COMPUTED_VALUE"""),"https://stirioficiale.ro/informatii/buletin-de-presa-14-iulie-2020-ora-13-00")</f>
        <v>https://stirioficiale.ro/informatii/buletin-de-presa-14-iulie-2020-ora-13-00</v>
      </c>
      <c r="L711" s="5"/>
      <c r="M711" s="5"/>
      <c r="N711" s="5"/>
      <c r="O711" s="5"/>
      <c r="P711" s="5"/>
      <c r="Q711" s="5"/>
      <c r="R711" s="5" t="str">
        <f ca="1">IFERROR(__xludf.DUMMYFUNCTION("""COMPUTED_VALUE"""),"România")</f>
        <v>România</v>
      </c>
      <c r="S711" s="5" t="str">
        <f ca="1">IFERROR(__xludf.DUMMYFUNCTION("""COMPUTED_VALUE"""),"Octavian")</f>
        <v>Octavian</v>
      </c>
      <c r="T711" s="7" t="str">
        <f ca="1">IFERROR(__xludf.DUMMYFUNCTION("""COMPUTED_VALUE"""),"http://www.ms.ro/2020/07/14/buletin-informativ-14-07-2020/")</f>
        <v>http://www.ms.ro/2020/07/14/buletin-informativ-14-07-2020/</v>
      </c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ht="12.5">
      <c r="A712" s="5">
        <f ca="1">IFERROR(__xludf.DUMMYFUNCTION("""COMPUTED_VALUE"""),33073)</f>
        <v>33073</v>
      </c>
      <c r="B712" s="5"/>
      <c r="C712" s="5" t="str">
        <f ca="1">IFERROR(__xludf.DUMMYFUNCTION("""COMPUTED_VALUE"""),"Bihor")</f>
        <v>Bihor</v>
      </c>
      <c r="D712" s="13">
        <f ca="1">IFERROR(__xludf.DUMMYFUNCTION("""COMPUTED_VALUE"""),44026)</f>
        <v>44026</v>
      </c>
      <c r="E712" s="5" t="str">
        <f ca="1">IFERROR(__xludf.DUMMYFUNCTION("""COMPUTED_VALUE"""),"Nu")</f>
        <v>Nu</v>
      </c>
      <c r="F712" s="5"/>
      <c r="G712" s="5"/>
      <c r="H712" s="6"/>
      <c r="I712" s="5"/>
      <c r="J712" s="5"/>
      <c r="K712" s="7" t="str">
        <f ca="1">IFERROR(__xludf.DUMMYFUNCTION("""COMPUTED_VALUE"""),"https://stirioficiale.ro/informatii/buletin-de-presa-14-iulie-2020-ora-13-00")</f>
        <v>https://stirioficiale.ro/informatii/buletin-de-presa-14-iulie-2020-ora-13-00</v>
      </c>
      <c r="L712" s="5"/>
      <c r="M712" s="5"/>
      <c r="N712" s="5"/>
      <c r="O712" s="5"/>
      <c r="P712" s="5"/>
      <c r="Q712" s="5"/>
      <c r="R712" s="5" t="str">
        <f ca="1">IFERROR(__xludf.DUMMYFUNCTION("""COMPUTED_VALUE"""),"România")</f>
        <v>România</v>
      </c>
      <c r="S712" s="5" t="str">
        <f ca="1">IFERROR(__xludf.DUMMYFUNCTION("""COMPUTED_VALUE"""),"Octavian")</f>
        <v>Octavian</v>
      </c>
      <c r="T712" s="7" t="str">
        <f ca="1">IFERROR(__xludf.DUMMYFUNCTION("""COMPUTED_VALUE"""),"http://www.ms.ro/2020/07/14/buletin-informativ-14-07-2020/")</f>
        <v>http://www.ms.ro/2020/07/14/buletin-informativ-14-07-2020/</v>
      </c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2.5">
      <c r="A713" s="5">
        <f ca="1">IFERROR(__xludf.DUMMYFUNCTION("""COMPUTED_VALUE"""),34346)</f>
        <v>34346</v>
      </c>
      <c r="B713" s="5"/>
      <c r="C713" s="5" t="str">
        <f ca="1">IFERROR(__xludf.DUMMYFUNCTION("""COMPUTED_VALUE"""),"Bihor")</f>
        <v>Bihor</v>
      </c>
      <c r="D713" s="13">
        <f ca="1">IFERROR(__xludf.DUMMYFUNCTION("""COMPUTED_VALUE"""),44028)</f>
        <v>44028</v>
      </c>
      <c r="E713" s="5" t="str">
        <f ca="1">IFERROR(__xludf.DUMMYFUNCTION("""COMPUTED_VALUE"""),"Nu")</f>
        <v>Nu</v>
      </c>
      <c r="F713" s="5"/>
      <c r="G713" s="5"/>
      <c r="H713" s="6"/>
      <c r="I713" s="5"/>
      <c r="J713" s="5"/>
      <c r="K713" s="7" t="str">
        <f ca="1">IFERROR(__xludf.DUMMYFUNCTION("""COMPUTED_VALUE"""),"https://stirioficiale.ro/informatii/buletin-de-presa-16-iulie-2020-ora-13-00")</f>
        <v>https://stirioficiale.ro/informatii/buletin-de-presa-16-iulie-2020-ora-13-00</v>
      </c>
      <c r="L713" s="5"/>
      <c r="M713" s="5"/>
      <c r="N713" s="5"/>
      <c r="O713" s="5"/>
      <c r="P713" s="5"/>
      <c r="Q713" s="5"/>
      <c r="R713" s="5" t="str">
        <f ca="1">IFERROR(__xludf.DUMMYFUNCTION("""COMPUTED_VALUE"""),"România")</f>
        <v>România</v>
      </c>
      <c r="S713" s="5" t="str">
        <f ca="1">IFERROR(__xludf.DUMMYFUNCTION("""COMPUTED_VALUE"""),"Octavian")</f>
        <v>Octavian</v>
      </c>
      <c r="T713" s="7" t="str">
        <f ca="1">IFERROR(__xludf.DUMMYFUNCTION("""COMPUTED_VALUE"""),"http://www.ms.ro/2020/07/16/buletin-informativ-16-07-2020/")</f>
        <v>http://www.ms.ro/2020/07/16/buletin-informativ-16-07-2020/</v>
      </c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ht="12.5">
      <c r="A714" s="5">
        <f ca="1">IFERROR(__xludf.DUMMYFUNCTION("""COMPUTED_VALUE"""),34347)</f>
        <v>34347</v>
      </c>
      <c r="B714" s="5"/>
      <c r="C714" s="5" t="str">
        <f ca="1">IFERROR(__xludf.DUMMYFUNCTION("""COMPUTED_VALUE"""),"Bihor")</f>
        <v>Bihor</v>
      </c>
      <c r="D714" s="13">
        <f ca="1">IFERROR(__xludf.DUMMYFUNCTION("""COMPUTED_VALUE"""),44028)</f>
        <v>44028</v>
      </c>
      <c r="E714" s="5" t="str">
        <f ca="1">IFERROR(__xludf.DUMMYFUNCTION("""COMPUTED_VALUE"""),"Nu")</f>
        <v>Nu</v>
      </c>
      <c r="F714" s="5"/>
      <c r="G714" s="5"/>
      <c r="H714" s="6"/>
      <c r="I714" s="5"/>
      <c r="J714" s="5"/>
      <c r="K714" s="7" t="str">
        <f ca="1">IFERROR(__xludf.DUMMYFUNCTION("""COMPUTED_VALUE"""),"https://stirioficiale.ro/informatii/buletin-de-presa-16-iulie-2020-ora-13-00")</f>
        <v>https://stirioficiale.ro/informatii/buletin-de-presa-16-iulie-2020-ora-13-00</v>
      </c>
      <c r="L714" s="5"/>
      <c r="M714" s="5"/>
      <c r="N714" s="5"/>
      <c r="O714" s="5"/>
      <c r="P714" s="5"/>
      <c r="Q714" s="5"/>
      <c r="R714" s="5" t="str">
        <f ca="1">IFERROR(__xludf.DUMMYFUNCTION("""COMPUTED_VALUE"""),"România")</f>
        <v>România</v>
      </c>
      <c r="S714" s="5" t="str">
        <f ca="1">IFERROR(__xludf.DUMMYFUNCTION("""COMPUTED_VALUE"""),"Octavian")</f>
        <v>Octavian</v>
      </c>
      <c r="T714" s="7" t="str">
        <f ca="1">IFERROR(__xludf.DUMMYFUNCTION("""COMPUTED_VALUE"""),"http://www.ms.ro/2020/07/16/buletin-informativ-16-07-2020/")</f>
        <v>http://www.ms.ro/2020/07/16/buletin-informativ-16-07-2020/</v>
      </c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2.5">
      <c r="A715" s="5">
        <f ca="1">IFERROR(__xludf.DUMMYFUNCTION("""COMPUTED_VALUE"""),34348)</f>
        <v>34348</v>
      </c>
      <c r="B715" s="5"/>
      <c r="C715" s="5" t="str">
        <f ca="1">IFERROR(__xludf.DUMMYFUNCTION("""COMPUTED_VALUE"""),"Bihor")</f>
        <v>Bihor</v>
      </c>
      <c r="D715" s="13">
        <f ca="1">IFERROR(__xludf.DUMMYFUNCTION("""COMPUTED_VALUE"""),44028)</f>
        <v>44028</v>
      </c>
      <c r="E715" s="5" t="str">
        <f ca="1">IFERROR(__xludf.DUMMYFUNCTION("""COMPUTED_VALUE"""),"Nu")</f>
        <v>Nu</v>
      </c>
      <c r="F715" s="5"/>
      <c r="G715" s="5"/>
      <c r="H715" s="6"/>
      <c r="I715" s="5"/>
      <c r="J715" s="5"/>
      <c r="K715" s="7" t="str">
        <f ca="1">IFERROR(__xludf.DUMMYFUNCTION("""COMPUTED_VALUE"""),"https://stirioficiale.ro/informatii/buletin-de-presa-16-iulie-2020-ora-13-00")</f>
        <v>https://stirioficiale.ro/informatii/buletin-de-presa-16-iulie-2020-ora-13-00</v>
      </c>
      <c r="L715" s="5"/>
      <c r="M715" s="5"/>
      <c r="N715" s="5"/>
      <c r="O715" s="5"/>
      <c r="P715" s="5"/>
      <c r="Q715" s="5"/>
      <c r="R715" s="5" t="str">
        <f ca="1">IFERROR(__xludf.DUMMYFUNCTION("""COMPUTED_VALUE"""),"România")</f>
        <v>România</v>
      </c>
      <c r="S715" s="5" t="str">
        <f ca="1">IFERROR(__xludf.DUMMYFUNCTION("""COMPUTED_VALUE"""),"Octavian")</f>
        <v>Octavian</v>
      </c>
      <c r="T715" s="7" t="str">
        <f ca="1">IFERROR(__xludf.DUMMYFUNCTION("""COMPUTED_VALUE"""),"http://www.ms.ro/2020/07/16/buletin-informativ-16-07-2020/")</f>
        <v>http://www.ms.ro/2020/07/16/buletin-informativ-16-07-2020/</v>
      </c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ht="12.5">
      <c r="A716" s="5">
        <f ca="1">IFERROR(__xludf.DUMMYFUNCTION("""COMPUTED_VALUE"""),35138)</f>
        <v>35138</v>
      </c>
      <c r="B716" s="5"/>
      <c r="C716" s="5" t="str">
        <f ca="1">IFERROR(__xludf.DUMMYFUNCTION("""COMPUTED_VALUE"""),"Bihor")</f>
        <v>Bihor</v>
      </c>
      <c r="D716" s="13">
        <f ca="1">IFERROR(__xludf.DUMMYFUNCTION("""COMPUTED_VALUE"""),44029)</f>
        <v>44029</v>
      </c>
      <c r="E716" s="5" t="str">
        <f ca="1">IFERROR(__xludf.DUMMYFUNCTION("""COMPUTED_VALUE"""),"Nu")</f>
        <v>Nu</v>
      </c>
      <c r="F716" s="5"/>
      <c r="G716" s="5"/>
      <c r="H716" s="6"/>
      <c r="I716" s="5" t="str">
        <f ca="1">IFERROR(__xludf.DUMMYFUNCTION("""COMPUTED_VALUE"""),"Feminin")</f>
        <v>Feminin</v>
      </c>
      <c r="J716" s="5"/>
      <c r="K716" s="7" t="str">
        <f ca="1">IFERROR(__xludf.DUMMYFUNCTION("""COMPUTED_VALUE"""),"https://www.ebihoreanul.ro/stiri/doua-noi-cazuri-de-coronavirus-in-bihor-o-fetita-de-12-ani-si-o-femeie-internata-direct-la-terapie-intensiva-157694.html")</f>
        <v>https://www.ebihoreanul.ro/stiri/doua-noi-cazuri-de-coronavirus-in-bihor-o-fetita-de-12-ani-si-o-femeie-internata-direct-la-terapie-intensiva-157694.html</v>
      </c>
      <c r="L716" s="5"/>
      <c r="M716" s="5"/>
      <c r="N716" s="5" t="str">
        <f ca="1">IFERROR(__xludf.DUMMYFUNCTION("""COMPUTED_VALUE"""),"Nu")</f>
        <v>Nu</v>
      </c>
      <c r="O716" s="5"/>
      <c r="P716" s="5"/>
      <c r="Q716" s="5"/>
      <c r="R716" s="5" t="str">
        <f ca="1">IFERROR(__xludf.DUMMYFUNCTION("""COMPUTED_VALUE"""),"România")</f>
        <v>România</v>
      </c>
      <c r="S716" s="5" t="str">
        <f ca="1">IFERROR(__xludf.DUMMYFUNCTION("""COMPUTED_VALUE"""),"Ruxandra")</f>
        <v>Ruxandra</v>
      </c>
      <c r="T716" s="7" t="str">
        <f ca="1">IFERROR(__xludf.DUMMYFUNCTION("""COMPUTED_VALUE"""),"http://www.ms.ro/2020/07/17/buletin-informati-17-07-2020/")</f>
        <v>http://www.ms.ro/2020/07/17/buletin-informati-17-07-2020/</v>
      </c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2.5">
      <c r="A717" s="5">
        <f ca="1">IFERROR(__xludf.DUMMYFUNCTION("""COMPUTED_VALUE"""),35139)</f>
        <v>35139</v>
      </c>
      <c r="B717" s="5"/>
      <c r="C717" s="5" t="str">
        <f ca="1">IFERROR(__xludf.DUMMYFUNCTION("""COMPUTED_VALUE"""),"Bihor")</f>
        <v>Bihor</v>
      </c>
      <c r="D717" s="13">
        <f ca="1">IFERROR(__xludf.DUMMYFUNCTION("""COMPUTED_VALUE"""),44029)</f>
        <v>44029</v>
      </c>
      <c r="E717" s="5" t="str">
        <f ca="1">IFERROR(__xludf.DUMMYFUNCTION("""COMPUTED_VALUE"""),"Nu")</f>
        <v>Nu</v>
      </c>
      <c r="F717" s="5"/>
      <c r="G717" s="5"/>
      <c r="H717" s="6"/>
      <c r="I717" s="5" t="str">
        <f ca="1">IFERROR(__xludf.DUMMYFUNCTION("""COMPUTED_VALUE"""),"Feminin")</f>
        <v>Feminin</v>
      </c>
      <c r="J717" s="5">
        <f ca="1">IFERROR(__xludf.DUMMYFUNCTION("""COMPUTED_VALUE"""),12)</f>
        <v>12</v>
      </c>
      <c r="K717" s="7" t="str">
        <f ca="1">IFERROR(__xludf.DUMMYFUNCTION("""COMPUTED_VALUE"""),"https://www.ebihoreanul.ro/stiri/doua-noi-cazuri-de-coronavirus-in-bihor-o-fetita-de-12-ani-si-o-femeie-internata-direct-la-terapie-intensiva-157694.html")</f>
        <v>https://www.ebihoreanul.ro/stiri/doua-noi-cazuri-de-coronavirus-in-bihor-o-fetita-de-12-ani-si-o-femeie-internata-direct-la-terapie-intensiva-157694.html</v>
      </c>
      <c r="L717" s="5"/>
      <c r="M717" s="5"/>
      <c r="N717" s="5" t="str">
        <f ca="1">IFERROR(__xludf.DUMMYFUNCTION("""COMPUTED_VALUE"""),"Da")</f>
        <v>Da</v>
      </c>
      <c r="O717" s="5"/>
      <c r="P717" s="5"/>
      <c r="Q717" s="5"/>
      <c r="R717" s="5" t="str">
        <f ca="1">IFERROR(__xludf.DUMMYFUNCTION("""COMPUTED_VALUE"""),"România")</f>
        <v>România</v>
      </c>
      <c r="S717" s="5" t="str">
        <f ca="1">IFERROR(__xludf.DUMMYFUNCTION("""COMPUTED_VALUE"""),"Ruxandra")</f>
        <v>Ruxandra</v>
      </c>
      <c r="T717" s="7" t="str">
        <f ca="1">IFERROR(__xludf.DUMMYFUNCTION("""COMPUTED_VALUE"""),"http://www.ms.ro/2020/07/17/buletin-informati-17-07-2020/")</f>
        <v>http://www.ms.ro/2020/07/17/buletin-informati-17-07-2020/</v>
      </c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ht="12.5">
      <c r="A718" s="5">
        <f ca="1">IFERROR(__xludf.DUMMYFUNCTION("""COMPUTED_VALUE"""),35992)</f>
        <v>35992</v>
      </c>
      <c r="B718" s="5"/>
      <c r="C718" s="5" t="str">
        <f ca="1">IFERROR(__xludf.DUMMYFUNCTION("""COMPUTED_VALUE"""),"Bihor")</f>
        <v>Bihor</v>
      </c>
      <c r="D718" s="13">
        <f ca="1">IFERROR(__xludf.DUMMYFUNCTION("""COMPUTED_VALUE"""),44030)</f>
        <v>44030</v>
      </c>
      <c r="E718" s="5" t="str">
        <f ca="1">IFERROR(__xludf.DUMMYFUNCTION("""COMPUTED_VALUE"""),"Nu")</f>
        <v>Nu</v>
      </c>
      <c r="F718" s="5"/>
      <c r="G718" s="5"/>
      <c r="H718" s="6"/>
      <c r="I718" s="5" t="str">
        <f ca="1">IFERROR(__xludf.DUMMYFUNCTION("""COMPUTED_VALUE"""),"Feminin")</f>
        <v>Feminin</v>
      </c>
      <c r="J718" s="5"/>
      <c r="K718" s="7" t="str">
        <f ca="1">IFERROR(__xludf.DUMMYFUNCTION("""COMPUTED_VALUE"""),"https://www.ebihoreanul.ro/stiri/un-nou-caz-covid-in-bihor-o-asistenta-la-sectia-ati-a-spitalului-judetean-revenita-din-concediu-157712.html")</f>
        <v>https://www.ebihoreanul.ro/stiri/un-nou-caz-covid-in-bihor-o-asistenta-la-sectia-ati-a-spitalului-judetean-revenita-din-concediu-157712.html</v>
      </c>
      <c r="L718" s="5"/>
      <c r="M718" s="5" t="str">
        <f ca="1">IFERROR(__xludf.DUMMYFUNCTION("""COMPUTED_VALUE"""),"Oradea")</f>
        <v>Oradea</v>
      </c>
      <c r="N718" s="5"/>
      <c r="O718" s="5"/>
      <c r="P718" s="5" t="str">
        <f ca="1">IFERROR(__xludf.DUMMYFUNCTION("""COMPUTED_VALUE"""),"SJU Oradea-ATI, asistentă revenită din concediu.")</f>
        <v>SJU Oradea-ATI, asistentă revenită din concediu.</v>
      </c>
      <c r="Q718" s="5" t="str">
        <f ca="1">IFERROR(__xludf.DUMMYFUNCTION("""COMPUTED_VALUE"""),"Medical")</f>
        <v>Medical</v>
      </c>
      <c r="R718" s="5" t="str">
        <f ca="1">IFERROR(__xludf.DUMMYFUNCTION("""COMPUTED_VALUE"""),"România")</f>
        <v>România</v>
      </c>
      <c r="S718" s="5" t="str">
        <f ca="1">IFERROR(__xludf.DUMMYFUNCTION("""COMPUTED_VALUE"""),"Octavian")</f>
        <v>Octavian</v>
      </c>
      <c r="T718" s="7" t="str">
        <f ca="1">IFERROR(__xludf.DUMMYFUNCTION("""COMPUTED_VALUE"""),"http://www.ms.ro/2020/07/18/buletin-informativ-18-07-2020/")</f>
        <v>http://www.ms.ro/2020/07/18/buletin-informativ-18-07-2020/</v>
      </c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2.5">
      <c r="A719" s="5">
        <f ca="1">IFERROR(__xludf.DUMMYFUNCTION("""COMPUTED_VALUE"""),36833)</f>
        <v>36833</v>
      </c>
      <c r="B719" s="5"/>
      <c r="C719" s="5" t="str">
        <f ca="1">IFERROR(__xludf.DUMMYFUNCTION("""COMPUTED_VALUE"""),"Bihor")</f>
        <v>Bihor</v>
      </c>
      <c r="D719" s="13">
        <f ca="1">IFERROR(__xludf.DUMMYFUNCTION("""COMPUTED_VALUE"""),44031)</f>
        <v>44031</v>
      </c>
      <c r="E719" s="5" t="str">
        <f ca="1">IFERROR(__xludf.DUMMYFUNCTION("""COMPUTED_VALUE"""),"Nu")</f>
        <v>Nu</v>
      </c>
      <c r="F719" s="5"/>
      <c r="G719" s="5"/>
      <c r="H719" s="6"/>
      <c r="I719" s="5" t="str">
        <f ca="1">IFERROR(__xludf.DUMMYFUNCTION("""COMPUTED_VALUE"""),"Masculin")</f>
        <v>Masculin</v>
      </c>
      <c r="J719" s="5"/>
      <c r="K719" s="7" t="str">
        <f ca="1">IFERROR(__xludf.DUMMYFUNCTION("""COMPUTED_VALUE"""),"https://www.ebihoreanul.ro/stiri/doua-noi-cazuri-covid-in-bihor-socrii-unui-medic-oradean-care-s-au-testat-la-cerere-si-apoi-au-acceptat-spitalizarea-157723.html")</f>
        <v>https://www.ebihoreanul.ro/stiri/doua-noi-cazuri-covid-in-bihor-socrii-unui-medic-oradean-care-s-au-testat-la-cerere-si-apoi-au-acceptat-spitalizarea-157723.html</v>
      </c>
      <c r="L719" s="5"/>
      <c r="M719" s="5" t="str">
        <f ca="1">IFERROR(__xludf.DUMMYFUNCTION("""COMPUTED_VALUE"""),"Tileagd")</f>
        <v>Tileagd</v>
      </c>
      <c r="N719" s="5"/>
      <c r="O719" s="5"/>
      <c r="P719" s="5" t="str">
        <f ca="1">IFERROR(__xludf.DUMMYFUNCTION("""COMPUTED_VALUE"""),"Sot si sotie")</f>
        <v>Sot si sotie</v>
      </c>
      <c r="Q719" s="5"/>
      <c r="R719" s="5" t="str">
        <f ca="1">IFERROR(__xludf.DUMMYFUNCTION("""COMPUTED_VALUE"""),"România")</f>
        <v>România</v>
      </c>
      <c r="S719" s="5" t="str">
        <f ca="1">IFERROR(__xludf.DUMMYFUNCTION("""COMPUTED_VALUE"""),"Ruxandra")</f>
        <v>Ruxandra</v>
      </c>
      <c r="T719" s="7" t="str">
        <f ca="1">IFERROR(__xludf.DUMMYFUNCTION("""COMPUTED_VALUE"""),"http://www.ms.ro/2020/07/19/buletin-informativ-19-07-2020/")</f>
        <v>http://www.ms.ro/2020/07/19/buletin-informativ-19-07-2020/</v>
      </c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ht="12.5">
      <c r="A720" s="5">
        <f ca="1">IFERROR(__xludf.DUMMYFUNCTION("""COMPUTED_VALUE"""),36834)</f>
        <v>36834</v>
      </c>
      <c r="B720" s="5">
        <f ca="1">IFERROR(__xludf.DUMMYFUNCTION("""COMPUTED_VALUE"""),36833)</f>
        <v>36833</v>
      </c>
      <c r="C720" s="5" t="str">
        <f ca="1">IFERROR(__xludf.DUMMYFUNCTION("""COMPUTED_VALUE"""),"Bihor")</f>
        <v>Bihor</v>
      </c>
      <c r="D720" s="13">
        <f ca="1">IFERROR(__xludf.DUMMYFUNCTION("""COMPUTED_VALUE"""),44031)</f>
        <v>44031</v>
      </c>
      <c r="E720" s="5" t="str">
        <f ca="1">IFERROR(__xludf.DUMMYFUNCTION("""COMPUTED_VALUE"""),"Nu")</f>
        <v>Nu</v>
      </c>
      <c r="F720" s="5"/>
      <c r="G720" s="5"/>
      <c r="H720" s="6"/>
      <c r="I720" s="5" t="str">
        <f ca="1">IFERROR(__xludf.DUMMYFUNCTION("""COMPUTED_VALUE"""),"Feminin")</f>
        <v>Feminin</v>
      </c>
      <c r="J720" s="5"/>
      <c r="K720" s="7" t="str">
        <f ca="1">IFERROR(__xludf.DUMMYFUNCTION("""COMPUTED_VALUE"""),"https://www.ebihoreanul.ro/stiri/doua-noi-cazuri-covid-in-bihor-socrii-unui-medic-oradean-care-s-au-testat-la-cerere-si-apoi-au-acceptat-spitalizarea-157723.html")</f>
        <v>https://www.ebihoreanul.ro/stiri/doua-noi-cazuri-covid-in-bihor-socrii-unui-medic-oradean-care-s-au-testat-la-cerere-si-apoi-au-acceptat-spitalizarea-157723.html</v>
      </c>
      <c r="L720" s="5"/>
      <c r="M720" s="5" t="str">
        <f ca="1">IFERROR(__xludf.DUMMYFUNCTION("""COMPUTED_VALUE"""),"Tileagd")</f>
        <v>Tileagd</v>
      </c>
      <c r="N720" s="5"/>
      <c r="O720" s="5"/>
      <c r="P720" s="5"/>
      <c r="Q720" s="5"/>
      <c r="R720" s="5" t="str">
        <f ca="1">IFERROR(__xludf.DUMMYFUNCTION("""COMPUTED_VALUE"""),"România")</f>
        <v>România</v>
      </c>
      <c r="S720" s="5" t="str">
        <f ca="1">IFERROR(__xludf.DUMMYFUNCTION("""COMPUTED_VALUE"""),"Ruxandra")</f>
        <v>Ruxandra</v>
      </c>
      <c r="T720" s="7" t="str">
        <f ca="1">IFERROR(__xludf.DUMMYFUNCTION("""COMPUTED_VALUE"""),"http://www.ms.ro/2020/07/19/buletin-informativ-19-07-2020/")</f>
        <v>http://www.ms.ro/2020/07/19/buletin-informativ-19-07-2020/</v>
      </c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2.5">
      <c r="A721" s="5">
        <f ca="1">IFERROR(__xludf.DUMMYFUNCTION("""COMPUTED_VALUE"""),38292)</f>
        <v>38292</v>
      </c>
      <c r="B721" s="5">
        <f ca="1">IFERROR(__xludf.DUMMYFUNCTION("""COMPUTED_VALUE"""),36833)</f>
        <v>36833</v>
      </c>
      <c r="C721" s="5" t="str">
        <f ca="1">IFERROR(__xludf.DUMMYFUNCTION("""COMPUTED_VALUE"""),"Bihor")</f>
        <v>Bihor</v>
      </c>
      <c r="D721" s="13">
        <f ca="1">IFERROR(__xludf.DUMMYFUNCTION("""COMPUTED_VALUE"""),44033)</f>
        <v>44033</v>
      </c>
      <c r="E721" s="5" t="str">
        <f ca="1">IFERROR(__xludf.DUMMYFUNCTION("""COMPUTED_VALUE"""),"Nu")</f>
        <v>Nu</v>
      </c>
      <c r="F721" s="5"/>
      <c r="G721" s="5"/>
      <c r="H721" s="6"/>
      <c r="I721" s="5"/>
      <c r="J721" s="5"/>
      <c r="K721" s="7" t="str">
        <f ca="1">IFERROR(__xludf.DUMMYFUNCTION("""COMPUTED_VALUE"""),"https://www.ebihoreanul.ro/stiri/inca-5-persoane-din-bihor-diagnosticate-cu-coronavirus-dintre-care-trei-au-fost-testate-la-cerere-157757.html")</f>
        <v>https://www.ebihoreanul.ro/stiri/inca-5-persoane-din-bihor-diagnosticate-cu-coronavirus-dintre-care-trei-au-fost-testate-la-cerere-157757.html</v>
      </c>
      <c r="L721" s="5"/>
      <c r="M721" s="5" t="str">
        <f ca="1">IFERROR(__xludf.DUMMYFUNCTION("""COMPUTED_VALUE"""),"Tileagd")</f>
        <v>Tileagd</v>
      </c>
      <c r="N721" s="5"/>
      <c r="O721" s="5"/>
      <c r="P721" s="5"/>
      <c r="Q721" s="5"/>
      <c r="R721" s="5" t="str">
        <f ca="1">IFERROR(__xludf.DUMMYFUNCTION("""COMPUTED_VALUE"""),"România")</f>
        <v>România</v>
      </c>
      <c r="S721" s="5" t="str">
        <f ca="1">IFERROR(__xludf.DUMMYFUNCTION("""COMPUTED_VALUE"""),"Ruxandra")</f>
        <v>Ruxandra</v>
      </c>
      <c r="T721" s="7" t="str">
        <f ca="1">IFERROR(__xludf.DUMMYFUNCTION("""COMPUTED_VALUE"""),"http://www.ms.ro/2020/07/21/buletin-informativ-21-07-2020/")</f>
        <v>http://www.ms.ro/2020/07/21/buletin-informativ-21-07-2020/</v>
      </c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ht="12.5">
      <c r="A722" s="5">
        <f ca="1">IFERROR(__xludf.DUMMYFUNCTION("""COMPUTED_VALUE"""),38293)</f>
        <v>38293</v>
      </c>
      <c r="B722" s="5">
        <f ca="1">IFERROR(__xludf.DUMMYFUNCTION("""COMPUTED_VALUE"""),36833)</f>
        <v>36833</v>
      </c>
      <c r="C722" s="5" t="str">
        <f ca="1">IFERROR(__xludf.DUMMYFUNCTION("""COMPUTED_VALUE"""),"Bihor")</f>
        <v>Bihor</v>
      </c>
      <c r="D722" s="13">
        <f ca="1">IFERROR(__xludf.DUMMYFUNCTION("""COMPUTED_VALUE"""),44033)</f>
        <v>44033</v>
      </c>
      <c r="E722" s="5" t="str">
        <f ca="1">IFERROR(__xludf.DUMMYFUNCTION("""COMPUTED_VALUE"""),"Nu")</f>
        <v>Nu</v>
      </c>
      <c r="F722" s="5"/>
      <c r="G722" s="5"/>
      <c r="H722" s="6"/>
      <c r="I722" s="5"/>
      <c r="J722" s="5"/>
      <c r="K722" s="7" t="str">
        <f ca="1">IFERROR(__xludf.DUMMYFUNCTION("""COMPUTED_VALUE"""),"https://www.ebihoreanul.ro/stiri/inca-5-persoane-din-bihor-diagnosticate-cu-coronavirus-dintre-care-trei-au-fost-testate-la-cerere-157757.html")</f>
        <v>https://www.ebihoreanul.ro/stiri/inca-5-persoane-din-bihor-diagnosticate-cu-coronavirus-dintre-care-trei-au-fost-testate-la-cerere-157757.html</v>
      </c>
      <c r="L722" s="5"/>
      <c r="M722" s="5" t="str">
        <f ca="1">IFERROR(__xludf.DUMMYFUNCTION("""COMPUTED_VALUE"""),"Tileagd")</f>
        <v>Tileagd</v>
      </c>
      <c r="N722" s="5"/>
      <c r="O722" s="5"/>
      <c r="P722" s="5"/>
      <c r="Q722" s="5"/>
      <c r="R722" s="5" t="str">
        <f ca="1">IFERROR(__xludf.DUMMYFUNCTION("""COMPUTED_VALUE"""),"România")</f>
        <v>România</v>
      </c>
      <c r="S722" s="5" t="str">
        <f ca="1">IFERROR(__xludf.DUMMYFUNCTION("""COMPUTED_VALUE"""),"Ruxandra")</f>
        <v>Ruxandra</v>
      </c>
      <c r="T722" s="7" t="str">
        <f ca="1">IFERROR(__xludf.DUMMYFUNCTION("""COMPUTED_VALUE"""),"http://www.ms.ro/2020/07/21/buletin-informativ-21-07-2020/")</f>
        <v>http://www.ms.ro/2020/07/21/buletin-informativ-21-07-2020/</v>
      </c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2.5">
      <c r="A723" s="5">
        <f ca="1">IFERROR(__xludf.DUMMYFUNCTION("""COMPUTED_VALUE"""),38294)</f>
        <v>38294</v>
      </c>
      <c r="B723" s="5"/>
      <c r="C723" s="5" t="str">
        <f ca="1">IFERROR(__xludf.DUMMYFUNCTION("""COMPUTED_VALUE"""),"Bihor")</f>
        <v>Bihor</v>
      </c>
      <c r="D723" s="13">
        <f ca="1">IFERROR(__xludf.DUMMYFUNCTION("""COMPUTED_VALUE"""),44033)</f>
        <v>44033</v>
      </c>
      <c r="E723" s="5" t="str">
        <f ca="1">IFERROR(__xludf.DUMMYFUNCTION("""COMPUTED_VALUE"""),"Nu")</f>
        <v>Nu</v>
      </c>
      <c r="F723" s="5"/>
      <c r="G723" s="5"/>
      <c r="H723" s="6"/>
      <c r="I723" s="5"/>
      <c r="J723" s="5"/>
      <c r="K723" s="7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723" s="5"/>
      <c r="M723" s="5"/>
      <c r="N723" s="5"/>
      <c r="O723" s="5"/>
      <c r="P723" s="5"/>
      <c r="Q723" s="5"/>
      <c r="R723" s="5" t="str">
        <f ca="1">IFERROR(__xludf.DUMMYFUNCTION("""COMPUTED_VALUE"""),"România")</f>
        <v>România</v>
      </c>
      <c r="S723" s="5" t="str">
        <f ca="1">IFERROR(__xludf.DUMMYFUNCTION("""COMPUTED_VALUE"""),"Alex")</f>
        <v>Alex</v>
      </c>
      <c r="T723" s="7" t="str">
        <f ca="1">IFERROR(__xludf.DUMMYFUNCTION("""COMPUTED_VALUE"""),"http://www.ms.ro/2020/07/21/buletin-informativ-21-07-2020/")</f>
        <v>http://www.ms.ro/2020/07/21/buletin-informativ-21-07-2020/</v>
      </c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ht="12.5">
      <c r="A724" s="5">
        <f ca="1">IFERROR(__xludf.DUMMYFUNCTION("""COMPUTED_VALUE"""),38295)</f>
        <v>38295</v>
      </c>
      <c r="B724" s="5"/>
      <c r="C724" s="5" t="str">
        <f ca="1">IFERROR(__xludf.DUMMYFUNCTION("""COMPUTED_VALUE"""),"Bihor")</f>
        <v>Bihor</v>
      </c>
      <c r="D724" s="13">
        <f ca="1">IFERROR(__xludf.DUMMYFUNCTION("""COMPUTED_VALUE"""),44033)</f>
        <v>44033</v>
      </c>
      <c r="E724" s="5" t="str">
        <f ca="1">IFERROR(__xludf.DUMMYFUNCTION("""COMPUTED_VALUE"""),"Nu")</f>
        <v>Nu</v>
      </c>
      <c r="F724" s="5"/>
      <c r="G724" s="5"/>
      <c r="H724" s="6"/>
      <c r="I724" s="5"/>
      <c r="J724" s="5"/>
      <c r="K724" s="7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724" s="5"/>
      <c r="M724" s="5"/>
      <c r="N724" s="5"/>
      <c r="O724" s="5"/>
      <c r="P724" s="5"/>
      <c r="Q724" s="5"/>
      <c r="R724" s="5" t="str">
        <f ca="1">IFERROR(__xludf.DUMMYFUNCTION("""COMPUTED_VALUE"""),"România")</f>
        <v>România</v>
      </c>
      <c r="S724" s="5" t="str">
        <f ca="1">IFERROR(__xludf.DUMMYFUNCTION("""COMPUTED_VALUE"""),"Alex")</f>
        <v>Alex</v>
      </c>
      <c r="T724" s="7" t="str">
        <f ca="1">IFERROR(__xludf.DUMMYFUNCTION("""COMPUTED_VALUE"""),"http://www.ms.ro/2020/07/21/buletin-informativ-21-07-2020/")</f>
        <v>http://www.ms.ro/2020/07/21/buletin-informativ-21-07-2020/</v>
      </c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2.5">
      <c r="A725" s="5">
        <f ca="1">IFERROR(__xludf.DUMMYFUNCTION("""COMPUTED_VALUE"""),38296)</f>
        <v>38296</v>
      </c>
      <c r="B725" s="5"/>
      <c r="C725" s="5" t="str">
        <f ca="1">IFERROR(__xludf.DUMMYFUNCTION("""COMPUTED_VALUE"""),"Bihor")</f>
        <v>Bihor</v>
      </c>
      <c r="D725" s="13">
        <f ca="1">IFERROR(__xludf.DUMMYFUNCTION("""COMPUTED_VALUE"""),44033)</f>
        <v>44033</v>
      </c>
      <c r="E725" s="5" t="str">
        <f ca="1">IFERROR(__xludf.DUMMYFUNCTION("""COMPUTED_VALUE"""),"Nu")</f>
        <v>Nu</v>
      </c>
      <c r="F725" s="5"/>
      <c r="G725" s="5"/>
      <c r="H725" s="6"/>
      <c r="I725" s="5"/>
      <c r="J725" s="5"/>
      <c r="K725" s="7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725" s="5"/>
      <c r="M725" s="5"/>
      <c r="N725" s="5"/>
      <c r="O725" s="5"/>
      <c r="P725" s="5"/>
      <c r="Q725" s="5"/>
      <c r="R725" s="5" t="str">
        <f ca="1">IFERROR(__xludf.DUMMYFUNCTION("""COMPUTED_VALUE"""),"România")</f>
        <v>România</v>
      </c>
      <c r="S725" s="5" t="str">
        <f ca="1">IFERROR(__xludf.DUMMYFUNCTION("""COMPUTED_VALUE"""),"Alex")</f>
        <v>Alex</v>
      </c>
      <c r="T725" s="7" t="str">
        <f ca="1">IFERROR(__xludf.DUMMYFUNCTION("""COMPUTED_VALUE"""),"http://www.ms.ro/2020/07/21/buletin-informativ-21-07-2020/")</f>
        <v>http://www.ms.ro/2020/07/21/buletin-informativ-21-07-2020/</v>
      </c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ht="12.5">
      <c r="A726" s="5">
        <f ca="1">IFERROR(__xludf.DUMMYFUNCTION("""COMPUTED_VALUE"""),38297)</f>
        <v>38297</v>
      </c>
      <c r="B726" s="5"/>
      <c r="C726" s="5" t="str">
        <f ca="1">IFERROR(__xludf.DUMMYFUNCTION("""COMPUTED_VALUE"""),"Bihor")</f>
        <v>Bihor</v>
      </c>
      <c r="D726" s="13">
        <f ca="1">IFERROR(__xludf.DUMMYFUNCTION("""COMPUTED_VALUE"""),44033)</f>
        <v>44033</v>
      </c>
      <c r="E726" s="5" t="str">
        <f ca="1">IFERROR(__xludf.DUMMYFUNCTION("""COMPUTED_VALUE"""),"Nu")</f>
        <v>Nu</v>
      </c>
      <c r="F726" s="5"/>
      <c r="G726" s="5"/>
      <c r="H726" s="6"/>
      <c r="I726" s="5"/>
      <c r="J726" s="5"/>
      <c r="K726" s="7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726" s="5"/>
      <c r="M726" s="5"/>
      <c r="N726" s="5"/>
      <c r="O726" s="5"/>
      <c r="P726" s="5"/>
      <c r="Q726" s="5"/>
      <c r="R726" s="5" t="str">
        <f ca="1">IFERROR(__xludf.DUMMYFUNCTION("""COMPUTED_VALUE"""),"România")</f>
        <v>România</v>
      </c>
      <c r="S726" s="5" t="str">
        <f ca="1">IFERROR(__xludf.DUMMYFUNCTION("""COMPUTED_VALUE"""),"Alex")</f>
        <v>Alex</v>
      </c>
      <c r="T726" s="7" t="str">
        <f ca="1">IFERROR(__xludf.DUMMYFUNCTION("""COMPUTED_VALUE"""),"http://www.ms.ro/2020/07/21/buletin-informativ-21-07-2020/")</f>
        <v>http://www.ms.ro/2020/07/21/buletin-informativ-21-07-2020/</v>
      </c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2.5">
      <c r="A727" s="5">
        <f ca="1">IFERROR(__xludf.DUMMYFUNCTION("""COMPUTED_VALUE"""),39290)</f>
        <v>39290</v>
      </c>
      <c r="B727" s="5"/>
      <c r="C727" s="5" t="str">
        <f ca="1">IFERROR(__xludf.DUMMYFUNCTION("""COMPUTED_VALUE"""),"Bihor")</f>
        <v>Bihor</v>
      </c>
      <c r="D727" s="13">
        <f ca="1">IFERROR(__xludf.DUMMYFUNCTION("""COMPUTED_VALUE"""),44034)</f>
        <v>44034</v>
      </c>
      <c r="E727" s="5" t="str">
        <f ca="1">IFERROR(__xludf.DUMMYFUNCTION("""COMPUTED_VALUE"""),"Nu")</f>
        <v>Nu</v>
      </c>
      <c r="F727" s="5"/>
      <c r="G727" s="5"/>
      <c r="H727" s="6"/>
      <c r="I727" s="5"/>
      <c r="J727" s="5"/>
      <c r="K727" s="7" t="str">
        <f ca="1">IFERROR(__xludf.DUMMYFUNCTION("""COMPUTED_VALUE"""),"https://stirioficiale.ro/informatii/buletin-de-presa-22-iulie-2020-ora-13-00")</f>
        <v>https://stirioficiale.ro/informatii/buletin-de-presa-22-iulie-2020-ora-13-00</v>
      </c>
      <c r="L727" s="5"/>
      <c r="M727" s="5"/>
      <c r="N727" s="5"/>
      <c r="O727" s="5"/>
      <c r="P727" s="5"/>
      <c r="Q727" s="5"/>
      <c r="R727" s="5" t="str">
        <f ca="1">IFERROR(__xludf.DUMMYFUNCTION("""COMPUTED_VALUE"""),"România")</f>
        <v>România</v>
      </c>
      <c r="S727" s="5" t="str">
        <f ca="1">IFERROR(__xludf.DUMMYFUNCTION("""COMPUTED_VALUE"""),"Alex")</f>
        <v>Alex</v>
      </c>
      <c r="T727" s="7" t="str">
        <f ca="1">IFERROR(__xludf.DUMMYFUNCTION("""COMPUTED_VALUE"""),"http://www.ms.ro/2020/07/22/buletin-informativ-22-07-2020/")</f>
        <v>http://www.ms.ro/2020/07/22/buletin-informativ-22-07-2020/</v>
      </c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ht="12.5">
      <c r="A728" s="5">
        <f ca="1">IFERROR(__xludf.DUMMYFUNCTION("""COMPUTED_VALUE"""),39291)</f>
        <v>39291</v>
      </c>
      <c r="B728" s="5"/>
      <c r="C728" s="5" t="str">
        <f ca="1">IFERROR(__xludf.DUMMYFUNCTION("""COMPUTED_VALUE"""),"Bihor")</f>
        <v>Bihor</v>
      </c>
      <c r="D728" s="13">
        <f ca="1">IFERROR(__xludf.DUMMYFUNCTION("""COMPUTED_VALUE"""),44034)</f>
        <v>44034</v>
      </c>
      <c r="E728" s="5" t="str">
        <f ca="1">IFERROR(__xludf.DUMMYFUNCTION("""COMPUTED_VALUE"""),"Nu")</f>
        <v>Nu</v>
      </c>
      <c r="F728" s="5"/>
      <c r="G728" s="5"/>
      <c r="H728" s="6"/>
      <c r="I728" s="5"/>
      <c r="J728" s="5"/>
      <c r="K728" s="7" t="str">
        <f ca="1">IFERROR(__xludf.DUMMYFUNCTION("""COMPUTED_VALUE"""),"https://stirioficiale.ro/informatii/buletin-de-presa-22-iulie-2020-ora-13-00")</f>
        <v>https://stirioficiale.ro/informatii/buletin-de-presa-22-iulie-2020-ora-13-00</v>
      </c>
      <c r="L728" s="5"/>
      <c r="M728" s="5"/>
      <c r="N728" s="5"/>
      <c r="O728" s="5"/>
      <c r="P728" s="5"/>
      <c r="Q728" s="5"/>
      <c r="R728" s="5" t="str">
        <f ca="1">IFERROR(__xludf.DUMMYFUNCTION("""COMPUTED_VALUE"""),"România")</f>
        <v>România</v>
      </c>
      <c r="S728" s="5" t="str">
        <f ca="1">IFERROR(__xludf.DUMMYFUNCTION("""COMPUTED_VALUE"""),"Alex")</f>
        <v>Alex</v>
      </c>
      <c r="T728" s="7" t="str">
        <f ca="1">IFERROR(__xludf.DUMMYFUNCTION("""COMPUTED_VALUE"""),"http://www.ms.ro/2020/07/22/buletin-informativ-22-07-2020/")</f>
        <v>http://www.ms.ro/2020/07/22/buletin-informativ-22-07-2020/</v>
      </c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2.5">
      <c r="A729" s="5">
        <f ca="1">IFERROR(__xludf.DUMMYFUNCTION("""COMPUTED_VALUE"""),39292)</f>
        <v>39292</v>
      </c>
      <c r="B729" s="5"/>
      <c r="C729" s="5" t="str">
        <f ca="1">IFERROR(__xludf.DUMMYFUNCTION("""COMPUTED_VALUE"""),"Bihor")</f>
        <v>Bihor</v>
      </c>
      <c r="D729" s="13">
        <f ca="1">IFERROR(__xludf.DUMMYFUNCTION("""COMPUTED_VALUE"""),44034)</f>
        <v>44034</v>
      </c>
      <c r="E729" s="5" t="str">
        <f ca="1">IFERROR(__xludf.DUMMYFUNCTION("""COMPUTED_VALUE"""),"Nu")</f>
        <v>Nu</v>
      </c>
      <c r="F729" s="5"/>
      <c r="G729" s="5"/>
      <c r="H729" s="6"/>
      <c r="I729" s="5"/>
      <c r="J729" s="5"/>
      <c r="K729" s="7" t="str">
        <f ca="1">IFERROR(__xludf.DUMMYFUNCTION("""COMPUTED_VALUE"""),"https://stirioficiale.ro/informatii/buletin-de-presa-22-iulie-2020-ora-13-00")</f>
        <v>https://stirioficiale.ro/informatii/buletin-de-presa-22-iulie-2020-ora-13-00</v>
      </c>
      <c r="L729" s="5"/>
      <c r="M729" s="5"/>
      <c r="N729" s="5"/>
      <c r="O729" s="5"/>
      <c r="P729" s="5"/>
      <c r="Q729" s="5"/>
      <c r="R729" s="5" t="str">
        <f ca="1">IFERROR(__xludf.DUMMYFUNCTION("""COMPUTED_VALUE"""),"România")</f>
        <v>România</v>
      </c>
      <c r="S729" s="5" t="str">
        <f ca="1">IFERROR(__xludf.DUMMYFUNCTION("""COMPUTED_VALUE"""),"Alex")</f>
        <v>Alex</v>
      </c>
      <c r="T729" s="7" t="str">
        <f ca="1">IFERROR(__xludf.DUMMYFUNCTION("""COMPUTED_VALUE"""),"http://www.ms.ro/2020/07/22/buletin-informativ-22-07-2020/")</f>
        <v>http://www.ms.ro/2020/07/22/buletin-informativ-22-07-2020/</v>
      </c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ht="12.5">
      <c r="A730" s="5">
        <f ca="1">IFERROR(__xludf.DUMMYFUNCTION("""COMPUTED_VALUE"""),39293)</f>
        <v>39293</v>
      </c>
      <c r="B730" s="5"/>
      <c r="C730" s="5" t="str">
        <f ca="1">IFERROR(__xludf.DUMMYFUNCTION("""COMPUTED_VALUE"""),"Bihor")</f>
        <v>Bihor</v>
      </c>
      <c r="D730" s="13">
        <f ca="1">IFERROR(__xludf.DUMMYFUNCTION("""COMPUTED_VALUE"""),44034)</f>
        <v>44034</v>
      </c>
      <c r="E730" s="5" t="str">
        <f ca="1">IFERROR(__xludf.DUMMYFUNCTION("""COMPUTED_VALUE"""),"Nu")</f>
        <v>Nu</v>
      </c>
      <c r="F730" s="5"/>
      <c r="G730" s="5"/>
      <c r="H730" s="6"/>
      <c r="I730" s="5"/>
      <c r="J730" s="5"/>
      <c r="K730" s="7" t="str">
        <f ca="1">IFERROR(__xludf.DUMMYFUNCTION("""COMPUTED_VALUE"""),"https://stirioficiale.ro/informatii/buletin-de-presa-22-iulie-2020-ora-13-00")</f>
        <v>https://stirioficiale.ro/informatii/buletin-de-presa-22-iulie-2020-ora-13-00</v>
      </c>
      <c r="L730" s="5"/>
      <c r="M730" s="5"/>
      <c r="N730" s="5"/>
      <c r="O730" s="5"/>
      <c r="P730" s="5"/>
      <c r="Q730" s="5"/>
      <c r="R730" s="5" t="str">
        <f ca="1">IFERROR(__xludf.DUMMYFUNCTION("""COMPUTED_VALUE"""),"România")</f>
        <v>România</v>
      </c>
      <c r="S730" s="5" t="str">
        <f ca="1">IFERROR(__xludf.DUMMYFUNCTION("""COMPUTED_VALUE"""),"Alex")</f>
        <v>Alex</v>
      </c>
      <c r="T730" s="7" t="str">
        <f ca="1">IFERROR(__xludf.DUMMYFUNCTION("""COMPUTED_VALUE"""),"http://www.ms.ro/2020/07/22/buletin-informativ-22-07-2020/")</f>
        <v>http://www.ms.ro/2020/07/22/buletin-informativ-22-07-2020/</v>
      </c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2.5">
      <c r="A731" s="5">
        <f ca="1">IFERROR(__xludf.DUMMYFUNCTION("""COMPUTED_VALUE"""),39294)</f>
        <v>39294</v>
      </c>
      <c r="B731" s="5"/>
      <c r="C731" s="5" t="str">
        <f ca="1">IFERROR(__xludf.DUMMYFUNCTION("""COMPUTED_VALUE"""),"Bihor")</f>
        <v>Bihor</v>
      </c>
      <c r="D731" s="13">
        <f ca="1">IFERROR(__xludf.DUMMYFUNCTION("""COMPUTED_VALUE"""),44034)</f>
        <v>44034</v>
      </c>
      <c r="E731" s="5" t="str">
        <f ca="1">IFERROR(__xludf.DUMMYFUNCTION("""COMPUTED_VALUE"""),"Nu")</f>
        <v>Nu</v>
      </c>
      <c r="F731" s="5"/>
      <c r="G731" s="5"/>
      <c r="H731" s="6"/>
      <c r="I731" s="5"/>
      <c r="J731" s="5"/>
      <c r="K731" s="7" t="str">
        <f ca="1">IFERROR(__xludf.DUMMYFUNCTION("""COMPUTED_VALUE"""),"https://stirioficiale.ro/informatii/buletin-de-presa-22-iulie-2020-ora-13-00")</f>
        <v>https://stirioficiale.ro/informatii/buletin-de-presa-22-iulie-2020-ora-13-00</v>
      </c>
      <c r="L731" s="5"/>
      <c r="M731" s="5"/>
      <c r="N731" s="5"/>
      <c r="O731" s="5"/>
      <c r="P731" s="5"/>
      <c r="Q731" s="5"/>
      <c r="R731" s="5" t="str">
        <f ca="1">IFERROR(__xludf.DUMMYFUNCTION("""COMPUTED_VALUE"""),"România")</f>
        <v>România</v>
      </c>
      <c r="S731" s="5" t="str">
        <f ca="1">IFERROR(__xludf.DUMMYFUNCTION("""COMPUTED_VALUE"""),"Alex")</f>
        <v>Alex</v>
      </c>
      <c r="T731" s="7" t="str">
        <f ca="1">IFERROR(__xludf.DUMMYFUNCTION("""COMPUTED_VALUE"""),"http://www.ms.ro/2020/07/22/buletin-informativ-22-07-2020/")</f>
        <v>http://www.ms.ro/2020/07/22/buletin-informativ-22-07-2020/</v>
      </c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ht="12.5">
      <c r="A732" s="5">
        <f ca="1">IFERROR(__xludf.DUMMYFUNCTION("""COMPUTED_VALUE"""),39295)</f>
        <v>39295</v>
      </c>
      <c r="B732" s="5"/>
      <c r="C732" s="5" t="str">
        <f ca="1">IFERROR(__xludf.DUMMYFUNCTION("""COMPUTED_VALUE"""),"Bihor")</f>
        <v>Bihor</v>
      </c>
      <c r="D732" s="13">
        <f ca="1">IFERROR(__xludf.DUMMYFUNCTION("""COMPUTED_VALUE"""),44034)</f>
        <v>44034</v>
      </c>
      <c r="E732" s="5" t="str">
        <f ca="1">IFERROR(__xludf.DUMMYFUNCTION("""COMPUTED_VALUE"""),"Nu")</f>
        <v>Nu</v>
      </c>
      <c r="F732" s="5"/>
      <c r="G732" s="5"/>
      <c r="H732" s="6"/>
      <c r="I732" s="5"/>
      <c r="J732" s="5"/>
      <c r="K732" s="7" t="str">
        <f ca="1">IFERROR(__xludf.DUMMYFUNCTION("""COMPUTED_VALUE"""),"https://stirioficiale.ro/informatii/buletin-de-presa-22-iulie-2020-ora-13-00")</f>
        <v>https://stirioficiale.ro/informatii/buletin-de-presa-22-iulie-2020-ora-13-00</v>
      </c>
      <c r="L732" s="5"/>
      <c r="M732" s="5"/>
      <c r="N732" s="5"/>
      <c r="O732" s="5"/>
      <c r="P732" s="5"/>
      <c r="Q732" s="5"/>
      <c r="R732" s="5" t="str">
        <f ca="1">IFERROR(__xludf.DUMMYFUNCTION("""COMPUTED_VALUE"""),"România")</f>
        <v>România</v>
      </c>
      <c r="S732" s="5" t="str">
        <f ca="1">IFERROR(__xludf.DUMMYFUNCTION("""COMPUTED_VALUE"""),"Alex")</f>
        <v>Alex</v>
      </c>
      <c r="T732" s="7" t="str">
        <f ca="1">IFERROR(__xludf.DUMMYFUNCTION("""COMPUTED_VALUE"""),"http://www.ms.ro/2020/07/22/buletin-informativ-22-07-2020/")</f>
        <v>http://www.ms.ro/2020/07/22/buletin-informativ-22-07-2020/</v>
      </c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2.5">
      <c r="A733" s="5">
        <f ca="1">IFERROR(__xludf.DUMMYFUNCTION("""COMPUTED_VALUE"""),39296)</f>
        <v>39296</v>
      </c>
      <c r="B733" s="5"/>
      <c r="C733" s="5" t="str">
        <f ca="1">IFERROR(__xludf.DUMMYFUNCTION("""COMPUTED_VALUE"""),"Bihor")</f>
        <v>Bihor</v>
      </c>
      <c r="D733" s="13">
        <f ca="1">IFERROR(__xludf.DUMMYFUNCTION("""COMPUTED_VALUE"""),44034)</f>
        <v>44034</v>
      </c>
      <c r="E733" s="5" t="str">
        <f ca="1">IFERROR(__xludf.DUMMYFUNCTION("""COMPUTED_VALUE"""),"Nu")</f>
        <v>Nu</v>
      </c>
      <c r="F733" s="5"/>
      <c r="G733" s="5"/>
      <c r="H733" s="6"/>
      <c r="I733" s="5"/>
      <c r="J733" s="5"/>
      <c r="K733" s="7" t="str">
        <f ca="1">IFERROR(__xludf.DUMMYFUNCTION("""COMPUTED_VALUE"""),"https://stirioficiale.ro/informatii/buletin-de-presa-22-iulie-2020-ora-13-00")</f>
        <v>https://stirioficiale.ro/informatii/buletin-de-presa-22-iulie-2020-ora-13-00</v>
      </c>
      <c r="L733" s="5"/>
      <c r="M733" s="5"/>
      <c r="N733" s="5"/>
      <c r="O733" s="5"/>
      <c r="P733" s="5"/>
      <c r="Q733" s="5"/>
      <c r="R733" s="5" t="str">
        <f ca="1">IFERROR(__xludf.DUMMYFUNCTION("""COMPUTED_VALUE"""),"România")</f>
        <v>România</v>
      </c>
      <c r="S733" s="5" t="str">
        <f ca="1">IFERROR(__xludf.DUMMYFUNCTION("""COMPUTED_VALUE"""),"Alex")</f>
        <v>Alex</v>
      </c>
      <c r="T733" s="7" t="str">
        <f ca="1">IFERROR(__xludf.DUMMYFUNCTION("""COMPUTED_VALUE"""),"http://www.ms.ro/2020/07/22/buletin-informativ-22-07-2020/")</f>
        <v>http://www.ms.ro/2020/07/22/buletin-informativ-22-07-2020/</v>
      </c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ht="12.5">
      <c r="A734" s="5">
        <f ca="1">IFERROR(__xludf.DUMMYFUNCTION("""COMPUTED_VALUE"""),39297)</f>
        <v>39297</v>
      </c>
      <c r="B734" s="5"/>
      <c r="C734" s="5" t="str">
        <f ca="1">IFERROR(__xludf.DUMMYFUNCTION("""COMPUTED_VALUE"""),"Bihor")</f>
        <v>Bihor</v>
      </c>
      <c r="D734" s="13">
        <f ca="1">IFERROR(__xludf.DUMMYFUNCTION("""COMPUTED_VALUE"""),44034)</f>
        <v>44034</v>
      </c>
      <c r="E734" s="5" t="str">
        <f ca="1">IFERROR(__xludf.DUMMYFUNCTION("""COMPUTED_VALUE"""),"Nu")</f>
        <v>Nu</v>
      </c>
      <c r="F734" s="5"/>
      <c r="G734" s="5"/>
      <c r="H734" s="6"/>
      <c r="I734" s="5"/>
      <c r="J734" s="5"/>
      <c r="K734" s="7" t="str">
        <f ca="1">IFERROR(__xludf.DUMMYFUNCTION("""COMPUTED_VALUE"""),"https://stirioficiale.ro/informatii/buletin-de-presa-22-iulie-2020-ora-13-00")</f>
        <v>https://stirioficiale.ro/informatii/buletin-de-presa-22-iulie-2020-ora-13-00</v>
      </c>
      <c r="L734" s="5"/>
      <c r="M734" s="5"/>
      <c r="N734" s="5"/>
      <c r="O734" s="5"/>
      <c r="P734" s="5"/>
      <c r="Q734" s="5"/>
      <c r="R734" s="5" t="str">
        <f ca="1">IFERROR(__xludf.DUMMYFUNCTION("""COMPUTED_VALUE"""),"România")</f>
        <v>România</v>
      </c>
      <c r="S734" s="5" t="str">
        <f ca="1">IFERROR(__xludf.DUMMYFUNCTION("""COMPUTED_VALUE"""),"Alex")</f>
        <v>Alex</v>
      </c>
      <c r="T734" s="7" t="str">
        <f ca="1">IFERROR(__xludf.DUMMYFUNCTION("""COMPUTED_VALUE"""),"http://www.ms.ro/2020/07/22/buletin-informativ-22-07-2020/")</f>
        <v>http://www.ms.ro/2020/07/22/buletin-informativ-22-07-2020/</v>
      </c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2.5">
      <c r="A735" s="5">
        <f ca="1">IFERROR(__xludf.DUMMYFUNCTION("""COMPUTED_VALUE"""),39298)</f>
        <v>39298</v>
      </c>
      <c r="B735" s="5"/>
      <c r="C735" s="5" t="str">
        <f ca="1">IFERROR(__xludf.DUMMYFUNCTION("""COMPUTED_VALUE"""),"Bihor")</f>
        <v>Bihor</v>
      </c>
      <c r="D735" s="13">
        <f ca="1">IFERROR(__xludf.DUMMYFUNCTION("""COMPUTED_VALUE"""),44034)</f>
        <v>44034</v>
      </c>
      <c r="E735" s="5" t="str">
        <f ca="1">IFERROR(__xludf.DUMMYFUNCTION("""COMPUTED_VALUE"""),"Nu")</f>
        <v>Nu</v>
      </c>
      <c r="F735" s="5"/>
      <c r="G735" s="5"/>
      <c r="H735" s="6"/>
      <c r="I735" s="5"/>
      <c r="J735" s="5"/>
      <c r="K735" s="7" t="str">
        <f ca="1">IFERROR(__xludf.DUMMYFUNCTION("""COMPUTED_VALUE"""),"https://stirioficiale.ro/informatii/buletin-de-presa-22-iulie-2020-ora-13-00")</f>
        <v>https://stirioficiale.ro/informatii/buletin-de-presa-22-iulie-2020-ora-13-00</v>
      </c>
      <c r="L735" s="5"/>
      <c r="M735" s="5"/>
      <c r="N735" s="5"/>
      <c r="O735" s="5"/>
      <c r="P735" s="5"/>
      <c r="Q735" s="5"/>
      <c r="R735" s="5" t="str">
        <f ca="1">IFERROR(__xludf.DUMMYFUNCTION("""COMPUTED_VALUE"""),"România")</f>
        <v>România</v>
      </c>
      <c r="S735" s="5" t="str">
        <f ca="1">IFERROR(__xludf.DUMMYFUNCTION("""COMPUTED_VALUE"""),"Alex")</f>
        <v>Alex</v>
      </c>
      <c r="T735" s="7" t="str">
        <f ca="1">IFERROR(__xludf.DUMMYFUNCTION("""COMPUTED_VALUE"""),"http://www.ms.ro/2020/07/22/buletin-informativ-22-07-2020/")</f>
        <v>http://www.ms.ro/2020/07/22/buletin-informativ-22-07-2020/</v>
      </c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ht="12.5">
      <c r="A736" s="5">
        <f ca="1">IFERROR(__xludf.DUMMYFUNCTION("""COMPUTED_VALUE"""),40371)</f>
        <v>40371</v>
      </c>
      <c r="B736" s="5"/>
      <c r="C736" s="5" t="str">
        <f ca="1">IFERROR(__xludf.DUMMYFUNCTION("""COMPUTED_VALUE"""),"Bihor")</f>
        <v>Bihor</v>
      </c>
      <c r="D736" s="13">
        <f ca="1">IFERROR(__xludf.DUMMYFUNCTION("""COMPUTED_VALUE"""),44035)</f>
        <v>44035</v>
      </c>
      <c r="E736" s="5" t="str">
        <f ca="1">IFERROR(__xludf.DUMMYFUNCTION("""COMPUTED_VALUE"""),"Nu")</f>
        <v>Nu</v>
      </c>
      <c r="F736" s="5"/>
      <c r="G736" s="5"/>
      <c r="H736" s="6"/>
      <c r="I736" s="5" t="str">
        <f ca="1">IFERROR(__xludf.DUMMYFUNCTION("""COMPUTED_VALUE"""),"Masculin")</f>
        <v>Masculin</v>
      </c>
      <c r="J736" s="5"/>
      <c r="K736" s="7" t="str">
        <f ca="1">IFERROR(__xludf.DUMMYFUNCTION("""COMPUTED_VALUE"""),"https://www.alesdonline.ro/local/alesd/todoca-ioan-aveam-un-nou-caz-de-coronavirus-in-alesd/")</f>
        <v>https://www.alesdonline.ro/local/alesd/todoca-ioan-aveam-un-nou-caz-de-coronavirus-in-alesd/</v>
      </c>
      <c r="L736" s="5"/>
      <c r="M736" s="5" t="str">
        <f ca="1">IFERROR(__xludf.DUMMYFUNCTION("""COMPUTED_VALUE"""),"Aleșd")</f>
        <v>Aleșd</v>
      </c>
      <c r="N736" s="5"/>
      <c r="O736" s="5"/>
      <c r="P736" s="5"/>
      <c r="Q736" s="5"/>
      <c r="R736" s="5" t="str">
        <f ca="1">IFERROR(__xludf.DUMMYFUNCTION("""COMPUTED_VALUE"""),"România")</f>
        <v>România</v>
      </c>
      <c r="S736" s="5" t="str">
        <f ca="1">IFERROR(__xludf.DUMMYFUNCTION("""COMPUTED_VALUE"""),"Alex")</f>
        <v>Alex</v>
      </c>
      <c r="T736" s="7" t="str">
        <f ca="1">IFERROR(__xludf.DUMMYFUNCTION("""COMPUTED_VALUE"""),"http://www.ms.ro/2020/07/23/buletin-informativ-23-07-2020/")</f>
        <v>http://www.ms.ro/2020/07/23/buletin-informativ-23-07-2020/</v>
      </c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2.5">
      <c r="A737" s="5">
        <f ca="1">IFERROR(__xludf.DUMMYFUNCTION("""COMPUTED_VALUE"""),40372)</f>
        <v>40372</v>
      </c>
      <c r="B737" s="5"/>
      <c r="C737" s="5" t="str">
        <f ca="1">IFERROR(__xludf.DUMMYFUNCTION("""COMPUTED_VALUE"""),"Bihor")</f>
        <v>Bihor</v>
      </c>
      <c r="D737" s="13">
        <f ca="1">IFERROR(__xludf.DUMMYFUNCTION("""COMPUTED_VALUE"""),44035)</f>
        <v>44035</v>
      </c>
      <c r="E737" s="5" t="str">
        <f ca="1">IFERROR(__xludf.DUMMYFUNCTION("""COMPUTED_VALUE"""),"Nu")</f>
        <v>Nu</v>
      </c>
      <c r="F737" s="5"/>
      <c r="G737" s="5"/>
      <c r="H737" s="6"/>
      <c r="I737" s="5"/>
      <c r="J737" s="5"/>
      <c r="K737" s="7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737" s="5"/>
      <c r="M737" s="5"/>
      <c r="N737" s="5"/>
      <c r="O737" s="5"/>
      <c r="P737" s="5"/>
      <c r="Q737" s="5"/>
      <c r="R737" s="5" t="str">
        <f ca="1">IFERROR(__xludf.DUMMYFUNCTION("""COMPUTED_VALUE"""),"România")</f>
        <v>România</v>
      </c>
      <c r="S737" s="5" t="str">
        <f ca="1">IFERROR(__xludf.DUMMYFUNCTION("""COMPUTED_VALUE"""),"Alex")</f>
        <v>Alex</v>
      </c>
      <c r="T737" s="7" t="str">
        <f ca="1">IFERROR(__xludf.DUMMYFUNCTION("""COMPUTED_VALUE"""),"http://www.ms.ro/2020/07/23/buletin-informativ-23-07-2020/")</f>
        <v>http://www.ms.ro/2020/07/23/buletin-informativ-23-07-2020/</v>
      </c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ht="12.5">
      <c r="A738" s="5">
        <f ca="1">IFERROR(__xludf.DUMMYFUNCTION("""COMPUTED_VALUE"""),40373)</f>
        <v>40373</v>
      </c>
      <c r="B738" s="5"/>
      <c r="C738" s="5" t="str">
        <f ca="1">IFERROR(__xludf.DUMMYFUNCTION("""COMPUTED_VALUE"""),"Bihor")</f>
        <v>Bihor</v>
      </c>
      <c r="D738" s="13">
        <f ca="1">IFERROR(__xludf.DUMMYFUNCTION("""COMPUTED_VALUE"""),44035)</f>
        <v>44035</v>
      </c>
      <c r="E738" s="5" t="str">
        <f ca="1">IFERROR(__xludf.DUMMYFUNCTION("""COMPUTED_VALUE"""),"Nu")</f>
        <v>Nu</v>
      </c>
      <c r="F738" s="5"/>
      <c r="G738" s="5"/>
      <c r="H738" s="6"/>
      <c r="I738" s="5"/>
      <c r="J738" s="5"/>
      <c r="K738" s="7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738" s="5"/>
      <c r="M738" s="5"/>
      <c r="N738" s="5"/>
      <c r="O738" s="5"/>
      <c r="P738" s="5"/>
      <c r="Q738" s="5"/>
      <c r="R738" s="5" t="str">
        <f ca="1">IFERROR(__xludf.DUMMYFUNCTION("""COMPUTED_VALUE"""),"România")</f>
        <v>România</v>
      </c>
      <c r="S738" s="5" t="str">
        <f ca="1">IFERROR(__xludf.DUMMYFUNCTION("""COMPUTED_VALUE"""),"Alex")</f>
        <v>Alex</v>
      </c>
      <c r="T738" s="7" t="str">
        <f ca="1">IFERROR(__xludf.DUMMYFUNCTION("""COMPUTED_VALUE"""),"http://www.ms.ro/2020/07/23/buletin-informativ-23-07-2020/")</f>
        <v>http://www.ms.ro/2020/07/23/buletin-informativ-23-07-2020/</v>
      </c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2.5">
      <c r="A739" s="5">
        <f ca="1">IFERROR(__xludf.DUMMYFUNCTION("""COMPUTED_VALUE"""),40374)</f>
        <v>40374</v>
      </c>
      <c r="B739" s="5"/>
      <c r="C739" s="5" t="str">
        <f ca="1">IFERROR(__xludf.DUMMYFUNCTION("""COMPUTED_VALUE"""),"Bihor")</f>
        <v>Bihor</v>
      </c>
      <c r="D739" s="13">
        <f ca="1">IFERROR(__xludf.DUMMYFUNCTION("""COMPUTED_VALUE"""),44035)</f>
        <v>44035</v>
      </c>
      <c r="E739" s="5" t="str">
        <f ca="1">IFERROR(__xludf.DUMMYFUNCTION("""COMPUTED_VALUE"""),"Nu")</f>
        <v>Nu</v>
      </c>
      <c r="F739" s="5"/>
      <c r="G739" s="5"/>
      <c r="H739" s="6"/>
      <c r="I739" s="5"/>
      <c r="J739" s="5"/>
      <c r="K739" s="7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739" s="5"/>
      <c r="M739" s="5"/>
      <c r="N739" s="5"/>
      <c r="O739" s="5"/>
      <c r="P739" s="5"/>
      <c r="Q739" s="5"/>
      <c r="R739" s="5" t="str">
        <f ca="1">IFERROR(__xludf.DUMMYFUNCTION("""COMPUTED_VALUE"""),"România")</f>
        <v>România</v>
      </c>
      <c r="S739" s="5" t="str">
        <f ca="1">IFERROR(__xludf.DUMMYFUNCTION("""COMPUTED_VALUE"""),"Alex")</f>
        <v>Alex</v>
      </c>
      <c r="T739" s="7" t="str">
        <f ca="1">IFERROR(__xludf.DUMMYFUNCTION("""COMPUTED_VALUE"""),"http://www.ms.ro/2020/07/23/buletin-informativ-23-07-2020/")</f>
        <v>http://www.ms.ro/2020/07/23/buletin-informativ-23-07-2020/</v>
      </c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ht="12.5">
      <c r="A740" s="5">
        <f ca="1">IFERROR(__xludf.DUMMYFUNCTION("""COMPUTED_VALUE"""),40375)</f>
        <v>40375</v>
      </c>
      <c r="B740" s="5"/>
      <c r="C740" s="5" t="str">
        <f ca="1">IFERROR(__xludf.DUMMYFUNCTION("""COMPUTED_VALUE"""),"Bihor")</f>
        <v>Bihor</v>
      </c>
      <c r="D740" s="13">
        <f ca="1">IFERROR(__xludf.DUMMYFUNCTION("""COMPUTED_VALUE"""),44035)</f>
        <v>44035</v>
      </c>
      <c r="E740" s="5" t="str">
        <f ca="1">IFERROR(__xludf.DUMMYFUNCTION("""COMPUTED_VALUE"""),"Nu")</f>
        <v>Nu</v>
      </c>
      <c r="F740" s="5"/>
      <c r="G740" s="5"/>
      <c r="H740" s="6"/>
      <c r="I740" s="5"/>
      <c r="J740" s="5"/>
      <c r="K740" s="7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740" s="5"/>
      <c r="M740" s="5"/>
      <c r="N740" s="5"/>
      <c r="O740" s="5"/>
      <c r="P740" s="5"/>
      <c r="Q740" s="5"/>
      <c r="R740" s="5" t="str">
        <f ca="1">IFERROR(__xludf.DUMMYFUNCTION("""COMPUTED_VALUE"""),"România")</f>
        <v>România</v>
      </c>
      <c r="S740" s="5" t="str">
        <f ca="1">IFERROR(__xludf.DUMMYFUNCTION("""COMPUTED_VALUE"""),"Alex")</f>
        <v>Alex</v>
      </c>
      <c r="T740" s="7" t="str">
        <f ca="1">IFERROR(__xludf.DUMMYFUNCTION("""COMPUTED_VALUE"""),"http://www.ms.ro/2020/07/23/buletin-informativ-23-07-2020/")</f>
        <v>http://www.ms.ro/2020/07/23/buletin-informativ-23-07-2020/</v>
      </c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2.5">
      <c r="A741" s="5">
        <f ca="1">IFERROR(__xludf.DUMMYFUNCTION("""COMPUTED_VALUE"""),40376)</f>
        <v>40376</v>
      </c>
      <c r="B741" s="5"/>
      <c r="C741" s="5" t="str">
        <f ca="1">IFERROR(__xludf.DUMMYFUNCTION("""COMPUTED_VALUE"""),"Bihor")</f>
        <v>Bihor</v>
      </c>
      <c r="D741" s="13">
        <f ca="1">IFERROR(__xludf.DUMMYFUNCTION("""COMPUTED_VALUE"""),44035)</f>
        <v>44035</v>
      </c>
      <c r="E741" s="5" t="str">
        <f ca="1">IFERROR(__xludf.DUMMYFUNCTION("""COMPUTED_VALUE"""),"Nu")</f>
        <v>Nu</v>
      </c>
      <c r="F741" s="5"/>
      <c r="G741" s="5"/>
      <c r="H741" s="6"/>
      <c r="I741" s="5"/>
      <c r="J741" s="5"/>
      <c r="K741" s="7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741" s="5"/>
      <c r="M741" s="5"/>
      <c r="N741" s="5"/>
      <c r="O741" s="5"/>
      <c r="P741" s="5"/>
      <c r="Q741" s="5"/>
      <c r="R741" s="5" t="str">
        <f ca="1">IFERROR(__xludf.DUMMYFUNCTION("""COMPUTED_VALUE"""),"România")</f>
        <v>România</v>
      </c>
      <c r="S741" s="5" t="str">
        <f ca="1">IFERROR(__xludf.DUMMYFUNCTION("""COMPUTED_VALUE"""),"Alex")</f>
        <v>Alex</v>
      </c>
      <c r="T741" s="7" t="str">
        <f ca="1">IFERROR(__xludf.DUMMYFUNCTION("""COMPUTED_VALUE"""),"http://www.ms.ro/2020/07/23/buletin-informativ-23-07-2020/")</f>
        <v>http://www.ms.ro/2020/07/23/buletin-informativ-23-07-2020/</v>
      </c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ht="12.5">
      <c r="A742" s="5">
        <f ca="1">IFERROR(__xludf.DUMMYFUNCTION("""COMPUTED_VALUE"""),40377)</f>
        <v>40377</v>
      </c>
      <c r="B742" s="5"/>
      <c r="C742" s="5" t="str">
        <f ca="1">IFERROR(__xludf.DUMMYFUNCTION("""COMPUTED_VALUE"""),"Bihor")</f>
        <v>Bihor</v>
      </c>
      <c r="D742" s="13">
        <f ca="1">IFERROR(__xludf.DUMMYFUNCTION("""COMPUTED_VALUE"""),44035)</f>
        <v>44035</v>
      </c>
      <c r="E742" s="5" t="str">
        <f ca="1">IFERROR(__xludf.DUMMYFUNCTION("""COMPUTED_VALUE"""),"Nu")</f>
        <v>Nu</v>
      </c>
      <c r="F742" s="5"/>
      <c r="G742" s="5"/>
      <c r="H742" s="6"/>
      <c r="I742" s="5"/>
      <c r="J742" s="5"/>
      <c r="K742" s="7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742" s="5"/>
      <c r="M742" s="5"/>
      <c r="N742" s="5"/>
      <c r="O742" s="5"/>
      <c r="P742" s="5"/>
      <c r="Q742" s="5"/>
      <c r="R742" s="5" t="str">
        <f ca="1">IFERROR(__xludf.DUMMYFUNCTION("""COMPUTED_VALUE"""),"România")</f>
        <v>România</v>
      </c>
      <c r="S742" s="5" t="str">
        <f ca="1">IFERROR(__xludf.DUMMYFUNCTION("""COMPUTED_VALUE"""),"Alex")</f>
        <v>Alex</v>
      </c>
      <c r="T742" s="7" t="str">
        <f ca="1">IFERROR(__xludf.DUMMYFUNCTION("""COMPUTED_VALUE"""),"http://www.ms.ro/2020/07/23/buletin-informativ-23-07-2020/")</f>
        <v>http://www.ms.ro/2020/07/23/buletin-informativ-23-07-2020/</v>
      </c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2.5">
      <c r="A743" s="5">
        <f ca="1">IFERROR(__xludf.DUMMYFUNCTION("""COMPUTED_VALUE"""),40378)</f>
        <v>40378</v>
      </c>
      <c r="B743" s="5"/>
      <c r="C743" s="5" t="str">
        <f ca="1">IFERROR(__xludf.DUMMYFUNCTION("""COMPUTED_VALUE"""),"Bihor")</f>
        <v>Bihor</v>
      </c>
      <c r="D743" s="13">
        <f ca="1">IFERROR(__xludf.DUMMYFUNCTION("""COMPUTED_VALUE"""),44035)</f>
        <v>44035</v>
      </c>
      <c r="E743" s="5" t="str">
        <f ca="1">IFERROR(__xludf.DUMMYFUNCTION("""COMPUTED_VALUE"""),"Nu")</f>
        <v>Nu</v>
      </c>
      <c r="F743" s="5"/>
      <c r="G743" s="5"/>
      <c r="H743" s="6"/>
      <c r="I743" s="5"/>
      <c r="J743" s="5"/>
      <c r="K743" s="7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743" s="5"/>
      <c r="M743" s="5"/>
      <c r="N743" s="5"/>
      <c r="O743" s="5"/>
      <c r="P743" s="5"/>
      <c r="Q743" s="5"/>
      <c r="R743" s="5" t="str">
        <f ca="1">IFERROR(__xludf.DUMMYFUNCTION("""COMPUTED_VALUE"""),"România")</f>
        <v>România</v>
      </c>
      <c r="S743" s="5" t="str">
        <f ca="1">IFERROR(__xludf.DUMMYFUNCTION("""COMPUTED_VALUE"""),"Alex")</f>
        <v>Alex</v>
      </c>
      <c r="T743" s="7" t="str">
        <f ca="1">IFERROR(__xludf.DUMMYFUNCTION("""COMPUTED_VALUE"""),"http://www.ms.ro/2020/07/23/buletin-informativ-23-07-2020/")</f>
        <v>http://www.ms.ro/2020/07/23/buletin-informativ-23-07-2020/</v>
      </c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ht="12.5">
      <c r="A744" s="5">
        <f ca="1">IFERROR(__xludf.DUMMYFUNCTION("""COMPUTED_VALUE"""),40379)</f>
        <v>40379</v>
      </c>
      <c r="B744" s="5"/>
      <c r="C744" s="5" t="str">
        <f ca="1">IFERROR(__xludf.DUMMYFUNCTION("""COMPUTED_VALUE"""),"Bihor")</f>
        <v>Bihor</v>
      </c>
      <c r="D744" s="13">
        <f ca="1">IFERROR(__xludf.DUMMYFUNCTION("""COMPUTED_VALUE"""),44035)</f>
        <v>44035</v>
      </c>
      <c r="E744" s="5" t="str">
        <f ca="1">IFERROR(__xludf.DUMMYFUNCTION("""COMPUTED_VALUE"""),"Nu")</f>
        <v>Nu</v>
      </c>
      <c r="F744" s="5"/>
      <c r="G744" s="5"/>
      <c r="H744" s="6"/>
      <c r="I744" s="5"/>
      <c r="J744" s="5"/>
      <c r="K744" s="7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744" s="5"/>
      <c r="M744" s="5"/>
      <c r="N744" s="5"/>
      <c r="O744" s="5"/>
      <c r="P744" s="5"/>
      <c r="Q744" s="5"/>
      <c r="R744" s="5" t="str">
        <f ca="1">IFERROR(__xludf.DUMMYFUNCTION("""COMPUTED_VALUE"""),"România")</f>
        <v>România</v>
      </c>
      <c r="S744" s="5" t="str">
        <f ca="1">IFERROR(__xludf.DUMMYFUNCTION("""COMPUTED_VALUE"""),"Alex")</f>
        <v>Alex</v>
      </c>
      <c r="T744" s="7" t="str">
        <f ca="1">IFERROR(__xludf.DUMMYFUNCTION("""COMPUTED_VALUE"""),"http://www.ms.ro/2020/07/23/buletin-informativ-23-07-2020/")</f>
        <v>http://www.ms.ro/2020/07/23/buletin-informativ-23-07-2020/</v>
      </c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2.5">
      <c r="A745" s="5">
        <f ca="1">IFERROR(__xludf.DUMMYFUNCTION("""COMPUTED_VALUE"""),40380)</f>
        <v>40380</v>
      </c>
      <c r="B745" s="5"/>
      <c r="C745" s="5" t="str">
        <f ca="1">IFERROR(__xludf.DUMMYFUNCTION("""COMPUTED_VALUE"""),"Bihor")</f>
        <v>Bihor</v>
      </c>
      <c r="D745" s="13">
        <f ca="1">IFERROR(__xludf.DUMMYFUNCTION("""COMPUTED_VALUE"""),44035)</f>
        <v>44035</v>
      </c>
      <c r="E745" s="5" t="str">
        <f ca="1">IFERROR(__xludf.DUMMYFUNCTION("""COMPUTED_VALUE"""),"Nu")</f>
        <v>Nu</v>
      </c>
      <c r="F745" s="5"/>
      <c r="G745" s="5"/>
      <c r="H745" s="6"/>
      <c r="I745" s="5"/>
      <c r="J745" s="5"/>
      <c r="K745" s="7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745" s="5"/>
      <c r="M745" s="5"/>
      <c r="N745" s="5"/>
      <c r="O745" s="5"/>
      <c r="P745" s="5"/>
      <c r="Q745" s="5"/>
      <c r="R745" s="5" t="str">
        <f ca="1">IFERROR(__xludf.DUMMYFUNCTION("""COMPUTED_VALUE"""),"România")</f>
        <v>România</v>
      </c>
      <c r="S745" s="5" t="str">
        <f ca="1">IFERROR(__xludf.DUMMYFUNCTION("""COMPUTED_VALUE"""),"Alex")</f>
        <v>Alex</v>
      </c>
      <c r="T745" s="7" t="str">
        <f ca="1">IFERROR(__xludf.DUMMYFUNCTION("""COMPUTED_VALUE"""),"http://www.ms.ro/2020/07/23/buletin-informativ-23-07-2020/")</f>
        <v>http://www.ms.ro/2020/07/23/buletin-informativ-23-07-2020/</v>
      </c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ht="12.5">
      <c r="A746" s="5">
        <f ca="1">IFERROR(__xludf.DUMMYFUNCTION("""COMPUTED_VALUE"""),40381)</f>
        <v>40381</v>
      </c>
      <c r="B746" s="5"/>
      <c r="C746" s="5" t="str">
        <f ca="1">IFERROR(__xludf.DUMMYFUNCTION("""COMPUTED_VALUE"""),"Bihor")</f>
        <v>Bihor</v>
      </c>
      <c r="D746" s="13">
        <f ca="1">IFERROR(__xludf.DUMMYFUNCTION("""COMPUTED_VALUE"""),44035)</f>
        <v>44035</v>
      </c>
      <c r="E746" s="5" t="str">
        <f ca="1">IFERROR(__xludf.DUMMYFUNCTION("""COMPUTED_VALUE"""),"Nu")</f>
        <v>Nu</v>
      </c>
      <c r="F746" s="5"/>
      <c r="G746" s="5"/>
      <c r="H746" s="6"/>
      <c r="I746" s="5"/>
      <c r="J746" s="5"/>
      <c r="K746" s="7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746" s="5"/>
      <c r="M746" s="5"/>
      <c r="N746" s="5"/>
      <c r="O746" s="5"/>
      <c r="P746" s="5"/>
      <c r="Q746" s="5"/>
      <c r="R746" s="5" t="str">
        <f ca="1">IFERROR(__xludf.DUMMYFUNCTION("""COMPUTED_VALUE"""),"România")</f>
        <v>România</v>
      </c>
      <c r="S746" s="5" t="str">
        <f ca="1">IFERROR(__xludf.DUMMYFUNCTION("""COMPUTED_VALUE"""),"Alex")</f>
        <v>Alex</v>
      </c>
      <c r="T746" s="7" t="str">
        <f ca="1">IFERROR(__xludf.DUMMYFUNCTION("""COMPUTED_VALUE"""),"http://www.ms.ro/2020/07/23/buletin-informativ-23-07-2020/")</f>
        <v>http://www.ms.ro/2020/07/23/buletin-informativ-23-07-2020/</v>
      </c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2.5">
      <c r="A747" s="5">
        <f ca="1">IFERROR(__xludf.DUMMYFUNCTION("""COMPUTED_VALUE"""),40382)</f>
        <v>40382</v>
      </c>
      <c r="B747" s="5"/>
      <c r="C747" s="5" t="str">
        <f ca="1">IFERROR(__xludf.DUMMYFUNCTION("""COMPUTED_VALUE"""),"Bihor")</f>
        <v>Bihor</v>
      </c>
      <c r="D747" s="13">
        <f ca="1">IFERROR(__xludf.DUMMYFUNCTION("""COMPUTED_VALUE"""),44035)</f>
        <v>44035</v>
      </c>
      <c r="E747" s="5" t="str">
        <f ca="1">IFERROR(__xludf.DUMMYFUNCTION("""COMPUTED_VALUE"""),"Nu")</f>
        <v>Nu</v>
      </c>
      <c r="F747" s="5"/>
      <c r="G747" s="5"/>
      <c r="H747" s="6"/>
      <c r="I747" s="5"/>
      <c r="J747" s="5"/>
      <c r="K747" s="7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747" s="5"/>
      <c r="M747" s="5"/>
      <c r="N747" s="5"/>
      <c r="O747" s="5"/>
      <c r="P747" s="5"/>
      <c r="Q747" s="5"/>
      <c r="R747" s="5" t="str">
        <f ca="1">IFERROR(__xludf.DUMMYFUNCTION("""COMPUTED_VALUE"""),"România")</f>
        <v>România</v>
      </c>
      <c r="S747" s="5" t="str">
        <f ca="1">IFERROR(__xludf.DUMMYFUNCTION("""COMPUTED_VALUE"""),"Alex")</f>
        <v>Alex</v>
      </c>
      <c r="T747" s="7" t="str">
        <f ca="1">IFERROR(__xludf.DUMMYFUNCTION("""COMPUTED_VALUE"""),"http://www.ms.ro/2020/07/23/buletin-informativ-23-07-2020/")</f>
        <v>http://www.ms.ro/2020/07/23/buletin-informativ-23-07-2020/</v>
      </c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ht="12.5">
      <c r="A748" s="5">
        <f ca="1">IFERROR(__xludf.DUMMYFUNCTION("""COMPUTED_VALUE"""),40383)</f>
        <v>40383</v>
      </c>
      <c r="B748" s="5"/>
      <c r="C748" s="5" t="str">
        <f ca="1">IFERROR(__xludf.DUMMYFUNCTION("""COMPUTED_VALUE"""),"Bihor")</f>
        <v>Bihor</v>
      </c>
      <c r="D748" s="13">
        <f ca="1">IFERROR(__xludf.DUMMYFUNCTION("""COMPUTED_VALUE"""),44035)</f>
        <v>44035</v>
      </c>
      <c r="E748" s="5" t="str">
        <f ca="1">IFERROR(__xludf.DUMMYFUNCTION("""COMPUTED_VALUE"""),"Nu")</f>
        <v>Nu</v>
      </c>
      <c r="F748" s="5"/>
      <c r="G748" s="5"/>
      <c r="H748" s="6"/>
      <c r="I748" s="5"/>
      <c r="J748" s="5"/>
      <c r="K748" s="7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748" s="5"/>
      <c r="M748" s="5"/>
      <c r="N748" s="5"/>
      <c r="O748" s="5"/>
      <c r="P748" s="5"/>
      <c r="Q748" s="5"/>
      <c r="R748" s="5" t="str">
        <f ca="1">IFERROR(__xludf.DUMMYFUNCTION("""COMPUTED_VALUE"""),"România")</f>
        <v>România</v>
      </c>
      <c r="S748" s="5" t="str">
        <f ca="1">IFERROR(__xludf.DUMMYFUNCTION("""COMPUTED_VALUE"""),"Alex")</f>
        <v>Alex</v>
      </c>
      <c r="T748" s="7" t="str">
        <f ca="1">IFERROR(__xludf.DUMMYFUNCTION("""COMPUTED_VALUE"""),"http://www.ms.ro/2020/07/23/buletin-informativ-23-07-2020/")</f>
        <v>http://www.ms.ro/2020/07/23/buletin-informativ-23-07-2020/</v>
      </c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2.5">
      <c r="A749" s="5">
        <f ca="1">IFERROR(__xludf.DUMMYFUNCTION("""COMPUTED_VALUE"""),40384)</f>
        <v>40384</v>
      </c>
      <c r="B749" s="5"/>
      <c r="C749" s="5" t="str">
        <f ca="1">IFERROR(__xludf.DUMMYFUNCTION("""COMPUTED_VALUE"""),"Bihor")</f>
        <v>Bihor</v>
      </c>
      <c r="D749" s="13">
        <f ca="1">IFERROR(__xludf.DUMMYFUNCTION("""COMPUTED_VALUE"""),44035)</f>
        <v>44035</v>
      </c>
      <c r="E749" s="5" t="str">
        <f ca="1">IFERROR(__xludf.DUMMYFUNCTION("""COMPUTED_VALUE"""),"Nu")</f>
        <v>Nu</v>
      </c>
      <c r="F749" s="5"/>
      <c r="G749" s="5"/>
      <c r="H749" s="6"/>
      <c r="I749" s="5"/>
      <c r="J749" s="5"/>
      <c r="K749" s="7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749" s="5"/>
      <c r="M749" s="5"/>
      <c r="N749" s="5"/>
      <c r="O749" s="5"/>
      <c r="P749" s="5"/>
      <c r="Q749" s="5"/>
      <c r="R749" s="5" t="str">
        <f ca="1">IFERROR(__xludf.DUMMYFUNCTION("""COMPUTED_VALUE"""),"România")</f>
        <v>România</v>
      </c>
      <c r="S749" s="5" t="str">
        <f ca="1">IFERROR(__xludf.DUMMYFUNCTION("""COMPUTED_VALUE"""),"Alex")</f>
        <v>Alex</v>
      </c>
      <c r="T749" s="7" t="str">
        <f ca="1">IFERROR(__xludf.DUMMYFUNCTION("""COMPUTED_VALUE"""),"http://www.ms.ro/2020/07/23/buletin-informativ-23-07-2020/")</f>
        <v>http://www.ms.ro/2020/07/23/buletin-informativ-23-07-2020/</v>
      </c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ht="12.5">
      <c r="A750" s="5">
        <f ca="1">IFERROR(__xludf.DUMMYFUNCTION("""COMPUTED_VALUE"""),40385)</f>
        <v>40385</v>
      </c>
      <c r="B750" s="5"/>
      <c r="C750" s="5" t="str">
        <f ca="1">IFERROR(__xludf.DUMMYFUNCTION("""COMPUTED_VALUE"""),"Bihor")</f>
        <v>Bihor</v>
      </c>
      <c r="D750" s="13">
        <f ca="1">IFERROR(__xludf.DUMMYFUNCTION("""COMPUTED_VALUE"""),44035)</f>
        <v>44035</v>
      </c>
      <c r="E750" s="5" t="str">
        <f ca="1">IFERROR(__xludf.DUMMYFUNCTION("""COMPUTED_VALUE"""),"Nu")</f>
        <v>Nu</v>
      </c>
      <c r="F750" s="5"/>
      <c r="G750" s="5"/>
      <c r="H750" s="6"/>
      <c r="I750" s="5"/>
      <c r="J750" s="5"/>
      <c r="K750" s="7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750" s="5"/>
      <c r="M750" s="5"/>
      <c r="N750" s="5"/>
      <c r="O750" s="5"/>
      <c r="P750" s="5"/>
      <c r="Q750" s="5"/>
      <c r="R750" s="5" t="str">
        <f ca="1">IFERROR(__xludf.DUMMYFUNCTION("""COMPUTED_VALUE"""),"România")</f>
        <v>România</v>
      </c>
      <c r="S750" s="5" t="str">
        <f ca="1">IFERROR(__xludf.DUMMYFUNCTION("""COMPUTED_VALUE"""),"Alex")</f>
        <v>Alex</v>
      </c>
      <c r="T750" s="7" t="str">
        <f ca="1">IFERROR(__xludf.DUMMYFUNCTION("""COMPUTED_VALUE"""),"http://www.ms.ro/2020/07/23/buletin-informativ-23-07-2020/")</f>
        <v>http://www.ms.ro/2020/07/23/buletin-informativ-23-07-2020/</v>
      </c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2.5">
      <c r="A751" s="5">
        <f ca="1">IFERROR(__xludf.DUMMYFUNCTION("""COMPUTED_VALUE"""),40386)</f>
        <v>40386</v>
      </c>
      <c r="B751" s="5"/>
      <c r="C751" s="5" t="str">
        <f ca="1">IFERROR(__xludf.DUMMYFUNCTION("""COMPUTED_VALUE"""),"Bihor")</f>
        <v>Bihor</v>
      </c>
      <c r="D751" s="13">
        <f ca="1">IFERROR(__xludf.DUMMYFUNCTION("""COMPUTED_VALUE"""),44035)</f>
        <v>44035</v>
      </c>
      <c r="E751" s="5" t="str">
        <f ca="1">IFERROR(__xludf.DUMMYFUNCTION("""COMPUTED_VALUE"""),"Nu")</f>
        <v>Nu</v>
      </c>
      <c r="F751" s="5"/>
      <c r="G751" s="5"/>
      <c r="H751" s="6"/>
      <c r="I751" s="5"/>
      <c r="J751" s="5"/>
      <c r="K751" s="7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751" s="5"/>
      <c r="M751" s="5"/>
      <c r="N751" s="5"/>
      <c r="O751" s="5"/>
      <c r="P751" s="5"/>
      <c r="Q751" s="5"/>
      <c r="R751" s="5" t="str">
        <f ca="1">IFERROR(__xludf.DUMMYFUNCTION("""COMPUTED_VALUE"""),"România")</f>
        <v>România</v>
      </c>
      <c r="S751" s="5" t="str">
        <f ca="1">IFERROR(__xludf.DUMMYFUNCTION("""COMPUTED_VALUE"""),"Alex")</f>
        <v>Alex</v>
      </c>
      <c r="T751" s="7" t="str">
        <f ca="1">IFERROR(__xludf.DUMMYFUNCTION("""COMPUTED_VALUE"""),"http://www.ms.ro/2020/07/23/buletin-informativ-23-07-2020/")</f>
        <v>http://www.ms.ro/2020/07/23/buletin-informativ-23-07-2020/</v>
      </c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ht="12.5">
      <c r="A752" s="5">
        <f ca="1">IFERROR(__xludf.DUMMYFUNCTION("""COMPUTED_VALUE"""),41454)</f>
        <v>41454</v>
      </c>
      <c r="B752" s="5"/>
      <c r="C752" s="5" t="str">
        <f ca="1">IFERROR(__xludf.DUMMYFUNCTION("""COMPUTED_VALUE"""),"Bihor")</f>
        <v>Bihor</v>
      </c>
      <c r="D752" s="13">
        <f ca="1">IFERROR(__xludf.DUMMYFUNCTION("""COMPUTED_VALUE"""),44036)</f>
        <v>44036</v>
      </c>
      <c r="E752" s="5" t="str">
        <f ca="1">IFERROR(__xludf.DUMMYFUNCTION("""COMPUTED_VALUE"""),"Nu")</f>
        <v>Nu</v>
      </c>
      <c r="F752" s="5"/>
      <c r="G752" s="5"/>
      <c r="H752" s="6"/>
      <c r="I752" s="5"/>
      <c r="J752" s="5"/>
      <c r="K752" s="7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752" s="5"/>
      <c r="M752" s="5"/>
      <c r="N752" s="5"/>
      <c r="O752" s="5"/>
      <c r="P752" s="5"/>
      <c r="Q752" s="5"/>
      <c r="R752" s="5" t="str">
        <f ca="1">IFERROR(__xludf.DUMMYFUNCTION("""COMPUTED_VALUE"""),"România")</f>
        <v>România</v>
      </c>
      <c r="S752" s="5" t="str">
        <f ca="1">IFERROR(__xludf.DUMMYFUNCTION("""COMPUTED_VALUE"""),"Alex")</f>
        <v>Alex</v>
      </c>
      <c r="T752" s="7" t="str">
        <f ca="1">IFERROR(__xludf.DUMMYFUNCTION("""COMPUTED_VALUE"""),"http://www.ms.ro/2020/07/24/buletin-informativ-24-07-2020/")</f>
        <v>http://www.ms.ro/2020/07/24/buletin-informativ-24-07-2020/</v>
      </c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2.5">
      <c r="A753" s="5">
        <f ca="1">IFERROR(__xludf.DUMMYFUNCTION("""COMPUTED_VALUE"""),41455)</f>
        <v>41455</v>
      </c>
      <c r="B753" s="5"/>
      <c r="C753" s="5" t="str">
        <f ca="1">IFERROR(__xludf.DUMMYFUNCTION("""COMPUTED_VALUE"""),"Bihor")</f>
        <v>Bihor</v>
      </c>
      <c r="D753" s="13">
        <f ca="1">IFERROR(__xludf.DUMMYFUNCTION("""COMPUTED_VALUE"""),44036)</f>
        <v>44036</v>
      </c>
      <c r="E753" s="5" t="str">
        <f ca="1">IFERROR(__xludf.DUMMYFUNCTION("""COMPUTED_VALUE"""),"Nu")</f>
        <v>Nu</v>
      </c>
      <c r="F753" s="5"/>
      <c r="G753" s="5"/>
      <c r="H753" s="6"/>
      <c r="I753" s="5"/>
      <c r="J753" s="5"/>
      <c r="K753" s="7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753" s="5"/>
      <c r="M753" s="5"/>
      <c r="N753" s="5"/>
      <c r="O753" s="5"/>
      <c r="P753" s="5"/>
      <c r="Q753" s="5"/>
      <c r="R753" s="5" t="str">
        <f ca="1">IFERROR(__xludf.DUMMYFUNCTION("""COMPUTED_VALUE"""),"România")</f>
        <v>România</v>
      </c>
      <c r="S753" s="5" t="str">
        <f ca="1">IFERROR(__xludf.DUMMYFUNCTION("""COMPUTED_VALUE"""),"Alex")</f>
        <v>Alex</v>
      </c>
      <c r="T753" s="7" t="str">
        <f ca="1">IFERROR(__xludf.DUMMYFUNCTION("""COMPUTED_VALUE"""),"http://www.ms.ro/2020/07/24/buletin-informativ-24-07-2020/")</f>
        <v>http://www.ms.ro/2020/07/24/buletin-informativ-24-07-2020/</v>
      </c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ht="12.5">
      <c r="A754" s="5">
        <f ca="1">IFERROR(__xludf.DUMMYFUNCTION("""COMPUTED_VALUE"""),41456)</f>
        <v>41456</v>
      </c>
      <c r="B754" s="5"/>
      <c r="C754" s="5" t="str">
        <f ca="1">IFERROR(__xludf.DUMMYFUNCTION("""COMPUTED_VALUE"""),"Bihor")</f>
        <v>Bihor</v>
      </c>
      <c r="D754" s="13">
        <f ca="1">IFERROR(__xludf.DUMMYFUNCTION("""COMPUTED_VALUE"""),44036)</f>
        <v>44036</v>
      </c>
      <c r="E754" s="5" t="str">
        <f ca="1">IFERROR(__xludf.DUMMYFUNCTION("""COMPUTED_VALUE"""),"Nu")</f>
        <v>Nu</v>
      </c>
      <c r="F754" s="5"/>
      <c r="G754" s="5"/>
      <c r="H754" s="6"/>
      <c r="I754" s="5"/>
      <c r="J754" s="5"/>
      <c r="K754" s="7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754" s="5"/>
      <c r="M754" s="5"/>
      <c r="N754" s="5"/>
      <c r="O754" s="5"/>
      <c r="P754" s="5"/>
      <c r="Q754" s="5"/>
      <c r="R754" s="5" t="str">
        <f ca="1">IFERROR(__xludf.DUMMYFUNCTION("""COMPUTED_VALUE"""),"România")</f>
        <v>România</v>
      </c>
      <c r="S754" s="5" t="str">
        <f ca="1">IFERROR(__xludf.DUMMYFUNCTION("""COMPUTED_VALUE"""),"Alex")</f>
        <v>Alex</v>
      </c>
      <c r="T754" s="7" t="str">
        <f ca="1">IFERROR(__xludf.DUMMYFUNCTION("""COMPUTED_VALUE"""),"http://www.ms.ro/2020/07/24/buletin-informativ-24-07-2020/")</f>
        <v>http://www.ms.ro/2020/07/24/buletin-informativ-24-07-2020/</v>
      </c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2.5">
      <c r="A755" s="5">
        <f ca="1">IFERROR(__xludf.DUMMYFUNCTION("""COMPUTED_VALUE"""),41457)</f>
        <v>41457</v>
      </c>
      <c r="B755" s="5"/>
      <c r="C755" s="5" t="str">
        <f ca="1">IFERROR(__xludf.DUMMYFUNCTION("""COMPUTED_VALUE"""),"Bihor")</f>
        <v>Bihor</v>
      </c>
      <c r="D755" s="13">
        <f ca="1">IFERROR(__xludf.DUMMYFUNCTION("""COMPUTED_VALUE"""),44036)</f>
        <v>44036</v>
      </c>
      <c r="E755" s="5" t="str">
        <f ca="1">IFERROR(__xludf.DUMMYFUNCTION("""COMPUTED_VALUE"""),"Nu")</f>
        <v>Nu</v>
      </c>
      <c r="F755" s="5"/>
      <c r="G755" s="5"/>
      <c r="H755" s="6"/>
      <c r="I755" s="5"/>
      <c r="J755" s="5"/>
      <c r="K755" s="7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755" s="5"/>
      <c r="M755" s="5"/>
      <c r="N755" s="5"/>
      <c r="O755" s="5"/>
      <c r="P755" s="5"/>
      <c r="Q755" s="5"/>
      <c r="R755" s="5" t="str">
        <f ca="1">IFERROR(__xludf.DUMMYFUNCTION("""COMPUTED_VALUE"""),"România")</f>
        <v>România</v>
      </c>
      <c r="S755" s="5" t="str">
        <f ca="1">IFERROR(__xludf.DUMMYFUNCTION("""COMPUTED_VALUE"""),"Alex")</f>
        <v>Alex</v>
      </c>
      <c r="T755" s="7" t="str">
        <f ca="1">IFERROR(__xludf.DUMMYFUNCTION("""COMPUTED_VALUE"""),"http://www.ms.ro/2020/07/24/buletin-informativ-24-07-2020/")</f>
        <v>http://www.ms.ro/2020/07/24/buletin-informativ-24-07-2020/</v>
      </c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ht="12.5">
      <c r="A756" s="5">
        <f ca="1">IFERROR(__xludf.DUMMYFUNCTION("""COMPUTED_VALUE"""),41458)</f>
        <v>41458</v>
      </c>
      <c r="B756" s="5"/>
      <c r="C756" s="5" t="str">
        <f ca="1">IFERROR(__xludf.DUMMYFUNCTION("""COMPUTED_VALUE"""),"Bihor")</f>
        <v>Bihor</v>
      </c>
      <c r="D756" s="13">
        <f ca="1">IFERROR(__xludf.DUMMYFUNCTION("""COMPUTED_VALUE"""),44036)</f>
        <v>44036</v>
      </c>
      <c r="E756" s="5" t="str">
        <f ca="1">IFERROR(__xludf.DUMMYFUNCTION("""COMPUTED_VALUE"""),"Nu")</f>
        <v>Nu</v>
      </c>
      <c r="F756" s="5"/>
      <c r="G756" s="5"/>
      <c r="H756" s="6"/>
      <c r="I756" s="5"/>
      <c r="J756" s="5"/>
      <c r="K756" s="7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756" s="5"/>
      <c r="M756" s="5"/>
      <c r="N756" s="5"/>
      <c r="O756" s="5"/>
      <c r="P756" s="5"/>
      <c r="Q756" s="5"/>
      <c r="R756" s="5" t="str">
        <f ca="1">IFERROR(__xludf.DUMMYFUNCTION("""COMPUTED_VALUE"""),"România")</f>
        <v>România</v>
      </c>
      <c r="S756" s="5" t="str">
        <f ca="1">IFERROR(__xludf.DUMMYFUNCTION("""COMPUTED_VALUE"""),"Alex")</f>
        <v>Alex</v>
      </c>
      <c r="T756" s="7" t="str">
        <f ca="1">IFERROR(__xludf.DUMMYFUNCTION("""COMPUTED_VALUE"""),"http://www.ms.ro/2020/07/24/buletin-informativ-24-07-2020/")</f>
        <v>http://www.ms.ro/2020/07/24/buletin-informativ-24-07-2020/</v>
      </c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2.5">
      <c r="A757" s="5">
        <f ca="1">IFERROR(__xludf.DUMMYFUNCTION("""COMPUTED_VALUE"""),41459)</f>
        <v>41459</v>
      </c>
      <c r="B757" s="5"/>
      <c r="C757" s="5" t="str">
        <f ca="1">IFERROR(__xludf.DUMMYFUNCTION("""COMPUTED_VALUE"""),"Bihor")</f>
        <v>Bihor</v>
      </c>
      <c r="D757" s="13">
        <f ca="1">IFERROR(__xludf.DUMMYFUNCTION("""COMPUTED_VALUE"""),44036)</f>
        <v>44036</v>
      </c>
      <c r="E757" s="5" t="str">
        <f ca="1">IFERROR(__xludf.DUMMYFUNCTION("""COMPUTED_VALUE"""),"Nu")</f>
        <v>Nu</v>
      </c>
      <c r="F757" s="5"/>
      <c r="G757" s="5"/>
      <c r="H757" s="6"/>
      <c r="I757" s="5"/>
      <c r="J757" s="5"/>
      <c r="K757" s="7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757" s="5"/>
      <c r="M757" s="5"/>
      <c r="N757" s="5"/>
      <c r="O757" s="5"/>
      <c r="P757" s="5"/>
      <c r="Q757" s="5"/>
      <c r="R757" s="5" t="str">
        <f ca="1">IFERROR(__xludf.DUMMYFUNCTION("""COMPUTED_VALUE"""),"România")</f>
        <v>România</v>
      </c>
      <c r="S757" s="5" t="str">
        <f ca="1">IFERROR(__xludf.DUMMYFUNCTION("""COMPUTED_VALUE"""),"Alex")</f>
        <v>Alex</v>
      </c>
      <c r="T757" s="7" t="str">
        <f ca="1">IFERROR(__xludf.DUMMYFUNCTION("""COMPUTED_VALUE"""),"http://www.ms.ro/2020/07/24/buletin-informativ-24-07-2020/")</f>
        <v>http://www.ms.ro/2020/07/24/buletin-informativ-24-07-2020/</v>
      </c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ht="12.5">
      <c r="A758" s="5">
        <f ca="1">IFERROR(__xludf.DUMMYFUNCTION("""COMPUTED_VALUE"""),41460)</f>
        <v>41460</v>
      </c>
      <c r="B758" s="5"/>
      <c r="C758" s="5" t="str">
        <f ca="1">IFERROR(__xludf.DUMMYFUNCTION("""COMPUTED_VALUE"""),"Bihor")</f>
        <v>Bihor</v>
      </c>
      <c r="D758" s="13">
        <f ca="1">IFERROR(__xludf.DUMMYFUNCTION("""COMPUTED_VALUE"""),44036)</f>
        <v>44036</v>
      </c>
      <c r="E758" s="5" t="str">
        <f ca="1">IFERROR(__xludf.DUMMYFUNCTION("""COMPUTED_VALUE"""),"Nu")</f>
        <v>Nu</v>
      </c>
      <c r="F758" s="5"/>
      <c r="G758" s="5"/>
      <c r="H758" s="6"/>
      <c r="I758" s="5"/>
      <c r="J758" s="5"/>
      <c r="K758" s="7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758" s="5"/>
      <c r="M758" s="5"/>
      <c r="N758" s="5"/>
      <c r="O758" s="5"/>
      <c r="P758" s="5"/>
      <c r="Q758" s="5"/>
      <c r="R758" s="5" t="str">
        <f ca="1">IFERROR(__xludf.DUMMYFUNCTION("""COMPUTED_VALUE"""),"România")</f>
        <v>România</v>
      </c>
      <c r="S758" s="5" t="str">
        <f ca="1">IFERROR(__xludf.DUMMYFUNCTION("""COMPUTED_VALUE"""),"Alex")</f>
        <v>Alex</v>
      </c>
      <c r="T758" s="7" t="str">
        <f ca="1">IFERROR(__xludf.DUMMYFUNCTION("""COMPUTED_VALUE"""),"http://www.ms.ro/2020/07/24/buletin-informativ-24-07-2020/")</f>
        <v>http://www.ms.ro/2020/07/24/buletin-informativ-24-07-2020/</v>
      </c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2.5">
      <c r="A759" s="5">
        <f ca="1">IFERROR(__xludf.DUMMYFUNCTION("""COMPUTED_VALUE"""),41461)</f>
        <v>41461</v>
      </c>
      <c r="B759" s="5"/>
      <c r="C759" s="5" t="str">
        <f ca="1">IFERROR(__xludf.DUMMYFUNCTION("""COMPUTED_VALUE"""),"Bihor")</f>
        <v>Bihor</v>
      </c>
      <c r="D759" s="13">
        <f ca="1">IFERROR(__xludf.DUMMYFUNCTION("""COMPUTED_VALUE"""),44036)</f>
        <v>44036</v>
      </c>
      <c r="E759" s="5" t="str">
        <f ca="1">IFERROR(__xludf.DUMMYFUNCTION("""COMPUTED_VALUE"""),"Nu")</f>
        <v>Nu</v>
      </c>
      <c r="F759" s="5"/>
      <c r="G759" s="5"/>
      <c r="H759" s="6"/>
      <c r="I759" s="5"/>
      <c r="J759" s="5"/>
      <c r="K759" s="7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759" s="5"/>
      <c r="M759" s="5"/>
      <c r="N759" s="5"/>
      <c r="O759" s="5"/>
      <c r="P759" s="5"/>
      <c r="Q759" s="5"/>
      <c r="R759" s="5" t="str">
        <f ca="1">IFERROR(__xludf.DUMMYFUNCTION("""COMPUTED_VALUE"""),"România")</f>
        <v>România</v>
      </c>
      <c r="S759" s="5" t="str">
        <f ca="1">IFERROR(__xludf.DUMMYFUNCTION("""COMPUTED_VALUE"""),"Alex")</f>
        <v>Alex</v>
      </c>
      <c r="T759" s="7" t="str">
        <f ca="1">IFERROR(__xludf.DUMMYFUNCTION("""COMPUTED_VALUE"""),"http://www.ms.ro/2020/07/24/buletin-informativ-24-07-2020/")</f>
        <v>http://www.ms.ro/2020/07/24/buletin-informativ-24-07-2020/</v>
      </c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ht="12.5">
      <c r="A760" s="5">
        <f ca="1">IFERROR(__xludf.DUMMYFUNCTION("""COMPUTED_VALUE"""),41462)</f>
        <v>41462</v>
      </c>
      <c r="B760" s="5"/>
      <c r="C760" s="5" t="str">
        <f ca="1">IFERROR(__xludf.DUMMYFUNCTION("""COMPUTED_VALUE"""),"Bihor")</f>
        <v>Bihor</v>
      </c>
      <c r="D760" s="13">
        <f ca="1">IFERROR(__xludf.DUMMYFUNCTION("""COMPUTED_VALUE"""),44036)</f>
        <v>44036</v>
      </c>
      <c r="E760" s="5" t="str">
        <f ca="1">IFERROR(__xludf.DUMMYFUNCTION("""COMPUTED_VALUE"""),"Nu")</f>
        <v>Nu</v>
      </c>
      <c r="F760" s="5"/>
      <c r="G760" s="5"/>
      <c r="H760" s="6"/>
      <c r="I760" s="5"/>
      <c r="J760" s="5"/>
      <c r="K760" s="7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760" s="5"/>
      <c r="M760" s="5"/>
      <c r="N760" s="5"/>
      <c r="O760" s="5"/>
      <c r="P760" s="5"/>
      <c r="Q760" s="5"/>
      <c r="R760" s="5" t="str">
        <f ca="1">IFERROR(__xludf.DUMMYFUNCTION("""COMPUTED_VALUE"""),"România")</f>
        <v>România</v>
      </c>
      <c r="S760" s="5" t="str">
        <f ca="1">IFERROR(__xludf.DUMMYFUNCTION("""COMPUTED_VALUE"""),"Alex")</f>
        <v>Alex</v>
      </c>
      <c r="T760" s="7" t="str">
        <f ca="1">IFERROR(__xludf.DUMMYFUNCTION("""COMPUTED_VALUE"""),"http://www.ms.ro/2020/07/24/buletin-informativ-24-07-2020/")</f>
        <v>http://www.ms.ro/2020/07/24/buletin-informativ-24-07-2020/</v>
      </c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2.5">
      <c r="A761" s="5">
        <f ca="1">IFERROR(__xludf.DUMMYFUNCTION("""COMPUTED_VALUE"""),41463)</f>
        <v>41463</v>
      </c>
      <c r="B761" s="5"/>
      <c r="C761" s="5" t="str">
        <f ca="1">IFERROR(__xludf.DUMMYFUNCTION("""COMPUTED_VALUE"""),"Bihor")</f>
        <v>Bihor</v>
      </c>
      <c r="D761" s="13">
        <f ca="1">IFERROR(__xludf.DUMMYFUNCTION("""COMPUTED_VALUE"""),44036)</f>
        <v>44036</v>
      </c>
      <c r="E761" s="5" t="str">
        <f ca="1">IFERROR(__xludf.DUMMYFUNCTION("""COMPUTED_VALUE"""),"Nu")</f>
        <v>Nu</v>
      </c>
      <c r="F761" s="5"/>
      <c r="G761" s="5"/>
      <c r="H761" s="6"/>
      <c r="I761" s="5"/>
      <c r="J761" s="5"/>
      <c r="K761" s="7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761" s="5"/>
      <c r="M761" s="5"/>
      <c r="N761" s="5"/>
      <c r="O761" s="5"/>
      <c r="P761" s="5"/>
      <c r="Q761" s="5"/>
      <c r="R761" s="5" t="str">
        <f ca="1">IFERROR(__xludf.DUMMYFUNCTION("""COMPUTED_VALUE"""),"România")</f>
        <v>România</v>
      </c>
      <c r="S761" s="5" t="str">
        <f ca="1">IFERROR(__xludf.DUMMYFUNCTION("""COMPUTED_VALUE"""),"Alex")</f>
        <v>Alex</v>
      </c>
      <c r="T761" s="7" t="str">
        <f ca="1">IFERROR(__xludf.DUMMYFUNCTION("""COMPUTED_VALUE"""),"http://www.ms.ro/2020/07/24/buletin-informativ-24-07-2020/")</f>
        <v>http://www.ms.ro/2020/07/24/buletin-informativ-24-07-2020/</v>
      </c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ht="12.5">
      <c r="A762" s="5">
        <f ca="1">IFERROR(__xludf.DUMMYFUNCTION("""COMPUTED_VALUE"""),41464)</f>
        <v>41464</v>
      </c>
      <c r="B762" s="5"/>
      <c r="C762" s="5" t="str">
        <f ca="1">IFERROR(__xludf.DUMMYFUNCTION("""COMPUTED_VALUE"""),"Bihor")</f>
        <v>Bihor</v>
      </c>
      <c r="D762" s="13">
        <f ca="1">IFERROR(__xludf.DUMMYFUNCTION("""COMPUTED_VALUE"""),44036)</f>
        <v>44036</v>
      </c>
      <c r="E762" s="5" t="str">
        <f ca="1">IFERROR(__xludf.DUMMYFUNCTION("""COMPUTED_VALUE"""),"Nu")</f>
        <v>Nu</v>
      </c>
      <c r="F762" s="5"/>
      <c r="G762" s="5"/>
      <c r="H762" s="6"/>
      <c r="I762" s="5"/>
      <c r="J762" s="5"/>
      <c r="K762" s="7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762" s="5"/>
      <c r="M762" s="5"/>
      <c r="N762" s="5"/>
      <c r="O762" s="5"/>
      <c r="P762" s="5"/>
      <c r="Q762" s="5"/>
      <c r="R762" s="5" t="str">
        <f ca="1">IFERROR(__xludf.DUMMYFUNCTION("""COMPUTED_VALUE"""),"România")</f>
        <v>România</v>
      </c>
      <c r="S762" s="5" t="str">
        <f ca="1">IFERROR(__xludf.DUMMYFUNCTION("""COMPUTED_VALUE"""),"Alex")</f>
        <v>Alex</v>
      </c>
      <c r="T762" s="7" t="str">
        <f ca="1">IFERROR(__xludf.DUMMYFUNCTION("""COMPUTED_VALUE"""),"http://www.ms.ro/2020/07/24/buletin-informativ-24-07-2020/")</f>
        <v>http://www.ms.ro/2020/07/24/buletin-informativ-24-07-2020/</v>
      </c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2.5">
      <c r="A763" s="5">
        <f ca="1">IFERROR(__xludf.DUMMYFUNCTION("""COMPUTED_VALUE"""),42608)</f>
        <v>42608</v>
      </c>
      <c r="B763" s="5"/>
      <c r="C763" s="5" t="str">
        <f ca="1">IFERROR(__xludf.DUMMYFUNCTION("""COMPUTED_VALUE"""),"Bihor")</f>
        <v>Bihor</v>
      </c>
      <c r="D763" s="13">
        <f ca="1">IFERROR(__xludf.DUMMYFUNCTION("""COMPUTED_VALUE"""),44037)</f>
        <v>44037</v>
      </c>
      <c r="E763" s="5" t="str">
        <f ca="1">IFERROR(__xludf.DUMMYFUNCTION("""COMPUTED_VALUE"""),"Nu")</f>
        <v>Nu</v>
      </c>
      <c r="F763" s="5"/>
      <c r="G763" s="5"/>
      <c r="H763" s="6"/>
      <c r="I763" s="5"/>
      <c r="J763" s="5"/>
      <c r="K763" s="7" t="str">
        <f ca="1">IFERROR(__xludf.DUMMYFUNCTION("""COMPUTED_VALUE"""),"https://stirioficiale.ro/informatii/buletin-de-presa-25-iulie-2020-ora-13-00")</f>
        <v>https://stirioficiale.ro/informatii/buletin-de-presa-25-iulie-2020-ora-13-00</v>
      </c>
      <c r="L763" s="5"/>
      <c r="M763" s="5"/>
      <c r="N763" s="5"/>
      <c r="O763" s="5"/>
      <c r="P763" s="5"/>
      <c r="Q763" s="5"/>
      <c r="R763" s="5" t="str">
        <f ca="1">IFERROR(__xludf.DUMMYFUNCTION("""COMPUTED_VALUE"""),"România")</f>
        <v>România</v>
      </c>
      <c r="S763" s="5" t="str">
        <f ca="1">IFERROR(__xludf.DUMMYFUNCTION("""COMPUTED_VALUE"""),"Alex")</f>
        <v>Alex</v>
      </c>
      <c r="T763" s="7" t="str">
        <f ca="1">IFERROR(__xludf.DUMMYFUNCTION("""COMPUTED_VALUE"""),"http://www.ms.ro/2020/07/25/buletin-informativ-25-07-2020/")</f>
        <v>http://www.ms.ro/2020/07/25/buletin-informativ-25-07-2020/</v>
      </c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ht="12.5">
      <c r="A764" s="5">
        <f ca="1">IFERROR(__xludf.DUMMYFUNCTION("""COMPUTED_VALUE"""),42609)</f>
        <v>42609</v>
      </c>
      <c r="B764" s="5"/>
      <c r="C764" s="5" t="str">
        <f ca="1">IFERROR(__xludf.DUMMYFUNCTION("""COMPUTED_VALUE"""),"Bihor")</f>
        <v>Bihor</v>
      </c>
      <c r="D764" s="13">
        <f ca="1">IFERROR(__xludf.DUMMYFUNCTION("""COMPUTED_VALUE"""),44037)</f>
        <v>44037</v>
      </c>
      <c r="E764" s="5" t="str">
        <f ca="1">IFERROR(__xludf.DUMMYFUNCTION("""COMPUTED_VALUE"""),"Nu")</f>
        <v>Nu</v>
      </c>
      <c r="F764" s="5"/>
      <c r="G764" s="5"/>
      <c r="H764" s="6"/>
      <c r="I764" s="5"/>
      <c r="J764" s="5"/>
      <c r="K764" s="7" t="str">
        <f ca="1">IFERROR(__xludf.DUMMYFUNCTION("""COMPUTED_VALUE"""),"https://stirioficiale.ro/informatii/buletin-de-presa-25-iulie-2020-ora-13-00")</f>
        <v>https://stirioficiale.ro/informatii/buletin-de-presa-25-iulie-2020-ora-13-00</v>
      </c>
      <c r="L764" s="5"/>
      <c r="M764" s="5"/>
      <c r="N764" s="5"/>
      <c r="O764" s="5"/>
      <c r="P764" s="5"/>
      <c r="Q764" s="5"/>
      <c r="R764" s="5" t="str">
        <f ca="1">IFERROR(__xludf.DUMMYFUNCTION("""COMPUTED_VALUE"""),"România")</f>
        <v>România</v>
      </c>
      <c r="S764" s="5" t="str">
        <f ca="1">IFERROR(__xludf.DUMMYFUNCTION("""COMPUTED_VALUE"""),"Alex")</f>
        <v>Alex</v>
      </c>
      <c r="T764" s="7" t="str">
        <f ca="1">IFERROR(__xludf.DUMMYFUNCTION("""COMPUTED_VALUE"""),"http://www.ms.ro/2020/07/25/buletin-informativ-25-07-2020/")</f>
        <v>http://www.ms.ro/2020/07/25/buletin-informativ-25-07-2020/</v>
      </c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2.5">
      <c r="A765" s="5">
        <f ca="1">IFERROR(__xludf.DUMMYFUNCTION("""COMPUTED_VALUE"""),42610)</f>
        <v>42610</v>
      </c>
      <c r="B765" s="5"/>
      <c r="C765" s="5" t="str">
        <f ca="1">IFERROR(__xludf.DUMMYFUNCTION("""COMPUTED_VALUE"""),"Bihor")</f>
        <v>Bihor</v>
      </c>
      <c r="D765" s="13">
        <f ca="1">IFERROR(__xludf.DUMMYFUNCTION("""COMPUTED_VALUE"""),44037)</f>
        <v>44037</v>
      </c>
      <c r="E765" s="5" t="str">
        <f ca="1">IFERROR(__xludf.DUMMYFUNCTION("""COMPUTED_VALUE"""),"Nu")</f>
        <v>Nu</v>
      </c>
      <c r="F765" s="5"/>
      <c r="G765" s="5"/>
      <c r="H765" s="6"/>
      <c r="I765" s="5"/>
      <c r="J765" s="5"/>
      <c r="K765" s="7" t="str">
        <f ca="1">IFERROR(__xludf.DUMMYFUNCTION("""COMPUTED_VALUE"""),"https://stirioficiale.ro/informatii/buletin-de-presa-25-iulie-2020-ora-13-00")</f>
        <v>https://stirioficiale.ro/informatii/buletin-de-presa-25-iulie-2020-ora-13-00</v>
      </c>
      <c r="L765" s="5"/>
      <c r="M765" s="5"/>
      <c r="N765" s="5"/>
      <c r="O765" s="5"/>
      <c r="P765" s="5"/>
      <c r="Q765" s="5"/>
      <c r="R765" s="5" t="str">
        <f ca="1">IFERROR(__xludf.DUMMYFUNCTION("""COMPUTED_VALUE"""),"România")</f>
        <v>România</v>
      </c>
      <c r="S765" s="5" t="str">
        <f ca="1">IFERROR(__xludf.DUMMYFUNCTION("""COMPUTED_VALUE"""),"Alex")</f>
        <v>Alex</v>
      </c>
      <c r="T765" s="7" t="str">
        <f ca="1">IFERROR(__xludf.DUMMYFUNCTION("""COMPUTED_VALUE"""),"http://www.ms.ro/2020/07/25/buletin-informativ-25-07-2020/")</f>
        <v>http://www.ms.ro/2020/07/25/buletin-informativ-25-07-2020/</v>
      </c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ht="12.5">
      <c r="A766" s="5">
        <f ca="1">IFERROR(__xludf.DUMMYFUNCTION("""COMPUTED_VALUE"""),42611)</f>
        <v>42611</v>
      </c>
      <c r="B766" s="5"/>
      <c r="C766" s="5" t="str">
        <f ca="1">IFERROR(__xludf.DUMMYFUNCTION("""COMPUTED_VALUE"""),"Bihor")</f>
        <v>Bihor</v>
      </c>
      <c r="D766" s="13">
        <f ca="1">IFERROR(__xludf.DUMMYFUNCTION("""COMPUTED_VALUE"""),44037)</f>
        <v>44037</v>
      </c>
      <c r="E766" s="5" t="str">
        <f ca="1">IFERROR(__xludf.DUMMYFUNCTION("""COMPUTED_VALUE"""),"Nu")</f>
        <v>Nu</v>
      </c>
      <c r="F766" s="5"/>
      <c r="G766" s="5"/>
      <c r="H766" s="6"/>
      <c r="I766" s="5"/>
      <c r="J766" s="5"/>
      <c r="K766" s="7" t="str">
        <f ca="1">IFERROR(__xludf.DUMMYFUNCTION("""COMPUTED_VALUE"""),"https://stirioficiale.ro/informatii/buletin-de-presa-25-iulie-2020-ora-13-00")</f>
        <v>https://stirioficiale.ro/informatii/buletin-de-presa-25-iulie-2020-ora-13-00</v>
      </c>
      <c r="L766" s="5"/>
      <c r="M766" s="5"/>
      <c r="N766" s="5"/>
      <c r="O766" s="5"/>
      <c r="P766" s="5"/>
      <c r="Q766" s="5"/>
      <c r="R766" s="5" t="str">
        <f ca="1">IFERROR(__xludf.DUMMYFUNCTION("""COMPUTED_VALUE"""),"România")</f>
        <v>România</v>
      </c>
      <c r="S766" s="5" t="str">
        <f ca="1">IFERROR(__xludf.DUMMYFUNCTION("""COMPUTED_VALUE"""),"Alex")</f>
        <v>Alex</v>
      </c>
      <c r="T766" s="7" t="str">
        <f ca="1">IFERROR(__xludf.DUMMYFUNCTION("""COMPUTED_VALUE"""),"http://www.ms.ro/2020/07/25/buletin-informativ-25-07-2020/")</f>
        <v>http://www.ms.ro/2020/07/25/buletin-informativ-25-07-2020/</v>
      </c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2.5">
      <c r="A767" s="5">
        <f ca="1">IFERROR(__xludf.DUMMYFUNCTION("""COMPUTED_VALUE"""),42612)</f>
        <v>42612</v>
      </c>
      <c r="B767" s="5"/>
      <c r="C767" s="5" t="str">
        <f ca="1">IFERROR(__xludf.DUMMYFUNCTION("""COMPUTED_VALUE"""),"Bihor")</f>
        <v>Bihor</v>
      </c>
      <c r="D767" s="13">
        <f ca="1">IFERROR(__xludf.DUMMYFUNCTION("""COMPUTED_VALUE"""),44037)</f>
        <v>44037</v>
      </c>
      <c r="E767" s="5" t="str">
        <f ca="1">IFERROR(__xludf.DUMMYFUNCTION("""COMPUTED_VALUE"""),"Nu")</f>
        <v>Nu</v>
      </c>
      <c r="F767" s="5"/>
      <c r="G767" s="5"/>
      <c r="H767" s="6"/>
      <c r="I767" s="5"/>
      <c r="J767" s="5"/>
      <c r="K767" s="7" t="str">
        <f ca="1">IFERROR(__xludf.DUMMYFUNCTION("""COMPUTED_VALUE"""),"https://stirioficiale.ro/informatii/buletin-de-presa-25-iulie-2020-ora-13-00")</f>
        <v>https://stirioficiale.ro/informatii/buletin-de-presa-25-iulie-2020-ora-13-00</v>
      </c>
      <c r="L767" s="5"/>
      <c r="M767" s="5"/>
      <c r="N767" s="5"/>
      <c r="O767" s="5"/>
      <c r="P767" s="5"/>
      <c r="Q767" s="5"/>
      <c r="R767" s="5" t="str">
        <f ca="1">IFERROR(__xludf.DUMMYFUNCTION("""COMPUTED_VALUE"""),"România")</f>
        <v>România</v>
      </c>
      <c r="S767" s="5" t="str">
        <f ca="1">IFERROR(__xludf.DUMMYFUNCTION("""COMPUTED_VALUE"""),"Alex")</f>
        <v>Alex</v>
      </c>
      <c r="T767" s="7" t="str">
        <f ca="1">IFERROR(__xludf.DUMMYFUNCTION("""COMPUTED_VALUE"""),"http://www.ms.ro/2020/07/25/buletin-informativ-25-07-2020/")</f>
        <v>http://www.ms.ro/2020/07/25/buletin-informativ-25-07-2020/</v>
      </c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ht="12.5">
      <c r="A768" s="5">
        <f ca="1">IFERROR(__xludf.DUMMYFUNCTION("""COMPUTED_VALUE"""),42613)</f>
        <v>42613</v>
      </c>
      <c r="B768" s="5"/>
      <c r="C768" s="5" t="str">
        <f ca="1">IFERROR(__xludf.DUMMYFUNCTION("""COMPUTED_VALUE"""),"Bihor")</f>
        <v>Bihor</v>
      </c>
      <c r="D768" s="13">
        <f ca="1">IFERROR(__xludf.DUMMYFUNCTION("""COMPUTED_VALUE"""),44037)</f>
        <v>44037</v>
      </c>
      <c r="E768" s="5" t="str">
        <f ca="1">IFERROR(__xludf.DUMMYFUNCTION("""COMPUTED_VALUE"""),"Nu")</f>
        <v>Nu</v>
      </c>
      <c r="F768" s="5"/>
      <c r="G768" s="5"/>
      <c r="H768" s="6"/>
      <c r="I768" s="5"/>
      <c r="J768" s="5"/>
      <c r="K768" s="7" t="str">
        <f ca="1">IFERROR(__xludf.DUMMYFUNCTION("""COMPUTED_VALUE"""),"https://stirioficiale.ro/informatii/buletin-de-presa-25-iulie-2020-ora-13-00")</f>
        <v>https://stirioficiale.ro/informatii/buletin-de-presa-25-iulie-2020-ora-13-00</v>
      </c>
      <c r="L768" s="5"/>
      <c r="M768" s="5"/>
      <c r="N768" s="5"/>
      <c r="O768" s="5"/>
      <c r="P768" s="5"/>
      <c r="Q768" s="5"/>
      <c r="R768" s="5" t="str">
        <f ca="1">IFERROR(__xludf.DUMMYFUNCTION("""COMPUTED_VALUE"""),"România")</f>
        <v>România</v>
      </c>
      <c r="S768" s="5" t="str">
        <f ca="1">IFERROR(__xludf.DUMMYFUNCTION("""COMPUTED_VALUE"""),"Alex")</f>
        <v>Alex</v>
      </c>
      <c r="T768" s="7" t="str">
        <f ca="1">IFERROR(__xludf.DUMMYFUNCTION("""COMPUTED_VALUE"""),"http://www.ms.ro/2020/07/25/buletin-informativ-25-07-2020/")</f>
        <v>http://www.ms.ro/2020/07/25/buletin-informativ-25-07-2020/</v>
      </c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2.5">
      <c r="A769" s="5">
        <f ca="1">IFERROR(__xludf.DUMMYFUNCTION("""COMPUTED_VALUE"""),42614)</f>
        <v>42614</v>
      </c>
      <c r="B769" s="5"/>
      <c r="C769" s="5" t="str">
        <f ca="1">IFERROR(__xludf.DUMMYFUNCTION("""COMPUTED_VALUE"""),"Bihor")</f>
        <v>Bihor</v>
      </c>
      <c r="D769" s="13">
        <f ca="1">IFERROR(__xludf.DUMMYFUNCTION("""COMPUTED_VALUE"""),44037)</f>
        <v>44037</v>
      </c>
      <c r="E769" s="5" t="str">
        <f ca="1">IFERROR(__xludf.DUMMYFUNCTION("""COMPUTED_VALUE"""),"Nu")</f>
        <v>Nu</v>
      </c>
      <c r="F769" s="5"/>
      <c r="G769" s="5"/>
      <c r="H769" s="6"/>
      <c r="I769" s="5"/>
      <c r="J769" s="5"/>
      <c r="K769" s="7" t="str">
        <f ca="1">IFERROR(__xludf.DUMMYFUNCTION("""COMPUTED_VALUE"""),"https://stirioficiale.ro/informatii/buletin-de-presa-25-iulie-2020-ora-13-00")</f>
        <v>https://stirioficiale.ro/informatii/buletin-de-presa-25-iulie-2020-ora-13-00</v>
      </c>
      <c r="L769" s="5"/>
      <c r="M769" s="5"/>
      <c r="N769" s="5"/>
      <c r="O769" s="5"/>
      <c r="P769" s="5"/>
      <c r="Q769" s="5"/>
      <c r="R769" s="5" t="str">
        <f ca="1">IFERROR(__xludf.DUMMYFUNCTION("""COMPUTED_VALUE"""),"România")</f>
        <v>România</v>
      </c>
      <c r="S769" s="5" t="str">
        <f ca="1">IFERROR(__xludf.DUMMYFUNCTION("""COMPUTED_VALUE"""),"Alex")</f>
        <v>Alex</v>
      </c>
      <c r="T769" s="7" t="str">
        <f ca="1">IFERROR(__xludf.DUMMYFUNCTION("""COMPUTED_VALUE"""),"http://www.ms.ro/2020/07/25/buletin-informativ-25-07-2020/")</f>
        <v>http://www.ms.ro/2020/07/25/buletin-informativ-25-07-2020/</v>
      </c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ht="12.5">
      <c r="A770" s="5">
        <f ca="1">IFERROR(__xludf.DUMMYFUNCTION("""COMPUTED_VALUE"""),42615)</f>
        <v>42615</v>
      </c>
      <c r="B770" s="5"/>
      <c r="C770" s="5" t="str">
        <f ca="1">IFERROR(__xludf.DUMMYFUNCTION("""COMPUTED_VALUE"""),"Bihor")</f>
        <v>Bihor</v>
      </c>
      <c r="D770" s="13">
        <f ca="1">IFERROR(__xludf.DUMMYFUNCTION("""COMPUTED_VALUE"""),44037)</f>
        <v>44037</v>
      </c>
      <c r="E770" s="5" t="str">
        <f ca="1">IFERROR(__xludf.DUMMYFUNCTION("""COMPUTED_VALUE"""),"Nu")</f>
        <v>Nu</v>
      </c>
      <c r="F770" s="5"/>
      <c r="G770" s="5"/>
      <c r="H770" s="6"/>
      <c r="I770" s="5"/>
      <c r="J770" s="5"/>
      <c r="K770" s="7" t="str">
        <f ca="1">IFERROR(__xludf.DUMMYFUNCTION("""COMPUTED_VALUE"""),"https://stirioficiale.ro/informatii/buletin-de-presa-25-iulie-2020-ora-13-00")</f>
        <v>https://stirioficiale.ro/informatii/buletin-de-presa-25-iulie-2020-ora-13-00</v>
      </c>
      <c r="L770" s="5"/>
      <c r="M770" s="5"/>
      <c r="N770" s="5"/>
      <c r="O770" s="5"/>
      <c r="P770" s="5"/>
      <c r="Q770" s="5"/>
      <c r="R770" s="5" t="str">
        <f ca="1">IFERROR(__xludf.DUMMYFUNCTION("""COMPUTED_VALUE"""),"România")</f>
        <v>România</v>
      </c>
      <c r="S770" s="5" t="str">
        <f ca="1">IFERROR(__xludf.DUMMYFUNCTION("""COMPUTED_VALUE"""),"Alex")</f>
        <v>Alex</v>
      </c>
      <c r="T770" s="7" t="str">
        <f ca="1">IFERROR(__xludf.DUMMYFUNCTION("""COMPUTED_VALUE"""),"http://www.ms.ro/2020/07/25/buletin-informativ-25-07-2020/")</f>
        <v>http://www.ms.ro/2020/07/25/buletin-informativ-25-07-2020/</v>
      </c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2.5">
      <c r="A771" s="5">
        <f ca="1">IFERROR(__xludf.DUMMYFUNCTION("""COMPUTED_VALUE"""),42616)</f>
        <v>42616</v>
      </c>
      <c r="B771" s="5"/>
      <c r="C771" s="5" t="str">
        <f ca="1">IFERROR(__xludf.DUMMYFUNCTION("""COMPUTED_VALUE"""),"Bihor")</f>
        <v>Bihor</v>
      </c>
      <c r="D771" s="13">
        <f ca="1">IFERROR(__xludf.DUMMYFUNCTION("""COMPUTED_VALUE"""),44037)</f>
        <v>44037</v>
      </c>
      <c r="E771" s="5" t="str">
        <f ca="1">IFERROR(__xludf.DUMMYFUNCTION("""COMPUTED_VALUE"""),"Nu")</f>
        <v>Nu</v>
      </c>
      <c r="F771" s="5"/>
      <c r="G771" s="5"/>
      <c r="H771" s="6"/>
      <c r="I771" s="5"/>
      <c r="J771" s="5"/>
      <c r="K771" s="7" t="str">
        <f ca="1">IFERROR(__xludf.DUMMYFUNCTION("""COMPUTED_VALUE"""),"https://stirioficiale.ro/informatii/buletin-de-presa-25-iulie-2020-ora-13-00")</f>
        <v>https://stirioficiale.ro/informatii/buletin-de-presa-25-iulie-2020-ora-13-00</v>
      </c>
      <c r="L771" s="5"/>
      <c r="M771" s="5"/>
      <c r="N771" s="5"/>
      <c r="O771" s="5"/>
      <c r="P771" s="5"/>
      <c r="Q771" s="5"/>
      <c r="R771" s="5" t="str">
        <f ca="1">IFERROR(__xludf.DUMMYFUNCTION("""COMPUTED_VALUE"""),"România")</f>
        <v>România</v>
      </c>
      <c r="S771" s="5" t="str">
        <f ca="1">IFERROR(__xludf.DUMMYFUNCTION("""COMPUTED_VALUE"""),"Alex")</f>
        <v>Alex</v>
      </c>
      <c r="T771" s="7" t="str">
        <f ca="1">IFERROR(__xludf.DUMMYFUNCTION("""COMPUTED_VALUE"""),"http://www.ms.ro/2020/07/25/buletin-informativ-25-07-2020/")</f>
        <v>http://www.ms.ro/2020/07/25/buletin-informativ-25-07-2020/</v>
      </c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ht="12.5">
      <c r="A772" s="5">
        <f ca="1">IFERROR(__xludf.DUMMYFUNCTION("""COMPUTED_VALUE"""),42617)</f>
        <v>42617</v>
      </c>
      <c r="B772" s="5"/>
      <c r="C772" s="5" t="str">
        <f ca="1">IFERROR(__xludf.DUMMYFUNCTION("""COMPUTED_VALUE"""),"Bihor")</f>
        <v>Bihor</v>
      </c>
      <c r="D772" s="13">
        <f ca="1">IFERROR(__xludf.DUMMYFUNCTION("""COMPUTED_VALUE"""),44037)</f>
        <v>44037</v>
      </c>
      <c r="E772" s="5" t="str">
        <f ca="1">IFERROR(__xludf.DUMMYFUNCTION("""COMPUTED_VALUE"""),"Nu")</f>
        <v>Nu</v>
      </c>
      <c r="F772" s="5"/>
      <c r="G772" s="5"/>
      <c r="H772" s="6"/>
      <c r="I772" s="5"/>
      <c r="J772" s="5"/>
      <c r="K772" s="7" t="str">
        <f ca="1">IFERROR(__xludf.DUMMYFUNCTION("""COMPUTED_VALUE"""),"https://stirioficiale.ro/informatii/buletin-de-presa-25-iulie-2020-ora-13-00")</f>
        <v>https://stirioficiale.ro/informatii/buletin-de-presa-25-iulie-2020-ora-13-00</v>
      </c>
      <c r="L772" s="5"/>
      <c r="M772" s="5"/>
      <c r="N772" s="5"/>
      <c r="O772" s="5"/>
      <c r="P772" s="5"/>
      <c r="Q772" s="5"/>
      <c r="R772" s="5" t="str">
        <f ca="1">IFERROR(__xludf.DUMMYFUNCTION("""COMPUTED_VALUE"""),"România")</f>
        <v>România</v>
      </c>
      <c r="S772" s="5" t="str">
        <f ca="1">IFERROR(__xludf.DUMMYFUNCTION("""COMPUTED_VALUE"""),"Alex")</f>
        <v>Alex</v>
      </c>
      <c r="T772" s="7" t="str">
        <f ca="1">IFERROR(__xludf.DUMMYFUNCTION("""COMPUTED_VALUE"""),"http://www.ms.ro/2020/07/25/buletin-informativ-25-07-2020/")</f>
        <v>http://www.ms.ro/2020/07/25/buletin-informativ-25-07-2020/</v>
      </c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2.5">
      <c r="A773" s="5">
        <f ca="1">IFERROR(__xludf.DUMMYFUNCTION("""COMPUTED_VALUE"""),42618)</f>
        <v>42618</v>
      </c>
      <c r="B773" s="5"/>
      <c r="C773" s="5" t="str">
        <f ca="1">IFERROR(__xludf.DUMMYFUNCTION("""COMPUTED_VALUE"""),"Bihor")</f>
        <v>Bihor</v>
      </c>
      <c r="D773" s="13">
        <f ca="1">IFERROR(__xludf.DUMMYFUNCTION("""COMPUTED_VALUE"""),44037)</f>
        <v>44037</v>
      </c>
      <c r="E773" s="5" t="str">
        <f ca="1">IFERROR(__xludf.DUMMYFUNCTION("""COMPUTED_VALUE"""),"Nu")</f>
        <v>Nu</v>
      </c>
      <c r="F773" s="5"/>
      <c r="G773" s="5"/>
      <c r="H773" s="6"/>
      <c r="I773" s="5"/>
      <c r="J773" s="5"/>
      <c r="K773" s="7" t="str">
        <f ca="1">IFERROR(__xludf.DUMMYFUNCTION("""COMPUTED_VALUE"""),"https://stirioficiale.ro/informatii/buletin-de-presa-25-iulie-2020-ora-13-00")</f>
        <v>https://stirioficiale.ro/informatii/buletin-de-presa-25-iulie-2020-ora-13-00</v>
      </c>
      <c r="L773" s="5"/>
      <c r="M773" s="5"/>
      <c r="N773" s="5"/>
      <c r="O773" s="5"/>
      <c r="P773" s="5"/>
      <c r="Q773" s="5"/>
      <c r="R773" s="5" t="str">
        <f ca="1">IFERROR(__xludf.DUMMYFUNCTION("""COMPUTED_VALUE"""),"România")</f>
        <v>România</v>
      </c>
      <c r="S773" s="5" t="str">
        <f ca="1">IFERROR(__xludf.DUMMYFUNCTION("""COMPUTED_VALUE"""),"Alex")</f>
        <v>Alex</v>
      </c>
      <c r="T773" s="7" t="str">
        <f ca="1">IFERROR(__xludf.DUMMYFUNCTION("""COMPUTED_VALUE"""),"http://www.ms.ro/2020/07/25/buletin-informativ-25-07-2020/")</f>
        <v>http://www.ms.ro/2020/07/25/buletin-informativ-25-07-2020/</v>
      </c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ht="12.5">
      <c r="A774" s="5">
        <f ca="1">IFERROR(__xludf.DUMMYFUNCTION("""COMPUTED_VALUE"""),42619)</f>
        <v>42619</v>
      </c>
      <c r="B774" s="5"/>
      <c r="C774" s="5" t="str">
        <f ca="1">IFERROR(__xludf.DUMMYFUNCTION("""COMPUTED_VALUE"""),"Bihor")</f>
        <v>Bihor</v>
      </c>
      <c r="D774" s="13">
        <f ca="1">IFERROR(__xludf.DUMMYFUNCTION("""COMPUTED_VALUE"""),44037)</f>
        <v>44037</v>
      </c>
      <c r="E774" s="5" t="str">
        <f ca="1">IFERROR(__xludf.DUMMYFUNCTION("""COMPUTED_VALUE"""),"Nu")</f>
        <v>Nu</v>
      </c>
      <c r="F774" s="5"/>
      <c r="G774" s="5"/>
      <c r="H774" s="6"/>
      <c r="I774" s="5"/>
      <c r="J774" s="5"/>
      <c r="K774" s="7" t="str">
        <f ca="1">IFERROR(__xludf.DUMMYFUNCTION("""COMPUTED_VALUE"""),"https://stirioficiale.ro/informatii/buletin-de-presa-25-iulie-2020-ora-13-00")</f>
        <v>https://stirioficiale.ro/informatii/buletin-de-presa-25-iulie-2020-ora-13-00</v>
      </c>
      <c r="L774" s="5"/>
      <c r="M774" s="5"/>
      <c r="N774" s="5"/>
      <c r="O774" s="5"/>
      <c r="P774" s="5"/>
      <c r="Q774" s="5"/>
      <c r="R774" s="5" t="str">
        <f ca="1">IFERROR(__xludf.DUMMYFUNCTION("""COMPUTED_VALUE"""),"România")</f>
        <v>România</v>
      </c>
      <c r="S774" s="5" t="str">
        <f ca="1">IFERROR(__xludf.DUMMYFUNCTION("""COMPUTED_VALUE"""),"Alex")</f>
        <v>Alex</v>
      </c>
      <c r="T774" s="7" t="str">
        <f ca="1">IFERROR(__xludf.DUMMYFUNCTION("""COMPUTED_VALUE"""),"http://www.ms.ro/2020/07/25/buletin-informativ-25-07-2020/")</f>
        <v>http://www.ms.ro/2020/07/25/buletin-informativ-25-07-2020/</v>
      </c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2.5">
      <c r="A775" s="5">
        <f ca="1">IFERROR(__xludf.DUMMYFUNCTION("""COMPUTED_VALUE"""),42620)</f>
        <v>42620</v>
      </c>
      <c r="B775" s="5"/>
      <c r="C775" s="5" t="str">
        <f ca="1">IFERROR(__xludf.DUMMYFUNCTION("""COMPUTED_VALUE"""),"Bihor")</f>
        <v>Bihor</v>
      </c>
      <c r="D775" s="13">
        <f ca="1">IFERROR(__xludf.DUMMYFUNCTION("""COMPUTED_VALUE"""),44037)</f>
        <v>44037</v>
      </c>
      <c r="E775" s="5" t="str">
        <f ca="1">IFERROR(__xludf.DUMMYFUNCTION("""COMPUTED_VALUE"""),"Nu")</f>
        <v>Nu</v>
      </c>
      <c r="F775" s="5"/>
      <c r="G775" s="5"/>
      <c r="H775" s="6"/>
      <c r="I775" s="5"/>
      <c r="J775" s="5"/>
      <c r="K775" s="7" t="str">
        <f ca="1">IFERROR(__xludf.DUMMYFUNCTION("""COMPUTED_VALUE"""),"https://stirioficiale.ro/informatii/buletin-de-presa-25-iulie-2020-ora-13-00")</f>
        <v>https://stirioficiale.ro/informatii/buletin-de-presa-25-iulie-2020-ora-13-00</v>
      </c>
      <c r="L775" s="5"/>
      <c r="M775" s="5"/>
      <c r="N775" s="5"/>
      <c r="O775" s="5"/>
      <c r="P775" s="5"/>
      <c r="Q775" s="5"/>
      <c r="R775" s="5" t="str">
        <f ca="1">IFERROR(__xludf.DUMMYFUNCTION("""COMPUTED_VALUE"""),"România")</f>
        <v>România</v>
      </c>
      <c r="S775" s="5" t="str">
        <f ca="1">IFERROR(__xludf.DUMMYFUNCTION("""COMPUTED_VALUE"""),"Alex")</f>
        <v>Alex</v>
      </c>
      <c r="T775" s="7" t="str">
        <f ca="1">IFERROR(__xludf.DUMMYFUNCTION("""COMPUTED_VALUE"""),"http://www.ms.ro/2020/07/25/buletin-informativ-25-07-2020/")</f>
        <v>http://www.ms.ro/2020/07/25/buletin-informativ-25-07-2020/</v>
      </c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ht="12.5">
      <c r="A776" s="5">
        <f ca="1">IFERROR(__xludf.DUMMYFUNCTION("""COMPUTED_VALUE"""),42621)</f>
        <v>42621</v>
      </c>
      <c r="B776" s="5"/>
      <c r="C776" s="5" t="str">
        <f ca="1">IFERROR(__xludf.DUMMYFUNCTION("""COMPUTED_VALUE"""),"Bihor")</f>
        <v>Bihor</v>
      </c>
      <c r="D776" s="13">
        <f ca="1">IFERROR(__xludf.DUMMYFUNCTION("""COMPUTED_VALUE"""),44037)</f>
        <v>44037</v>
      </c>
      <c r="E776" s="5" t="str">
        <f ca="1">IFERROR(__xludf.DUMMYFUNCTION("""COMPUTED_VALUE"""),"Nu")</f>
        <v>Nu</v>
      </c>
      <c r="F776" s="5"/>
      <c r="G776" s="5"/>
      <c r="H776" s="6"/>
      <c r="I776" s="5"/>
      <c r="J776" s="5"/>
      <c r="K776" s="7" t="str">
        <f ca="1">IFERROR(__xludf.DUMMYFUNCTION("""COMPUTED_VALUE"""),"https://stirioficiale.ro/informatii/buletin-de-presa-25-iulie-2020-ora-13-00")</f>
        <v>https://stirioficiale.ro/informatii/buletin-de-presa-25-iulie-2020-ora-13-00</v>
      </c>
      <c r="L776" s="5"/>
      <c r="M776" s="5"/>
      <c r="N776" s="5"/>
      <c r="O776" s="5"/>
      <c r="P776" s="5"/>
      <c r="Q776" s="5"/>
      <c r="R776" s="5" t="str">
        <f ca="1">IFERROR(__xludf.DUMMYFUNCTION("""COMPUTED_VALUE"""),"România")</f>
        <v>România</v>
      </c>
      <c r="S776" s="5" t="str">
        <f ca="1">IFERROR(__xludf.DUMMYFUNCTION("""COMPUTED_VALUE"""),"Alex")</f>
        <v>Alex</v>
      </c>
      <c r="T776" s="7" t="str">
        <f ca="1">IFERROR(__xludf.DUMMYFUNCTION("""COMPUTED_VALUE"""),"http://www.ms.ro/2020/07/25/buletin-informativ-25-07-2020/")</f>
        <v>http://www.ms.ro/2020/07/25/buletin-informativ-25-07-2020/</v>
      </c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2.5">
      <c r="A777" s="5">
        <f ca="1">IFERROR(__xludf.DUMMYFUNCTION("""COMPUTED_VALUE"""),43875)</f>
        <v>43875</v>
      </c>
      <c r="B777" s="5"/>
      <c r="C777" s="5" t="str">
        <f ca="1">IFERROR(__xludf.DUMMYFUNCTION("""COMPUTED_VALUE"""),"Bihor")</f>
        <v>Bihor</v>
      </c>
      <c r="D777" s="13">
        <f ca="1">IFERROR(__xludf.DUMMYFUNCTION("""COMPUTED_VALUE"""),44038)</f>
        <v>44038</v>
      </c>
      <c r="E777" s="5" t="str">
        <f ca="1">IFERROR(__xludf.DUMMYFUNCTION("""COMPUTED_VALUE"""),"Nu")</f>
        <v>Nu</v>
      </c>
      <c r="F777" s="5"/>
      <c r="G777" s="5"/>
      <c r="H777" s="6"/>
      <c r="I777" s="5"/>
      <c r="J777" s="5"/>
      <c r="K777" s="7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777" s="5"/>
      <c r="M777" s="5"/>
      <c r="N777" s="5"/>
      <c r="O777" s="5"/>
      <c r="P777" s="5"/>
      <c r="Q777" s="5"/>
      <c r="R777" s="5" t="str">
        <f ca="1">IFERROR(__xludf.DUMMYFUNCTION("""COMPUTED_VALUE"""),"România")</f>
        <v>România</v>
      </c>
      <c r="S777" s="5" t="str">
        <f ca="1">IFERROR(__xludf.DUMMYFUNCTION("""COMPUTED_VALUE"""),"Octavian")</f>
        <v>Octavian</v>
      </c>
      <c r="T777" s="7" t="str">
        <f ca="1">IFERROR(__xludf.DUMMYFUNCTION("""COMPUTED_VALUE"""),"http://www.ms.ro/2020/07/26/buletin-informativ-26-07-2020/")</f>
        <v>http://www.ms.ro/2020/07/26/buletin-informativ-26-07-2020/</v>
      </c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ht="12.5">
      <c r="A778" s="5">
        <f ca="1">IFERROR(__xludf.DUMMYFUNCTION("""COMPUTED_VALUE"""),43876)</f>
        <v>43876</v>
      </c>
      <c r="B778" s="5"/>
      <c r="C778" s="5" t="str">
        <f ca="1">IFERROR(__xludf.DUMMYFUNCTION("""COMPUTED_VALUE"""),"Bihor")</f>
        <v>Bihor</v>
      </c>
      <c r="D778" s="13">
        <f ca="1">IFERROR(__xludf.DUMMYFUNCTION("""COMPUTED_VALUE"""),44038)</f>
        <v>44038</v>
      </c>
      <c r="E778" s="5" t="str">
        <f ca="1">IFERROR(__xludf.DUMMYFUNCTION("""COMPUTED_VALUE"""),"Nu")</f>
        <v>Nu</v>
      </c>
      <c r="F778" s="5"/>
      <c r="G778" s="5"/>
      <c r="H778" s="6"/>
      <c r="I778" s="5"/>
      <c r="J778" s="5"/>
      <c r="K778" s="7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778" s="5"/>
      <c r="M778" s="5"/>
      <c r="N778" s="5"/>
      <c r="O778" s="5"/>
      <c r="P778" s="5"/>
      <c r="Q778" s="5"/>
      <c r="R778" s="5" t="str">
        <f ca="1">IFERROR(__xludf.DUMMYFUNCTION("""COMPUTED_VALUE"""),"România")</f>
        <v>România</v>
      </c>
      <c r="S778" s="5" t="str">
        <f ca="1">IFERROR(__xludf.DUMMYFUNCTION("""COMPUTED_VALUE"""),"Octavian")</f>
        <v>Octavian</v>
      </c>
      <c r="T778" s="7" t="str">
        <f ca="1">IFERROR(__xludf.DUMMYFUNCTION("""COMPUTED_VALUE"""),"http://www.ms.ro/2020/07/26/buletin-informativ-26-07-2020/")</f>
        <v>http://www.ms.ro/2020/07/26/buletin-informativ-26-07-2020/</v>
      </c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2.5">
      <c r="A779" s="5">
        <f ca="1">IFERROR(__xludf.DUMMYFUNCTION("""COMPUTED_VALUE"""),43877)</f>
        <v>43877</v>
      </c>
      <c r="B779" s="5"/>
      <c r="C779" s="5" t="str">
        <f ca="1">IFERROR(__xludf.DUMMYFUNCTION("""COMPUTED_VALUE"""),"Bihor")</f>
        <v>Bihor</v>
      </c>
      <c r="D779" s="13">
        <f ca="1">IFERROR(__xludf.DUMMYFUNCTION("""COMPUTED_VALUE"""),44038)</f>
        <v>44038</v>
      </c>
      <c r="E779" s="5" t="str">
        <f ca="1">IFERROR(__xludf.DUMMYFUNCTION("""COMPUTED_VALUE"""),"Nu")</f>
        <v>Nu</v>
      </c>
      <c r="F779" s="5"/>
      <c r="G779" s="5"/>
      <c r="H779" s="6"/>
      <c r="I779" s="5"/>
      <c r="J779" s="5"/>
      <c r="K779" s="7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779" s="5"/>
      <c r="M779" s="5"/>
      <c r="N779" s="5"/>
      <c r="O779" s="5"/>
      <c r="P779" s="5"/>
      <c r="Q779" s="5"/>
      <c r="R779" s="5" t="str">
        <f ca="1">IFERROR(__xludf.DUMMYFUNCTION("""COMPUTED_VALUE"""),"România")</f>
        <v>România</v>
      </c>
      <c r="S779" s="5" t="str">
        <f ca="1">IFERROR(__xludf.DUMMYFUNCTION("""COMPUTED_VALUE"""),"Octavian")</f>
        <v>Octavian</v>
      </c>
      <c r="T779" s="7" t="str">
        <f ca="1">IFERROR(__xludf.DUMMYFUNCTION("""COMPUTED_VALUE"""),"http://www.ms.ro/2020/07/26/buletin-informativ-26-07-2020/")</f>
        <v>http://www.ms.ro/2020/07/26/buletin-informativ-26-07-2020/</v>
      </c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ht="12.5">
      <c r="A780" s="5">
        <f ca="1">IFERROR(__xludf.DUMMYFUNCTION("""COMPUTED_VALUE"""),43878)</f>
        <v>43878</v>
      </c>
      <c r="B780" s="5"/>
      <c r="C780" s="5" t="str">
        <f ca="1">IFERROR(__xludf.DUMMYFUNCTION("""COMPUTED_VALUE"""),"Bihor")</f>
        <v>Bihor</v>
      </c>
      <c r="D780" s="13">
        <f ca="1">IFERROR(__xludf.DUMMYFUNCTION("""COMPUTED_VALUE"""),44038)</f>
        <v>44038</v>
      </c>
      <c r="E780" s="5" t="str">
        <f ca="1">IFERROR(__xludf.DUMMYFUNCTION("""COMPUTED_VALUE"""),"Nu")</f>
        <v>Nu</v>
      </c>
      <c r="F780" s="5"/>
      <c r="G780" s="5"/>
      <c r="H780" s="6"/>
      <c r="I780" s="5"/>
      <c r="J780" s="5"/>
      <c r="K780" s="7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780" s="5"/>
      <c r="M780" s="5"/>
      <c r="N780" s="5"/>
      <c r="O780" s="5"/>
      <c r="P780" s="5"/>
      <c r="Q780" s="5"/>
      <c r="R780" s="5" t="str">
        <f ca="1">IFERROR(__xludf.DUMMYFUNCTION("""COMPUTED_VALUE"""),"România")</f>
        <v>România</v>
      </c>
      <c r="S780" s="5" t="str">
        <f ca="1">IFERROR(__xludf.DUMMYFUNCTION("""COMPUTED_VALUE"""),"Octavian")</f>
        <v>Octavian</v>
      </c>
      <c r="T780" s="7" t="str">
        <f ca="1">IFERROR(__xludf.DUMMYFUNCTION("""COMPUTED_VALUE"""),"http://www.ms.ro/2020/07/26/buletin-informativ-26-07-2020/")</f>
        <v>http://www.ms.ro/2020/07/26/buletin-informativ-26-07-2020/</v>
      </c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2.5">
      <c r="A781" s="5">
        <f ca="1">IFERROR(__xludf.DUMMYFUNCTION("""COMPUTED_VALUE"""),43879)</f>
        <v>43879</v>
      </c>
      <c r="B781" s="5"/>
      <c r="C781" s="5" t="str">
        <f ca="1">IFERROR(__xludf.DUMMYFUNCTION("""COMPUTED_VALUE"""),"Bihor")</f>
        <v>Bihor</v>
      </c>
      <c r="D781" s="13">
        <f ca="1">IFERROR(__xludf.DUMMYFUNCTION("""COMPUTED_VALUE"""),44038)</f>
        <v>44038</v>
      </c>
      <c r="E781" s="5" t="str">
        <f ca="1">IFERROR(__xludf.DUMMYFUNCTION("""COMPUTED_VALUE"""),"Nu")</f>
        <v>Nu</v>
      </c>
      <c r="F781" s="5"/>
      <c r="G781" s="5"/>
      <c r="H781" s="6"/>
      <c r="I781" s="5"/>
      <c r="J781" s="5"/>
      <c r="K781" s="7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781" s="5"/>
      <c r="M781" s="5"/>
      <c r="N781" s="5"/>
      <c r="O781" s="5"/>
      <c r="P781" s="5"/>
      <c r="Q781" s="5"/>
      <c r="R781" s="5" t="str">
        <f ca="1">IFERROR(__xludf.DUMMYFUNCTION("""COMPUTED_VALUE"""),"România")</f>
        <v>România</v>
      </c>
      <c r="S781" s="5" t="str">
        <f ca="1">IFERROR(__xludf.DUMMYFUNCTION("""COMPUTED_VALUE"""),"Octavian")</f>
        <v>Octavian</v>
      </c>
      <c r="T781" s="7" t="str">
        <f ca="1">IFERROR(__xludf.DUMMYFUNCTION("""COMPUTED_VALUE"""),"http://www.ms.ro/2020/07/26/buletin-informativ-26-07-2020/")</f>
        <v>http://www.ms.ro/2020/07/26/buletin-informativ-26-07-2020/</v>
      </c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ht="12.5">
      <c r="A782" s="5">
        <f ca="1">IFERROR(__xludf.DUMMYFUNCTION("""COMPUTED_VALUE"""),43880)</f>
        <v>43880</v>
      </c>
      <c r="B782" s="5"/>
      <c r="C782" s="5" t="str">
        <f ca="1">IFERROR(__xludf.DUMMYFUNCTION("""COMPUTED_VALUE"""),"Bihor")</f>
        <v>Bihor</v>
      </c>
      <c r="D782" s="13">
        <f ca="1">IFERROR(__xludf.DUMMYFUNCTION("""COMPUTED_VALUE"""),44038)</f>
        <v>44038</v>
      </c>
      <c r="E782" s="5" t="str">
        <f ca="1">IFERROR(__xludf.DUMMYFUNCTION("""COMPUTED_VALUE"""),"Nu")</f>
        <v>Nu</v>
      </c>
      <c r="F782" s="5"/>
      <c r="G782" s="5"/>
      <c r="H782" s="6"/>
      <c r="I782" s="5"/>
      <c r="J782" s="5"/>
      <c r="K782" s="7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782" s="5"/>
      <c r="M782" s="5"/>
      <c r="N782" s="5"/>
      <c r="O782" s="5"/>
      <c r="P782" s="5"/>
      <c r="Q782" s="5"/>
      <c r="R782" s="5" t="str">
        <f ca="1">IFERROR(__xludf.DUMMYFUNCTION("""COMPUTED_VALUE"""),"România")</f>
        <v>România</v>
      </c>
      <c r="S782" s="5" t="str">
        <f ca="1">IFERROR(__xludf.DUMMYFUNCTION("""COMPUTED_VALUE"""),"Octavian")</f>
        <v>Octavian</v>
      </c>
      <c r="T782" s="7" t="str">
        <f ca="1">IFERROR(__xludf.DUMMYFUNCTION("""COMPUTED_VALUE"""),"http://www.ms.ro/2020/07/26/buletin-informativ-26-07-2020/")</f>
        <v>http://www.ms.ro/2020/07/26/buletin-informativ-26-07-2020/</v>
      </c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2.5">
      <c r="A783" s="5">
        <f ca="1">IFERROR(__xludf.DUMMYFUNCTION("""COMPUTED_VALUE"""),44979)</f>
        <v>44979</v>
      </c>
      <c r="B783" s="5"/>
      <c r="C783" s="5" t="str">
        <f ca="1">IFERROR(__xludf.DUMMYFUNCTION("""COMPUTED_VALUE"""),"Bihor")</f>
        <v>Bihor</v>
      </c>
      <c r="D783" s="13">
        <f ca="1">IFERROR(__xludf.DUMMYFUNCTION("""COMPUTED_VALUE"""),44039)</f>
        <v>44039</v>
      </c>
      <c r="E783" s="5" t="str">
        <f ca="1">IFERROR(__xludf.DUMMYFUNCTION("""COMPUTED_VALUE"""),"Nu")</f>
        <v>Nu</v>
      </c>
      <c r="F783" s="5"/>
      <c r="G783" s="5"/>
      <c r="H783" s="6"/>
      <c r="I783" s="5"/>
      <c r="J783" s="5"/>
      <c r="K783" s="7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783" s="5"/>
      <c r="M783" s="5"/>
      <c r="N783" s="5"/>
      <c r="O783" s="5"/>
      <c r="P783" s="5"/>
      <c r="Q783" s="5"/>
      <c r="R783" s="5" t="str">
        <f ca="1">IFERROR(__xludf.DUMMYFUNCTION("""COMPUTED_VALUE"""),"România")</f>
        <v>România</v>
      </c>
      <c r="S783" s="5" t="str">
        <f ca="1">IFERROR(__xludf.DUMMYFUNCTION("""COMPUTED_VALUE"""),"Octavian")</f>
        <v>Octavian</v>
      </c>
      <c r="T783" s="7" t="str">
        <f ca="1">IFERROR(__xludf.DUMMYFUNCTION("""COMPUTED_VALUE"""),"http://www.ms.ro/2020/07/27/buletin-informativ-27-07-2020/")</f>
        <v>http://www.ms.ro/2020/07/27/buletin-informativ-27-07-2020/</v>
      </c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ht="12.5">
      <c r="A784" s="5">
        <f ca="1">IFERROR(__xludf.DUMMYFUNCTION("""COMPUTED_VALUE"""),44980)</f>
        <v>44980</v>
      </c>
      <c r="B784" s="5"/>
      <c r="C784" s="5" t="str">
        <f ca="1">IFERROR(__xludf.DUMMYFUNCTION("""COMPUTED_VALUE"""),"Bihor")</f>
        <v>Bihor</v>
      </c>
      <c r="D784" s="13">
        <f ca="1">IFERROR(__xludf.DUMMYFUNCTION("""COMPUTED_VALUE"""),44039)</f>
        <v>44039</v>
      </c>
      <c r="E784" s="5" t="str">
        <f ca="1">IFERROR(__xludf.DUMMYFUNCTION("""COMPUTED_VALUE"""),"Nu")</f>
        <v>Nu</v>
      </c>
      <c r="F784" s="5"/>
      <c r="G784" s="5"/>
      <c r="H784" s="6"/>
      <c r="I784" s="5"/>
      <c r="J784" s="5"/>
      <c r="K784" s="7" t="str">
        <f ca="1">IFERROR(__xludf.DUMMYFUNCTION("""COMPUTED_VALUE"""),"https://www.ebihoreanul.ro/stiri/inca-26-noi-cazuri-covid-depistate-in-bihor-intre-care-un-brancardier-si-o-asistenta-revenita-dupa-un-concediu-in-grecia-157871.html")</f>
        <v>https://www.ebihoreanul.ro/stiri/inca-26-noi-cazuri-covid-depistate-in-bihor-intre-care-un-brancardier-si-o-asistenta-revenita-dupa-un-concediu-in-grecia-157871.html</v>
      </c>
      <c r="L784" s="5"/>
      <c r="M784" s="5" t="str">
        <f ca="1">IFERROR(__xludf.DUMMYFUNCTION("""COMPUTED_VALUE"""),"Ineu")</f>
        <v>Ineu</v>
      </c>
      <c r="N784" s="5"/>
      <c r="O784" s="5"/>
      <c r="P784" s="5"/>
      <c r="Q784" s="5"/>
      <c r="R784" s="5" t="str">
        <f ca="1">IFERROR(__xludf.DUMMYFUNCTION("""COMPUTED_VALUE"""),"România")</f>
        <v>România</v>
      </c>
      <c r="S784" s="5" t="str">
        <f ca="1">IFERROR(__xludf.DUMMYFUNCTION("""COMPUTED_VALUE"""),"Octavian")</f>
        <v>Octavian</v>
      </c>
      <c r="T784" s="7" t="str">
        <f ca="1">IFERROR(__xludf.DUMMYFUNCTION("""COMPUTED_VALUE"""),"http://www.ms.ro/2020/07/27/buletin-informativ-27-07-2020/")</f>
        <v>http://www.ms.ro/2020/07/27/buletin-informativ-27-07-2020/</v>
      </c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2.5">
      <c r="A785" s="5">
        <f ca="1">IFERROR(__xludf.DUMMYFUNCTION("""COMPUTED_VALUE"""),44981)</f>
        <v>44981</v>
      </c>
      <c r="B785" s="5"/>
      <c r="C785" s="5" t="str">
        <f ca="1">IFERROR(__xludf.DUMMYFUNCTION("""COMPUTED_VALUE"""),"Bihor")</f>
        <v>Bihor</v>
      </c>
      <c r="D785" s="13">
        <f ca="1">IFERROR(__xludf.DUMMYFUNCTION("""COMPUTED_VALUE"""),44039)</f>
        <v>44039</v>
      </c>
      <c r="E785" s="5" t="str">
        <f ca="1">IFERROR(__xludf.DUMMYFUNCTION("""COMPUTED_VALUE"""),"Nu")</f>
        <v>Nu</v>
      </c>
      <c r="F785" s="5"/>
      <c r="G785" s="5"/>
      <c r="H785" s="6"/>
      <c r="I785" s="5"/>
      <c r="J785" s="5"/>
      <c r="K785" s="7" t="str">
        <f ca="1">IFERROR(__xludf.DUMMYFUNCTION("""COMPUTED_VALUE"""),"https://www.ebihoreanul.ro/stiri/inca-26-noi-cazuri-covid-depistate-in-bihor-intre-care-un-brancardier-si-o-asistenta-revenita-dupa-un-concediu-in-grecia-157871.html")</f>
        <v>https://www.ebihoreanul.ro/stiri/inca-26-noi-cazuri-covid-depistate-in-bihor-intre-care-un-brancardier-si-o-asistenta-revenita-dupa-un-concediu-in-grecia-157871.html</v>
      </c>
      <c r="L785" s="5"/>
      <c r="M785" s="5" t="str">
        <f ca="1">IFERROR(__xludf.DUMMYFUNCTION("""COMPUTED_VALUE"""),"Oradea")</f>
        <v>Oradea</v>
      </c>
      <c r="N785" s="5"/>
      <c r="O785" s="5"/>
      <c r="P785" s="5"/>
      <c r="Q785" s="5"/>
      <c r="R785" s="5" t="str">
        <f ca="1">IFERROR(__xludf.DUMMYFUNCTION("""COMPUTED_VALUE"""),"România")</f>
        <v>România</v>
      </c>
      <c r="S785" s="5" t="str">
        <f ca="1">IFERROR(__xludf.DUMMYFUNCTION("""COMPUTED_VALUE"""),"Octavian")</f>
        <v>Octavian</v>
      </c>
      <c r="T785" s="7" t="str">
        <f ca="1">IFERROR(__xludf.DUMMYFUNCTION("""COMPUTED_VALUE"""),"http://www.ms.ro/2020/07/27/buletin-informativ-27-07-2020/")</f>
        <v>http://www.ms.ro/2020/07/27/buletin-informativ-27-07-2020/</v>
      </c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ht="12.5">
      <c r="A786" s="5">
        <f ca="1">IFERROR(__xludf.DUMMYFUNCTION("""COMPUTED_VALUE"""),44982)</f>
        <v>44982</v>
      </c>
      <c r="B786" s="5"/>
      <c r="C786" s="5" t="str">
        <f ca="1">IFERROR(__xludf.DUMMYFUNCTION("""COMPUTED_VALUE"""),"Bihor")</f>
        <v>Bihor</v>
      </c>
      <c r="D786" s="13">
        <f ca="1">IFERROR(__xludf.DUMMYFUNCTION("""COMPUTED_VALUE"""),44039)</f>
        <v>44039</v>
      </c>
      <c r="E786" s="5" t="str">
        <f ca="1">IFERROR(__xludf.DUMMYFUNCTION("""COMPUTED_VALUE"""),"Nu")</f>
        <v>Nu</v>
      </c>
      <c r="F786" s="5"/>
      <c r="G786" s="5"/>
      <c r="H786" s="6"/>
      <c r="I786" s="5"/>
      <c r="J786" s="5"/>
      <c r="K786" s="7" t="str">
        <f ca="1">IFERROR(__xludf.DUMMYFUNCTION("""COMPUTED_VALUE"""),"https://www.ebihoreanul.ro/stiri/inca-26-noi-cazuri-covid-depistate-in-bihor-intre-care-un-brancardier-si-o-asistenta-revenita-dupa-un-concediu-in-grecia-157871.html")</f>
        <v>https://www.ebihoreanul.ro/stiri/inca-26-noi-cazuri-covid-depistate-in-bihor-intre-care-un-brancardier-si-o-asistenta-revenita-dupa-un-concediu-in-grecia-157871.html</v>
      </c>
      <c r="L786" s="5"/>
      <c r="M786" s="5" t="str">
        <f ca="1">IFERROR(__xludf.DUMMYFUNCTION("""COMPUTED_VALUE"""),"Uileacu de Beiuș")</f>
        <v>Uileacu de Beiuș</v>
      </c>
      <c r="N786" s="5"/>
      <c r="O786" s="5"/>
      <c r="P786" s="5"/>
      <c r="Q786" s="5"/>
      <c r="R786" s="5" t="str">
        <f ca="1">IFERROR(__xludf.DUMMYFUNCTION("""COMPUTED_VALUE"""),"România")</f>
        <v>România</v>
      </c>
      <c r="S786" s="5" t="str">
        <f ca="1">IFERROR(__xludf.DUMMYFUNCTION("""COMPUTED_VALUE"""),"Octavian")</f>
        <v>Octavian</v>
      </c>
      <c r="T786" s="7" t="str">
        <f ca="1">IFERROR(__xludf.DUMMYFUNCTION("""COMPUTED_VALUE"""),"http://www.ms.ro/2020/07/27/buletin-informativ-27-07-2020/")</f>
        <v>http://www.ms.ro/2020/07/27/buletin-informativ-27-07-2020/</v>
      </c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2.5">
      <c r="A787" s="5">
        <f ca="1">IFERROR(__xludf.DUMMYFUNCTION("""COMPUTED_VALUE"""),44983)</f>
        <v>44983</v>
      </c>
      <c r="B787" s="5"/>
      <c r="C787" s="5" t="str">
        <f ca="1">IFERROR(__xludf.DUMMYFUNCTION("""COMPUTED_VALUE"""),"Bihor")</f>
        <v>Bihor</v>
      </c>
      <c r="D787" s="13">
        <f ca="1">IFERROR(__xludf.DUMMYFUNCTION("""COMPUTED_VALUE"""),44039)</f>
        <v>44039</v>
      </c>
      <c r="E787" s="5" t="str">
        <f ca="1">IFERROR(__xludf.DUMMYFUNCTION("""COMPUTED_VALUE"""),"Nu")</f>
        <v>Nu</v>
      </c>
      <c r="F787" s="5"/>
      <c r="G787" s="5"/>
      <c r="H787" s="6"/>
      <c r="I787" s="5"/>
      <c r="J787" s="5"/>
      <c r="K787" s="7" t="str">
        <f ca="1">IFERROR(__xludf.DUMMYFUNCTION("""COMPUTED_VALUE"""),"https://www.ebihoreanul.ro/stiri/inca-26-noi-cazuri-covid-depistate-in-bihor-intre-care-un-brancardier-si-o-asistenta-revenita-dupa-un-concediu-in-grecia-157871.html")</f>
        <v>https://www.ebihoreanul.ro/stiri/inca-26-noi-cazuri-covid-depistate-in-bihor-intre-care-un-brancardier-si-o-asistenta-revenita-dupa-un-concediu-in-grecia-157871.html</v>
      </c>
      <c r="L787" s="5"/>
      <c r="M787" s="5" t="str">
        <f ca="1">IFERROR(__xludf.DUMMYFUNCTION("""COMPUTED_VALUE"""),"Beiuș")</f>
        <v>Beiuș</v>
      </c>
      <c r="N787" s="5"/>
      <c r="O787" s="5"/>
      <c r="P787" s="5"/>
      <c r="Q787" s="5"/>
      <c r="R787" s="5" t="str">
        <f ca="1">IFERROR(__xludf.DUMMYFUNCTION("""COMPUTED_VALUE"""),"România")</f>
        <v>România</v>
      </c>
      <c r="S787" s="5" t="str">
        <f ca="1">IFERROR(__xludf.DUMMYFUNCTION("""COMPUTED_VALUE"""),"Octavian")</f>
        <v>Octavian</v>
      </c>
      <c r="T787" s="7" t="str">
        <f ca="1">IFERROR(__xludf.DUMMYFUNCTION("""COMPUTED_VALUE"""),"http://www.ms.ro/2020/07/27/buletin-informativ-27-07-2020/")</f>
        <v>http://www.ms.ro/2020/07/27/buletin-informativ-27-07-2020/</v>
      </c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ht="12.5">
      <c r="A788" s="5">
        <f ca="1">IFERROR(__xludf.DUMMYFUNCTION("""COMPUTED_VALUE"""),44984)</f>
        <v>44984</v>
      </c>
      <c r="B788" s="5"/>
      <c r="C788" s="5" t="str">
        <f ca="1">IFERROR(__xludf.DUMMYFUNCTION("""COMPUTED_VALUE"""),"Bihor")</f>
        <v>Bihor</v>
      </c>
      <c r="D788" s="13">
        <f ca="1">IFERROR(__xludf.DUMMYFUNCTION("""COMPUTED_VALUE"""),44039)</f>
        <v>44039</v>
      </c>
      <c r="E788" s="5" t="str">
        <f ca="1">IFERROR(__xludf.DUMMYFUNCTION("""COMPUTED_VALUE"""),"Nu")</f>
        <v>Nu</v>
      </c>
      <c r="F788" s="5"/>
      <c r="G788" s="5"/>
      <c r="H788" s="6"/>
      <c r="I788" s="5"/>
      <c r="J788" s="5"/>
      <c r="K788" s="7" t="str">
        <f ca="1">IFERROR(__xludf.DUMMYFUNCTION("""COMPUTED_VALUE"""),"https://www.ebihoreanul.ro/stiri/inca-26-noi-cazuri-covid-depistate-in-bihor-intre-care-un-brancardier-si-o-asistenta-revenita-dupa-un-concediu-in-grecia-157871.html")</f>
        <v>https://www.ebihoreanul.ro/stiri/inca-26-noi-cazuri-covid-depistate-in-bihor-intre-care-un-brancardier-si-o-asistenta-revenita-dupa-un-concediu-in-grecia-157871.html</v>
      </c>
      <c r="L788" s="5"/>
      <c r="M788" s="5" t="str">
        <f ca="1">IFERROR(__xludf.DUMMYFUNCTION("""COMPUTED_VALUE"""),"Sântandrei")</f>
        <v>Sântandrei</v>
      </c>
      <c r="N788" s="5"/>
      <c r="O788" s="5"/>
      <c r="P788" s="5"/>
      <c r="Q788" s="5"/>
      <c r="R788" s="5" t="str">
        <f ca="1">IFERROR(__xludf.DUMMYFUNCTION("""COMPUTED_VALUE"""),"România")</f>
        <v>România</v>
      </c>
      <c r="S788" s="5" t="str">
        <f ca="1">IFERROR(__xludf.DUMMYFUNCTION("""COMPUTED_VALUE"""),"Octavian")</f>
        <v>Octavian</v>
      </c>
      <c r="T788" s="7" t="str">
        <f ca="1">IFERROR(__xludf.DUMMYFUNCTION("""COMPUTED_VALUE"""),"http://www.ms.ro/2020/07/27/buletin-informativ-27-07-2020/")</f>
        <v>http://www.ms.ro/2020/07/27/buletin-informativ-27-07-2020/</v>
      </c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2.5">
      <c r="A789" s="5">
        <f ca="1">IFERROR(__xludf.DUMMYFUNCTION("""COMPUTED_VALUE"""),44985)</f>
        <v>44985</v>
      </c>
      <c r="B789" s="5"/>
      <c r="C789" s="5" t="str">
        <f ca="1">IFERROR(__xludf.DUMMYFUNCTION("""COMPUTED_VALUE"""),"Bihor")</f>
        <v>Bihor</v>
      </c>
      <c r="D789" s="13">
        <f ca="1">IFERROR(__xludf.DUMMYFUNCTION("""COMPUTED_VALUE"""),44039)</f>
        <v>44039</v>
      </c>
      <c r="E789" s="5" t="str">
        <f ca="1">IFERROR(__xludf.DUMMYFUNCTION("""COMPUTED_VALUE"""),"Nu")</f>
        <v>Nu</v>
      </c>
      <c r="F789" s="5"/>
      <c r="G789" s="5"/>
      <c r="H789" s="6"/>
      <c r="I789" s="5"/>
      <c r="J789" s="5"/>
      <c r="K789" s="7" t="str">
        <f ca="1">IFERROR(__xludf.DUMMYFUNCTION("""COMPUTED_VALUE"""),"https://www.ebihoreanul.ro/stiri/inca-26-noi-cazuri-covid-depistate-in-bihor-intre-care-un-brancardier-si-o-asistenta-revenita-dupa-un-concediu-in-grecia-157871.html")</f>
        <v>https://www.ebihoreanul.ro/stiri/inca-26-noi-cazuri-covid-depistate-in-bihor-intre-care-un-brancardier-si-o-asistenta-revenita-dupa-un-concediu-in-grecia-157871.html</v>
      </c>
      <c r="L789" s="5"/>
      <c r="M789" s="5" t="str">
        <f ca="1">IFERROR(__xludf.DUMMYFUNCTION("""COMPUTED_VALUE"""),"Drăgănești")</f>
        <v>Drăgănești</v>
      </c>
      <c r="N789" s="5"/>
      <c r="O789" s="5"/>
      <c r="P789" s="5"/>
      <c r="Q789" s="5"/>
      <c r="R789" s="5" t="str">
        <f ca="1">IFERROR(__xludf.DUMMYFUNCTION("""COMPUTED_VALUE"""),"România")</f>
        <v>România</v>
      </c>
      <c r="S789" s="5" t="str">
        <f ca="1">IFERROR(__xludf.DUMMYFUNCTION("""COMPUTED_VALUE"""),"Octavian")</f>
        <v>Octavian</v>
      </c>
      <c r="T789" s="7" t="str">
        <f ca="1">IFERROR(__xludf.DUMMYFUNCTION("""COMPUTED_VALUE"""),"http://www.ms.ro/2020/07/27/buletin-informativ-27-07-2020/")</f>
        <v>http://www.ms.ro/2020/07/27/buletin-informativ-27-07-2020/</v>
      </c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ht="12.5">
      <c r="A790" s="5">
        <f ca="1">IFERROR(__xludf.DUMMYFUNCTION("""COMPUTED_VALUE"""),44986)</f>
        <v>44986</v>
      </c>
      <c r="B790" s="5"/>
      <c r="C790" s="5" t="str">
        <f ca="1">IFERROR(__xludf.DUMMYFUNCTION("""COMPUTED_VALUE"""),"Bihor")</f>
        <v>Bihor</v>
      </c>
      <c r="D790" s="13">
        <f ca="1">IFERROR(__xludf.DUMMYFUNCTION("""COMPUTED_VALUE"""),44039)</f>
        <v>44039</v>
      </c>
      <c r="E790" s="5" t="str">
        <f ca="1">IFERROR(__xludf.DUMMYFUNCTION("""COMPUTED_VALUE"""),"Nu")</f>
        <v>Nu</v>
      </c>
      <c r="F790" s="5"/>
      <c r="G790" s="5"/>
      <c r="H790" s="6"/>
      <c r="I790" s="5"/>
      <c r="J790" s="5"/>
      <c r="K790" s="7" t="str">
        <f ca="1">IFERROR(__xludf.DUMMYFUNCTION("""COMPUTED_VALUE"""),"https://www.ebihoreanul.ro/stiri/inca-26-noi-cazuri-covid-depistate-in-bihor-intre-care-un-brancardier-si-o-asistenta-revenita-dupa-un-concediu-in-grecia-157871.html")</f>
        <v>https://www.ebihoreanul.ro/stiri/inca-26-noi-cazuri-covid-depistate-in-bihor-intre-care-un-brancardier-si-o-asistenta-revenita-dupa-un-concediu-in-grecia-157871.html</v>
      </c>
      <c r="L790" s="5"/>
      <c r="M790" s="5" t="str">
        <f ca="1">IFERROR(__xludf.DUMMYFUNCTION("""COMPUTED_VALUE"""),"Vașcău")</f>
        <v>Vașcău</v>
      </c>
      <c r="N790" s="5"/>
      <c r="O790" s="5"/>
      <c r="P790" s="5"/>
      <c r="Q790" s="5"/>
      <c r="R790" s="5" t="str">
        <f ca="1">IFERROR(__xludf.DUMMYFUNCTION("""COMPUTED_VALUE"""),"România")</f>
        <v>România</v>
      </c>
      <c r="S790" s="5" t="str">
        <f ca="1">IFERROR(__xludf.DUMMYFUNCTION("""COMPUTED_VALUE"""),"Octavian")</f>
        <v>Octavian</v>
      </c>
      <c r="T790" s="7" t="str">
        <f ca="1">IFERROR(__xludf.DUMMYFUNCTION("""COMPUTED_VALUE"""),"http://www.ms.ro/2020/07/27/buletin-informativ-27-07-2020/")</f>
        <v>http://www.ms.ro/2020/07/27/buletin-informativ-27-07-2020/</v>
      </c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2.5">
      <c r="A791" s="5">
        <f ca="1">IFERROR(__xludf.DUMMYFUNCTION("""COMPUTED_VALUE"""),44987)</f>
        <v>44987</v>
      </c>
      <c r="B791" s="5"/>
      <c r="C791" s="5" t="str">
        <f ca="1">IFERROR(__xludf.DUMMYFUNCTION("""COMPUTED_VALUE"""),"Bihor")</f>
        <v>Bihor</v>
      </c>
      <c r="D791" s="13">
        <f ca="1">IFERROR(__xludf.DUMMYFUNCTION("""COMPUTED_VALUE"""),44039)</f>
        <v>44039</v>
      </c>
      <c r="E791" s="5" t="str">
        <f ca="1">IFERROR(__xludf.DUMMYFUNCTION("""COMPUTED_VALUE"""),"Nu")</f>
        <v>Nu</v>
      </c>
      <c r="F791" s="5"/>
      <c r="G791" s="5"/>
      <c r="H791" s="6"/>
      <c r="I791" s="5"/>
      <c r="J791" s="5"/>
      <c r="K791" s="7" t="str">
        <f ca="1">IFERROR(__xludf.DUMMYFUNCTION("""COMPUTED_VALUE"""),"https://www.ebihoreanul.ro/stiri/inca-26-noi-cazuri-covid-depistate-in-bihor-intre-care-un-brancardier-si-o-asistenta-revenita-dupa-un-concediu-in-grecia-157871.html")</f>
        <v>https://www.ebihoreanul.ro/stiri/inca-26-noi-cazuri-covid-depistate-in-bihor-intre-care-un-brancardier-si-o-asistenta-revenita-dupa-un-concediu-in-grecia-157871.html</v>
      </c>
      <c r="L791" s="5"/>
      <c r="M791" s="5" t="str">
        <f ca="1">IFERROR(__xludf.DUMMYFUNCTION("""COMPUTED_VALUE"""),"Copăcel")</f>
        <v>Copăcel</v>
      </c>
      <c r="N791" s="5"/>
      <c r="O791" s="5"/>
      <c r="P791" s="5"/>
      <c r="Q791" s="5"/>
      <c r="R791" s="5" t="str">
        <f ca="1">IFERROR(__xludf.DUMMYFUNCTION("""COMPUTED_VALUE"""),"România")</f>
        <v>România</v>
      </c>
      <c r="S791" s="5" t="str">
        <f ca="1">IFERROR(__xludf.DUMMYFUNCTION("""COMPUTED_VALUE"""),"Octavian")</f>
        <v>Octavian</v>
      </c>
      <c r="T791" s="7" t="str">
        <f ca="1">IFERROR(__xludf.DUMMYFUNCTION("""COMPUTED_VALUE"""),"http://www.ms.ro/2020/07/27/buletin-informativ-27-07-2020/")</f>
        <v>http://www.ms.ro/2020/07/27/buletin-informativ-27-07-2020/</v>
      </c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ht="12.5">
      <c r="A792" s="5">
        <f ca="1">IFERROR(__xludf.DUMMYFUNCTION("""COMPUTED_VALUE"""),44988)</f>
        <v>44988</v>
      </c>
      <c r="B792" s="5"/>
      <c r="C792" s="5" t="str">
        <f ca="1">IFERROR(__xludf.DUMMYFUNCTION("""COMPUTED_VALUE"""),"Bihor")</f>
        <v>Bihor</v>
      </c>
      <c r="D792" s="13">
        <f ca="1">IFERROR(__xludf.DUMMYFUNCTION("""COMPUTED_VALUE"""),44039)</f>
        <v>44039</v>
      </c>
      <c r="E792" s="5" t="str">
        <f ca="1">IFERROR(__xludf.DUMMYFUNCTION("""COMPUTED_VALUE"""),"Nu")</f>
        <v>Nu</v>
      </c>
      <c r="F792" s="5"/>
      <c r="G792" s="5"/>
      <c r="H792" s="6"/>
      <c r="I792" s="5"/>
      <c r="J792" s="5"/>
      <c r="K792" s="7" t="str">
        <f ca="1">IFERROR(__xludf.DUMMYFUNCTION("""COMPUTED_VALUE"""),"https://www.ebihoreanul.ro/stiri/inca-26-noi-cazuri-covid-depistate-in-bihor-intre-care-un-brancardier-si-o-asistenta-revenita-dupa-un-concediu-in-grecia-157871.html")</f>
        <v>https://www.ebihoreanul.ro/stiri/inca-26-noi-cazuri-covid-depistate-in-bihor-intre-care-un-brancardier-si-o-asistenta-revenita-dupa-un-concediu-in-grecia-157871.html</v>
      </c>
      <c r="L792" s="5"/>
      <c r="M792" s="5" t="str">
        <f ca="1">IFERROR(__xludf.DUMMYFUNCTION("""COMPUTED_VALUE"""),"Oșorhei")</f>
        <v>Oșorhei</v>
      </c>
      <c r="N792" s="5"/>
      <c r="O792" s="5"/>
      <c r="P792" s="5"/>
      <c r="Q792" s="5"/>
      <c r="R792" s="5" t="str">
        <f ca="1">IFERROR(__xludf.DUMMYFUNCTION("""COMPUTED_VALUE"""),"România")</f>
        <v>România</v>
      </c>
      <c r="S792" s="5" t="str">
        <f ca="1">IFERROR(__xludf.DUMMYFUNCTION("""COMPUTED_VALUE"""),"Octavian")</f>
        <v>Octavian</v>
      </c>
      <c r="T792" s="7" t="str">
        <f ca="1">IFERROR(__xludf.DUMMYFUNCTION("""COMPUTED_VALUE"""),"http://www.ms.ro/2020/07/27/buletin-informativ-27-07-2020/")</f>
        <v>http://www.ms.ro/2020/07/27/buletin-informativ-27-07-2020/</v>
      </c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2.5">
      <c r="A793" s="5">
        <f ca="1">IFERROR(__xludf.DUMMYFUNCTION("""COMPUTED_VALUE"""),44989)</f>
        <v>44989</v>
      </c>
      <c r="B793" s="5"/>
      <c r="C793" s="5" t="str">
        <f ca="1">IFERROR(__xludf.DUMMYFUNCTION("""COMPUTED_VALUE"""),"Bihor")</f>
        <v>Bihor</v>
      </c>
      <c r="D793" s="13">
        <f ca="1">IFERROR(__xludf.DUMMYFUNCTION("""COMPUTED_VALUE"""),44039)</f>
        <v>44039</v>
      </c>
      <c r="E793" s="5" t="str">
        <f ca="1">IFERROR(__xludf.DUMMYFUNCTION("""COMPUTED_VALUE"""),"Nu")</f>
        <v>Nu</v>
      </c>
      <c r="F793" s="5"/>
      <c r="G793" s="5"/>
      <c r="H793" s="6"/>
      <c r="I793" s="5"/>
      <c r="J793" s="5"/>
      <c r="K793" s="7" t="str">
        <f ca="1">IFERROR(__xludf.DUMMYFUNCTION("""COMPUTED_VALUE"""),"https://www.ebihoreanul.ro/stiri/inca-26-noi-cazuri-covid-depistate-in-bihor-intre-care-un-brancardier-si-o-asistenta-revenita-dupa-un-concediu-in-grecia-157871.html")</f>
        <v>https://www.ebihoreanul.ro/stiri/inca-26-noi-cazuri-covid-depistate-in-bihor-intre-care-un-brancardier-si-o-asistenta-revenita-dupa-un-concediu-in-grecia-157871.html</v>
      </c>
      <c r="L793" s="5"/>
      <c r="M793" s="5" t="str">
        <f ca="1">IFERROR(__xludf.DUMMYFUNCTION("""COMPUTED_VALUE"""),"Pietroasa")</f>
        <v>Pietroasa</v>
      </c>
      <c r="N793" s="5"/>
      <c r="O793" s="5"/>
      <c r="P793" s="5"/>
      <c r="Q793" s="5"/>
      <c r="R793" s="5" t="str">
        <f ca="1">IFERROR(__xludf.DUMMYFUNCTION("""COMPUTED_VALUE"""),"România")</f>
        <v>România</v>
      </c>
      <c r="S793" s="5" t="str">
        <f ca="1">IFERROR(__xludf.DUMMYFUNCTION("""COMPUTED_VALUE"""),"Octavian")</f>
        <v>Octavian</v>
      </c>
      <c r="T793" s="7" t="str">
        <f ca="1">IFERROR(__xludf.DUMMYFUNCTION("""COMPUTED_VALUE"""),"http://www.ms.ro/2020/07/27/buletin-informativ-27-07-2020/")</f>
        <v>http://www.ms.ro/2020/07/27/buletin-informativ-27-07-2020/</v>
      </c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ht="12.5">
      <c r="A794" s="5">
        <f ca="1">IFERROR(__xludf.DUMMYFUNCTION("""COMPUTED_VALUE"""),44990)</f>
        <v>44990</v>
      </c>
      <c r="B794" s="5"/>
      <c r="C794" s="5" t="str">
        <f ca="1">IFERROR(__xludf.DUMMYFUNCTION("""COMPUTED_VALUE"""),"Bihor")</f>
        <v>Bihor</v>
      </c>
      <c r="D794" s="13">
        <f ca="1">IFERROR(__xludf.DUMMYFUNCTION("""COMPUTED_VALUE"""),44039)</f>
        <v>44039</v>
      </c>
      <c r="E794" s="5" t="str">
        <f ca="1">IFERROR(__xludf.DUMMYFUNCTION("""COMPUTED_VALUE"""),"Nu")</f>
        <v>Nu</v>
      </c>
      <c r="F794" s="5"/>
      <c r="G794" s="5"/>
      <c r="H794" s="6"/>
      <c r="I794" s="5"/>
      <c r="J794" s="5"/>
      <c r="K794" s="7" t="str">
        <f ca="1">IFERROR(__xludf.DUMMYFUNCTION("""COMPUTED_VALUE"""),"https://www.ebihoreanul.ro/stiri/inca-26-noi-cazuri-covid-depistate-in-bihor-intre-care-un-brancardier-si-o-asistenta-revenita-dupa-un-concediu-in-grecia-157871.html")</f>
        <v>https://www.ebihoreanul.ro/stiri/inca-26-noi-cazuri-covid-depistate-in-bihor-intre-care-un-brancardier-si-o-asistenta-revenita-dupa-un-concediu-in-grecia-157871.html</v>
      </c>
      <c r="L794" s="5"/>
      <c r="M794" s="5" t="str">
        <f ca="1">IFERROR(__xludf.DUMMYFUNCTION("""COMPUTED_VALUE"""),"Răbăgani")</f>
        <v>Răbăgani</v>
      </c>
      <c r="N794" s="5"/>
      <c r="O794" s="5"/>
      <c r="P794" s="5"/>
      <c r="Q794" s="5"/>
      <c r="R794" s="5" t="str">
        <f ca="1">IFERROR(__xludf.DUMMYFUNCTION("""COMPUTED_VALUE"""),"România")</f>
        <v>România</v>
      </c>
      <c r="S794" s="5" t="str">
        <f ca="1">IFERROR(__xludf.DUMMYFUNCTION("""COMPUTED_VALUE"""),"Octavian")</f>
        <v>Octavian</v>
      </c>
      <c r="T794" s="7" t="str">
        <f ca="1">IFERROR(__xludf.DUMMYFUNCTION("""COMPUTED_VALUE"""),"http://www.ms.ro/2020/07/27/buletin-informativ-27-07-2020/")</f>
        <v>http://www.ms.ro/2020/07/27/buletin-informativ-27-07-2020/</v>
      </c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2.5">
      <c r="A795" s="5">
        <f ca="1">IFERROR(__xludf.DUMMYFUNCTION("""COMPUTED_VALUE"""),44991)</f>
        <v>44991</v>
      </c>
      <c r="B795" s="5"/>
      <c r="C795" s="5" t="str">
        <f ca="1">IFERROR(__xludf.DUMMYFUNCTION("""COMPUTED_VALUE"""),"Bihor")</f>
        <v>Bihor</v>
      </c>
      <c r="D795" s="13">
        <f ca="1">IFERROR(__xludf.DUMMYFUNCTION("""COMPUTED_VALUE"""),44039)</f>
        <v>44039</v>
      </c>
      <c r="E795" s="5" t="str">
        <f ca="1">IFERROR(__xludf.DUMMYFUNCTION("""COMPUTED_VALUE"""),"Nu")</f>
        <v>Nu</v>
      </c>
      <c r="F795" s="5"/>
      <c r="G795" s="5"/>
      <c r="H795" s="6"/>
      <c r="I795" s="5" t="str">
        <f ca="1">IFERROR(__xludf.DUMMYFUNCTION("""COMPUTED_VALUE"""),"Feminin")</f>
        <v>Feminin</v>
      </c>
      <c r="J795" s="5"/>
      <c r="K795" s="7" t="str">
        <f ca="1">IFERROR(__xludf.DUMMYFUNCTION("""COMPUTED_VALUE"""),"https://www.ebihoreanul.ro/stiri/inca-26-noi-cazuri-covid-depistate-in-bihor-intre-care-un-brancardier-si-o-asistenta-revenita-dupa-un-concediu-in-grecia-157871.html")</f>
        <v>https://www.ebihoreanul.ro/stiri/inca-26-noi-cazuri-covid-depistate-in-bihor-intre-care-un-brancardier-si-o-asistenta-revenita-dupa-un-concediu-in-grecia-157871.html</v>
      </c>
      <c r="L795" s="5"/>
      <c r="M795" s="5"/>
      <c r="N795" s="5"/>
      <c r="O795" s="5"/>
      <c r="P795" s="5" t="str">
        <f ca="1">IFERROR(__xludf.DUMMYFUNCTION("""COMPUTED_VALUE"""),"Asistentă medicală, testată pozitiv la revenirea din concediu Grecia.")</f>
        <v>Asistentă medicală, testată pozitiv la revenirea din concediu Grecia.</v>
      </c>
      <c r="Q795" s="5"/>
      <c r="R795" s="5" t="str">
        <f ca="1">IFERROR(__xludf.DUMMYFUNCTION("""COMPUTED_VALUE"""),"Grecia")</f>
        <v>Grecia</v>
      </c>
      <c r="S795" s="5" t="str">
        <f ca="1">IFERROR(__xludf.DUMMYFUNCTION("""COMPUTED_VALUE"""),"Octavian")</f>
        <v>Octavian</v>
      </c>
      <c r="T795" s="7" t="str">
        <f ca="1">IFERROR(__xludf.DUMMYFUNCTION("""COMPUTED_VALUE"""),"http://www.ms.ro/2020/07/27/buletin-informativ-27-07-2020/")</f>
        <v>http://www.ms.ro/2020/07/27/buletin-informativ-27-07-2020/</v>
      </c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ht="12.5">
      <c r="A796" s="5">
        <f ca="1">IFERROR(__xludf.DUMMYFUNCTION("""COMPUTED_VALUE"""),44992)</f>
        <v>44992</v>
      </c>
      <c r="B796" s="5"/>
      <c r="C796" s="5" t="str">
        <f ca="1">IFERROR(__xludf.DUMMYFUNCTION("""COMPUTED_VALUE"""),"Bihor")</f>
        <v>Bihor</v>
      </c>
      <c r="D796" s="13">
        <f ca="1">IFERROR(__xludf.DUMMYFUNCTION("""COMPUTED_VALUE"""),44039)</f>
        <v>44039</v>
      </c>
      <c r="E796" s="5" t="str">
        <f ca="1">IFERROR(__xludf.DUMMYFUNCTION("""COMPUTED_VALUE"""),"Nu")</f>
        <v>Nu</v>
      </c>
      <c r="F796" s="5"/>
      <c r="G796" s="5"/>
      <c r="H796" s="6"/>
      <c r="I796" s="5" t="str">
        <f ca="1">IFERROR(__xludf.DUMMYFUNCTION("""COMPUTED_VALUE"""),"Masculin")</f>
        <v>Masculin</v>
      </c>
      <c r="J796" s="5"/>
      <c r="K796" s="7" t="str">
        <f ca="1">IFERROR(__xludf.DUMMYFUNCTION("""COMPUTED_VALUE"""),"https://www.ebihoreanul.ro/stiri/inca-26-noi-cazuri-covid-depistate-in-bihor-intre-care-un-brancardier-si-o-asistenta-revenita-dupa-un-concediu-in-grecia-157871.html")</f>
        <v>https://www.ebihoreanul.ro/stiri/inca-26-noi-cazuri-covid-depistate-in-bihor-intre-care-un-brancardier-si-o-asistenta-revenita-dupa-un-concediu-in-grecia-157871.html</v>
      </c>
      <c r="L796" s="5"/>
      <c r="M796" s="5"/>
      <c r="N796" s="5"/>
      <c r="O796" s="5"/>
      <c r="P796" s="5" t="str">
        <f ca="1">IFERROR(__xludf.DUMMYFUNCTION("""COMPUTED_VALUE"""),"Brancardier, testat pozitiv la revenirea din concediu Grecia.")</f>
        <v>Brancardier, testat pozitiv la revenirea din concediu Grecia.</v>
      </c>
      <c r="Q796" s="5"/>
      <c r="R796" s="5" t="str">
        <f ca="1">IFERROR(__xludf.DUMMYFUNCTION("""COMPUTED_VALUE"""),"Grecia")</f>
        <v>Grecia</v>
      </c>
      <c r="S796" s="5" t="str">
        <f ca="1">IFERROR(__xludf.DUMMYFUNCTION("""COMPUTED_VALUE"""),"Octavian")</f>
        <v>Octavian</v>
      </c>
      <c r="T796" s="7" t="str">
        <f ca="1">IFERROR(__xludf.DUMMYFUNCTION("""COMPUTED_VALUE"""),"http://www.ms.ro/2020/07/27/buletin-informativ-27-07-2020/")</f>
        <v>http://www.ms.ro/2020/07/27/buletin-informativ-27-07-2020/</v>
      </c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2.5">
      <c r="A797" s="5">
        <f ca="1">IFERROR(__xludf.DUMMYFUNCTION("""COMPUTED_VALUE"""),44993)</f>
        <v>44993</v>
      </c>
      <c r="B797" s="5"/>
      <c r="C797" s="5" t="str">
        <f ca="1">IFERROR(__xludf.DUMMYFUNCTION("""COMPUTED_VALUE"""),"Bihor")</f>
        <v>Bihor</v>
      </c>
      <c r="D797" s="13">
        <f ca="1">IFERROR(__xludf.DUMMYFUNCTION("""COMPUTED_VALUE"""),44039)</f>
        <v>44039</v>
      </c>
      <c r="E797" s="5" t="str">
        <f ca="1">IFERROR(__xludf.DUMMYFUNCTION("""COMPUTED_VALUE"""),"Nu")</f>
        <v>Nu</v>
      </c>
      <c r="F797" s="5"/>
      <c r="G797" s="5"/>
      <c r="H797" s="6"/>
      <c r="I797" s="5"/>
      <c r="J797" s="5"/>
      <c r="K797" s="7" t="str">
        <f ca="1">IFERROR(__xludf.DUMMYFUNCTION("""COMPUTED_VALUE"""),"https://www.ebihoreanul.ro/stiri/inca-26-noi-cazuri-covid-depistate-in-bihor-intre-care-un-brancardier-si-o-asistenta-revenita-dupa-un-concediu-in-grecia-157871.html")</f>
        <v>https://www.ebihoreanul.ro/stiri/inca-26-noi-cazuri-covid-depistate-in-bihor-intre-care-un-brancardier-si-o-asistenta-revenita-dupa-un-concediu-in-grecia-157871.html</v>
      </c>
      <c r="L797" s="5"/>
      <c r="M797" s="5"/>
      <c r="N797" s="5"/>
      <c r="O797" s="5"/>
      <c r="P797" s="5"/>
      <c r="Q797" s="5"/>
      <c r="R797" s="5" t="str">
        <f ca="1">IFERROR(__xludf.DUMMYFUNCTION("""COMPUTED_VALUE"""),"România")</f>
        <v>România</v>
      </c>
      <c r="S797" s="5" t="str">
        <f ca="1">IFERROR(__xludf.DUMMYFUNCTION("""COMPUTED_VALUE"""),"Octavian")</f>
        <v>Octavian</v>
      </c>
      <c r="T797" s="7" t="str">
        <f ca="1">IFERROR(__xludf.DUMMYFUNCTION("""COMPUTED_VALUE"""),"http://www.ms.ro/2020/07/27/buletin-informativ-27-07-2020/")</f>
        <v>http://www.ms.ro/2020/07/27/buletin-informativ-27-07-2020/</v>
      </c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ht="12.5">
      <c r="A798" s="5">
        <f ca="1">IFERROR(__xludf.DUMMYFUNCTION("""COMPUTED_VALUE"""),44994)</f>
        <v>44994</v>
      </c>
      <c r="B798" s="5"/>
      <c r="C798" s="5" t="str">
        <f ca="1">IFERROR(__xludf.DUMMYFUNCTION("""COMPUTED_VALUE"""),"Bihor")</f>
        <v>Bihor</v>
      </c>
      <c r="D798" s="13">
        <f ca="1">IFERROR(__xludf.DUMMYFUNCTION("""COMPUTED_VALUE"""),44039)</f>
        <v>44039</v>
      </c>
      <c r="E798" s="5" t="str">
        <f ca="1">IFERROR(__xludf.DUMMYFUNCTION("""COMPUTED_VALUE"""),"Nu")</f>
        <v>Nu</v>
      </c>
      <c r="F798" s="5"/>
      <c r="G798" s="5"/>
      <c r="H798" s="6"/>
      <c r="I798" s="5"/>
      <c r="J798" s="5"/>
      <c r="K798" s="7" t="str">
        <f ca="1">IFERROR(__xludf.DUMMYFUNCTION("""COMPUTED_VALUE"""),"https://www.ebihoreanul.ro/stiri/inca-26-noi-cazuri-covid-depistate-in-bihor-intre-care-un-brancardier-si-o-asistenta-revenita-dupa-un-concediu-in-grecia-157871.html")</f>
        <v>https://www.ebihoreanul.ro/stiri/inca-26-noi-cazuri-covid-depistate-in-bihor-intre-care-un-brancardier-si-o-asistenta-revenita-dupa-un-concediu-in-grecia-157871.html</v>
      </c>
      <c r="L798" s="5"/>
      <c r="M798" s="5"/>
      <c r="N798" s="5"/>
      <c r="O798" s="5"/>
      <c r="P798" s="5"/>
      <c r="Q798" s="5"/>
      <c r="R798" s="5" t="str">
        <f ca="1">IFERROR(__xludf.DUMMYFUNCTION("""COMPUTED_VALUE"""),"România")</f>
        <v>România</v>
      </c>
      <c r="S798" s="5" t="str">
        <f ca="1">IFERROR(__xludf.DUMMYFUNCTION("""COMPUTED_VALUE"""),"Octavian")</f>
        <v>Octavian</v>
      </c>
      <c r="T798" s="7" t="str">
        <f ca="1">IFERROR(__xludf.DUMMYFUNCTION("""COMPUTED_VALUE"""),"http://www.ms.ro/2020/07/27/buletin-informativ-27-07-2020/")</f>
        <v>http://www.ms.ro/2020/07/27/buletin-informativ-27-07-2020/</v>
      </c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2.5">
      <c r="A799" s="5">
        <f ca="1">IFERROR(__xludf.DUMMYFUNCTION("""COMPUTED_VALUE"""),44995)</f>
        <v>44995</v>
      </c>
      <c r="B799" s="5"/>
      <c r="C799" s="5" t="str">
        <f ca="1">IFERROR(__xludf.DUMMYFUNCTION("""COMPUTED_VALUE"""),"Bihor")</f>
        <v>Bihor</v>
      </c>
      <c r="D799" s="13">
        <f ca="1">IFERROR(__xludf.DUMMYFUNCTION("""COMPUTED_VALUE"""),44039)</f>
        <v>44039</v>
      </c>
      <c r="E799" s="5" t="str">
        <f ca="1">IFERROR(__xludf.DUMMYFUNCTION("""COMPUTED_VALUE"""),"Nu")</f>
        <v>Nu</v>
      </c>
      <c r="F799" s="5"/>
      <c r="G799" s="5"/>
      <c r="H799" s="6"/>
      <c r="I799" s="5"/>
      <c r="J799" s="5"/>
      <c r="K799" s="7" t="str">
        <f ca="1">IFERROR(__xludf.DUMMYFUNCTION("""COMPUTED_VALUE"""),"https://www.ebihoreanul.ro/stiri/inca-26-noi-cazuri-covid-depistate-in-bihor-intre-care-un-brancardier-si-o-asistenta-revenita-dupa-un-concediu-in-grecia-157871.html")</f>
        <v>https://www.ebihoreanul.ro/stiri/inca-26-noi-cazuri-covid-depistate-in-bihor-intre-care-un-brancardier-si-o-asistenta-revenita-dupa-un-concediu-in-grecia-157871.html</v>
      </c>
      <c r="L799" s="5"/>
      <c r="M799" s="5"/>
      <c r="N799" s="5"/>
      <c r="O799" s="5"/>
      <c r="P799" s="5"/>
      <c r="Q799" s="5"/>
      <c r="R799" s="5" t="str">
        <f ca="1">IFERROR(__xludf.DUMMYFUNCTION("""COMPUTED_VALUE"""),"România")</f>
        <v>România</v>
      </c>
      <c r="S799" s="5" t="str">
        <f ca="1">IFERROR(__xludf.DUMMYFUNCTION("""COMPUTED_VALUE"""),"Octavian")</f>
        <v>Octavian</v>
      </c>
      <c r="T799" s="7" t="str">
        <f ca="1">IFERROR(__xludf.DUMMYFUNCTION("""COMPUTED_VALUE"""),"http://www.ms.ro/2020/07/27/buletin-informativ-27-07-2020/")</f>
        <v>http://www.ms.ro/2020/07/27/buletin-informativ-27-07-2020/</v>
      </c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ht="12.5">
      <c r="A800" s="5">
        <f ca="1">IFERROR(__xludf.DUMMYFUNCTION("""COMPUTED_VALUE"""),44996)</f>
        <v>44996</v>
      </c>
      <c r="B800" s="5"/>
      <c r="C800" s="5" t="str">
        <f ca="1">IFERROR(__xludf.DUMMYFUNCTION("""COMPUTED_VALUE"""),"Bihor")</f>
        <v>Bihor</v>
      </c>
      <c r="D800" s="13">
        <f ca="1">IFERROR(__xludf.DUMMYFUNCTION("""COMPUTED_VALUE"""),44039)</f>
        <v>44039</v>
      </c>
      <c r="E800" s="5" t="str">
        <f ca="1">IFERROR(__xludf.DUMMYFUNCTION("""COMPUTED_VALUE"""),"Nu")</f>
        <v>Nu</v>
      </c>
      <c r="F800" s="5"/>
      <c r="G800" s="5"/>
      <c r="H800" s="6"/>
      <c r="I800" s="5"/>
      <c r="J800" s="5"/>
      <c r="K800" s="7" t="str">
        <f ca="1">IFERROR(__xludf.DUMMYFUNCTION("""COMPUTED_VALUE"""),"https://www.ebihoreanul.ro/stiri/inca-26-noi-cazuri-covid-depistate-in-bihor-intre-care-un-brancardier-si-o-asistenta-revenita-dupa-un-concediu-in-grecia-157871.html")</f>
        <v>https://www.ebihoreanul.ro/stiri/inca-26-noi-cazuri-covid-depistate-in-bihor-intre-care-un-brancardier-si-o-asistenta-revenita-dupa-un-concediu-in-grecia-157871.html</v>
      </c>
      <c r="L800" s="5"/>
      <c r="M800" s="5"/>
      <c r="N800" s="5"/>
      <c r="O800" s="5"/>
      <c r="P800" s="5"/>
      <c r="Q800" s="5"/>
      <c r="R800" s="5" t="str">
        <f ca="1">IFERROR(__xludf.DUMMYFUNCTION("""COMPUTED_VALUE"""),"România")</f>
        <v>România</v>
      </c>
      <c r="S800" s="5" t="str">
        <f ca="1">IFERROR(__xludf.DUMMYFUNCTION("""COMPUTED_VALUE"""),"Octavian")</f>
        <v>Octavian</v>
      </c>
      <c r="T800" s="7" t="str">
        <f ca="1">IFERROR(__xludf.DUMMYFUNCTION("""COMPUTED_VALUE"""),"http://www.ms.ro/2020/07/27/buletin-informativ-27-07-2020/")</f>
        <v>http://www.ms.ro/2020/07/27/buletin-informativ-27-07-2020/</v>
      </c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2.5">
      <c r="A801" s="5">
        <f ca="1">IFERROR(__xludf.DUMMYFUNCTION("""COMPUTED_VALUE"""),44997)</f>
        <v>44997</v>
      </c>
      <c r="B801" s="5"/>
      <c r="C801" s="5" t="str">
        <f ca="1">IFERROR(__xludf.DUMMYFUNCTION("""COMPUTED_VALUE"""),"Bihor")</f>
        <v>Bihor</v>
      </c>
      <c r="D801" s="13">
        <f ca="1">IFERROR(__xludf.DUMMYFUNCTION("""COMPUTED_VALUE"""),44039)</f>
        <v>44039</v>
      </c>
      <c r="E801" s="5" t="str">
        <f ca="1">IFERROR(__xludf.DUMMYFUNCTION("""COMPUTED_VALUE"""),"Nu")</f>
        <v>Nu</v>
      </c>
      <c r="F801" s="5"/>
      <c r="G801" s="5"/>
      <c r="H801" s="6"/>
      <c r="I801" s="5"/>
      <c r="J801" s="5"/>
      <c r="K801" s="7" t="str">
        <f ca="1">IFERROR(__xludf.DUMMYFUNCTION("""COMPUTED_VALUE"""),"https://www.ebihoreanul.ro/stiri/inca-26-noi-cazuri-covid-depistate-in-bihor-intre-care-un-brancardier-si-o-asistenta-revenita-dupa-un-concediu-in-grecia-157871.html")</f>
        <v>https://www.ebihoreanul.ro/stiri/inca-26-noi-cazuri-covid-depistate-in-bihor-intre-care-un-brancardier-si-o-asistenta-revenita-dupa-un-concediu-in-grecia-157871.html</v>
      </c>
      <c r="L801" s="5"/>
      <c r="M801" s="5"/>
      <c r="N801" s="5"/>
      <c r="O801" s="5"/>
      <c r="P801" s="5"/>
      <c r="Q801" s="5"/>
      <c r="R801" s="5" t="str">
        <f ca="1">IFERROR(__xludf.DUMMYFUNCTION("""COMPUTED_VALUE"""),"România")</f>
        <v>România</v>
      </c>
      <c r="S801" s="5" t="str">
        <f ca="1">IFERROR(__xludf.DUMMYFUNCTION("""COMPUTED_VALUE"""),"Octavian")</f>
        <v>Octavian</v>
      </c>
      <c r="T801" s="7" t="str">
        <f ca="1">IFERROR(__xludf.DUMMYFUNCTION("""COMPUTED_VALUE"""),"http://www.ms.ro/2020/07/27/buletin-informativ-27-07-2020/")</f>
        <v>http://www.ms.ro/2020/07/27/buletin-informativ-27-07-2020/</v>
      </c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ht="12.5">
      <c r="A802" s="5">
        <f ca="1">IFERROR(__xludf.DUMMYFUNCTION("""COMPUTED_VALUE"""),44998)</f>
        <v>44998</v>
      </c>
      <c r="B802" s="5"/>
      <c r="C802" s="5" t="str">
        <f ca="1">IFERROR(__xludf.DUMMYFUNCTION("""COMPUTED_VALUE"""),"Bihor")</f>
        <v>Bihor</v>
      </c>
      <c r="D802" s="13">
        <f ca="1">IFERROR(__xludf.DUMMYFUNCTION("""COMPUTED_VALUE"""),44039)</f>
        <v>44039</v>
      </c>
      <c r="E802" s="5" t="str">
        <f ca="1">IFERROR(__xludf.DUMMYFUNCTION("""COMPUTED_VALUE"""),"Nu")</f>
        <v>Nu</v>
      </c>
      <c r="F802" s="5"/>
      <c r="G802" s="5"/>
      <c r="H802" s="6"/>
      <c r="I802" s="5"/>
      <c r="J802" s="5"/>
      <c r="K802" s="7" t="str">
        <f ca="1">IFERROR(__xludf.DUMMYFUNCTION("""COMPUTED_VALUE"""),"https://www.ebihoreanul.ro/stiri/inca-26-noi-cazuri-covid-depistate-in-bihor-intre-care-un-brancardier-si-o-asistenta-revenita-dupa-un-concediu-in-grecia-157871.html")</f>
        <v>https://www.ebihoreanul.ro/stiri/inca-26-noi-cazuri-covid-depistate-in-bihor-intre-care-un-brancardier-si-o-asistenta-revenita-dupa-un-concediu-in-grecia-157871.html</v>
      </c>
      <c r="L802" s="5"/>
      <c r="M802" s="5"/>
      <c r="N802" s="5"/>
      <c r="O802" s="5"/>
      <c r="P802" s="5"/>
      <c r="Q802" s="5"/>
      <c r="R802" s="5" t="str">
        <f ca="1">IFERROR(__xludf.DUMMYFUNCTION("""COMPUTED_VALUE"""),"România")</f>
        <v>România</v>
      </c>
      <c r="S802" s="5" t="str">
        <f ca="1">IFERROR(__xludf.DUMMYFUNCTION("""COMPUTED_VALUE"""),"Octavian")</f>
        <v>Octavian</v>
      </c>
      <c r="T802" s="7" t="str">
        <f ca="1">IFERROR(__xludf.DUMMYFUNCTION("""COMPUTED_VALUE"""),"http://www.ms.ro/2020/07/27/buletin-informativ-27-07-2020/")</f>
        <v>http://www.ms.ro/2020/07/27/buletin-informativ-27-07-2020/</v>
      </c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2.5">
      <c r="A803" s="5">
        <f ca="1">IFERROR(__xludf.DUMMYFUNCTION("""COMPUTED_VALUE"""),44999)</f>
        <v>44999</v>
      </c>
      <c r="B803" s="5"/>
      <c r="C803" s="5" t="str">
        <f ca="1">IFERROR(__xludf.DUMMYFUNCTION("""COMPUTED_VALUE"""),"Bihor")</f>
        <v>Bihor</v>
      </c>
      <c r="D803" s="13">
        <f ca="1">IFERROR(__xludf.DUMMYFUNCTION("""COMPUTED_VALUE"""),44039)</f>
        <v>44039</v>
      </c>
      <c r="E803" s="5" t="str">
        <f ca="1">IFERROR(__xludf.DUMMYFUNCTION("""COMPUTED_VALUE"""),"Nu")</f>
        <v>Nu</v>
      </c>
      <c r="F803" s="5"/>
      <c r="G803" s="5"/>
      <c r="H803" s="6"/>
      <c r="I803" s="5"/>
      <c r="J803" s="5"/>
      <c r="K803" s="7" t="str">
        <f ca="1">IFERROR(__xludf.DUMMYFUNCTION("""COMPUTED_VALUE"""),"https://www.ebihoreanul.ro/stiri/inca-26-noi-cazuri-covid-depistate-in-bihor-intre-care-un-brancardier-si-o-asistenta-revenita-dupa-un-concediu-in-grecia-157871.html")</f>
        <v>https://www.ebihoreanul.ro/stiri/inca-26-noi-cazuri-covid-depistate-in-bihor-intre-care-un-brancardier-si-o-asistenta-revenita-dupa-un-concediu-in-grecia-157871.html</v>
      </c>
      <c r="L803" s="5"/>
      <c r="M803" s="5"/>
      <c r="N803" s="5"/>
      <c r="O803" s="5"/>
      <c r="P803" s="5"/>
      <c r="Q803" s="5"/>
      <c r="R803" s="5" t="str">
        <f ca="1">IFERROR(__xludf.DUMMYFUNCTION("""COMPUTED_VALUE"""),"România")</f>
        <v>România</v>
      </c>
      <c r="S803" s="5" t="str">
        <f ca="1">IFERROR(__xludf.DUMMYFUNCTION("""COMPUTED_VALUE"""),"Octavian")</f>
        <v>Octavian</v>
      </c>
      <c r="T803" s="7" t="str">
        <f ca="1">IFERROR(__xludf.DUMMYFUNCTION("""COMPUTED_VALUE"""),"http://www.ms.ro/2020/07/27/buletin-informativ-27-07-2020/")</f>
        <v>http://www.ms.ro/2020/07/27/buletin-informativ-27-07-2020/</v>
      </c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ht="12.5">
      <c r="A804" s="5">
        <f ca="1">IFERROR(__xludf.DUMMYFUNCTION("""COMPUTED_VALUE"""),45000)</f>
        <v>45000</v>
      </c>
      <c r="B804" s="5"/>
      <c r="C804" s="5" t="str">
        <f ca="1">IFERROR(__xludf.DUMMYFUNCTION("""COMPUTED_VALUE"""),"Bihor")</f>
        <v>Bihor</v>
      </c>
      <c r="D804" s="13">
        <f ca="1">IFERROR(__xludf.DUMMYFUNCTION("""COMPUTED_VALUE"""),44039)</f>
        <v>44039</v>
      </c>
      <c r="E804" s="5" t="str">
        <f ca="1">IFERROR(__xludf.DUMMYFUNCTION("""COMPUTED_VALUE"""),"Nu")</f>
        <v>Nu</v>
      </c>
      <c r="F804" s="5"/>
      <c r="G804" s="5"/>
      <c r="H804" s="6"/>
      <c r="I804" s="5"/>
      <c r="J804" s="5"/>
      <c r="K804" s="7" t="str">
        <f ca="1">IFERROR(__xludf.DUMMYFUNCTION("""COMPUTED_VALUE"""),"https://www.ebihoreanul.ro/stiri/inca-26-noi-cazuri-covid-depistate-in-bihor-intre-care-un-brancardier-si-o-asistenta-revenita-dupa-un-concediu-in-grecia-157871.html")</f>
        <v>https://www.ebihoreanul.ro/stiri/inca-26-noi-cazuri-covid-depistate-in-bihor-intre-care-un-brancardier-si-o-asistenta-revenita-dupa-un-concediu-in-grecia-157871.html</v>
      </c>
      <c r="L804" s="5"/>
      <c r="M804" s="5"/>
      <c r="N804" s="5"/>
      <c r="O804" s="5"/>
      <c r="P804" s="5"/>
      <c r="Q804" s="5"/>
      <c r="R804" s="5" t="str">
        <f ca="1">IFERROR(__xludf.DUMMYFUNCTION("""COMPUTED_VALUE"""),"România")</f>
        <v>România</v>
      </c>
      <c r="S804" s="5" t="str">
        <f ca="1">IFERROR(__xludf.DUMMYFUNCTION("""COMPUTED_VALUE"""),"Octavian")</f>
        <v>Octavian</v>
      </c>
      <c r="T804" s="7" t="str">
        <f ca="1">IFERROR(__xludf.DUMMYFUNCTION("""COMPUTED_VALUE"""),"http://www.ms.ro/2020/07/27/buletin-informativ-27-07-2020/")</f>
        <v>http://www.ms.ro/2020/07/27/buletin-informativ-27-07-2020/</v>
      </c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2.5">
      <c r="A805" s="5">
        <f ca="1">IFERROR(__xludf.DUMMYFUNCTION("""COMPUTED_VALUE"""),45001)</f>
        <v>45001</v>
      </c>
      <c r="B805" s="5"/>
      <c r="C805" s="5" t="str">
        <f ca="1">IFERROR(__xludf.DUMMYFUNCTION("""COMPUTED_VALUE"""),"Bihor")</f>
        <v>Bihor</v>
      </c>
      <c r="D805" s="13">
        <f ca="1">IFERROR(__xludf.DUMMYFUNCTION("""COMPUTED_VALUE"""),44039)</f>
        <v>44039</v>
      </c>
      <c r="E805" s="5" t="str">
        <f ca="1">IFERROR(__xludf.DUMMYFUNCTION("""COMPUTED_VALUE"""),"Nu")</f>
        <v>Nu</v>
      </c>
      <c r="F805" s="5"/>
      <c r="G805" s="5"/>
      <c r="H805" s="6"/>
      <c r="I805" s="5"/>
      <c r="J805" s="5"/>
      <c r="K805" s="7" t="str">
        <f ca="1">IFERROR(__xludf.DUMMYFUNCTION("""COMPUTED_VALUE"""),"https://www.ebihoreanul.ro/stiri/inca-26-noi-cazuri-covid-depistate-in-bihor-intre-care-un-brancardier-si-o-asistenta-revenita-dupa-un-concediu-in-grecia-157871.html")</f>
        <v>https://www.ebihoreanul.ro/stiri/inca-26-noi-cazuri-covid-depistate-in-bihor-intre-care-un-brancardier-si-o-asistenta-revenita-dupa-un-concediu-in-grecia-157871.html</v>
      </c>
      <c r="L805" s="5"/>
      <c r="M805" s="5"/>
      <c r="N805" s="5"/>
      <c r="O805" s="5"/>
      <c r="P805" s="5"/>
      <c r="Q805" s="5"/>
      <c r="R805" s="5" t="str">
        <f ca="1">IFERROR(__xludf.DUMMYFUNCTION("""COMPUTED_VALUE"""),"România")</f>
        <v>România</v>
      </c>
      <c r="S805" s="5" t="str">
        <f ca="1">IFERROR(__xludf.DUMMYFUNCTION("""COMPUTED_VALUE"""),"Octavian")</f>
        <v>Octavian</v>
      </c>
      <c r="T805" s="7" t="str">
        <f ca="1">IFERROR(__xludf.DUMMYFUNCTION("""COMPUTED_VALUE"""),"http://www.ms.ro/2020/07/27/buletin-informativ-27-07-2020/")</f>
        <v>http://www.ms.ro/2020/07/27/buletin-informativ-27-07-2020/</v>
      </c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ht="12.5">
      <c r="A806" s="5">
        <f ca="1">IFERROR(__xludf.DUMMYFUNCTION("""COMPUTED_VALUE"""),45002)</f>
        <v>45002</v>
      </c>
      <c r="B806" s="5"/>
      <c r="C806" s="5" t="str">
        <f ca="1">IFERROR(__xludf.DUMMYFUNCTION("""COMPUTED_VALUE"""),"Bihor")</f>
        <v>Bihor</v>
      </c>
      <c r="D806" s="13">
        <f ca="1">IFERROR(__xludf.DUMMYFUNCTION("""COMPUTED_VALUE"""),44039)</f>
        <v>44039</v>
      </c>
      <c r="E806" s="5" t="str">
        <f ca="1">IFERROR(__xludf.DUMMYFUNCTION("""COMPUTED_VALUE"""),"Nu")</f>
        <v>Nu</v>
      </c>
      <c r="F806" s="5"/>
      <c r="G806" s="5"/>
      <c r="H806" s="6"/>
      <c r="I806" s="5"/>
      <c r="J806" s="5"/>
      <c r="K806" s="7" t="str">
        <f ca="1">IFERROR(__xludf.DUMMYFUNCTION("""COMPUTED_VALUE"""),"https://www.ebihoreanul.ro/stiri/inca-26-noi-cazuri-covid-depistate-in-bihor-intre-care-un-brancardier-si-o-asistenta-revenita-dupa-un-concediu-in-grecia-157871.html")</f>
        <v>https://www.ebihoreanul.ro/stiri/inca-26-noi-cazuri-covid-depistate-in-bihor-intre-care-un-brancardier-si-o-asistenta-revenita-dupa-un-concediu-in-grecia-157871.html</v>
      </c>
      <c r="L806" s="5"/>
      <c r="M806" s="5"/>
      <c r="N806" s="5"/>
      <c r="O806" s="5"/>
      <c r="P806" s="5"/>
      <c r="Q806" s="5"/>
      <c r="R806" s="5" t="str">
        <f ca="1">IFERROR(__xludf.DUMMYFUNCTION("""COMPUTED_VALUE"""),"România")</f>
        <v>România</v>
      </c>
      <c r="S806" s="5" t="str">
        <f ca="1">IFERROR(__xludf.DUMMYFUNCTION("""COMPUTED_VALUE"""),"Octavian")</f>
        <v>Octavian</v>
      </c>
      <c r="T806" s="7" t="str">
        <f ca="1">IFERROR(__xludf.DUMMYFUNCTION("""COMPUTED_VALUE"""),"http://www.ms.ro/2020/07/27/buletin-informativ-27-07-2020/")</f>
        <v>http://www.ms.ro/2020/07/27/buletin-informativ-27-07-2020/</v>
      </c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2.5">
      <c r="A807" s="5">
        <f ca="1">IFERROR(__xludf.DUMMYFUNCTION("""COMPUTED_VALUE"""),45003)</f>
        <v>45003</v>
      </c>
      <c r="B807" s="5"/>
      <c r="C807" s="5" t="str">
        <f ca="1">IFERROR(__xludf.DUMMYFUNCTION("""COMPUTED_VALUE"""),"Bihor")</f>
        <v>Bihor</v>
      </c>
      <c r="D807" s="13">
        <f ca="1">IFERROR(__xludf.DUMMYFUNCTION("""COMPUTED_VALUE"""),44039)</f>
        <v>44039</v>
      </c>
      <c r="E807" s="5" t="str">
        <f ca="1">IFERROR(__xludf.DUMMYFUNCTION("""COMPUTED_VALUE"""),"Nu")</f>
        <v>Nu</v>
      </c>
      <c r="F807" s="5"/>
      <c r="G807" s="5"/>
      <c r="H807" s="6"/>
      <c r="I807" s="5"/>
      <c r="J807" s="5"/>
      <c r="K807" s="7" t="str">
        <f ca="1">IFERROR(__xludf.DUMMYFUNCTION("""COMPUTED_VALUE"""),"https://www.ebihoreanul.ro/stiri/inca-26-noi-cazuri-covid-depistate-in-bihor-intre-care-un-brancardier-si-o-asistenta-revenita-dupa-un-concediu-in-grecia-157871.html")</f>
        <v>https://www.ebihoreanul.ro/stiri/inca-26-noi-cazuri-covid-depistate-in-bihor-intre-care-un-brancardier-si-o-asistenta-revenita-dupa-un-concediu-in-grecia-157871.html</v>
      </c>
      <c r="L807" s="5"/>
      <c r="M807" s="5"/>
      <c r="N807" s="5"/>
      <c r="O807" s="5"/>
      <c r="P807" s="5"/>
      <c r="Q807" s="5"/>
      <c r="R807" s="5" t="str">
        <f ca="1">IFERROR(__xludf.DUMMYFUNCTION("""COMPUTED_VALUE"""),"România")</f>
        <v>România</v>
      </c>
      <c r="S807" s="5" t="str">
        <f ca="1">IFERROR(__xludf.DUMMYFUNCTION("""COMPUTED_VALUE"""),"Octavian")</f>
        <v>Octavian</v>
      </c>
      <c r="T807" s="7" t="str">
        <f ca="1">IFERROR(__xludf.DUMMYFUNCTION("""COMPUTED_VALUE"""),"http://www.ms.ro/2020/07/27/buletin-informativ-27-07-2020/")</f>
        <v>http://www.ms.ro/2020/07/27/buletin-informativ-27-07-2020/</v>
      </c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ht="12.5">
      <c r="A808" s="5">
        <f ca="1">IFERROR(__xludf.DUMMYFUNCTION("""COMPUTED_VALUE"""),45004)</f>
        <v>45004</v>
      </c>
      <c r="B808" s="5"/>
      <c r="C808" s="5" t="str">
        <f ca="1">IFERROR(__xludf.DUMMYFUNCTION("""COMPUTED_VALUE"""),"Bihor")</f>
        <v>Bihor</v>
      </c>
      <c r="D808" s="13">
        <f ca="1">IFERROR(__xludf.DUMMYFUNCTION("""COMPUTED_VALUE"""),44039)</f>
        <v>44039</v>
      </c>
      <c r="E808" s="5" t="str">
        <f ca="1">IFERROR(__xludf.DUMMYFUNCTION("""COMPUTED_VALUE"""),"Nu")</f>
        <v>Nu</v>
      </c>
      <c r="F808" s="5"/>
      <c r="G808" s="5"/>
      <c r="H808" s="6"/>
      <c r="I808" s="5"/>
      <c r="J808" s="5"/>
      <c r="K808" s="7" t="str">
        <f ca="1">IFERROR(__xludf.DUMMYFUNCTION("""COMPUTED_VALUE"""),"https://www.ebihoreanul.ro/stiri/inca-26-noi-cazuri-covid-depistate-in-bihor-intre-care-un-brancardier-si-o-asistenta-revenita-dupa-un-concediu-in-grecia-157871.html")</f>
        <v>https://www.ebihoreanul.ro/stiri/inca-26-noi-cazuri-covid-depistate-in-bihor-intre-care-un-brancardier-si-o-asistenta-revenita-dupa-un-concediu-in-grecia-157871.html</v>
      </c>
      <c r="L808" s="5"/>
      <c r="M808" s="5"/>
      <c r="N808" s="5"/>
      <c r="O808" s="5"/>
      <c r="P808" s="5"/>
      <c r="Q808" s="5"/>
      <c r="R808" s="5" t="str">
        <f ca="1">IFERROR(__xludf.DUMMYFUNCTION("""COMPUTED_VALUE"""),"România")</f>
        <v>România</v>
      </c>
      <c r="S808" s="5" t="str">
        <f ca="1">IFERROR(__xludf.DUMMYFUNCTION("""COMPUTED_VALUE"""),"Octavian")</f>
        <v>Octavian</v>
      </c>
      <c r="T808" s="7" t="str">
        <f ca="1">IFERROR(__xludf.DUMMYFUNCTION("""COMPUTED_VALUE"""),"http://www.ms.ro/2020/07/27/buletin-informativ-27-07-2020/")</f>
        <v>http://www.ms.ro/2020/07/27/buletin-informativ-27-07-2020/</v>
      </c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2.5">
      <c r="A809" s="5">
        <f ca="1">IFERROR(__xludf.DUMMYFUNCTION("""COMPUTED_VALUE"""),46093)</f>
        <v>46093</v>
      </c>
      <c r="B809" s="5"/>
      <c r="C809" s="5" t="str">
        <f ca="1">IFERROR(__xludf.DUMMYFUNCTION("""COMPUTED_VALUE"""),"Bihor")</f>
        <v>Bihor</v>
      </c>
      <c r="D809" s="13">
        <f ca="1">IFERROR(__xludf.DUMMYFUNCTION("""COMPUTED_VALUE"""),44040)</f>
        <v>44040</v>
      </c>
      <c r="E809" s="5" t="str">
        <f ca="1">IFERROR(__xludf.DUMMYFUNCTION("""COMPUTED_VALUE"""),"Nu")</f>
        <v>Nu</v>
      </c>
      <c r="F809" s="5"/>
      <c r="G809" s="5"/>
      <c r="H809" s="6"/>
      <c r="I809" s="5"/>
      <c r="J809" s="5"/>
      <c r="K809" s="7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809" s="5"/>
      <c r="M809" s="5"/>
      <c r="N809" s="5"/>
      <c r="O809" s="5"/>
      <c r="P809" s="5"/>
      <c r="Q809" s="5"/>
      <c r="R809" s="5" t="str">
        <f ca="1">IFERROR(__xludf.DUMMYFUNCTION("""COMPUTED_VALUE"""),"România")</f>
        <v>România</v>
      </c>
      <c r="S809" s="5" t="str">
        <f ca="1">IFERROR(__xludf.DUMMYFUNCTION("""COMPUTED_VALUE"""),"Octavian")</f>
        <v>Octavian</v>
      </c>
      <c r="T809" s="7" t="str">
        <f ca="1">IFERROR(__xludf.DUMMYFUNCTION("""COMPUTED_VALUE"""),"http://www.ms.ro/2020/07/28/buletin-informativ-28-07-2020/")</f>
        <v>http://www.ms.ro/2020/07/28/buletin-informativ-28-07-2020/</v>
      </c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ht="12.5">
      <c r="A810" s="5">
        <f ca="1">IFERROR(__xludf.DUMMYFUNCTION("""COMPUTED_VALUE"""),46094)</f>
        <v>46094</v>
      </c>
      <c r="B810" s="5"/>
      <c r="C810" s="5" t="str">
        <f ca="1">IFERROR(__xludf.DUMMYFUNCTION("""COMPUTED_VALUE"""),"Bihor")</f>
        <v>Bihor</v>
      </c>
      <c r="D810" s="13">
        <f ca="1">IFERROR(__xludf.DUMMYFUNCTION("""COMPUTED_VALUE"""),44040)</f>
        <v>44040</v>
      </c>
      <c r="E810" s="5" t="str">
        <f ca="1">IFERROR(__xludf.DUMMYFUNCTION("""COMPUTED_VALUE"""),"Nu")</f>
        <v>Nu</v>
      </c>
      <c r="F810" s="5"/>
      <c r="G810" s="5"/>
      <c r="H810" s="6"/>
      <c r="I810" s="5"/>
      <c r="J810" s="5"/>
      <c r="K810" s="7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810" s="5"/>
      <c r="M810" s="5"/>
      <c r="N810" s="5"/>
      <c r="O810" s="5"/>
      <c r="P810" s="5"/>
      <c r="Q810" s="5"/>
      <c r="R810" s="5" t="str">
        <f ca="1">IFERROR(__xludf.DUMMYFUNCTION("""COMPUTED_VALUE"""),"România")</f>
        <v>România</v>
      </c>
      <c r="S810" s="5" t="str">
        <f ca="1">IFERROR(__xludf.DUMMYFUNCTION("""COMPUTED_VALUE"""),"Octavian")</f>
        <v>Octavian</v>
      </c>
      <c r="T810" s="7" t="str">
        <f ca="1">IFERROR(__xludf.DUMMYFUNCTION("""COMPUTED_VALUE"""),"http://www.ms.ro/2020/07/28/buletin-informativ-28-07-2020/")</f>
        <v>http://www.ms.ro/2020/07/28/buletin-informativ-28-07-2020/</v>
      </c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2.5">
      <c r="A811" s="5">
        <f ca="1">IFERROR(__xludf.DUMMYFUNCTION("""COMPUTED_VALUE"""),46095)</f>
        <v>46095</v>
      </c>
      <c r="B811" s="5"/>
      <c r="C811" s="5" t="str">
        <f ca="1">IFERROR(__xludf.DUMMYFUNCTION("""COMPUTED_VALUE"""),"Bihor")</f>
        <v>Bihor</v>
      </c>
      <c r="D811" s="13">
        <f ca="1">IFERROR(__xludf.DUMMYFUNCTION("""COMPUTED_VALUE"""),44040)</f>
        <v>44040</v>
      </c>
      <c r="E811" s="5" t="str">
        <f ca="1">IFERROR(__xludf.DUMMYFUNCTION("""COMPUTED_VALUE"""),"Nu")</f>
        <v>Nu</v>
      </c>
      <c r="F811" s="5"/>
      <c r="G811" s="5"/>
      <c r="H811" s="6"/>
      <c r="I811" s="5"/>
      <c r="J811" s="5"/>
      <c r="K811" s="7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811" s="5"/>
      <c r="M811" s="5"/>
      <c r="N811" s="5"/>
      <c r="O811" s="5"/>
      <c r="P811" s="5"/>
      <c r="Q811" s="5"/>
      <c r="R811" s="5" t="str">
        <f ca="1">IFERROR(__xludf.DUMMYFUNCTION("""COMPUTED_VALUE"""),"România")</f>
        <v>România</v>
      </c>
      <c r="S811" s="5" t="str">
        <f ca="1">IFERROR(__xludf.DUMMYFUNCTION("""COMPUTED_VALUE"""),"Octavian")</f>
        <v>Octavian</v>
      </c>
      <c r="T811" s="7" t="str">
        <f ca="1">IFERROR(__xludf.DUMMYFUNCTION("""COMPUTED_VALUE"""),"http://www.ms.ro/2020/07/28/buletin-informativ-28-07-2020/")</f>
        <v>http://www.ms.ro/2020/07/28/buletin-informativ-28-07-2020/</v>
      </c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ht="12.5">
      <c r="A812" s="5">
        <f ca="1">IFERROR(__xludf.DUMMYFUNCTION("""COMPUTED_VALUE"""),46096)</f>
        <v>46096</v>
      </c>
      <c r="B812" s="5"/>
      <c r="C812" s="5" t="str">
        <f ca="1">IFERROR(__xludf.DUMMYFUNCTION("""COMPUTED_VALUE"""),"Bihor")</f>
        <v>Bihor</v>
      </c>
      <c r="D812" s="13">
        <f ca="1">IFERROR(__xludf.DUMMYFUNCTION("""COMPUTED_VALUE"""),44040)</f>
        <v>44040</v>
      </c>
      <c r="E812" s="5" t="str">
        <f ca="1">IFERROR(__xludf.DUMMYFUNCTION("""COMPUTED_VALUE"""),"Nu")</f>
        <v>Nu</v>
      </c>
      <c r="F812" s="5"/>
      <c r="G812" s="5"/>
      <c r="H812" s="6"/>
      <c r="I812" s="5"/>
      <c r="J812" s="5"/>
      <c r="K812" s="7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812" s="5"/>
      <c r="M812" s="5"/>
      <c r="N812" s="5"/>
      <c r="O812" s="5"/>
      <c r="P812" s="5"/>
      <c r="Q812" s="5"/>
      <c r="R812" s="5" t="str">
        <f ca="1">IFERROR(__xludf.DUMMYFUNCTION("""COMPUTED_VALUE"""),"România")</f>
        <v>România</v>
      </c>
      <c r="S812" s="5" t="str">
        <f ca="1">IFERROR(__xludf.DUMMYFUNCTION("""COMPUTED_VALUE"""),"Octavian")</f>
        <v>Octavian</v>
      </c>
      <c r="T812" s="7" t="str">
        <f ca="1">IFERROR(__xludf.DUMMYFUNCTION("""COMPUTED_VALUE"""),"http://www.ms.ro/2020/07/28/buletin-informativ-28-07-2020/")</f>
        <v>http://www.ms.ro/2020/07/28/buletin-informativ-28-07-2020/</v>
      </c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2.5">
      <c r="A813" s="5">
        <f ca="1">IFERROR(__xludf.DUMMYFUNCTION("""COMPUTED_VALUE"""),46097)</f>
        <v>46097</v>
      </c>
      <c r="B813" s="5"/>
      <c r="C813" s="5" t="str">
        <f ca="1">IFERROR(__xludf.DUMMYFUNCTION("""COMPUTED_VALUE"""),"Bihor")</f>
        <v>Bihor</v>
      </c>
      <c r="D813" s="13">
        <f ca="1">IFERROR(__xludf.DUMMYFUNCTION("""COMPUTED_VALUE"""),44040)</f>
        <v>44040</v>
      </c>
      <c r="E813" s="5" t="str">
        <f ca="1">IFERROR(__xludf.DUMMYFUNCTION("""COMPUTED_VALUE"""),"Nu")</f>
        <v>Nu</v>
      </c>
      <c r="F813" s="5"/>
      <c r="G813" s="5"/>
      <c r="H813" s="6"/>
      <c r="I813" s="5"/>
      <c r="J813" s="5"/>
      <c r="K813" s="7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813" s="5"/>
      <c r="M813" s="5"/>
      <c r="N813" s="5"/>
      <c r="O813" s="5"/>
      <c r="P813" s="5"/>
      <c r="Q813" s="5"/>
      <c r="R813" s="5" t="str">
        <f ca="1">IFERROR(__xludf.DUMMYFUNCTION("""COMPUTED_VALUE"""),"România")</f>
        <v>România</v>
      </c>
      <c r="S813" s="5" t="str">
        <f ca="1">IFERROR(__xludf.DUMMYFUNCTION("""COMPUTED_VALUE"""),"Octavian")</f>
        <v>Octavian</v>
      </c>
      <c r="T813" s="7" t="str">
        <f ca="1">IFERROR(__xludf.DUMMYFUNCTION("""COMPUTED_VALUE"""),"http://www.ms.ro/2020/07/28/buletin-informativ-28-07-2020/")</f>
        <v>http://www.ms.ro/2020/07/28/buletin-informativ-28-07-2020/</v>
      </c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ht="12.5">
      <c r="A814" s="5">
        <f ca="1">IFERROR(__xludf.DUMMYFUNCTION("""COMPUTED_VALUE"""),46098)</f>
        <v>46098</v>
      </c>
      <c r="B814" s="5"/>
      <c r="C814" s="5" t="str">
        <f ca="1">IFERROR(__xludf.DUMMYFUNCTION("""COMPUTED_VALUE"""),"Bihor")</f>
        <v>Bihor</v>
      </c>
      <c r="D814" s="13">
        <f ca="1">IFERROR(__xludf.DUMMYFUNCTION("""COMPUTED_VALUE"""),44040)</f>
        <v>44040</v>
      </c>
      <c r="E814" s="5" t="str">
        <f ca="1">IFERROR(__xludf.DUMMYFUNCTION("""COMPUTED_VALUE"""),"Nu")</f>
        <v>Nu</v>
      </c>
      <c r="F814" s="5"/>
      <c r="G814" s="5"/>
      <c r="H814" s="6"/>
      <c r="I814" s="5"/>
      <c r="J814" s="5"/>
      <c r="K814" s="7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814" s="5"/>
      <c r="M814" s="5"/>
      <c r="N814" s="5"/>
      <c r="O814" s="5"/>
      <c r="P814" s="5"/>
      <c r="Q814" s="5"/>
      <c r="R814" s="5" t="str">
        <f ca="1">IFERROR(__xludf.DUMMYFUNCTION("""COMPUTED_VALUE"""),"România")</f>
        <v>România</v>
      </c>
      <c r="S814" s="5" t="str">
        <f ca="1">IFERROR(__xludf.DUMMYFUNCTION("""COMPUTED_VALUE"""),"Octavian")</f>
        <v>Octavian</v>
      </c>
      <c r="T814" s="7" t="str">
        <f ca="1">IFERROR(__xludf.DUMMYFUNCTION("""COMPUTED_VALUE"""),"http://www.ms.ro/2020/07/28/buletin-informativ-28-07-2020/")</f>
        <v>http://www.ms.ro/2020/07/28/buletin-informativ-28-07-2020/</v>
      </c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2.5">
      <c r="A815" s="5">
        <f ca="1">IFERROR(__xludf.DUMMYFUNCTION("""COMPUTED_VALUE"""),46099)</f>
        <v>46099</v>
      </c>
      <c r="B815" s="5"/>
      <c r="C815" s="5" t="str">
        <f ca="1">IFERROR(__xludf.DUMMYFUNCTION("""COMPUTED_VALUE"""),"Bihor")</f>
        <v>Bihor</v>
      </c>
      <c r="D815" s="13">
        <f ca="1">IFERROR(__xludf.DUMMYFUNCTION("""COMPUTED_VALUE"""),44040)</f>
        <v>44040</v>
      </c>
      <c r="E815" s="5" t="str">
        <f ca="1">IFERROR(__xludf.DUMMYFUNCTION("""COMPUTED_VALUE"""),"Nu")</f>
        <v>Nu</v>
      </c>
      <c r="F815" s="5"/>
      <c r="G815" s="5"/>
      <c r="H815" s="6"/>
      <c r="I815" s="5"/>
      <c r="J815" s="5"/>
      <c r="K815" s="7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815" s="5"/>
      <c r="M815" s="5"/>
      <c r="N815" s="5"/>
      <c r="O815" s="5"/>
      <c r="P815" s="5"/>
      <c r="Q815" s="5"/>
      <c r="R815" s="5" t="str">
        <f ca="1">IFERROR(__xludf.DUMMYFUNCTION("""COMPUTED_VALUE"""),"România")</f>
        <v>România</v>
      </c>
      <c r="S815" s="5" t="str">
        <f ca="1">IFERROR(__xludf.DUMMYFUNCTION("""COMPUTED_VALUE"""),"Octavian")</f>
        <v>Octavian</v>
      </c>
      <c r="T815" s="7" t="str">
        <f ca="1">IFERROR(__xludf.DUMMYFUNCTION("""COMPUTED_VALUE"""),"http://www.ms.ro/2020/07/28/buletin-informativ-28-07-2020/")</f>
        <v>http://www.ms.ro/2020/07/28/buletin-informativ-28-07-2020/</v>
      </c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ht="12.5">
      <c r="A816" s="5">
        <f ca="1">IFERROR(__xludf.DUMMYFUNCTION("""COMPUTED_VALUE"""),46100)</f>
        <v>46100</v>
      </c>
      <c r="B816" s="5"/>
      <c r="C816" s="5" t="str">
        <f ca="1">IFERROR(__xludf.DUMMYFUNCTION("""COMPUTED_VALUE"""),"Bihor")</f>
        <v>Bihor</v>
      </c>
      <c r="D816" s="13">
        <f ca="1">IFERROR(__xludf.DUMMYFUNCTION("""COMPUTED_VALUE"""),44040)</f>
        <v>44040</v>
      </c>
      <c r="E816" s="5" t="str">
        <f ca="1">IFERROR(__xludf.DUMMYFUNCTION("""COMPUTED_VALUE"""),"Nu")</f>
        <v>Nu</v>
      </c>
      <c r="F816" s="5"/>
      <c r="G816" s="5"/>
      <c r="H816" s="6"/>
      <c r="I816" s="5"/>
      <c r="J816" s="5"/>
      <c r="K816" s="7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816" s="5"/>
      <c r="M816" s="5"/>
      <c r="N816" s="5"/>
      <c r="O816" s="5"/>
      <c r="P816" s="5"/>
      <c r="Q816" s="5"/>
      <c r="R816" s="5" t="str">
        <f ca="1">IFERROR(__xludf.DUMMYFUNCTION("""COMPUTED_VALUE"""),"România")</f>
        <v>România</v>
      </c>
      <c r="S816" s="5" t="str">
        <f ca="1">IFERROR(__xludf.DUMMYFUNCTION("""COMPUTED_VALUE"""),"Octavian")</f>
        <v>Octavian</v>
      </c>
      <c r="T816" s="7" t="str">
        <f ca="1">IFERROR(__xludf.DUMMYFUNCTION("""COMPUTED_VALUE"""),"http://www.ms.ro/2020/07/28/buletin-informativ-28-07-2020/")</f>
        <v>http://www.ms.ro/2020/07/28/buletin-informativ-28-07-2020/</v>
      </c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2.5">
      <c r="A817" s="5">
        <f ca="1">IFERROR(__xludf.DUMMYFUNCTION("""COMPUTED_VALUE"""),46101)</f>
        <v>46101</v>
      </c>
      <c r="B817" s="5"/>
      <c r="C817" s="5" t="str">
        <f ca="1">IFERROR(__xludf.DUMMYFUNCTION("""COMPUTED_VALUE"""),"Bihor")</f>
        <v>Bihor</v>
      </c>
      <c r="D817" s="13">
        <f ca="1">IFERROR(__xludf.DUMMYFUNCTION("""COMPUTED_VALUE"""),44040)</f>
        <v>44040</v>
      </c>
      <c r="E817" s="5" t="str">
        <f ca="1">IFERROR(__xludf.DUMMYFUNCTION("""COMPUTED_VALUE"""),"Nu")</f>
        <v>Nu</v>
      </c>
      <c r="F817" s="5"/>
      <c r="G817" s="5"/>
      <c r="H817" s="6"/>
      <c r="I817" s="5"/>
      <c r="J817" s="5"/>
      <c r="K817" s="7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817" s="5"/>
      <c r="M817" s="5"/>
      <c r="N817" s="5"/>
      <c r="O817" s="5"/>
      <c r="P817" s="5"/>
      <c r="Q817" s="5"/>
      <c r="R817" s="5" t="str">
        <f ca="1">IFERROR(__xludf.DUMMYFUNCTION("""COMPUTED_VALUE"""),"România")</f>
        <v>România</v>
      </c>
      <c r="S817" s="5" t="str">
        <f ca="1">IFERROR(__xludf.DUMMYFUNCTION("""COMPUTED_VALUE"""),"Octavian")</f>
        <v>Octavian</v>
      </c>
      <c r="T817" s="7" t="str">
        <f ca="1">IFERROR(__xludf.DUMMYFUNCTION("""COMPUTED_VALUE"""),"http://www.ms.ro/2020/07/28/buletin-informativ-28-07-2020/")</f>
        <v>http://www.ms.ro/2020/07/28/buletin-informativ-28-07-2020/</v>
      </c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ht="12.5">
      <c r="A818" s="5">
        <f ca="1">IFERROR(__xludf.DUMMYFUNCTION("""COMPUTED_VALUE"""),46102)</f>
        <v>46102</v>
      </c>
      <c r="B818" s="5"/>
      <c r="C818" s="5" t="str">
        <f ca="1">IFERROR(__xludf.DUMMYFUNCTION("""COMPUTED_VALUE"""),"Bihor")</f>
        <v>Bihor</v>
      </c>
      <c r="D818" s="13">
        <f ca="1">IFERROR(__xludf.DUMMYFUNCTION("""COMPUTED_VALUE"""),44040)</f>
        <v>44040</v>
      </c>
      <c r="E818" s="5" t="str">
        <f ca="1">IFERROR(__xludf.DUMMYFUNCTION("""COMPUTED_VALUE"""),"Nu")</f>
        <v>Nu</v>
      </c>
      <c r="F818" s="5"/>
      <c r="G818" s="5"/>
      <c r="H818" s="6"/>
      <c r="I818" s="5"/>
      <c r="J818" s="5"/>
      <c r="K818" s="7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818" s="5"/>
      <c r="M818" s="5"/>
      <c r="N818" s="5"/>
      <c r="O818" s="5"/>
      <c r="P818" s="5"/>
      <c r="Q818" s="5"/>
      <c r="R818" s="5" t="str">
        <f ca="1">IFERROR(__xludf.DUMMYFUNCTION("""COMPUTED_VALUE"""),"România")</f>
        <v>România</v>
      </c>
      <c r="S818" s="5" t="str">
        <f ca="1">IFERROR(__xludf.DUMMYFUNCTION("""COMPUTED_VALUE"""),"Octavian")</f>
        <v>Octavian</v>
      </c>
      <c r="T818" s="7" t="str">
        <f ca="1">IFERROR(__xludf.DUMMYFUNCTION("""COMPUTED_VALUE"""),"http://www.ms.ro/2020/07/28/buletin-informativ-28-07-2020/")</f>
        <v>http://www.ms.ro/2020/07/28/buletin-informativ-28-07-2020/</v>
      </c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2.5">
      <c r="A819" s="5">
        <f ca="1">IFERROR(__xludf.DUMMYFUNCTION("""COMPUTED_VALUE"""),46103)</f>
        <v>46103</v>
      </c>
      <c r="B819" s="5"/>
      <c r="C819" s="5" t="str">
        <f ca="1">IFERROR(__xludf.DUMMYFUNCTION("""COMPUTED_VALUE"""),"Bihor")</f>
        <v>Bihor</v>
      </c>
      <c r="D819" s="13">
        <f ca="1">IFERROR(__xludf.DUMMYFUNCTION("""COMPUTED_VALUE"""),44040)</f>
        <v>44040</v>
      </c>
      <c r="E819" s="5" t="str">
        <f ca="1">IFERROR(__xludf.DUMMYFUNCTION("""COMPUTED_VALUE"""),"Nu")</f>
        <v>Nu</v>
      </c>
      <c r="F819" s="5"/>
      <c r="G819" s="5"/>
      <c r="H819" s="6"/>
      <c r="I819" s="5"/>
      <c r="J819" s="5"/>
      <c r="K819" s="7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819" s="5"/>
      <c r="M819" s="5"/>
      <c r="N819" s="5"/>
      <c r="O819" s="5"/>
      <c r="P819" s="5"/>
      <c r="Q819" s="5"/>
      <c r="R819" s="5" t="str">
        <f ca="1">IFERROR(__xludf.DUMMYFUNCTION("""COMPUTED_VALUE"""),"România")</f>
        <v>România</v>
      </c>
      <c r="S819" s="5" t="str">
        <f ca="1">IFERROR(__xludf.DUMMYFUNCTION("""COMPUTED_VALUE"""),"Octavian")</f>
        <v>Octavian</v>
      </c>
      <c r="T819" s="7" t="str">
        <f ca="1">IFERROR(__xludf.DUMMYFUNCTION("""COMPUTED_VALUE"""),"http://www.ms.ro/2020/07/28/buletin-informativ-28-07-2020/")</f>
        <v>http://www.ms.ro/2020/07/28/buletin-informativ-28-07-2020/</v>
      </c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ht="12.5">
      <c r="A820" s="5">
        <f ca="1">IFERROR(__xludf.DUMMYFUNCTION("""COMPUTED_VALUE"""),46104)</f>
        <v>46104</v>
      </c>
      <c r="B820" s="5"/>
      <c r="C820" s="5" t="str">
        <f ca="1">IFERROR(__xludf.DUMMYFUNCTION("""COMPUTED_VALUE"""),"Bihor")</f>
        <v>Bihor</v>
      </c>
      <c r="D820" s="13">
        <f ca="1">IFERROR(__xludf.DUMMYFUNCTION("""COMPUTED_VALUE"""),44040)</f>
        <v>44040</v>
      </c>
      <c r="E820" s="5" t="str">
        <f ca="1">IFERROR(__xludf.DUMMYFUNCTION("""COMPUTED_VALUE"""),"Nu")</f>
        <v>Nu</v>
      </c>
      <c r="F820" s="5"/>
      <c r="G820" s="5"/>
      <c r="H820" s="6"/>
      <c r="I820" s="5"/>
      <c r="J820" s="5"/>
      <c r="K820" s="7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820" s="5"/>
      <c r="M820" s="5"/>
      <c r="N820" s="5"/>
      <c r="O820" s="5"/>
      <c r="P820" s="5"/>
      <c r="Q820" s="5"/>
      <c r="R820" s="5" t="str">
        <f ca="1">IFERROR(__xludf.DUMMYFUNCTION("""COMPUTED_VALUE"""),"România")</f>
        <v>România</v>
      </c>
      <c r="S820" s="5" t="str">
        <f ca="1">IFERROR(__xludf.DUMMYFUNCTION("""COMPUTED_VALUE"""),"Octavian")</f>
        <v>Octavian</v>
      </c>
      <c r="T820" s="7" t="str">
        <f ca="1">IFERROR(__xludf.DUMMYFUNCTION("""COMPUTED_VALUE"""),"http://www.ms.ro/2020/07/28/buletin-informativ-28-07-2020/")</f>
        <v>http://www.ms.ro/2020/07/28/buletin-informativ-28-07-2020/</v>
      </c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2.5">
      <c r="A821" s="5">
        <f ca="1">IFERROR(__xludf.DUMMYFUNCTION("""COMPUTED_VALUE"""),46105)</f>
        <v>46105</v>
      </c>
      <c r="B821" s="5"/>
      <c r="C821" s="5" t="str">
        <f ca="1">IFERROR(__xludf.DUMMYFUNCTION("""COMPUTED_VALUE"""),"Bihor")</f>
        <v>Bihor</v>
      </c>
      <c r="D821" s="13">
        <f ca="1">IFERROR(__xludf.DUMMYFUNCTION("""COMPUTED_VALUE"""),44040)</f>
        <v>44040</v>
      </c>
      <c r="E821" s="5" t="str">
        <f ca="1">IFERROR(__xludf.DUMMYFUNCTION("""COMPUTED_VALUE"""),"Nu")</f>
        <v>Nu</v>
      </c>
      <c r="F821" s="5"/>
      <c r="G821" s="5"/>
      <c r="H821" s="6"/>
      <c r="I821" s="5"/>
      <c r="J821" s="5"/>
      <c r="K821" s="7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821" s="5"/>
      <c r="M821" s="5"/>
      <c r="N821" s="5"/>
      <c r="O821" s="5"/>
      <c r="P821" s="5"/>
      <c r="Q821" s="5"/>
      <c r="R821" s="5" t="str">
        <f ca="1">IFERROR(__xludf.DUMMYFUNCTION("""COMPUTED_VALUE"""),"România")</f>
        <v>România</v>
      </c>
      <c r="S821" s="5" t="str">
        <f ca="1">IFERROR(__xludf.DUMMYFUNCTION("""COMPUTED_VALUE"""),"Octavian")</f>
        <v>Octavian</v>
      </c>
      <c r="T821" s="7" t="str">
        <f ca="1">IFERROR(__xludf.DUMMYFUNCTION("""COMPUTED_VALUE"""),"http://www.ms.ro/2020/07/28/buletin-informativ-28-07-2020/")</f>
        <v>http://www.ms.ro/2020/07/28/buletin-informativ-28-07-2020/</v>
      </c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ht="12.5">
      <c r="A822" s="5">
        <f ca="1">IFERROR(__xludf.DUMMYFUNCTION("""COMPUTED_VALUE"""),46106)</f>
        <v>46106</v>
      </c>
      <c r="B822" s="5"/>
      <c r="C822" s="5" t="str">
        <f ca="1">IFERROR(__xludf.DUMMYFUNCTION("""COMPUTED_VALUE"""),"Bihor")</f>
        <v>Bihor</v>
      </c>
      <c r="D822" s="13">
        <f ca="1">IFERROR(__xludf.DUMMYFUNCTION("""COMPUTED_VALUE"""),44040)</f>
        <v>44040</v>
      </c>
      <c r="E822" s="5" t="str">
        <f ca="1">IFERROR(__xludf.DUMMYFUNCTION("""COMPUTED_VALUE"""),"Nu")</f>
        <v>Nu</v>
      </c>
      <c r="F822" s="5"/>
      <c r="G822" s="5"/>
      <c r="H822" s="6"/>
      <c r="I822" s="5"/>
      <c r="J822" s="5"/>
      <c r="K822" s="7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822" s="5"/>
      <c r="M822" s="5"/>
      <c r="N822" s="5"/>
      <c r="O822" s="5"/>
      <c r="P822" s="5"/>
      <c r="Q822" s="5"/>
      <c r="R822" s="5" t="str">
        <f ca="1">IFERROR(__xludf.DUMMYFUNCTION("""COMPUTED_VALUE"""),"România")</f>
        <v>România</v>
      </c>
      <c r="S822" s="5" t="str">
        <f ca="1">IFERROR(__xludf.DUMMYFUNCTION("""COMPUTED_VALUE"""),"Octavian")</f>
        <v>Octavian</v>
      </c>
      <c r="T822" s="7" t="str">
        <f ca="1">IFERROR(__xludf.DUMMYFUNCTION("""COMPUTED_VALUE"""),"http://www.ms.ro/2020/07/28/buletin-informativ-28-07-2020/")</f>
        <v>http://www.ms.ro/2020/07/28/buletin-informativ-28-07-2020/</v>
      </c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2.5">
      <c r="A823" s="5">
        <f ca="1">IFERROR(__xludf.DUMMYFUNCTION("""COMPUTED_VALUE"""),46107)</f>
        <v>46107</v>
      </c>
      <c r="B823" s="5"/>
      <c r="C823" s="5" t="str">
        <f ca="1">IFERROR(__xludf.DUMMYFUNCTION("""COMPUTED_VALUE"""),"Bihor")</f>
        <v>Bihor</v>
      </c>
      <c r="D823" s="13">
        <f ca="1">IFERROR(__xludf.DUMMYFUNCTION("""COMPUTED_VALUE"""),44040)</f>
        <v>44040</v>
      </c>
      <c r="E823" s="5" t="str">
        <f ca="1">IFERROR(__xludf.DUMMYFUNCTION("""COMPUTED_VALUE"""),"Nu")</f>
        <v>Nu</v>
      </c>
      <c r="F823" s="5"/>
      <c r="G823" s="5"/>
      <c r="H823" s="6"/>
      <c r="I823" s="5"/>
      <c r="J823" s="5"/>
      <c r="K823" s="7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823" s="5"/>
      <c r="M823" s="5"/>
      <c r="N823" s="5"/>
      <c r="O823" s="5"/>
      <c r="P823" s="5"/>
      <c r="Q823" s="5"/>
      <c r="R823" s="5" t="str">
        <f ca="1">IFERROR(__xludf.DUMMYFUNCTION("""COMPUTED_VALUE"""),"România")</f>
        <v>România</v>
      </c>
      <c r="S823" s="5" t="str">
        <f ca="1">IFERROR(__xludf.DUMMYFUNCTION("""COMPUTED_VALUE"""),"Octavian")</f>
        <v>Octavian</v>
      </c>
      <c r="T823" s="7" t="str">
        <f ca="1">IFERROR(__xludf.DUMMYFUNCTION("""COMPUTED_VALUE"""),"http://www.ms.ro/2020/07/28/buletin-informativ-28-07-2020/")</f>
        <v>http://www.ms.ro/2020/07/28/buletin-informativ-28-07-2020/</v>
      </c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ht="12.5">
      <c r="A824" s="5">
        <f ca="1">IFERROR(__xludf.DUMMYFUNCTION("""COMPUTED_VALUE"""),46108)</f>
        <v>46108</v>
      </c>
      <c r="B824" s="5"/>
      <c r="C824" s="5" t="str">
        <f ca="1">IFERROR(__xludf.DUMMYFUNCTION("""COMPUTED_VALUE"""),"Bihor")</f>
        <v>Bihor</v>
      </c>
      <c r="D824" s="13">
        <f ca="1">IFERROR(__xludf.DUMMYFUNCTION("""COMPUTED_VALUE"""),44040)</f>
        <v>44040</v>
      </c>
      <c r="E824" s="5" t="str">
        <f ca="1">IFERROR(__xludf.DUMMYFUNCTION("""COMPUTED_VALUE"""),"Nu")</f>
        <v>Nu</v>
      </c>
      <c r="F824" s="5"/>
      <c r="G824" s="5"/>
      <c r="H824" s="6"/>
      <c r="I824" s="5"/>
      <c r="J824" s="5"/>
      <c r="K824" s="7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824" s="5"/>
      <c r="M824" s="5"/>
      <c r="N824" s="5"/>
      <c r="O824" s="5"/>
      <c r="P824" s="5"/>
      <c r="Q824" s="5"/>
      <c r="R824" s="5" t="str">
        <f ca="1">IFERROR(__xludf.DUMMYFUNCTION("""COMPUTED_VALUE"""),"România")</f>
        <v>România</v>
      </c>
      <c r="S824" s="5" t="str">
        <f ca="1">IFERROR(__xludf.DUMMYFUNCTION("""COMPUTED_VALUE"""),"Octavian")</f>
        <v>Octavian</v>
      </c>
      <c r="T824" s="7" t="str">
        <f ca="1">IFERROR(__xludf.DUMMYFUNCTION("""COMPUTED_VALUE"""),"http://www.ms.ro/2020/07/28/buletin-informativ-28-07-2020/")</f>
        <v>http://www.ms.ro/2020/07/28/buletin-informativ-28-07-2020/</v>
      </c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2.5">
      <c r="A825" s="5">
        <f ca="1">IFERROR(__xludf.DUMMYFUNCTION("""COMPUTED_VALUE"""),46109)</f>
        <v>46109</v>
      </c>
      <c r="B825" s="5"/>
      <c r="C825" s="5" t="str">
        <f ca="1">IFERROR(__xludf.DUMMYFUNCTION("""COMPUTED_VALUE"""),"Bihor")</f>
        <v>Bihor</v>
      </c>
      <c r="D825" s="13">
        <f ca="1">IFERROR(__xludf.DUMMYFUNCTION("""COMPUTED_VALUE"""),44040)</f>
        <v>44040</v>
      </c>
      <c r="E825" s="5" t="str">
        <f ca="1">IFERROR(__xludf.DUMMYFUNCTION("""COMPUTED_VALUE"""),"Nu")</f>
        <v>Nu</v>
      </c>
      <c r="F825" s="5"/>
      <c r="G825" s="5"/>
      <c r="H825" s="6"/>
      <c r="I825" s="5"/>
      <c r="J825" s="5"/>
      <c r="K825" s="7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825" s="5"/>
      <c r="M825" s="5"/>
      <c r="N825" s="5"/>
      <c r="O825" s="5"/>
      <c r="P825" s="5"/>
      <c r="Q825" s="5"/>
      <c r="R825" s="5" t="str">
        <f ca="1">IFERROR(__xludf.DUMMYFUNCTION("""COMPUTED_VALUE"""),"România")</f>
        <v>România</v>
      </c>
      <c r="S825" s="5" t="str">
        <f ca="1">IFERROR(__xludf.DUMMYFUNCTION("""COMPUTED_VALUE"""),"Octavian")</f>
        <v>Octavian</v>
      </c>
      <c r="T825" s="7" t="str">
        <f ca="1">IFERROR(__xludf.DUMMYFUNCTION("""COMPUTED_VALUE"""),"http://www.ms.ro/2020/07/28/buletin-informativ-28-07-2020/")</f>
        <v>http://www.ms.ro/2020/07/28/buletin-informativ-28-07-2020/</v>
      </c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ht="12.5">
      <c r="A826" s="5">
        <f ca="1">IFERROR(__xludf.DUMMYFUNCTION("""COMPUTED_VALUE"""),46110)</f>
        <v>46110</v>
      </c>
      <c r="B826" s="5"/>
      <c r="C826" s="5" t="str">
        <f ca="1">IFERROR(__xludf.DUMMYFUNCTION("""COMPUTED_VALUE"""),"Bihor")</f>
        <v>Bihor</v>
      </c>
      <c r="D826" s="13">
        <f ca="1">IFERROR(__xludf.DUMMYFUNCTION("""COMPUTED_VALUE"""),44040)</f>
        <v>44040</v>
      </c>
      <c r="E826" s="5" t="str">
        <f ca="1">IFERROR(__xludf.DUMMYFUNCTION("""COMPUTED_VALUE"""),"Nu")</f>
        <v>Nu</v>
      </c>
      <c r="F826" s="5"/>
      <c r="G826" s="5"/>
      <c r="H826" s="6"/>
      <c r="I826" s="5"/>
      <c r="J826" s="5"/>
      <c r="K826" s="7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826" s="5"/>
      <c r="M826" s="5"/>
      <c r="N826" s="5"/>
      <c r="O826" s="5"/>
      <c r="P826" s="5"/>
      <c r="Q826" s="5"/>
      <c r="R826" s="5" t="str">
        <f ca="1">IFERROR(__xludf.DUMMYFUNCTION("""COMPUTED_VALUE"""),"România")</f>
        <v>România</v>
      </c>
      <c r="S826" s="5" t="str">
        <f ca="1">IFERROR(__xludf.DUMMYFUNCTION("""COMPUTED_VALUE"""),"Octavian")</f>
        <v>Octavian</v>
      </c>
      <c r="T826" s="7" t="str">
        <f ca="1">IFERROR(__xludf.DUMMYFUNCTION("""COMPUTED_VALUE"""),"http://www.ms.ro/2020/07/28/buletin-informativ-28-07-2020/")</f>
        <v>http://www.ms.ro/2020/07/28/buletin-informativ-28-07-2020/</v>
      </c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2.5">
      <c r="A827" s="5">
        <f ca="1">IFERROR(__xludf.DUMMYFUNCTION("""COMPUTED_VALUE"""),47209)</f>
        <v>47209</v>
      </c>
      <c r="B827" s="5"/>
      <c r="C827" s="5" t="str">
        <f ca="1">IFERROR(__xludf.DUMMYFUNCTION("""COMPUTED_VALUE"""),"Bihor")</f>
        <v>Bihor</v>
      </c>
      <c r="D827" s="13">
        <f ca="1">IFERROR(__xludf.DUMMYFUNCTION("""COMPUTED_VALUE"""),44041)</f>
        <v>44041</v>
      </c>
      <c r="E827" s="5" t="str">
        <f ca="1">IFERROR(__xludf.DUMMYFUNCTION("""COMPUTED_VALUE"""),"Nu")</f>
        <v>Nu</v>
      </c>
      <c r="F827" s="5"/>
      <c r="G827" s="5"/>
      <c r="H827" s="6"/>
      <c r="I827" s="5"/>
      <c r="J827" s="5"/>
      <c r="K827" s="7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827" s="5"/>
      <c r="M827" s="5"/>
      <c r="N827" s="5"/>
      <c r="O827" s="5"/>
      <c r="P827" s="5"/>
      <c r="Q827" s="5"/>
      <c r="R827" s="5" t="str">
        <f ca="1">IFERROR(__xludf.DUMMYFUNCTION("""COMPUTED_VALUE"""),"România")</f>
        <v>România</v>
      </c>
      <c r="S827" s="5" t="str">
        <f ca="1">IFERROR(__xludf.DUMMYFUNCTION("""COMPUTED_VALUE"""),"Octavian")</f>
        <v>Octavian</v>
      </c>
      <c r="T827" s="7" t="str">
        <f ca="1">IFERROR(__xludf.DUMMYFUNCTION("""COMPUTED_VALUE"""),"http://www.ms.ro/2020/07/29/buletin-informativ-29-07-2020/")</f>
        <v>http://www.ms.ro/2020/07/29/buletin-informativ-29-07-2020/</v>
      </c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ht="12.5">
      <c r="A828" s="5">
        <f ca="1">IFERROR(__xludf.DUMMYFUNCTION("""COMPUTED_VALUE"""),47210)</f>
        <v>47210</v>
      </c>
      <c r="B828" s="5"/>
      <c r="C828" s="5" t="str">
        <f ca="1">IFERROR(__xludf.DUMMYFUNCTION("""COMPUTED_VALUE"""),"Bihor")</f>
        <v>Bihor</v>
      </c>
      <c r="D828" s="13">
        <f ca="1">IFERROR(__xludf.DUMMYFUNCTION("""COMPUTED_VALUE"""),44041)</f>
        <v>44041</v>
      </c>
      <c r="E828" s="5" t="str">
        <f ca="1">IFERROR(__xludf.DUMMYFUNCTION("""COMPUTED_VALUE"""),"Nu")</f>
        <v>Nu</v>
      </c>
      <c r="F828" s="5"/>
      <c r="G828" s="5"/>
      <c r="H828" s="6"/>
      <c r="I828" s="5"/>
      <c r="J828" s="5"/>
      <c r="K828" s="7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828" s="5"/>
      <c r="M828" s="5"/>
      <c r="N828" s="5"/>
      <c r="O828" s="5"/>
      <c r="P828" s="5"/>
      <c r="Q828" s="5"/>
      <c r="R828" s="5" t="str">
        <f ca="1">IFERROR(__xludf.DUMMYFUNCTION("""COMPUTED_VALUE"""),"România")</f>
        <v>România</v>
      </c>
      <c r="S828" s="5" t="str">
        <f ca="1">IFERROR(__xludf.DUMMYFUNCTION("""COMPUTED_VALUE"""),"Octavian")</f>
        <v>Octavian</v>
      </c>
      <c r="T828" s="7" t="str">
        <f ca="1">IFERROR(__xludf.DUMMYFUNCTION("""COMPUTED_VALUE"""),"http://www.ms.ro/2020/07/29/buletin-informativ-29-07-2020/")</f>
        <v>http://www.ms.ro/2020/07/29/buletin-informativ-29-07-2020/</v>
      </c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2.5">
      <c r="A829" s="5">
        <f ca="1">IFERROR(__xludf.DUMMYFUNCTION("""COMPUTED_VALUE"""),47211)</f>
        <v>47211</v>
      </c>
      <c r="B829" s="5"/>
      <c r="C829" s="5" t="str">
        <f ca="1">IFERROR(__xludf.DUMMYFUNCTION("""COMPUTED_VALUE"""),"Bihor")</f>
        <v>Bihor</v>
      </c>
      <c r="D829" s="13">
        <f ca="1">IFERROR(__xludf.DUMMYFUNCTION("""COMPUTED_VALUE"""),44041)</f>
        <v>44041</v>
      </c>
      <c r="E829" s="5" t="str">
        <f ca="1">IFERROR(__xludf.DUMMYFUNCTION("""COMPUTED_VALUE"""),"Nu")</f>
        <v>Nu</v>
      </c>
      <c r="F829" s="5"/>
      <c r="G829" s="5"/>
      <c r="H829" s="6"/>
      <c r="I829" s="5"/>
      <c r="J829" s="5"/>
      <c r="K829" s="7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829" s="5"/>
      <c r="M829" s="5"/>
      <c r="N829" s="5"/>
      <c r="O829" s="5"/>
      <c r="P829" s="5"/>
      <c r="Q829" s="5"/>
      <c r="R829" s="5" t="str">
        <f ca="1">IFERROR(__xludf.DUMMYFUNCTION("""COMPUTED_VALUE"""),"România")</f>
        <v>România</v>
      </c>
      <c r="S829" s="5" t="str">
        <f ca="1">IFERROR(__xludf.DUMMYFUNCTION("""COMPUTED_VALUE"""),"Octavian")</f>
        <v>Octavian</v>
      </c>
      <c r="T829" s="7" t="str">
        <f ca="1">IFERROR(__xludf.DUMMYFUNCTION("""COMPUTED_VALUE"""),"http://www.ms.ro/2020/07/29/buletin-informativ-29-07-2020/")</f>
        <v>http://www.ms.ro/2020/07/29/buletin-informativ-29-07-2020/</v>
      </c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ht="12.5">
      <c r="A830" s="5">
        <f ca="1">IFERROR(__xludf.DUMMYFUNCTION("""COMPUTED_VALUE"""),47212)</f>
        <v>47212</v>
      </c>
      <c r="B830" s="5"/>
      <c r="C830" s="5" t="str">
        <f ca="1">IFERROR(__xludf.DUMMYFUNCTION("""COMPUTED_VALUE"""),"Bihor")</f>
        <v>Bihor</v>
      </c>
      <c r="D830" s="13">
        <f ca="1">IFERROR(__xludf.DUMMYFUNCTION("""COMPUTED_VALUE"""),44041)</f>
        <v>44041</v>
      </c>
      <c r="E830" s="5" t="str">
        <f ca="1">IFERROR(__xludf.DUMMYFUNCTION("""COMPUTED_VALUE"""),"Nu")</f>
        <v>Nu</v>
      </c>
      <c r="F830" s="5"/>
      <c r="G830" s="5"/>
      <c r="H830" s="6"/>
      <c r="I830" s="5"/>
      <c r="J830" s="5"/>
      <c r="K830" s="7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830" s="5"/>
      <c r="M830" s="5"/>
      <c r="N830" s="5"/>
      <c r="O830" s="5"/>
      <c r="P830" s="5"/>
      <c r="Q830" s="5"/>
      <c r="R830" s="5" t="str">
        <f ca="1">IFERROR(__xludf.DUMMYFUNCTION("""COMPUTED_VALUE"""),"România")</f>
        <v>România</v>
      </c>
      <c r="S830" s="5" t="str">
        <f ca="1">IFERROR(__xludf.DUMMYFUNCTION("""COMPUTED_VALUE"""),"Octavian")</f>
        <v>Octavian</v>
      </c>
      <c r="T830" s="7" t="str">
        <f ca="1">IFERROR(__xludf.DUMMYFUNCTION("""COMPUTED_VALUE"""),"http://www.ms.ro/2020/07/29/buletin-informativ-29-07-2020/")</f>
        <v>http://www.ms.ro/2020/07/29/buletin-informativ-29-07-2020/</v>
      </c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2.5">
      <c r="A831" s="5">
        <f ca="1">IFERROR(__xludf.DUMMYFUNCTION("""COMPUTED_VALUE"""),47213)</f>
        <v>47213</v>
      </c>
      <c r="B831" s="5"/>
      <c r="C831" s="5" t="str">
        <f ca="1">IFERROR(__xludf.DUMMYFUNCTION("""COMPUTED_VALUE"""),"Bihor")</f>
        <v>Bihor</v>
      </c>
      <c r="D831" s="13">
        <f ca="1">IFERROR(__xludf.DUMMYFUNCTION("""COMPUTED_VALUE"""),44041)</f>
        <v>44041</v>
      </c>
      <c r="E831" s="5" t="str">
        <f ca="1">IFERROR(__xludf.DUMMYFUNCTION("""COMPUTED_VALUE"""),"Nu")</f>
        <v>Nu</v>
      </c>
      <c r="F831" s="5"/>
      <c r="G831" s="5"/>
      <c r="H831" s="6"/>
      <c r="I831" s="5"/>
      <c r="J831" s="5"/>
      <c r="K831" s="7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831" s="5"/>
      <c r="M831" s="5"/>
      <c r="N831" s="5"/>
      <c r="O831" s="5"/>
      <c r="P831" s="5"/>
      <c r="Q831" s="5"/>
      <c r="R831" s="5" t="str">
        <f ca="1">IFERROR(__xludf.DUMMYFUNCTION("""COMPUTED_VALUE"""),"România")</f>
        <v>România</v>
      </c>
      <c r="S831" s="5" t="str">
        <f ca="1">IFERROR(__xludf.DUMMYFUNCTION("""COMPUTED_VALUE"""),"Octavian")</f>
        <v>Octavian</v>
      </c>
      <c r="T831" s="7" t="str">
        <f ca="1">IFERROR(__xludf.DUMMYFUNCTION("""COMPUTED_VALUE"""),"http://www.ms.ro/2020/07/29/buletin-informativ-29-07-2020/")</f>
        <v>http://www.ms.ro/2020/07/29/buletin-informativ-29-07-2020/</v>
      </c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ht="12.5">
      <c r="A832" s="5">
        <f ca="1">IFERROR(__xludf.DUMMYFUNCTION("""COMPUTED_VALUE"""),47214)</f>
        <v>47214</v>
      </c>
      <c r="B832" s="5"/>
      <c r="C832" s="5" t="str">
        <f ca="1">IFERROR(__xludf.DUMMYFUNCTION("""COMPUTED_VALUE"""),"Bihor")</f>
        <v>Bihor</v>
      </c>
      <c r="D832" s="13">
        <f ca="1">IFERROR(__xludf.DUMMYFUNCTION("""COMPUTED_VALUE"""),44041)</f>
        <v>44041</v>
      </c>
      <c r="E832" s="5" t="str">
        <f ca="1">IFERROR(__xludf.DUMMYFUNCTION("""COMPUTED_VALUE"""),"Nu")</f>
        <v>Nu</v>
      </c>
      <c r="F832" s="5"/>
      <c r="G832" s="5"/>
      <c r="H832" s="6"/>
      <c r="I832" s="5"/>
      <c r="J832" s="5"/>
      <c r="K832" s="7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832" s="5"/>
      <c r="M832" s="5"/>
      <c r="N832" s="5"/>
      <c r="O832" s="5"/>
      <c r="P832" s="5"/>
      <c r="Q832" s="5"/>
      <c r="R832" s="5" t="str">
        <f ca="1">IFERROR(__xludf.DUMMYFUNCTION("""COMPUTED_VALUE"""),"România")</f>
        <v>România</v>
      </c>
      <c r="S832" s="5" t="str">
        <f ca="1">IFERROR(__xludf.DUMMYFUNCTION("""COMPUTED_VALUE"""),"Octavian")</f>
        <v>Octavian</v>
      </c>
      <c r="T832" s="7" t="str">
        <f ca="1">IFERROR(__xludf.DUMMYFUNCTION("""COMPUTED_VALUE"""),"http://www.ms.ro/2020/07/29/buletin-informativ-29-07-2020/")</f>
        <v>http://www.ms.ro/2020/07/29/buletin-informativ-29-07-2020/</v>
      </c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2.5">
      <c r="A833" s="5">
        <f ca="1">IFERROR(__xludf.DUMMYFUNCTION("""COMPUTED_VALUE"""),47215)</f>
        <v>47215</v>
      </c>
      <c r="B833" s="5"/>
      <c r="C833" s="5" t="str">
        <f ca="1">IFERROR(__xludf.DUMMYFUNCTION("""COMPUTED_VALUE"""),"Bihor")</f>
        <v>Bihor</v>
      </c>
      <c r="D833" s="13">
        <f ca="1">IFERROR(__xludf.DUMMYFUNCTION("""COMPUTED_VALUE"""),44041)</f>
        <v>44041</v>
      </c>
      <c r="E833" s="5" t="str">
        <f ca="1">IFERROR(__xludf.DUMMYFUNCTION("""COMPUTED_VALUE"""),"Nu")</f>
        <v>Nu</v>
      </c>
      <c r="F833" s="5"/>
      <c r="G833" s="5"/>
      <c r="H833" s="6"/>
      <c r="I833" s="5"/>
      <c r="J833" s="5"/>
      <c r="K833" s="7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833" s="5"/>
      <c r="M833" s="5"/>
      <c r="N833" s="5"/>
      <c r="O833" s="5"/>
      <c r="P833" s="5"/>
      <c r="Q833" s="5"/>
      <c r="R833" s="5" t="str">
        <f ca="1">IFERROR(__xludf.DUMMYFUNCTION("""COMPUTED_VALUE"""),"România")</f>
        <v>România</v>
      </c>
      <c r="S833" s="5" t="str">
        <f ca="1">IFERROR(__xludf.DUMMYFUNCTION("""COMPUTED_VALUE"""),"Octavian")</f>
        <v>Octavian</v>
      </c>
      <c r="T833" s="7" t="str">
        <f ca="1">IFERROR(__xludf.DUMMYFUNCTION("""COMPUTED_VALUE"""),"http://www.ms.ro/2020/07/29/buletin-informativ-29-07-2020/")</f>
        <v>http://www.ms.ro/2020/07/29/buletin-informativ-29-07-2020/</v>
      </c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ht="12.5">
      <c r="A834" s="5">
        <f ca="1">IFERROR(__xludf.DUMMYFUNCTION("""COMPUTED_VALUE"""),47216)</f>
        <v>47216</v>
      </c>
      <c r="B834" s="5"/>
      <c r="C834" s="5" t="str">
        <f ca="1">IFERROR(__xludf.DUMMYFUNCTION("""COMPUTED_VALUE"""),"Bihor")</f>
        <v>Bihor</v>
      </c>
      <c r="D834" s="13">
        <f ca="1">IFERROR(__xludf.DUMMYFUNCTION("""COMPUTED_VALUE"""),44041)</f>
        <v>44041</v>
      </c>
      <c r="E834" s="5" t="str">
        <f ca="1">IFERROR(__xludf.DUMMYFUNCTION("""COMPUTED_VALUE"""),"Nu")</f>
        <v>Nu</v>
      </c>
      <c r="F834" s="5"/>
      <c r="G834" s="5"/>
      <c r="H834" s="6"/>
      <c r="I834" s="5"/>
      <c r="J834" s="5"/>
      <c r="K834" s="7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834" s="5"/>
      <c r="M834" s="5"/>
      <c r="N834" s="5"/>
      <c r="O834" s="5"/>
      <c r="P834" s="5"/>
      <c r="Q834" s="5"/>
      <c r="R834" s="5" t="str">
        <f ca="1">IFERROR(__xludf.DUMMYFUNCTION("""COMPUTED_VALUE"""),"România")</f>
        <v>România</v>
      </c>
      <c r="S834" s="5" t="str">
        <f ca="1">IFERROR(__xludf.DUMMYFUNCTION("""COMPUTED_VALUE"""),"Octavian")</f>
        <v>Octavian</v>
      </c>
      <c r="T834" s="7" t="str">
        <f ca="1">IFERROR(__xludf.DUMMYFUNCTION("""COMPUTED_VALUE"""),"http://www.ms.ro/2020/07/29/buletin-informativ-29-07-2020/")</f>
        <v>http://www.ms.ro/2020/07/29/buletin-informativ-29-07-2020/</v>
      </c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2.5">
      <c r="A835" s="5">
        <f ca="1">IFERROR(__xludf.DUMMYFUNCTION("""COMPUTED_VALUE"""),47217)</f>
        <v>47217</v>
      </c>
      <c r="B835" s="5"/>
      <c r="C835" s="5" t="str">
        <f ca="1">IFERROR(__xludf.DUMMYFUNCTION("""COMPUTED_VALUE"""),"Bihor")</f>
        <v>Bihor</v>
      </c>
      <c r="D835" s="13">
        <f ca="1">IFERROR(__xludf.DUMMYFUNCTION("""COMPUTED_VALUE"""),44041)</f>
        <v>44041</v>
      </c>
      <c r="E835" s="5" t="str">
        <f ca="1">IFERROR(__xludf.DUMMYFUNCTION("""COMPUTED_VALUE"""),"Nu")</f>
        <v>Nu</v>
      </c>
      <c r="F835" s="5"/>
      <c r="G835" s="5"/>
      <c r="H835" s="6"/>
      <c r="I835" s="5"/>
      <c r="J835" s="5"/>
      <c r="K835" s="7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835" s="5"/>
      <c r="M835" s="5"/>
      <c r="N835" s="5"/>
      <c r="O835" s="5"/>
      <c r="P835" s="5"/>
      <c r="Q835" s="5"/>
      <c r="R835" s="5" t="str">
        <f ca="1">IFERROR(__xludf.DUMMYFUNCTION("""COMPUTED_VALUE"""),"România")</f>
        <v>România</v>
      </c>
      <c r="S835" s="5" t="str">
        <f ca="1">IFERROR(__xludf.DUMMYFUNCTION("""COMPUTED_VALUE"""),"Octavian")</f>
        <v>Octavian</v>
      </c>
      <c r="T835" s="7" t="str">
        <f ca="1">IFERROR(__xludf.DUMMYFUNCTION("""COMPUTED_VALUE"""),"http://www.ms.ro/2020/07/29/buletin-informativ-29-07-2020/")</f>
        <v>http://www.ms.ro/2020/07/29/buletin-informativ-29-07-2020/</v>
      </c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ht="12.5">
      <c r="A836" s="5">
        <f ca="1">IFERROR(__xludf.DUMMYFUNCTION("""COMPUTED_VALUE"""),47218)</f>
        <v>47218</v>
      </c>
      <c r="B836" s="5"/>
      <c r="C836" s="5" t="str">
        <f ca="1">IFERROR(__xludf.DUMMYFUNCTION("""COMPUTED_VALUE"""),"Bihor")</f>
        <v>Bihor</v>
      </c>
      <c r="D836" s="13">
        <f ca="1">IFERROR(__xludf.DUMMYFUNCTION("""COMPUTED_VALUE"""),44041)</f>
        <v>44041</v>
      </c>
      <c r="E836" s="5" t="str">
        <f ca="1">IFERROR(__xludf.DUMMYFUNCTION("""COMPUTED_VALUE"""),"Nu")</f>
        <v>Nu</v>
      </c>
      <c r="F836" s="5"/>
      <c r="G836" s="5"/>
      <c r="H836" s="6"/>
      <c r="I836" s="5"/>
      <c r="J836" s="5"/>
      <c r="K836" s="7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836" s="5"/>
      <c r="M836" s="5"/>
      <c r="N836" s="5"/>
      <c r="O836" s="5"/>
      <c r="P836" s="5"/>
      <c r="Q836" s="5"/>
      <c r="R836" s="5" t="str">
        <f ca="1">IFERROR(__xludf.DUMMYFUNCTION("""COMPUTED_VALUE"""),"România")</f>
        <v>România</v>
      </c>
      <c r="S836" s="5" t="str">
        <f ca="1">IFERROR(__xludf.DUMMYFUNCTION("""COMPUTED_VALUE"""),"Octavian")</f>
        <v>Octavian</v>
      </c>
      <c r="T836" s="7" t="str">
        <f ca="1">IFERROR(__xludf.DUMMYFUNCTION("""COMPUTED_VALUE"""),"http://www.ms.ro/2020/07/29/buletin-informativ-29-07-2020/")</f>
        <v>http://www.ms.ro/2020/07/29/buletin-informativ-29-07-2020/</v>
      </c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2.5">
      <c r="A837" s="5">
        <f ca="1">IFERROR(__xludf.DUMMYFUNCTION("""COMPUTED_VALUE"""),47219)</f>
        <v>47219</v>
      </c>
      <c r="B837" s="5"/>
      <c r="C837" s="5" t="str">
        <f ca="1">IFERROR(__xludf.DUMMYFUNCTION("""COMPUTED_VALUE"""),"Bihor")</f>
        <v>Bihor</v>
      </c>
      <c r="D837" s="13">
        <f ca="1">IFERROR(__xludf.DUMMYFUNCTION("""COMPUTED_VALUE"""),44041)</f>
        <v>44041</v>
      </c>
      <c r="E837" s="5" t="str">
        <f ca="1">IFERROR(__xludf.DUMMYFUNCTION("""COMPUTED_VALUE"""),"Nu")</f>
        <v>Nu</v>
      </c>
      <c r="F837" s="5"/>
      <c r="G837" s="5"/>
      <c r="H837" s="6"/>
      <c r="I837" s="5"/>
      <c r="J837" s="5"/>
      <c r="K837" s="7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837" s="5"/>
      <c r="M837" s="5"/>
      <c r="N837" s="5"/>
      <c r="O837" s="5"/>
      <c r="P837" s="5"/>
      <c r="Q837" s="5"/>
      <c r="R837" s="5" t="str">
        <f ca="1">IFERROR(__xludf.DUMMYFUNCTION("""COMPUTED_VALUE"""),"România")</f>
        <v>România</v>
      </c>
      <c r="S837" s="5" t="str">
        <f ca="1">IFERROR(__xludf.DUMMYFUNCTION("""COMPUTED_VALUE"""),"Octavian")</f>
        <v>Octavian</v>
      </c>
      <c r="T837" s="7" t="str">
        <f ca="1">IFERROR(__xludf.DUMMYFUNCTION("""COMPUTED_VALUE"""),"http://www.ms.ro/2020/07/29/buletin-informativ-29-07-2020/")</f>
        <v>http://www.ms.ro/2020/07/29/buletin-informativ-29-07-2020/</v>
      </c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ht="12.5">
      <c r="A838" s="5">
        <f ca="1">IFERROR(__xludf.DUMMYFUNCTION("""COMPUTED_VALUE"""),47220)</f>
        <v>47220</v>
      </c>
      <c r="B838" s="5"/>
      <c r="C838" s="5" t="str">
        <f ca="1">IFERROR(__xludf.DUMMYFUNCTION("""COMPUTED_VALUE"""),"Bihor")</f>
        <v>Bihor</v>
      </c>
      <c r="D838" s="13">
        <f ca="1">IFERROR(__xludf.DUMMYFUNCTION("""COMPUTED_VALUE"""),44041)</f>
        <v>44041</v>
      </c>
      <c r="E838" s="5" t="str">
        <f ca="1">IFERROR(__xludf.DUMMYFUNCTION("""COMPUTED_VALUE"""),"Nu")</f>
        <v>Nu</v>
      </c>
      <c r="F838" s="5"/>
      <c r="G838" s="5"/>
      <c r="H838" s="6"/>
      <c r="I838" s="5"/>
      <c r="J838" s="5"/>
      <c r="K838" s="7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838" s="5"/>
      <c r="M838" s="5"/>
      <c r="N838" s="5"/>
      <c r="O838" s="5"/>
      <c r="P838" s="5"/>
      <c r="Q838" s="5"/>
      <c r="R838" s="5" t="str">
        <f ca="1">IFERROR(__xludf.DUMMYFUNCTION("""COMPUTED_VALUE"""),"România")</f>
        <v>România</v>
      </c>
      <c r="S838" s="5" t="str">
        <f ca="1">IFERROR(__xludf.DUMMYFUNCTION("""COMPUTED_VALUE"""),"Octavian")</f>
        <v>Octavian</v>
      </c>
      <c r="T838" s="7" t="str">
        <f ca="1">IFERROR(__xludf.DUMMYFUNCTION("""COMPUTED_VALUE"""),"http://www.ms.ro/2020/07/29/buletin-informativ-29-07-2020/")</f>
        <v>http://www.ms.ro/2020/07/29/buletin-informativ-29-07-2020/</v>
      </c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2.5">
      <c r="A839" s="5">
        <f ca="1">IFERROR(__xludf.DUMMYFUNCTION("""COMPUTED_VALUE"""),47221)</f>
        <v>47221</v>
      </c>
      <c r="B839" s="5"/>
      <c r="C839" s="5" t="str">
        <f ca="1">IFERROR(__xludf.DUMMYFUNCTION("""COMPUTED_VALUE"""),"Bihor")</f>
        <v>Bihor</v>
      </c>
      <c r="D839" s="13">
        <f ca="1">IFERROR(__xludf.DUMMYFUNCTION("""COMPUTED_VALUE"""),44041)</f>
        <v>44041</v>
      </c>
      <c r="E839" s="5" t="str">
        <f ca="1">IFERROR(__xludf.DUMMYFUNCTION("""COMPUTED_VALUE"""),"Nu")</f>
        <v>Nu</v>
      </c>
      <c r="F839" s="5"/>
      <c r="G839" s="5"/>
      <c r="H839" s="6"/>
      <c r="I839" s="5"/>
      <c r="J839" s="5"/>
      <c r="K839" s="7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839" s="5"/>
      <c r="M839" s="5"/>
      <c r="N839" s="5"/>
      <c r="O839" s="5"/>
      <c r="P839" s="5"/>
      <c r="Q839" s="5"/>
      <c r="R839" s="5" t="str">
        <f ca="1">IFERROR(__xludf.DUMMYFUNCTION("""COMPUTED_VALUE"""),"România")</f>
        <v>România</v>
      </c>
      <c r="S839" s="5" t="str">
        <f ca="1">IFERROR(__xludf.DUMMYFUNCTION("""COMPUTED_VALUE"""),"Octavian")</f>
        <v>Octavian</v>
      </c>
      <c r="T839" s="7" t="str">
        <f ca="1">IFERROR(__xludf.DUMMYFUNCTION("""COMPUTED_VALUE"""),"http://www.ms.ro/2020/07/29/buletin-informativ-29-07-2020/")</f>
        <v>http://www.ms.ro/2020/07/29/buletin-informativ-29-07-2020/</v>
      </c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ht="12.5">
      <c r="A840" s="5">
        <f ca="1">IFERROR(__xludf.DUMMYFUNCTION("""COMPUTED_VALUE"""),47222)</f>
        <v>47222</v>
      </c>
      <c r="B840" s="5"/>
      <c r="C840" s="5" t="str">
        <f ca="1">IFERROR(__xludf.DUMMYFUNCTION("""COMPUTED_VALUE"""),"Bihor")</f>
        <v>Bihor</v>
      </c>
      <c r="D840" s="13">
        <f ca="1">IFERROR(__xludf.DUMMYFUNCTION("""COMPUTED_VALUE"""),44041)</f>
        <v>44041</v>
      </c>
      <c r="E840" s="5" t="str">
        <f ca="1">IFERROR(__xludf.DUMMYFUNCTION("""COMPUTED_VALUE"""),"Nu")</f>
        <v>Nu</v>
      </c>
      <c r="F840" s="5"/>
      <c r="G840" s="5"/>
      <c r="H840" s="6"/>
      <c r="I840" s="5"/>
      <c r="J840" s="5"/>
      <c r="K840" s="7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840" s="5"/>
      <c r="M840" s="5"/>
      <c r="N840" s="5"/>
      <c r="O840" s="5"/>
      <c r="P840" s="5"/>
      <c r="Q840" s="5"/>
      <c r="R840" s="5" t="str">
        <f ca="1">IFERROR(__xludf.DUMMYFUNCTION("""COMPUTED_VALUE"""),"România")</f>
        <v>România</v>
      </c>
      <c r="S840" s="5" t="str">
        <f ca="1">IFERROR(__xludf.DUMMYFUNCTION("""COMPUTED_VALUE"""),"Octavian")</f>
        <v>Octavian</v>
      </c>
      <c r="T840" s="7" t="str">
        <f ca="1">IFERROR(__xludf.DUMMYFUNCTION("""COMPUTED_VALUE"""),"http://www.ms.ro/2020/07/29/buletin-informativ-29-07-2020/")</f>
        <v>http://www.ms.ro/2020/07/29/buletin-informativ-29-07-2020/</v>
      </c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2.5">
      <c r="A841" s="5">
        <f ca="1">IFERROR(__xludf.DUMMYFUNCTION("""COMPUTED_VALUE"""),47223)</f>
        <v>47223</v>
      </c>
      <c r="B841" s="5"/>
      <c r="C841" s="5" t="str">
        <f ca="1">IFERROR(__xludf.DUMMYFUNCTION("""COMPUTED_VALUE"""),"Bihor")</f>
        <v>Bihor</v>
      </c>
      <c r="D841" s="13">
        <f ca="1">IFERROR(__xludf.DUMMYFUNCTION("""COMPUTED_VALUE"""),44041)</f>
        <v>44041</v>
      </c>
      <c r="E841" s="5" t="str">
        <f ca="1">IFERROR(__xludf.DUMMYFUNCTION("""COMPUTED_VALUE"""),"Nu")</f>
        <v>Nu</v>
      </c>
      <c r="F841" s="5"/>
      <c r="G841" s="5"/>
      <c r="H841" s="6"/>
      <c r="I841" s="5"/>
      <c r="J841" s="5"/>
      <c r="K841" s="7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841" s="5"/>
      <c r="M841" s="5"/>
      <c r="N841" s="5"/>
      <c r="O841" s="5"/>
      <c r="P841" s="5"/>
      <c r="Q841" s="5"/>
      <c r="R841" s="5" t="str">
        <f ca="1">IFERROR(__xludf.DUMMYFUNCTION("""COMPUTED_VALUE"""),"România")</f>
        <v>România</v>
      </c>
      <c r="S841" s="5" t="str">
        <f ca="1">IFERROR(__xludf.DUMMYFUNCTION("""COMPUTED_VALUE"""),"Octavian")</f>
        <v>Octavian</v>
      </c>
      <c r="T841" s="7" t="str">
        <f ca="1">IFERROR(__xludf.DUMMYFUNCTION("""COMPUTED_VALUE"""),"http://www.ms.ro/2020/07/29/buletin-informativ-29-07-2020/")</f>
        <v>http://www.ms.ro/2020/07/29/buletin-informativ-29-07-2020/</v>
      </c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ht="12.5">
      <c r="A842" s="5">
        <f ca="1">IFERROR(__xludf.DUMMYFUNCTION("""COMPUTED_VALUE"""),47224)</f>
        <v>47224</v>
      </c>
      <c r="B842" s="5"/>
      <c r="C842" s="5" t="str">
        <f ca="1">IFERROR(__xludf.DUMMYFUNCTION("""COMPUTED_VALUE"""),"Bihor")</f>
        <v>Bihor</v>
      </c>
      <c r="D842" s="13">
        <f ca="1">IFERROR(__xludf.DUMMYFUNCTION("""COMPUTED_VALUE"""),44041)</f>
        <v>44041</v>
      </c>
      <c r="E842" s="5" t="str">
        <f ca="1">IFERROR(__xludf.DUMMYFUNCTION("""COMPUTED_VALUE"""),"Nu")</f>
        <v>Nu</v>
      </c>
      <c r="F842" s="5"/>
      <c r="G842" s="5"/>
      <c r="H842" s="6"/>
      <c r="I842" s="5"/>
      <c r="J842" s="5"/>
      <c r="K842" s="7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842" s="5"/>
      <c r="M842" s="5"/>
      <c r="N842" s="5"/>
      <c r="O842" s="5"/>
      <c r="P842" s="5"/>
      <c r="Q842" s="5"/>
      <c r="R842" s="5" t="str">
        <f ca="1">IFERROR(__xludf.DUMMYFUNCTION("""COMPUTED_VALUE"""),"România")</f>
        <v>România</v>
      </c>
      <c r="S842" s="5" t="str">
        <f ca="1">IFERROR(__xludf.DUMMYFUNCTION("""COMPUTED_VALUE"""),"Octavian")</f>
        <v>Octavian</v>
      </c>
      <c r="T842" s="7" t="str">
        <f ca="1">IFERROR(__xludf.DUMMYFUNCTION("""COMPUTED_VALUE"""),"http://www.ms.ro/2020/07/29/buletin-informativ-29-07-2020/")</f>
        <v>http://www.ms.ro/2020/07/29/buletin-informativ-29-07-2020/</v>
      </c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2.5">
      <c r="A843" s="5">
        <f ca="1">IFERROR(__xludf.DUMMYFUNCTION("""COMPUTED_VALUE"""),47225)</f>
        <v>47225</v>
      </c>
      <c r="B843" s="5"/>
      <c r="C843" s="5" t="str">
        <f ca="1">IFERROR(__xludf.DUMMYFUNCTION("""COMPUTED_VALUE"""),"Bihor")</f>
        <v>Bihor</v>
      </c>
      <c r="D843" s="13">
        <f ca="1">IFERROR(__xludf.DUMMYFUNCTION("""COMPUTED_VALUE"""),44041)</f>
        <v>44041</v>
      </c>
      <c r="E843" s="5" t="str">
        <f ca="1">IFERROR(__xludf.DUMMYFUNCTION("""COMPUTED_VALUE"""),"Nu")</f>
        <v>Nu</v>
      </c>
      <c r="F843" s="5"/>
      <c r="G843" s="5"/>
      <c r="H843" s="6"/>
      <c r="I843" s="5"/>
      <c r="J843" s="5"/>
      <c r="K843" s="7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843" s="5"/>
      <c r="M843" s="5"/>
      <c r="N843" s="5"/>
      <c r="O843" s="5"/>
      <c r="P843" s="5"/>
      <c r="Q843" s="5"/>
      <c r="R843" s="5" t="str">
        <f ca="1">IFERROR(__xludf.DUMMYFUNCTION("""COMPUTED_VALUE"""),"România")</f>
        <v>România</v>
      </c>
      <c r="S843" s="5" t="str">
        <f ca="1">IFERROR(__xludf.DUMMYFUNCTION("""COMPUTED_VALUE"""),"Octavian")</f>
        <v>Octavian</v>
      </c>
      <c r="T843" s="7" t="str">
        <f ca="1">IFERROR(__xludf.DUMMYFUNCTION("""COMPUTED_VALUE"""),"http://www.ms.ro/2020/07/29/buletin-informativ-29-07-2020/")</f>
        <v>http://www.ms.ro/2020/07/29/buletin-informativ-29-07-2020/</v>
      </c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ht="12.5">
      <c r="A844" s="5">
        <f ca="1">IFERROR(__xludf.DUMMYFUNCTION("""COMPUTED_VALUE"""),47226)</f>
        <v>47226</v>
      </c>
      <c r="B844" s="5"/>
      <c r="C844" s="5" t="str">
        <f ca="1">IFERROR(__xludf.DUMMYFUNCTION("""COMPUTED_VALUE"""),"Bihor")</f>
        <v>Bihor</v>
      </c>
      <c r="D844" s="13">
        <f ca="1">IFERROR(__xludf.DUMMYFUNCTION("""COMPUTED_VALUE"""),44041)</f>
        <v>44041</v>
      </c>
      <c r="E844" s="5" t="str">
        <f ca="1">IFERROR(__xludf.DUMMYFUNCTION("""COMPUTED_VALUE"""),"Nu")</f>
        <v>Nu</v>
      </c>
      <c r="F844" s="5"/>
      <c r="G844" s="5"/>
      <c r="H844" s="6"/>
      <c r="I844" s="5"/>
      <c r="J844" s="5"/>
      <c r="K844" s="7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844" s="5"/>
      <c r="M844" s="5"/>
      <c r="N844" s="5"/>
      <c r="O844" s="5"/>
      <c r="P844" s="5"/>
      <c r="Q844" s="5"/>
      <c r="R844" s="5" t="str">
        <f ca="1">IFERROR(__xludf.DUMMYFUNCTION("""COMPUTED_VALUE"""),"România")</f>
        <v>România</v>
      </c>
      <c r="S844" s="5" t="str">
        <f ca="1">IFERROR(__xludf.DUMMYFUNCTION("""COMPUTED_VALUE"""),"Octavian")</f>
        <v>Octavian</v>
      </c>
      <c r="T844" s="7" t="str">
        <f ca="1">IFERROR(__xludf.DUMMYFUNCTION("""COMPUTED_VALUE"""),"http://www.ms.ro/2020/07/29/buletin-informativ-29-07-2020/")</f>
        <v>http://www.ms.ro/2020/07/29/buletin-informativ-29-07-2020/</v>
      </c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2.5">
      <c r="A845" s="5">
        <f ca="1">IFERROR(__xludf.DUMMYFUNCTION("""COMPUTED_VALUE"""),47227)</f>
        <v>47227</v>
      </c>
      <c r="B845" s="5"/>
      <c r="C845" s="5" t="str">
        <f ca="1">IFERROR(__xludf.DUMMYFUNCTION("""COMPUTED_VALUE"""),"Bihor")</f>
        <v>Bihor</v>
      </c>
      <c r="D845" s="13">
        <f ca="1">IFERROR(__xludf.DUMMYFUNCTION("""COMPUTED_VALUE"""),44041)</f>
        <v>44041</v>
      </c>
      <c r="E845" s="5" t="str">
        <f ca="1">IFERROR(__xludf.DUMMYFUNCTION("""COMPUTED_VALUE"""),"Nu")</f>
        <v>Nu</v>
      </c>
      <c r="F845" s="5"/>
      <c r="G845" s="5"/>
      <c r="H845" s="6"/>
      <c r="I845" s="5"/>
      <c r="J845" s="5"/>
      <c r="K845" s="7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845" s="5"/>
      <c r="M845" s="5"/>
      <c r="N845" s="5"/>
      <c r="O845" s="5"/>
      <c r="P845" s="5"/>
      <c r="Q845" s="5"/>
      <c r="R845" s="5" t="str">
        <f ca="1">IFERROR(__xludf.DUMMYFUNCTION("""COMPUTED_VALUE"""),"România")</f>
        <v>România</v>
      </c>
      <c r="S845" s="5" t="str">
        <f ca="1">IFERROR(__xludf.DUMMYFUNCTION("""COMPUTED_VALUE"""),"Octavian")</f>
        <v>Octavian</v>
      </c>
      <c r="T845" s="7" t="str">
        <f ca="1">IFERROR(__xludf.DUMMYFUNCTION("""COMPUTED_VALUE"""),"http://www.ms.ro/2020/07/29/buletin-informativ-29-07-2020/")</f>
        <v>http://www.ms.ro/2020/07/29/buletin-informativ-29-07-2020/</v>
      </c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ht="12.5">
      <c r="A846" s="5">
        <f ca="1">IFERROR(__xludf.DUMMYFUNCTION("""COMPUTED_VALUE"""),47228)</f>
        <v>47228</v>
      </c>
      <c r="B846" s="5"/>
      <c r="C846" s="5" t="str">
        <f ca="1">IFERROR(__xludf.DUMMYFUNCTION("""COMPUTED_VALUE"""),"Bihor")</f>
        <v>Bihor</v>
      </c>
      <c r="D846" s="13">
        <f ca="1">IFERROR(__xludf.DUMMYFUNCTION("""COMPUTED_VALUE"""),44041)</f>
        <v>44041</v>
      </c>
      <c r="E846" s="5" t="str">
        <f ca="1">IFERROR(__xludf.DUMMYFUNCTION("""COMPUTED_VALUE"""),"Nu")</f>
        <v>Nu</v>
      </c>
      <c r="F846" s="5"/>
      <c r="G846" s="5"/>
      <c r="H846" s="6"/>
      <c r="I846" s="5"/>
      <c r="J846" s="5"/>
      <c r="K846" s="7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846" s="5"/>
      <c r="M846" s="5"/>
      <c r="N846" s="5"/>
      <c r="O846" s="5"/>
      <c r="P846" s="5"/>
      <c r="Q846" s="5"/>
      <c r="R846" s="5" t="str">
        <f ca="1">IFERROR(__xludf.DUMMYFUNCTION("""COMPUTED_VALUE"""),"România")</f>
        <v>România</v>
      </c>
      <c r="S846" s="5" t="str">
        <f ca="1">IFERROR(__xludf.DUMMYFUNCTION("""COMPUTED_VALUE"""),"Octavian")</f>
        <v>Octavian</v>
      </c>
      <c r="T846" s="7" t="str">
        <f ca="1">IFERROR(__xludf.DUMMYFUNCTION("""COMPUTED_VALUE"""),"http://www.ms.ro/2020/07/29/buletin-informativ-29-07-2020/")</f>
        <v>http://www.ms.ro/2020/07/29/buletin-informativ-29-07-2020/</v>
      </c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2.5">
      <c r="A847" s="5">
        <f ca="1">IFERROR(__xludf.DUMMYFUNCTION("""COMPUTED_VALUE"""),47229)</f>
        <v>47229</v>
      </c>
      <c r="B847" s="5"/>
      <c r="C847" s="5" t="str">
        <f ca="1">IFERROR(__xludf.DUMMYFUNCTION("""COMPUTED_VALUE"""),"Bihor")</f>
        <v>Bihor</v>
      </c>
      <c r="D847" s="13">
        <f ca="1">IFERROR(__xludf.DUMMYFUNCTION("""COMPUTED_VALUE"""),44041)</f>
        <v>44041</v>
      </c>
      <c r="E847" s="5" t="str">
        <f ca="1">IFERROR(__xludf.DUMMYFUNCTION("""COMPUTED_VALUE"""),"Nu")</f>
        <v>Nu</v>
      </c>
      <c r="F847" s="5"/>
      <c r="G847" s="5"/>
      <c r="H847" s="6"/>
      <c r="I847" s="5"/>
      <c r="J847" s="5"/>
      <c r="K847" s="7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847" s="5"/>
      <c r="M847" s="5"/>
      <c r="N847" s="5"/>
      <c r="O847" s="5"/>
      <c r="P847" s="5"/>
      <c r="Q847" s="5"/>
      <c r="R847" s="5" t="str">
        <f ca="1">IFERROR(__xludf.DUMMYFUNCTION("""COMPUTED_VALUE"""),"România")</f>
        <v>România</v>
      </c>
      <c r="S847" s="5" t="str">
        <f ca="1">IFERROR(__xludf.DUMMYFUNCTION("""COMPUTED_VALUE"""),"Octavian")</f>
        <v>Octavian</v>
      </c>
      <c r="T847" s="7" t="str">
        <f ca="1">IFERROR(__xludf.DUMMYFUNCTION("""COMPUTED_VALUE"""),"http://www.ms.ro/2020/07/29/buletin-informativ-29-07-2020/")</f>
        <v>http://www.ms.ro/2020/07/29/buletin-informativ-29-07-2020/</v>
      </c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ht="12.5">
      <c r="A848" s="5">
        <f ca="1">IFERROR(__xludf.DUMMYFUNCTION("""COMPUTED_VALUE"""),47230)</f>
        <v>47230</v>
      </c>
      <c r="B848" s="5"/>
      <c r="C848" s="5" t="str">
        <f ca="1">IFERROR(__xludf.DUMMYFUNCTION("""COMPUTED_VALUE"""),"Bihor")</f>
        <v>Bihor</v>
      </c>
      <c r="D848" s="13">
        <f ca="1">IFERROR(__xludf.DUMMYFUNCTION("""COMPUTED_VALUE"""),44041)</f>
        <v>44041</v>
      </c>
      <c r="E848" s="5" t="str">
        <f ca="1">IFERROR(__xludf.DUMMYFUNCTION("""COMPUTED_VALUE"""),"Nu")</f>
        <v>Nu</v>
      </c>
      <c r="F848" s="5"/>
      <c r="G848" s="5"/>
      <c r="H848" s="6"/>
      <c r="I848" s="5"/>
      <c r="J848" s="5"/>
      <c r="K848" s="7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848" s="5"/>
      <c r="M848" s="5"/>
      <c r="N848" s="5"/>
      <c r="O848" s="5"/>
      <c r="P848" s="5"/>
      <c r="Q848" s="5"/>
      <c r="R848" s="5" t="str">
        <f ca="1">IFERROR(__xludf.DUMMYFUNCTION("""COMPUTED_VALUE"""),"România")</f>
        <v>România</v>
      </c>
      <c r="S848" s="5" t="str">
        <f ca="1">IFERROR(__xludf.DUMMYFUNCTION("""COMPUTED_VALUE"""),"Octavian")</f>
        <v>Octavian</v>
      </c>
      <c r="T848" s="7" t="str">
        <f ca="1">IFERROR(__xludf.DUMMYFUNCTION("""COMPUTED_VALUE"""),"http://www.ms.ro/2020/07/29/buletin-informativ-29-07-2020/")</f>
        <v>http://www.ms.ro/2020/07/29/buletin-informativ-29-07-2020/</v>
      </c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2.5">
      <c r="A849" s="5">
        <f ca="1">IFERROR(__xludf.DUMMYFUNCTION("""COMPUTED_VALUE"""),47231)</f>
        <v>47231</v>
      </c>
      <c r="B849" s="5"/>
      <c r="C849" s="5" t="str">
        <f ca="1">IFERROR(__xludf.DUMMYFUNCTION("""COMPUTED_VALUE"""),"Bihor")</f>
        <v>Bihor</v>
      </c>
      <c r="D849" s="13">
        <f ca="1">IFERROR(__xludf.DUMMYFUNCTION("""COMPUTED_VALUE"""),44041)</f>
        <v>44041</v>
      </c>
      <c r="E849" s="5" t="str">
        <f ca="1">IFERROR(__xludf.DUMMYFUNCTION("""COMPUTED_VALUE"""),"Nu")</f>
        <v>Nu</v>
      </c>
      <c r="F849" s="5"/>
      <c r="G849" s="5"/>
      <c r="H849" s="6"/>
      <c r="I849" s="5"/>
      <c r="J849" s="5"/>
      <c r="K849" s="7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849" s="5"/>
      <c r="M849" s="5"/>
      <c r="N849" s="5"/>
      <c r="O849" s="5"/>
      <c r="P849" s="5"/>
      <c r="Q849" s="5"/>
      <c r="R849" s="5" t="str">
        <f ca="1">IFERROR(__xludf.DUMMYFUNCTION("""COMPUTED_VALUE"""),"România")</f>
        <v>România</v>
      </c>
      <c r="S849" s="5" t="str">
        <f ca="1">IFERROR(__xludf.DUMMYFUNCTION("""COMPUTED_VALUE"""),"Octavian")</f>
        <v>Octavian</v>
      </c>
      <c r="T849" s="7" t="str">
        <f ca="1">IFERROR(__xludf.DUMMYFUNCTION("""COMPUTED_VALUE"""),"http://www.ms.ro/2020/07/29/buletin-informativ-29-07-2020/")</f>
        <v>http://www.ms.ro/2020/07/29/buletin-informativ-29-07-2020/</v>
      </c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ht="12.5">
      <c r="A850" s="5">
        <f ca="1">IFERROR(__xludf.DUMMYFUNCTION("""COMPUTED_VALUE"""),48419)</f>
        <v>48419</v>
      </c>
      <c r="B850" s="5"/>
      <c r="C850" s="5" t="str">
        <f ca="1">IFERROR(__xludf.DUMMYFUNCTION("""COMPUTED_VALUE"""),"Bihor")</f>
        <v>Bihor</v>
      </c>
      <c r="D850" s="13">
        <f ca="1">IFERROR(__xludf.DUMMYFUNCTION("""COMPUTED_VALUE"""),44042)</f>
        <v>44042</v>
      </c>
      <c r="E850" s="5" t="str">
        <f ca="1">IFERROR(__xludf.DUMMYFUNCTION("""COMPUTED_VALUE"""),"Nu")</f>
        <v>Nu</v>
      </c>
      <c r="F850" s="5"/>
      <c r="G850" s="5"/>
      <c r="H850" s="6"/>
      <c r="I850" s="5"/>
      <c r="J850" s="5"/>
      <c r="K850" s="7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850" s="5"/>
      <c r="M850" s="5"/>
      <c r="N850" s="5"/>
      <c r="O850" s="5"/>
      <c r="P850" s="5"/>
      <c r="Q850" s="5"/>
      <c r="R850" s="5" t="str">
        <f ca="1">IFERROR(__xludf.DUMMYFUNCTION("""COMPUTED_VALUE"""),"România")</f>
        <v>România</v>
      </c>
      <c r="S850" s="5" t="str">
        <f ca="1">IFERROR(__xludf.DUMMYFUNCTION("""COMPUTED_VALUE"""),"Octavian")</f>
        <v>Octavian</v>
      </c>
      <c r="T850" s="7" t="str">
        <f ca="1">IFERROR(__xludf.DUMMYFUNCTION("""COMPUTED_VALUE"""),"http://www.ms.ro/2020/07/30/buletin-informativ-30-07-2020/")</f>
        <v>http://www.ms.ro/2020/07/30/buletin-informativ-30-07-2020/</v>
      </c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2.5">
      <c r="A851" s="5">
        <f ca="1">IFERROR(__xludf.DUMMYFUNCTION("""COMPUTED_VALUE"""),48420)</f>
        <v>48420</v>
      </c>
      <c r="B851" s="5"/>
      <c r="C851" s="5" t="str">
        <f ca="1">IFERROR(__xludf.DUMMYFUNCTION("""COMPUTED_VALUE"""),"Bihor")</f>
        <v>Bihor</v>
      </c>
      <c r="D851" s="13">
        <f ca="1">IFERROR(__xludf.DUMMYFUNCTION("""COMPUTED_VALUE"""),44042)</f>
        <v>44042</v>
      </c>
      <c r="E851" s="5" t="str">
        <f ca="1">IFERROR(__xludf.DUMMYFUNCTION("""COMPUTED_VALUE"""),"Nu")</f>
        <v>Nu</v>
      </c>
      <c r="F851" s="5"/>
      <c r="G851" s="5"/>
      <c r="H851" s="6"/>
      <c r="I851" s="5"/>
      <c r="J851" s="5"/>
      <c r="K851" s="7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851" s="5"/>
      <c r="M851" s="5"/>
      <c r="N851" s="5"/>
      <c r="O851" s="5"/>
      <c r="P851" s="5"/>
      <c r="Q851" s="5"/>
      <c r="R851" s="5" t="str">
        <f ca="1">IFERROR(__xludf.DUMMYFUNCTION("""COMPUTED_VALUE"""),"România")</f>
        <v>România</v>
      </c>
      <c r="S851" s="5" t="str">
        <f ca="1">IFERROR(__xludf.DUMMYFUNCTION("""COMPUTED_VALUE"""),"Octavian")</f>
        <v>Octavian</v>
      </c>
      <c r="T851" s="7" t="str">
        <f ca="1">IFERROR(__xludf.DUMMYFUNCTION("""COMPUTED_VALUE"""),"http://www.ms.ro/2020/07/30/buletin-informativ-30-07-2020/")</f>
        <v>http://www.ms.ro/2020/07/30/buletin-informativ-30-07-2020/</v>
      </c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ht="12.5">
      <c r="A852" s="5">
        <f ca="1">IFERROR(__xludf.DUMMYFUNCTION("""COMPUTED_VALUE"""),48421)</f>
        <v>48421</v>
      </c>
      <c r="B852" s="5"/>
      <c r="C852" s="5" t="str">
        <f ca="1">IFERROR(__xludf.DUMMYFUNCTION("""COMPUTED_VALUE"""),"Bihor")</f>
        <v>Bihor</v>
      </c>
      <c r="D852" s="13">
        <f ca="1">IFERROR(__xludf.DUMMYFUNCTION("""COMPUTED_VALUE"""),44042)</f>
        <v>44042</v>
      </c>
      <c r="E852" s="5" t="str">
        <f ca="1">IFERROR(__xludf.DUMMYFUNCTION("""COMPUTED_VALUE"""),"Nu")</f>
        <v>Nu</v>
      </c>
      <c r="F852" s="5"/>
      <c r="G852" s="5"/>
      <c r="H852" s="6"/>
      <c r="I852" s="5"/>
      <c r="J852" s="5"/>
      <c r="K852" s="7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852" s="5"/>
      <c r="M852" s="5"/>
      <c r="N852" s="5"/>
      <c r="O852" s="5"/>
      <c r="P852" s="5"/>
      <c r="Q852" s="5"/>
      <c r="R852" s="5" t="str">
        <f ca="1">IFERROR(__xludf.DUMMYFUNCTION("""COMPUTED_VALUE"""),"România")</f>
        <v>România</v>
      </c>
      <c r="S852" s="5" t="str">
        <f ca="1">IFERROR(__xludf.DUMMYFUNCTION("""COMPUTED_VALUE"""),"Octavian")</f>
        <v>Octavian</v>
      </c>
      <c r="T852" s="7" t="str">
        <f ca="1">IFERROR(__xludf.DUMMYFUNCTION("""COMPUTED_VALUE"""),"http://www.ms.ro/2020/07/30/buletin-informativ-30-07-2020/")</f>
        <v>http://www.ms.ro/2020/07/30/buletin-informativ-30-07-2020/</v>
      </c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2.5">
      <c r="A853" s="5">
        <f ca="1">IFERROR(__xludf.DUMMYFUNCTION("""COMPUTED_VALUE"""),48422)</f>
        <v>48422</v>
      </c>
      <c r="B853" s="5"/>
      <c r="C853" s="5" t="str">
        <f ca="1">IFERROR(__xludf.DUMMYFUNCTION("""COMPUTED_VALUE"""),"Bihor")</f>
        <v>Bihor</v>
      </c>
      <c r="D853" s="13">
        <f ca="1">IFERROR(__xludf.DUMMYFUNCTION("""COMPUTED_VALUE"""),44042)</f>
        <v>44042</v>
      </c>
      <c r="E853" s="5" t="str">
        <f ca="1">IFERROR(__xludf.DUMMYFUNCTION("""COMPUTED_VALUE"""),"Nu")</f>
        <v>Nu</v>
      </c>
      <c r="F853" s="5"/>
      <c r="G853" s="5"/>
      <c r="H853" s="6"/>
      <c r="I853" s="5"/>
      <c r="J853" s="5"/>
      <c r="K853" s="7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853" s="5"/>
      <c r="M853" s="5"/>
      <c r="N853" s="5"/>
      <c r="O853" s="5"/>
      <c r="P853" s="5"/>
      <c r="Q853" s="5"/>
      <c r="R853" s="5" t="str">
        <f ca="1">IFERROR(__xludf.DUMMYFUNCTION("""COMPUTED_VALUE"""),"România")</f>
        <v>România</v>
      </c>
      <c r="S853" s="5" t="str">
        <f ca="1">IFERROR(__xludf.DUMMYFUNCTION("""COMPUTED_VALUE"""),"Octavian")</f>
        <v>Octavian</v>
      </c>
      <c r="T853" s="7" t="str">
        <f ca="1">IFERROR(__xludf.DUMMYFUNCTION("""COMPUTED_VALUE"""),"http://www.ms.ro/2020/07/30/buletin-informativ-30-07-2020/")</f>
        <v>http://www.ms.ro/2020/07/30/buletin-informativ-30-07-2020/</v>
      </c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ht="12.5">
      <c r="A854" s="5">
        <f ca="1">IFERROR(__xludf.DUMMYFUNCTION("""COMPUTED_VALUE"""),48423)</f>
        <v>48423</v>
      </c>
      <c r="B854" s="5"/>
      <c r="C854" s="5" t="str">
        <f ca="1">IFERROR(__xludf.DUMMYFUNCTION("""COMPUTED_VALUE"""),"Bihor")</f>
        <v>Bihor</v>
      </c>
      <c r="D854" s="13">
        <f ca="1">IFERROR(__xludf.DUMMYFUNCTION("""COMPUTED_VALUE"""),44042)</f>
        <v>44042</v>
      </c>
      <c r="E854" s="5" t="str">
        <f ca="1">IFERROR(__xludf.DUMMYFUNCTION("""COMPUTED_VALUE"""),"Nu")</f>
        <v>Nu</v>
      </c>
      <c r="F854" s="5"/>
      <c r="G854" s="5"/>
      <c r="H854" s="6"/>
      <c r="I854" s="5"/>
      <c r="J854" s="5"/>
      <c r="K854" s="7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854" s="5"/>
      <c r="M854" s="5"/>
      <c r="N854" s="5"/>
      <c r="O854" s="5"/>
      <c r="P854" s="5"/>
      <c r="Q854" s="5"/>
      <c r="R854" s="5" t="str">
        <f ca="1">IFERROR(__xludf.DUMMYFUNCTION("""COMPUTED_VALUE"""),"România")</f>
        <v>România</v>
      </c>
      <c r="S854" s="5" t="str">
        <f ca="1">IFERROR(__xludf.DUMMYFUNCTION("""COMPUTED_VALUE"""),"Octavian")</f>
        <v>Octavian</v>
      </c>
      <c r="T854" s="7" t="str">
        <f ca="1">IFERROR(__xludf.DUMMYFUNCTION("""COMPUTED_VALUE"""),"http://www.ms.ro/2020/07/30/buletin-informativ-30-07-2020/")</f>
        <v>http://www.ms.ro/2020/07/30/buletin-informativ-30-07-2020/</v>
      </c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2.5">
      <c r="A855" s="5">
        <f ca="1">IFERROR(__xludf.DUMMYFUNCTION("""COMPUTED_VALUE"""),48424)</f>
        <v>48424</v>
      </c>
      <c r="B855" s="5"/>
      <c r="C855" s="5" t="str">
        <f ca="1">IFERROR(__xludf.DUMMYFUNCTION("""COMPUTED_VALUE"""),"Bihor")</f>
        <v>Bihor</v>
      </c>
      <c r="D855" s="13">
        <f ca="1">IFERROR(__xludf.DUMMYFUNCTION("""COMPUTED_VALUE"""),44042)</f>
        <v>44042</v>
      </c>
      <c r="E855" s="5" t="str">
        <f ca="1">IFERROR(__xludf.DUMMYFUNCTION("""COMPUTED_VALUE"""),"Nu")</f>
        <v>Nu</v>
      </c>
      <c r="F855" s="5"/>
      <c r="G855" s="5"/>
      <c r="H855" s="6"/>
      <c r="I855" s="5"/>
      <c r="J855" s="5"/>
      <c r="K855" s="7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855" s="5"/>
      <c r="M855" s="5"/>
      <c r="N855" s="5"/>
      <c r="O855" s="5"/>
      <c r="P855" s="5"/>
      <c r="Q855" s="5"/>
      <c r="R855" s="5" t="str">
        <f ca="1">IFERROR(__xludf.DUMMYFUNCTION("""COMPUTED_VALUE"""),"România")</f>
        <v>România</v>
      </c>
      <c r="S855" s="5" t="str">
        <f ca="1">IFERROR(__xludf.DUMMYFUNCTION("""COMPUTED_VALUE"""),"Octavian")</f>
        <v>Octavian</v>
      </c>
      <c r="T855" s="7" t="str">
        <f ca="1">IFERROR(__xludf.DUMMYFUNCTION("""COMPUTED_VALUE"""),"http://www.ms.ro/2020/07/30/buletin-informativ-30-07-2020/")</f>
        <v>http://www.ms.ro/2020/07/30/buletin-informativ-30-07-2020/</v>
      </c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ht="12.5">
      <c r="A856" s="5">
        <f ca="1">IFERROR(__xludf.DUMMYFUNCTION("""COMPUTED_VALUE"""),48425)</f>
        <v>48425</v>
      </c>
      <c r="B856" s="5"/>
      <c r="C856" s="5" t="str">
        <f ca="1">IFERROR(__xludf.DUMMYFUNCTION("""COMPUTED_VALUE"""),"Bihor")</f>
        <v>Bihor</v>
      </c>
      <c r="D856" s="13">
        <f ca="1">IFERROR(__xludf.DUMMYFUNCTION("""COMPUTED_VALUE"""),44042)</f>
        <v>44042</v>
      </c>
      <c r="E856" s="5" t="str">
        <f ca="1">IFERROR(__xludf.DUMMYFUNCTION("""COMPUTED_VALUE"""),"Nu")</f>
        <v>Nu</v>
      </c>
      <c r="F856" s="5"/>
      <c r="G856" s="5"/>
      <c r="H856" s="6"/>
      <c r="I856" s="5"/>
      <c r="J856" s="5"/>
      <c r="K856" s="7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856" s="5"/>
      <c r="M856" s="5"/>
      <c r="N856" s="5"/>
      <c r="O856" s="5"/>
      <c r="P856" s="5"/>
      <c r="Q856" s="5"/>
      <c r="R856" s="5" t="str">
        <f ca="1">IFERROR(__xludf.DUMMYFUNCTION("""COMPUTED_VALUE"""),"România")</f>
        <v>România</v>
      </c>
      <c r="S856" s="5" t="str">
        <f ca="1">IFERROR(__xludf.DUMMYFUNCTION("""COMPUTED_VALUE"""),"Octavian")</f>
        <v>Octavian</v>
      </c>
      <c r="T856" s="7" t="str">
        <f ca="1">IFERROR(__xludf.DUMMYFUNCTION("""COMPUTED_VALUE"""),"http://www.ms.ro/2020/07/30/buletin-informativ-30-07-2020/")</f>
        <v>http://www.ms.ro/2020/07/30/buletin-informativ-30-07-2020/</v>
      </c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2.5">
      <c r="A857" s="5">
        <f ca="1">IFERROR(__xludf.DUMMYFUNCTION("""COMPUTED_VALUE"""),48426)</f>
        <v>48426</v>
      </c>
      <c r="B857" s="5"/>
      <c r="C857" s="5" t="str">
        <f ca="1">IFERROR(__xludf.DUMMYFUNCTION("""COMPUTED_VALUE"""),"Bihor")</f>
        <v>Bihor</v>
      </c>
      <c r="D857" s="13">
        <f ca="1">IFERROR(__xludf.DUMMYFUNCTION("""COMPUTED_VALUE"""),44042)</f>
        <v>44042</v>
      </c>
      <c r="E857" s="5" t="str">
        <f ca="1">IFERROR(__xludf.DUMMYFUNCTION("""COMPUTED_VALUE"""),"Nu")</f>
        <v>Nu</v>
      </c>
      <c r="F857" s="5"/>
      <c r="G857" s="5"/>
      <c r="H857" s="6"/>
      <c r="I857" s="5"/>
      <c r="J857" s="5"/>
      <c r="K857" s="7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857" s="5"/>
      <c r="M857" s="5"/>
      <c r="N857" s="5"/>
      <c r="O857" s="5"/>
      <c r="P857" s="5"/>
      <c r="Q857" s="5"/>
      <c r="R857" s="5" t="str">
        <f ca="1">IFERROR(__xludf.DUMMYFUNCTION("""COMPUTED_VALUE"""),"România")</f>
        <v>România</v>
      </c>
      <c r="S857" s="5" t="str">
        <f ca="1">IFERROR(__xludf.DUMMYFUNCTION("""COMPUTED_VALUE"""),"Octavian")</f>
        <v>Octavian</v>
      </c>
      <c r="T857" s="7" t="str">
        <f ca="1">IFERROR(__xludf.DUMMYFUNCTION("""COMPUTED_VALUE"""),"http://www.ms.ro/2020/07/30/buletin-informativ-30-07-2020/")</f>
        <v>http://www.ms.ro/2020/07/30/buletin-informativ-30-07-2020/</v>
      </c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ht="12.5">
      <c r="A858" s="5">
        <f ca="1">IFERROR(__xludf.DUMMYFUNCTION("""COMPUTED_VALUE"""),48427)</f>
        <v>48427</v>
      </c>
      <c r="B858" s="5"/>
      <c r="C858" s="5" t="str">
        <f ca="1">IFERROR(__xludf.DUMMYFUNCTION("""COMPUTED_VALUE"""),"Bihor")</f>
        <v>Bihor</v>
      </c>
      <c r="D858" s="13">
        <f ca="1">IFERROR(__xludf.DUMMYFUNCTION("""COMPUTED_VALUE"""),44042)</f>
        <v>44042</v>
      </c>
      <c r="E858" s="5" t="str">
        <f ca="1">IFERROR(__xludf.DUMMYFUNCTION("""COMPUTED_VALUE"""),"Nu")</f>
        <v>Nu</v>
      </c>
      <c r="F858" s="5"/>
      <c r="G858" s="5"/>
      <c r="H858" s="6"/>
      <c r="I858" s="5"/>
      <c r="J858" s="5"/>
      <c r="K858" s="7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858" s="5"/>
      <c r="M858" s="5"/>
      <c r="N858" s="5"/>
      <c r="O858" s="5"/>
      <c r="P858" s="5"/>
      <c r="Q858" s="5"/>
      <c r="R858" s="5" t="str">
        <f ca="1">IFERROR(__xludf.DUMMYFUNCTION("""COMPUTED_VALUE"""),"România")</f>
        <v>România</v>
      </c>
      <c r="S858" s="5" t="str">
        <f ca="1">IFERROR(__xludf.DUMMYFUNCTION("""COMPUTED_VALUE"""),"Octavian")</f>
        <v>Octavian</v>
      </c>
      <c r="T858" s="7" t="str">
        <f ca="1">IFERROR(__xludf.DUMMYFUNCTION("""COMPUTED_VALUE"""),"http://www.ms.ro/2020/07/30/buletin-informativ-30-07-2020/")</f>
        <v>http://www.ms.ro/2020/07/30/buletin-informativ-30-07-2020/</v>
      </c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2.5">
      <c r="A859" s="5">
        <f ca="1">IFERROR(__xludf.DUMMYFUNCTION("""COMPUTED_VALUE"""),48428)</f>
        <v>48428</v>
      </c>
      <c r="B859" s="5"/>
      <c r="C859" s="5" t="str">
        <f ca="1">IFERROR(__xludf.DUMMYFUNCTION("""COMPUTED_VALUE"""),"Bihor")</f>
        <v>Bihor</v>
      </c>
      <c r="D859" s="13">
        <f ca="1">IFERROR(__xludf.DUMMYFUNCTION("""COMPUTED_VALUE"""),44042)</f>
        <v>44042</v>
      </c>
      <c r="E859" s="5" t="str">
        <f ca="1">IFERROR(__xludf.DUMMYFUNCTION("""COMPUTED_VALUE"""),"Nu")</f>
        <v>Nu</v>
      </c>
      <c r="F859" s="5"/>
      <c r="G859" s="5"/>
      <c r="H859" s="6"/>
      <c r="I859" s="5"/>
      <c r="J859" s="5"/>
      <c r="K859" s="7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859" s="5"/>
      <c r="M859" s="5"/>
      <c r="N859" s="5"/>
      <c r="O859" s="5"/>
      <c r="P859" s="5"/>
      <c r="Q859" s="5"/>
      <c r="R859" s="5" t="str">
        <f ca="1">IFERROR(__xludf.DUMMYFUNCTION("""COMPUTED_VALUE"""),"România")</f>
        <v>România</v>
      </c>
      <c r="S859" s="5" t="str">
        <f ca="1">IFERROR(__xludf.DUMMYFUNCTION("""COMPUTED_VALUE"""),"Octavian")</f>
        <v>Octavian</v>
      </c>
      <c r="T859" s="7" t="str">
        <f ca="1">IFERROR(__xludf.DUMMYFUNCTION("""COMPUTED_VALUE"""),"http://www.ms.ro/2020/07/30/buletin-informativ-30-07-2020/")</f>
        <v>http://www.ms.ro/2020/07/30/buletin-informativ-30-07-2020/</v>
      </c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ht="12.5">
      <c r="A860" s="5">
        <f ca="1">IFERROR(__xludf.DUMMYFUNCTION("""COMPUTED_VALUE"""),48429)</f>
        <v>48429</v>
      </c>
      <c r="B860" s="5"/>
      <c r="C860" s="5" t="str">
        <f ca="1">IFERROR(__xludf.DUMMYFUNCTION("""COMPUTED_VALUE"""),"Bihor")</f>
        <v>Bihor</v>
      </c>
      <c r="D860" s="13">
        <f ca="1">IFERROR(__xludf.DUMMYFUNCTION("""COMPUTED_VALUE"""),44042)</f>
        <v>44042</v>
      </c>
      <c r="E860" s="5" t="str">
        <f ca="1">IFERROR(__xludf.DUMMYFUNCTION("""COMPUTED_VALUE"""),"Nu")</f>
        <v>Nu</v>
      </c>
      <c r="F860" s="5"/>
      <c r="G860" s="5"/>
      <c r="H860" s="6"/>
      <c r="I860" s="5"/>
      <c r="J860" s="5"/>
      <c r="K860" s="7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860" s="5"/>
      <c r="M860" s="5"/>
      <c r="N860" s="5"/>
      <c r="O860" s="5"/>
      <c r="P860" s="5"/>
      <c r="Q860" s="5"/>
      <c r="R860" s="5" t="str">
        <f ca="1">IFERROR(__xludf.DUMMYFUNCTION("""COMPUTED_VALUE"""),"România")</f>
        <v>România</v>
      </c>
      <c r="S860" s="5" t="str">
        <f ca="1">IFERROR(__xludf.DUMMYFUNCTION("""COMPUTED_VALUE"""),"Octavian")</f>
        <v>Octavian</v>
      </c>
      <c r="T860" s="7" t="str">
        <f ca="1">IFERROR(__xludf.DUMMYFUNCTION("""COMPUTED_VALUE"""),"http://www.ms.ro/2020/07/30/buletin-informativ-30-07-2020/")</f>
        <v>http://www.ms.ro/2020/07/30/buletin-informativ-30-07-2020/</v>
      </c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2.5">
      <c r="A861" s="5">
        <f ca="1">IFERROR(__xludf.DUMMYFUNCTION("""COMPUTED_VALUE"""),48430)</f>
        <v>48430</v>
      </c>
      <c r="B861" s="5"/>
      <c r="C861" s="5" t="str">
        <f ca="1">IFERROR(__xludf.DUMMYFUNCTION("""COMPUTED_VALUE"""),"Bihor")</f>
        <v>Bihor</v>
      </c>
      <c r="D861" s="13">
        <f ca="1">IFERROR(__xludf.DUMMYFUNCTION("""COMPUTED_VALUE"""),44042)</f>
        <v>44042</v>
      </c>
      <c r="E861" s="5" t="str">
        <f ca="1">IFERROR(__xludf.DUMMYFUNCTION("""COMPUTED_VALUE"""),"Nu")</f>
        <v>Nu</v>
      </c>
      <c r="F861" s="5"/>
      <c r="G861" s="5"/>
      <c r="H861" s="6"/>
      <c r="I861" s="5"/>
      <c r="J861" s="5"/>
      <c r="K861" s="7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861" s="5"/>
      <c r="M861" s="5"/>
      <c r="N861" s="5"/>
      <c r="O861" s="5"/>
      <c r="P861" s="5"/>
      <c r="Q861" s="5"/>
      <c r="R861" s="5" t="str">
        <f ca="1">IFERROR(__xludf.DUMMYFUNCTION("""COMPUTED_VALUE"""),"România")</f>
        <v>România</v>
      </c>
      <c r="S861" s="5" t="str">
        <f ca="1">IFERROR(__xludf.DUMMYFUNCTION("""COMPUTED_VALUE"""),"Octavian")</f>
        <v>Octavian</v>
      </c>
      <c r="T861" s="7" t="str">
        <f ca="1">IFERROR(__xludf.DUMMYFUNCTION("""COMPUTED_VALUE"""),"http://www.ms.ro/2020/07/30/buletin-informativ-30-07-2020/")</f>
        <v>http://www.ms.ro/2020/07/30/buletin-informativ-30-07-2020/</v>
      </c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ht="12.5">
      <c r="A862" s="5">
        <f ca="1">IFERROR(__xludf.DUMMYFUNCTION("""COMPUTED_VALUE"""),48431)</f>
        <v>48431</v>
      </c>
      <c r="B862" s="5"/>
      <c r="C862" s="5" t="str">
        <f ca="1">IFERROR(__xludf.DUMMYFUNCTION("""COMPUTED_VALUE"""),"Bihor")</f>
        <v>Bihor</v>
      </c>
      <c r="D862" s="13">
        <f ca="1">IFERROR(__xludf.DUMMYFUNCTION("""COMPUTED_VALUE"""),44042)</f>
        <v>44042</v>
      </c>
      <c r="E862" s="5" t="str">
        <f ca="1">IFERROR(__xludf.DUMMYFUNCTION("""COMPUTED_VALUE"""),"Nu")</f>
        <v>Nu</v>
      </c>
      <c r="F862" s="5"/>
      <c r="G862" s="5"/>
      <c r="H862" s="6"/>
      <c r="I862" s="5"/>
      <c r="J862" s="5"/>
      <c r="K862" s="7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862" s="5"/>
      <c r="M862" s="5"/>
      <c r="N862" s="5"/>
      <c r="O862" s="5"/>
      <c r="P862" s="5"/>
      <c r="Q862" s="5"/>
      <c r="R862" s="5" t="str">
        <f ca="1">IFERROR(__xludf.DUMMYFUNCTION("""COMPUTED_VALUE"""),"România")</f>
        <v>România</v>
      </c>
      <c r="S862" s="5" t="str">
        <f ca="1">IFERROR(__xludf.DUMMYFUNCTION("""COMPUTED_VALUE"""),"Octavian")</f>
        <v>Octavian</v>
      </c>
      <c r="T862" s="7" t="str">
        <f ca="1">IFERROR(__xludf.DUMMYFUNCTION("""COMPUTED_VALUE"""),"http://www.ms.ro/2020/07/30/buletin-informativ-30-07-2020/")</f>
        <v>http://www.ms.ro/2020/07/30/buletin-informativ-30-07-2020/</v>
      </c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2.5">
      <c r="A863" s="5">
        <f ca="1">IFERROR(__xludf.DUMMYFUNCTION("""COMPUTED_VALUE"""),48432)</f>
        <v>48432</v>
      </c>
      <c r="B863" s="5"/>
      <c r="C863" s="5" t="str">
        <f ca="1">IFERROR(__xludf.DUMMYFUNCTION("""COMPUTED_VALUE"""),"Bihor")</f>
        <v>Bihor</v>
      </c>
      <c r="D863" s="13">
        <f ca="1">IFERROR(__xludf.DUMMYFUNCTION("""COMPUTED_VALUE"""),44042)</f>
        <v>44042</v>
      </c>
      <c r="E863" s="5" t="str">
        <f ca="1">IFERROR(__xludf.DUMMYFUNCTION("""COMPUTED_VALUE"""),"Nu")</f>
        <v>Nu</v>
      </c>
      <c r="F863" s="5"/>
      <c r="G863" s="5"/>
      <c r="H863" s="6"/>
      <c r="I863" s="5"/>
      <c r="J863" s="5"/>
      <c r="K863" s="7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863" s="5"/>
      <c r="M863" s="5"/>
      <c r="N863" s="5"/>
      <c r="O863" s="5"/>
      <c r="P863" s="5"/>
      <c r="Q863" s="5"/>
      <c r="R863" s="5" t="str">
        <f ca="1">IFERROR(__xludf.DUMMYFUNCTION("""COMPUTED_VALUE"""),"România")</f>
        <v>România</v>
      </c>
      <c r="S863" s="5" t="str">
        <f ca="1">IFERROR(__xludf.DUMMYFUNCTION("""COMPUTED_VALUE"""),"Octavian")</f>
        <v>Octavian</v>
      </c>
      <c r="T863" s="7" t="str">
        <f ca="1">IFERROR(__xludf.DUMMYFUNCTION("""COMPUTED_VALUE"""),"http://www.ms.ro/2020/07/30/buletin-informativ-30-07-2020/")</f>
        <v>http://www.ms.ro/2020/07/30/buletin-informativ-30-07-2020/</v>
      </c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ht="12.5">
      <c r="A864" s="5">
        <f ca="1">IFERROR(__xludf.DUMMYFUNCTION("""COMPUTED_VALUE"""),48433)</f>
        <v>48433</v>
      </c>
      <c r="B864" s="5"/>
      <c r="C864" s="5" t="str">
        <f ca="1">IFERROR(__xludf.DUMMYFUNCTION("""COMPUTED_VALUE"""),"Bihor")</f>
        <v>Bihor</v>
      </c>
      <c r="D864" s="13">
        <f ca="1">IFERROR(__xludf.DUMMYFUNCTION("""COMPUTED_VALUE"""),44042)</f>
        <v>44042</v>
      </c>
      <c r="E864" s="5" t="str">
        <f ca="1">IFERROR(__xludf.DUMMYFUNCTION("""COMPUTED_VALUE"""),"Nu")</f>
        <v>Nu</v>
      </c>
      <c r="F864" s="5"/>
      <c r="G864" s="5"/>
      <c r="H864" s="6"/>
      <c r="I864" s="5"/>
      <c r="J864" s="5"/>
      <c r="K864" s="7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864" s="5"/>
      <c r="M864" s="5"/>
      <c r="N864" s="5"/>
      <c r="O864" s="5"/>
      <c r="P864" s="5"/>
      <c r="Q864" s="5"/>
      <c r="R864" s="5" t="str">
        <f ca="1">IFERROR(__xludf.DUMMYFUNCTION("""COMPUTED_VALUE"""),"România")</f>
        <v>România</v>
      </c>
      <c r="S864" s="5" t="str">
        <f ca="1">IFERROR(__xludf.DUMMYFUNCTION("""COMPUTED_VALUE"""),"Octavian")</f>
        <v>Octavian</v>
      </c>
      <c r="T864" s="7" t="str">
        <f ca="1">IFERROR(__xludf.DUMMYFUNCTION("""COMPUTED_VALUE"""),"http://www.ms.ro/2020/07/30/buletin-informativ-30-07-2020/")</f>
        <v>http://www.ms.ro/2020/07/30/buletin-informativ-30-07-2020/</v>
      </c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2.5">
      <c r="A865" s="5">
        <f ca="1">IFERROR(__xludf.DUMMYFUNCTION("""COMPUTED_VALUE"""),48434)</f>
        <v>48434</v>
      </c>
      <c r="B865" s="5"/>
      <c r="C865" s="5" t="str">
        <f ca="1">IFERROR(__xludf.DUMMYFUNCTION("""COMPUTED_VALUE"""),"Bihor")</f>
        <v>Bihor</v>
      </c>
      <c r="D865" s="13">
        <f ca="1">IFERROR(__xludf.DUMMYFUNCTION("""COMPUTED_VALUE"""),44042)</f>
        <v>44042</v>
      </c>
      <c r="E865" s="5" t="str">
        <f ca="1">IFERROR(__xludf.DUMMYFUNCTION("""COMPUTED_VALUE"""),"Nu")</f>
        <v>Nu</v>
      </c>
      <c r="F865" s="5"/>
      <c r="G865" s="5"/>
      <c r="H865" s="6"/>
      <c r="I865" s="5"/>
      <c r="J865" s="5"/>
      <c r="K865" s="7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865" s="5"/>
      <c r="M865" s="5"/>
      <c r="N865" s="5"/>
      <c r="O865" s="5"/>
      <c r="P865" s="5"/>
      <c r="Q865" s="5"/>
      <c r="R865" s="5" t="str">
        <f ca="1">IFERROR(__xludf.DUMMYFUNCTION("""COMPUTED_VALUE"""),"România")</f>
        <v>România</v>
      </c>
      <c r="S865" s="5" t="str">
        <f ca="1">IFERROR(__xludf.DUMMYFUNCTION("""COMPUTED_VALUE"""),"Octavian")</f>
        <v>Octavian</v>
      </c>
      <c r="T865" s="7" t="str">
        <f ca="1">IFERROR(__xludf.DUMMYFUNCTION("""COMPUTED_VALUE"""),"http://www.ms.ro/2020/07/30/buletin-informativ-30-07-2020/")</f>
        <v>http://www.ms.ro/2020/07/30/buletin-informativ-30-07-2020/</v>
      </c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ht="12.5">
      <c r="A866" s="5">
        <f ca="1">IFERROR(__xludf.DUMMYFUNCTION("""COMPUTED_VALUE"""),48435)</f>
        <v>48435</v>
      </c>
      <c r="B866" s="5"/>
      <c r="C866" s="5" t="str">
        <f ca="1">IFERROR(__xludf.DUMMYFUNCTION("""COMPUTED_VALUE"""),"Bihor")</f>
        <v>Bihor</v>
      </c>
      <c r="D866" s="13">
        <f ca="1">IFERROR(__xludf.DUMMYFUNCTION("""COMPUTED_VALUE"""),44042)</f>
        <v>44042</v>
      </c>
      <c r="E866" s="5" t="str">
        <f ca="1">IFERROR(__xludf.DUMMYFUNCTION("""COMPUTED_VALUE"""),"Nu")</f>
        <v>Nu</v>
      </c>
      <c r="F866" s="5"/>
      <c r="G866" s="5"/>
      <c r="H866" s="6"/>
      <c r="I866" s="5"/>
      <c r="J866" s="5"/>
      <c r="K866" s="7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866" s="5"/>
      <c r="M866" s="5"/>
      <c r="N866" s="5"/>
      <c r="O866" s="5"/>
      <c r="P866" s="5"/>
      <c r="Q866" s="5"/>
      <c r="R866" s="5" t="str">
        <f ca="1">IFERROR(__xludf.DUMMYFUNCTION("""COMPUTED_VALUE"""),"România")</f>
        <v>România</v>
      </c>
      <c r="S866" s="5" t="str">
        <f ca="1">IFERROR(__xludf.DUMMYFUNCTION("""COMPUTED_VALUE"""),"Octavian")</f>
        <v>Octavian</v>
      </c>
      <c r="T866" s="7" t="str">
        <f ca="1">IFERROR(__xludf.DUMMYFUNCTION("""COMPUTED_VALUE"""),"http://www.ms.ro/2020/07/30/buletin-informativ-30-07-2020/")</f>
        <v>http://www.ms.ro/2020/07/30/buletin-informativ-30-07-2020/</v>
      </c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2.5">
      <c r="A867" s="5">
        <f ca="1">IFERROR(__xludf.DUMMYFUNCTION("""COMPUTED_VALUE"""),48436)</f>
        <v>48436</v>
      </c>
      <c r="B867" s="5"/>
      <c r="C867" s="5" t="str">
        <f ca="1">IFERROR(__xludf.DUMMYFUNCTION("""COMPUTED_VALUE"""),"Bihor")</f>
        <v>Bihor</v>
      </c>
      <c r="D867" s="13">
        <f ca="1">IFERROR(__xludf.DUMMYFUNCTION("""COMPUTED_VALUE"""),44042)</f>
        <v>44042</v>
      </c>
      <c r="E867" s="5" t="str">
        <f ca="1">IFERROR(__xludf.DUMMYFUNCTION("""COMPUTED_VALUE"""),"Nu")</f>
        <v>Nu</v>
      </c>
      <c r="F867" s="5"/>
      <c r="G867" s="5"/>
      <c r="H867" s="6"/>
      <c r="I867" s="5"/>
      <c r="J867" s="5"/>
      <c r="K867" s="7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867" s="5"/>
      <c r="M867" s="5"/>
      <c r="N867" s="5"/>
      <c r="O867" s="5"/>
      <c r="P867" s="5"/>
      <c r="Q867" s="5"/>
      <c r="R867" s="5" t="str">
        <f ca="1">IFERROR(__xludf.DUMMYFUNCTION("""COMPUTED_VALUE"""),"România")</f>
        <v>România</v>
      </c>
      <c r="S867" s="5" t="str">
        <f ca="1">IFERROR(__xludf.DUMMYFUNCTION("""COMPUTED_VALUE"""),"Octavian")</f>
        <v>Octavian</v>
      </c>
      <c r="T867" s="7" t="str">
        <f ca="1">IFERROR(__xludf.DUMMYFUNCTION("""COMPUTED_VALUE"""),"http://www.ms.ro/2020/07/30/buletin-informativ-30-07-2020/")</f>
        <v>http://www.ms.ro/2020/07/30/buletin-informativ-30-07-2020/</v>
      </c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ht="12.5">
      <c r="A868" s="5">
        <f ca="1">IFERROR(__xludf.DUMMYFUNCTION("""COMPUTED_VALUE"""),48437)</f>
        <v>48437</v>
      </c>
      <c r="B868" s="5"/>
      <c r="C868" s="5" t="str">
        <f ca="1">IFERROR(__xludf.DUMMYFUNCTION("""COMPUTED_VALUE"""),"Bihor")</f>
        <v>Bihor</v>
      </c>
      <c r="D868" s="13">
        <f ca="1">IFERROR(__xludf.DUMMYFUNCTION("""COMPUTED_VALUE"""),44042)</f>
        <v>44042</v>
      </c>
      <c r="E868" s="5" t="str">
        <f ca="1">IFERROR(__xludf.DUMMYFUNCTION("""COMPUTED_VALUE"""),"Nu")</f>
        <v>Nu</v>
      </c>
      <c r="F868" s="5"/>
      <c r="G868" s="5"/>
      <c r="H868" s="6"/>
      <c r="I868" s="5"/>
      <c r="J868" s="5"/>
      <c r="K868" s="7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868" s="5"/>
      <c r="M868" s="5"/>
      <c r="N868" s="5"/>
      <c r="O868" s="5"/>
      <c r="P868" s="5"/>
      <c r="Q868" s="5"/>
      <c r="R868" s="5" t="str">
        <f ca="1">IFERROR(__xludf.DUMMYFUNCTION("""COMPUTED_VALUE"""),"România")</f>
        <v>România</v>
      </c>
      <c r="S868" s="5" t="str">
        <f ca="1">IFERROR(__xludf.DUMMYFUNCTION("""COMPUTED_VALUE"""),"Octavian")</f>
        <v>Octavian</v>
      </c>
      <c r="T868" s="7" t="str">
        <f ca="1">IFERROR(__xludf.DUMMYFUNCTION("""COMPUTED_VALUE"""),"http://www.ms.ro/2020/07/30/buletin-informativ-30-07-2020/")</f>
        <v>http://www.ms.ro/2020/07/30/buletin-informativ-30-07-2020/</v>
      </c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2.5">
      <c r="A869" s="5">
        <f ca="1">IFERROR(__xludf.DUMMYFUNCTION("""COMPUTED_VALUE"""),48438)</f>
        <v>48438</v>
      </c>
      <c r="B869" s="5"/>
      <c r="C869" s="5" t="str">
        <f ca="1">IFERROR(__xludf.DUMMYFUNCTION("""COMPUTED_VALUE"""),"Bihor")</f>
        <v>Bihor</v>
      </c>
      <c r="D869" s="13">
        <f ca="1">IFERROR(__xludf.DUMMYFUNCTION("""COMPUTED_VALUE"""),44042)</f>
        <v>44042</v>
      </c>
      <c r="E869" s="5" t="str">
        <f ca="1">IFERROR(__xludf.DUMMYFUNCTION("""COMPUTED_VALUE"""),"Nu")</f>
        <v>Nu</v>
      </c>
      <c r="F869" s="5"/>
      <c r="G869" s="5"/>
      <c r="H869" s="6"/>
      <c r="I869" s="5"/>
      <c r="J869" s="5"/>
      <c r="K869" s="7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869" s="5"/>
      <c r="M869" s="5"/>
      <c r="N869" s="5"/>
      <c r="O869" s="5"/>
      <c r="P869" s="5"/>
      <c r="Q869" s="5"/>
      <c r="R869" s="5" t="str">
        <f ca="1">IFERROR(__xludf.DUMMYFUNCTION("""COMPUTED_VALUE"""),"România")</f>
        <v>România</v>
      </c>
      <c r="S869" s="5" t="str">
        <f ca="1">IFERROR(__xludf.DUMMYFUNCTION("""COMPUTED_VALUE"""),"Octavian")</f>
        <v>Octavian</v>
      </c>
      <c r="T869" s="7" t="str">
        <f ca="1">IFERROR(__xludf.DUMMYFUNCTION("""COMPUTED_VALUE"""),"http://www.ms.ro/2020/07/30/buletin-informativ-30-07-2020/")</f>
        <v>http://www.ms.ro/2020/07/30/buletin-informativ-30-07-2020/</v>
      </c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ht="12.5">
      <c r="A870" s="5">
        <f ca="1">IFERROR(__xludf.DUMMYFUNCTION("""COMPUTED_VALUE"""),48439)</f>
        <v>48439</v>
      </c>
      <c r="B870" s="5"/>
      <c r="C870" s="5" t="str">
        <f ca="1">IFERROR(__xludf.DUMMYFUNCTION("""COMPUTED_VALUE"""),"Bihor")</f>
        <v>Bihor</v>
      </c>
      <c r="D870" s="13">
        <f ca="1">IFERROR(__xludf.DUMMYFUNCTION("""COMPUTED_VALUE"""),44042)</f>
        <v>44042</v>
      </c>
      <c r="E870" s="5" t="str">
        <f ca="1">IFERROR(__xludf.DUMMYFUNCTION("""COMPUTED_VALUE"""),"Nu")</f>
        <v>Nu</v>
      </c>
      <c r="F870" s="5"/>
      <c r="G870" s="5"/>
      <c r="H870" s="6"/>
      <c r="I870" s="5"/>
      <c r="J870" s="5"/>
      <c r="K870" s="7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870" s="5"/>
      <c r="M870" s="5"/>
      <c r="N870" s="5"/>
      <c r="O870" s="5"/>
      <c r="P870" s="5"/>
      <c r="Q870" s="5"/>
      <c r="R870" s="5" t="str">
        <f ca="1">IFERROR(__xludf.DUMMYFUNCTION("""COMPUTED_VALUE"""),"România")</f>
        <v>România</v>
      </c>
      <c r="S870" s="5" t="str">
        <f ca="1">IFERROR(__xludf.DUMMYFUNCTION("""COMPUTED_VALUE"""),"Octavian")</f>
        <v>Octavian</v>
      </c>
      <c r="T870" s="7" t="str">
        <f ca="1">IFERROR(__xludf.DUMMYFUNCTION("""COMPUTED_VALUE"""),"http://www.ms.ro/2020/07/30/buletin-informativ-30-07-2020/")</f>
        <v>http://www.ms.ro/2020/07/30/buletin-informativ-30-07-2020/</v>
      </c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2.5">
      <c r="A871" s="5">
        <f ca="1">IFERROR(__xludf.DUMMYFUNCTION("""COMPUTED_VALUE"""),48440)</f>
        <v>48440</v>
      </c>
      <c r="B871" s="5"/>
      <c r="C871" s="5" t="str">
        <f ca="1">IFERROR(__xludf.DUMMYFUNCTION("""COMPUTED_VALUE"""),"Bihor")</f>
        <v>Bihor</v>
      </c>
      <c r="D871" s="13">
        <f ca="1">IFERROR(__xludf.DUMMYFUNCTION("""COMPUTED_VALUE"""),44042)</f>
        <v>44042</v>
      </c>
      <c r="E871" s="5" t="str">
        <f ca="1">IFERROR(__xludf.DUMMYFUNCTION("""COMPUTED_VALUE"""),"Nu")</f>
        <v>Nu</v>
      </c>
      <c r="F871" s="5"/>
      <c r="G871" s="5"/>
      <c r="H871" s="6"/>
      <c r="I871" s="5"/>
      <c r="J871" s="5"/>
      <c r="K871" s="7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871" s="5"/>
      <c r="M871" s="5"/>
      <c r="N871" s="5"/>
      <c r="O871" s="5"/>
      <c r="P871" s="5"/>
      <c r="Q871" s="5"/>
      <c r="R871" s="5" t="str">
        <f ca="1">IFERROR(__xludf.DUMMYFUNCTION("""COMPUTED_VALUE"""),"România")</f>
        <v>România</v>
      </c>
      <c r="S871" s="5" t="str">
        <f ca="1">IFERROR(__xludf.DUMMYFUNCTION("""COMPUTED_VALUE"""),"Octavian")</f>
        <v>Octavian</v>
      </c>
      <c r="T871" s="7" t="str">
        <f ca="1">IFERROR(__xludf.DUMMYFUNCTION("""COMPUTED_VALUE"""),"http://www.ms.ro/2020/07/30/buletin-informativ-30-07-2020/")</f>
        <v>http://www.ms.ro/2020/07/30/buletin-informativ-30-07-2020/</v>
      </c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ht="12.5">
      <c r="A872" s="5">
        <f ca="1">IFERROR(__xludf.DUMMYFUNCTION("""COMPUTED_VALUE"""),48441)</f>
        <v>48441</v>
      </c>
      <c r="B872" s="5"/>
      <c r="C872" s="5" t="str">
        <f ca="1">IFERROR(__xludf.DUMMYFUNCTION("""COMPUTED_VALUE"""),"Bihor")</f>
        <v>Bihor</v>
      </c>
      <c r="D872" s="13">
        <f ca="1">IFERROR(__xludf.DUMMYFUNCTION("""COMPUTED_VALUE"""),44042)</f>
        <v>44042</v>
      </c>
      <c r="E872" s="5" t="str">
        <f ca="1">IFERROR(__xludf.DUMMYFUNCTION("""COMPUTED_VALUE"""),"Nu")</f>
        <v>Nu</v>
      </c>
      <c r="F872" s="5"/>
      <c r="G872" s="5"/>
      <c r="H872" s="6"/>
      <c r="I872" s="5"/>
      <c r="J872" s="5"/>
      <c r="K872" s="7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872" s="5"/>
      <c r="M872" s="5"/>
      <c r="N872" s="5"/>
      <c r="O872" s="5"/>
      <c r="P872" s="5"/>
      <c r="Q872" s="5"/>
      <c r="R872" s="5" t="str">
        <f ca="1">IFERROR(__xludf.DUMMYFUNCTION("""COMPUTED_VALUE"""),"România")</f>
        <v>România</v>
      </c>
      <c r="S872" s="5" t="str">
        <f ca="1">IFERROR(__xludf.DUMMYFUNCTION("""COMPUTED_VALUE"""),"Octavian")</f>
        <v>Octavian</v>
      </c>
      <c r="T872" s="7" t="str">
        <f ca="1">IFERROR(__xludf.DUMMYFUNCTION("""COMPUTED_VALUE"""),"http://www.ms.ro/2020/07/30/buletin-informativ-30-07-2020/")</f>
        <v>http://www.ms.ro/2020/07/30/buletin-informativ-30-07-2020/</v>
      </c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2.5">
      <c r="A873" s="5">
        <f ca="1">IFERROR(__xludf.DUMMYFUNCTION("""COMPUTED_VALUE"""),48442)</f>
        <v>48442</v>
      </c>
      <c r="B873" s="5"/>
      <c r="C873" s="5" t="str">
        <f ca="1">IFERROR(__xludf.DUMMYFUNCTION("""COMPUTED_VALUE"""),"Bihor")</f>
        <v>Bihor</v>
      </c>
      <c r="D873" s="13">
        <f ca="1">IFERROR(__xludf.DUMMYFUNCTION("""COMPUTED_VALUE"""),44042)</f>
        <v>44042</v>
      </c>
      <c r="E873" s="5" t="str">
        <f ca="1">IFERROR(__xludf.DUMMYFUNCTION("""COMPUTED_VALUE"""),"Nu")</f>
        <v>Nu</v>
      </c>
      <c r="F873" s="5"/>
      <c r="G873" s="5"/>
      <c r="H873" s="6"/>
      <c r="I873" s="5"/>
      <c r="J873" s="5"/>
      <c r="K873" s="7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873" s="5"/>
      <c r="M873" s="5"/>
      <c r="N873" s="5"/>
      <c r="O873" s="5"/>
      <c r="P873" s="5"/>
      <c r="Q873" s="5"/>
      <c r="R873" s="5" t="str">
        <f ca="1">IFERROR(__xludf.DUMMYFUNCTION("""COMPUTED_VALUE"""),"România")</f>
        <v>România</v>
      </c>
      <c r="S873" s="5" t="str">
        <f ca="1">IFERROR(__xludf.DUMMYFUNCTION("""COMPUTED_VALUE"""),"Octavian")</f>
        <v>Octavian</v>
      </c>
      <c r="T873" s="7" t="str">
        <f ca="1">IFERROR(__xludf.DUMMYFUNCTION("""COMPUTED_VALUE"""),"http://www.ms.ro/2020/07/30/buletin-informativ-30-07-2020/")</f>
        <v>http://www.ms.ro/2020/07/30/buletin-informativ-30-07-2020/</v>
      </c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ht="12.5">
      <c r="A874" s="5">
        <f ca="1">IFERROR(__xludf.DUMMYFUNCTION("""COMPUTED_VALUE"""),48443)</f>
        <v>48443</v>
      </c>
      <c r="B874" s="5"/>
      <c r="C874" s="5" t="str">
        <f ca="1">IFERROR(__xludf.DUMMYFUNCTION("""COMPUTED_VALUE"""),"Bihor")</f>
        <v>Bihor</v>
      </c>
      <c r="D874" s="13">
        <f ca="1">IFERROR(__xludf.DUMMYFUNCTION("""COMPUTED_VALUE"""),44042)</f>
        <v>44042</v>
      </c>
      <c r="E874" s="5" t="str">
        <f ca="1">IFERROR(__xludf.DUMMYFUNCTION("""COMPUTED_VALUE"""),"Nu")</f>
        <v>Nu</v>
      </c>
      <c r="F874" s="5"/>
      <c r="G874" s="5"/>
      <c r="H874" s="6"/>
      <c r="I874" s="5"/>
      <c r="J874" s="5"/>
      <c r="K874" s="7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874" s="5"/>
      <c r="M874" s="5"/>
      <c r="N874" s="5"/>
      <c r="O874" s="5"/>
      <c r="P874" s="5"/>
      <c r="Q874" s="5"/>
      <c r="R874" s="5" t="str">
        <f ca="1">IFERROR(__xludf.DUMMYFUNCTION("""COMPUTED_VALUE"""),"România")</f>
        <v>România</v>
      </c>
      <c r="S874" s="5" t="str">
        <f ca="1">IFERROR(__xludf.DUMMYFUNCTION("""COMPUTED_VALUE"""),"Octavian")</f>
        <v>Octavian</v>
      </c>
      <c r="T874" s="7" t="str">
        <f ca="1">IFERROR(__xludf.DUMMYFUNCTION("""COMPUTED_VALUE"""),"http://www.ms.ro/2020/07/30/buletin-informativ-30-07-2020/")</f>
        <v>http://www.ms.ro/2020/07/30/buletin-informativ-30-07-2020/</v>
      </c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2.5">
      <c r="A875" s="5">
        <f ca="1">IFERROR(__xludf.DUMMYFUNCTION("""COMPUTED_VALUE"""),48444)</f>
        <v>48444</v>
      </c>
      <c r="B875" s="5"/>
      <c r="C875" s="5" t="str">
        <f ca="1">IFERROR(__xludf.DUMMYFUNCTION("""COMPUTED_VALUE"""),"Bihor")</f>
        <v>Bihor</v>
      </c>
      <c r="D875" s="13">
        <f ca="1">IFERROR(__xludf.DUMMYFUNCTION("""COMPUTED_VALUE"""),44042)</f>
        <v>44042</v>
      </c>
      <c r="E875" s="5" t="str">
        <f ca="1">IFERROR(__xludf.DUMMYFUNCTION("""COMPUTED_VALUE"""),"Nu")</f>
        <v>Nu</v>
      </c>
      <c r="F875" s="5"/>
      <c r="G875" s="5"/>
      <c r="H875" s="6"/>
      <c r="I875" s="5"/>
      <c r="J875" s="5"/>
      <c r="K875" s="7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875" s="5"/>
      <c r="M875" s="5"/>
      <c r="N875" s="5"/>
      <c r="O875" s="5"/>
      <c r="P875" s="5"/>
      <c r="Q875" s="5"/>
      <c r="R875" s="5" t="str">
        <f ca="1">IFERROR(__xludf.DUMMYFUNCTION("""COMPUTED_VALUE"""),"România")</f>
        <v>România</v>
      </c>
      <c r="S875" s="5" t="str">
        <f ca="1">IFERROR(__xludf.DUMMYFUNCTION("""COMPUTED_VALUE"""),"Octavian")</f>
        <v>Octavian</v>
      </c>
      <c r="T875" s="7" t="str">
        <f ca="1">IFERROR(__xludf.DUMMYFUNCTION("""COMPUTED_VALUE"""),"http://www.ms.ro/2020/07/30/buletin-informativ-30-07-2020/")</f>
        <v>http://www.ms.ro/2020/07/30/buletin-informativ-30-07-2020/</v>
      </c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ht="12.5">
      <c r="A876" s="5">
        <f ca="1">IFERROR(__xludf.DUMMYFUNCTION("""COMPUTED_VALUE"""),48445)</f>
        <v>48445</v>
      </c>
      <c r="B876" s="5"/>
      <c r="C876" s="5" t="str">
        <f ca="1">IFERROR(__xludf.DUMMYFUNCTION("""COMPUTED_VALUE"""),"Bihor")</f>
        <v>Bihor</v>
      </c>
      <c r="D876" s="13">
        <f ca="1">IFERROR(__xludf.DUMMYFUNCTION("""COMPUTED_VALUE"""),44042)</f>
        <v>44042</v>
      </c>
      <c r="E876" s="5" t="str">
        <f ca="1">IFERROR(__xludf.DUMMYFUNCTION("""COMPUTED_VALUE"""),"Nu")</f>
        <v>Nu</v>
      </c>
      <c r="F876" s="5"/>
      <c r="G876" s="5"/>
      <c r="H876" s="6"/>
      <c r="I876" s="5"/>
      <c r="J876" s="5"/>
      <c r="K876" s="7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876" s="5"/>
      <c r="M876" s="5"/>
      <c r="N876" s="5"/>
      <c r="O876" s="5"/>
      <c r="P876" s="5"/>
      <c r="Q876" s="5"/>
      <c r="R876" s="5" t="str">
        <f ca="1">IFERROR(__xludf.DUMMYFUNCTION("""COMPUTED_VALUE"""),"România")</f>
        <v>România</v>
      </c>
      <c r="S876" s="5" t="str">
        <f ca="1">IFERROR(__xludf.DUMMYFUNCTION("""COMPUTED_VALUE"""),"Octavian")</f>
        <v>Octavian</v>
      </c>
      <c r="T876" s="7" t="str">
        <f ca="1">IFERROR(__xludf.DUMMYFUNCTION("""COMPUTED_VALUE"""),"http://www.ms.ro/2020/07/30/buletin-informativ-30-07-2020/")</f>
        <v>http://www.ms.ro/2020/07/30/buletin-informativ-30-07-2020/</v>
      </c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2.5">
      <c r="A877" s="5">
        <f ca="1">IFERROR(__xludf.DUMMYFUNCTION("""COMPUTED_VALUE"""),48446)</f>
        <v>48446</v>
      </c>
      <c r="B877" s="5"/>
      <c r="C877" s="5" t="str">
        <f ca="1">IFERROR(__xludf.DUMMYFUNCTION("""COMPUTED_VALUE"""),"Bihor")</f>
        <v>Bihor</v>
      </c>
      <c r="D877" s="13">
        <f ca="1">IFERROR(__xludf.DUMMYFUNCTION("""COMPUTED_VALUE"""),44042)</f>
        <v>44042</v>
      </c>
      <c r="E877" s="5" t="str">
        <f ca="1">IFERROR(__xludf.DUMMYFUNCTION("""COMPUTED_VALUE"""),"Nu")</f>
        <v>Nu</v>
      </c>
      <c r="F877" s="5"/>
      <c r="G877" s="5"/>
      <c r="H877" s="6"/>
      <c r="I877" s="5"/>
      <c r="J877" s="5"/>
      <c r="K877" s="7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877" s="5"/>
      <c r="M877" s="5"/>
      <c r="N877" s="5"/>
      <c r="O877" s="5"/>
      <c r="P877" s="5"/>
      <c r="Q877" s="5"/>
      <c r="R877" s="5" t="str">
        <f ca="1">IFERROR(__xludf.DUMMYFUNCTION("""COMPUTED_VALUE"""),"România")</f>
        <v>România</v>
      </c>
      <c r="S877" s="5" t="str">
        <f ca="1">IFERROR(__xludf.DUMMYFUNCTION("""COMPUTED_VALUE"""),"Octavian")</f>
        <v>Octavian</v>
      </c>
      <c r="T877" s="7" t="str">
        <f ca="1">IFERROR(__xludf.DUMMYFUNCTION("""COMPUTED_VALUE"""),"http://www.ms.ro/2020/07/30/buletin-informativ-30-07-2020/")</f>
        <v>http://www.ms.ro/2020/07/30/buletin-informativ-30-07-2020/</v>
      </c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ht="12.5">
      <c r="A878" s="5">
        <f ca="1">IFERROR(__xludf.DUMMYFUNCTION("""COMPUTED_VALUE"""),48447)</f>
        <v>48447</v>
      </c>
      <c r="B878" s="5"/>
      <c r="C878" s="5" t="str">
        <f ca="1">IFERROR(__xludf.DUMMYFUNCTION("""COMPUTED_VALUE"""),"Bihor")</f>
        <v>Bihor</v>
      </c>
      <c r="D878" s="13">
        <f ca="1">IFERROR(__xludf.DUMMYFUNCTION("""COMPUTED_VALUE"""),44042)</f>
        <v>44042</v>
      </c>
      <c r="E878" s="5" t="str">
        <f ca="1">IFERROR(__xludf.DUMMYFUNCTION("""COMPUTED_VALUE"""),"Nu")</f>
        <v>Nu</v>
      </c>
      <c r="F878" s="5"/>
      <c r="G878" s="5"/>
      <c r="H878" s="6"/>
      <c r="I878" s="5"/>
      <c r="J878" s="5"/>
      <c r="K878" s="7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878" s="5"/>
      <c r="M878" s="5"/>
      <c r="N878" s="5"/>
      <c r="O878" s="5"/>
      <c r="P878" s="5"/>
      <c r="Q878" s="5"/>
      <c r="R878" s="5" t="str">
        <f ca="1">IFERROR(__xludf.DUMMYFUNCTION("""COMPUTED_VALUE"""),"România")</f>
        <v>România</v>
      </c>
      <c r="S878" s="5" t="str">
        <f ca="1">IFERROR(__xludf.DUMMYFUNCTION("""COMPUTED_VALUE"""),"Octavian")</f>
        <v>Octavian</v>
      </c>
      <c r="T878" s="7" t="str">
        <f ca="1">IFERROR(__xludf.DUMMYFUNCTION("""COMPUTED_VALUE"""),"http://www.ms.ro/2020/07/30/buletin-informativ-30-07-2020/")</f>
        <v>http://www.ms.ro/2020/07/30/buletin-informativ-30-07-2020/</v>
      </c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2.5">
      <c r="A879" s="5">
        <f ca="1">IFERROR(__xludf.DUMMYFUNCTION("""COMPUTED_VALUE"""),48448)</f>
        <v>48448</v>
      </c>
      <c r="B879" s="5"/>
      <c r="C879" s="5" t="str">
        <f ca="1">IFERROR(__xludf.DUMMYFUNCTION("""COMPUTED_VALUE"""),"Bihor")</f>
        <v>Bihor</v>
      </c>
      <c r="D879" s="13">
        <f ca="1">IFERROR(__xludf.DUMMYFUNCTION("""COMPUTED_VALUE"""),44042)</f>
        <v>44042</v>
      </c>
      <c r="E879" s="5" t="str">
        <f ca="1">IFERROR(__xludf.DUMMYFUNCTION("""COMPUTED_VALUE"""),"Nu")</f>
        <v>Nu</v>
      </c>
      <c r="F879" s="5"/>
      <c r="G879" s="5"/>
      <c r="H879" s="6"/>
      <c r="I879" s="5"/>
      <c r="J879" s="5"/>
      <c r="K879" s="7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879" s="5"/>
      <c r="M879" s="5"/>
      <c r="N879" s="5"/>
      <c r="O879" s="5"/>
      <c r="P879" s="5"/>
      <c r="Q879" s="5"/>
      <c r="R879" s="5" t="str">
        <f ca="1">IFERROR(__xludf.DUMMYFUNCTION("""COMPUTED_VALUE"""),"România")</f>
        <v>România</v>
      </c>
      <c r="S879" s="5" t="str">
        <f ca="1">IFERROR(__xludf.DUMMYFUNCTION("""COMPUTED_VALUE"""),"Octavian")</f>
        <v>Octavian</v>
      </c>
      <c r="T879" s="7" t="str">
        <f ca="1">IFERROR(__xludf.DUMMYFUNCTION("""COMPUTED_VALUE"""),"http://www.ms.ro/2020/07/30/buletin-informativ-30-07-2020/")</f>
        <v>http://www.ms.ro/2020/07/30/buletin-informativ-30-07-2020/</v>
      </c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ht="12.5">
      <c r="A880" s="5">
        <f ca="1">IFERROR(__xludf.DUMMYFUNCTION("""COMPUTED_VALUE"""),48449)</f>
        <v>48449</v>
      </c>
      <c r="B880" s="5"/>
      <c r="C880" s="5" t="str">
        <f ca="1">IFERROR(__xludf.DUMMYFUNCTION("""COMPUTED_VALUE"""),"Bihor")</f>
        <v>Bihor</v>
      </c>
      <c r="D880" s="13">
        <f ca="1">IFERROR(__xludf.DUMMYFUNCTION("""COMPUTED_VALUE"""),44042)</f>
        <v>44042</v>
      </c>
      <c r="E880" s="5" t="str">
        <f ca="1">IFERROR(__xludf.DUMMYFUNCTION("""COMPUTED_VALUE"""),"Nu")</f>
        <v>Nu</v>
      </c>
      <c r="F880" s="5"/>
      <c r="G880" s="5"/>
      <c r="H880" s="6"/>
      <c r="I880" s="5"/>
      <c r="J880" s="5"/>
      <c r="K880" s="7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880" s="5"/>
      <c r="M880" s="5"/>
      <c r="N880" s="5"/>
      <c r="O880" s="5"/>
      <c r="P880" s="5"/>
      <c r="Q880" s="5"/>
      <c r="R880" s="5" t="str">
        <f ca="1">IFERROR(__xludf.DUMMYFUNCTION("""COMPUTED_VALUE"""),"România")</f>
        <v>România</v>
      </c>
      <c r="S880" s="5" t="str">
        <f ca="1">IFERROR(__xludf.DUMMYFUNCTION("""COMPUTED_VALUE"""),"Octavian")</f>
        <v>Octavian</v>
      </c>
      <c r="T880" s="7" t="str">
        <f ca="1">IFERROR(__xludf.DUMMYFUNCTION("""COMPUTED_VALUE"""),"http://www.ms.ro/2020/07/30/buletin-informativ-30-07-2020/")</f>
        <v>http://www.ms.ro/2020/07/30/buletin-informativ-30-07-2020/</v>
      </c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2.5">
      <c r="A881" s="5">
        <f ca="1">IFERROR(__xludf.DUMMYFUNCTION("""COMPUTED_VALUE"""),48450)</f>
        <v>48450</v>
      </c>
      <c r="B881" s="5"/>
      <c r="C881" s="5" t="str">
        <f ca="1">IFERROR(__xludf.DUMMYFUNCTION("""COMPUTED_VALUE"""),"Bihor")</f>
        <v>Bihor</v>
      </c>
      <c r="D881" s="13">
        <f ca="1">IFERROR(__xludf.DUMMYFUNCTION("""COMPUTED_VALUE"""),44042)</f>
        <v>44042</v>
      </c>
      <c r="E881" s="5" t="str">
        <f ca="1">IFERROR(__xludf.DUMMYFUNCTION("""COMPUTED_VALUE"""),"Nu")</f>
        <v>Nu</v>
      </c>
      <c r="F881" s="5"/>
      <c r="G881" s="5"/>
      <c r="H881" s="6"/>
      <c r="I881" s="5"/>
      <c r="J881" s="5"/>
      <c r="K881" s="7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881" s="5"/>
      <c r="M881" s="5"/>
      <c r="N881" s="5"/>
      <c r="O881" s="5"/>
      <c r="P881" s="5"/>
      <c r="Q881" s="5"/>
      <c r="R881" s="5" t="str">
        <f ca="1">IFERROR(__xludf.DUMMYFUNCTION("""COMPUTED_VALUE"""),"România")</f>
        <v>România</v>
      </c>
      <c r="S881" s="5" t="str">
        <f ca="1">IFERROR(__xludf.DUMMYFUNCTION("""COMPUTED_VALUE"""),"Octavian")</f>
        <v>Octavian</v>
      </c>
      <c r="T881" s="7" t="str">
        <f ca="1">IFERROR(__xludf.DUMMYFUNCTION("""COMPUTED_VALUE"""),"http://www.ms.ro/2020/07/30/buletin-informativ-30-07-2020/")</f>
        <v>http://www.ms.ro/2020/07/30/buletin-informativ-30-07-2020/</v>
      </c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ht="12.5">
      <c r="A882" s="5">
        <f ca="1">IFERROR(__xludf.DUMMYFUNCTION("""COMPUTED_VALUE"""),48451)</f>
        <v>48451</v>
      </c>
      <c r="B882" s="5"/>
      <c r="C882" s="5" t="str">
        <f ca="1">IFERROR(__xludf.DUMMYFUNCTION("""COMPUTED_VALUE"""),"Bihor")</f>
        <v>Bihor</v>
      </c>
      <c r="D882" s="13">
        <f ca="1">IFERROR(__xludf.DUMMYFUNCTION("""COMPUTED_VALUE"""),44042)</f>
        <v>44042</v>
      </c>
      <c r="E882" s="5" t="str">
        <f ca="1">IFERROR(__xludf.DUMMYFUNCTION("""COMPUTED_VALUE"""),"Nu")</f>
        <v>Nu</v>
      </c>
      <c r="F882" s="5"/>
      <c r="G882" s="5"/>
      <c r="H882" s="6"/>
      <c r="I882" s="5"/>
      <c r="J882" s="5"/>
      <c r="K882" s="7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882" s="5"/>
      <c r="M882" s="5"/>
      <c r="N882" s="5"/>
      <c r="O882" s="5"/>
      <c r="P882" s="5"/>
      <c r="Q882" s="5"/>
      <c r="R882" s="5" t="str">
        <f ca="1">IFERROR(__xludf.DUMMYFUNCTION("""COMPUTED_VALUE"""),"România")</f>
        <v>România</v>
      </c>
      <c r="S882" s="5" t="str">
        <f ca="1">IFERROR(__xludf.DUMMYFUNCTION("""COMPUTED_VALUE"""),"Octavian")</f>
        <v>Octavian</v>
      </c>
      <c r="T882" s="7" t="str">
        <f ca="1">IFERROR(__xludf.DUMMYFUNCTION("""COMPUTED_VALUE"""),"http://www.ms.ro/2020/07/30/buletin-informativ-30-07-2020/")</f>
        <v>http://www.ms.ro/2020/07/30/buletin-informativ-30-07-2020/</v>
      </c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2.5">
      <c r="A883" s="5">
        <f ca="1">IFERROR(__xludf.DUMMYFUNCTION("""COMPUTED_VALUE"""),48452)</f>
        <v>48452</v>
      </c>
      <c r="B883" s="5"/>
      <c r="C883" s="5" t="str">
        <f ca="1">IFERROR(__xludf.DUMMYFUNCTION("""COMPUTED_VALUE"""),"Bihor")</f>
        <v>Bihor</v>
      </c>
      <c r="D883" s="13">
        <f ca="1">IFERROR(__xludf.DUMMYFUNCTION("""COMPUTED_VALUE"""),44042)</f>
        <v>44042</v>
      </c>
      <c r="E883" s="5" t="str">
        <f ca="1">IFERROR(__xludf.DUMMYFUNCTION("""COMPUTED_VALUE"""),"Nu")</f>
        <v>Nu</v>
      </c>
      <c r="F883" s="5"/>
      <c r="G883" s="5"/>
      <c r="H883" s="6"/>
      <c r="I883" s="5"/>
      <c r="J883" s="5"/>
      <c r="K883" s="7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883" s="5"/>
      <c r="M883" s="5"/>
      <c r="N883" s="5"/>
      <c r="O883" s="5"/>
      <c r="P883" s="5"/>
      <c r="Q883" s="5"/>
      <c r="R883" s="5" t="str">
        <f ca="1">IFERROR(__xludf.DUMMYFUNCTION("""COMPUTED_VALUE"""),"România")</f>
        <v>România</v>
      </c>
      <c r="S883" s="5" t="str">
        <f ca="1">IFERROR(__xludf.DUMMYFUNCTION("""COMPUTED_VALUE"""),"Octavian")</f>
        <v>Octavian</v>
      </c>
      <c r="T883" s="7" t="str">
        <f ca="1">IFERROR(__xludf.DUMMYFUNCTION("""COMPUTED_VALUE"""),"http://www.ms.ro/2020/07/30/buletin-informativ-30-07-2020/")</f>
        <v>http://www.ms.ro/2020/07/30/buletin-informativ-30-07-2020/</v>
      </c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ht="12.5">
      <c r="A884" s="5">
        <f ca="1">IFERROR(__xludf.DUMMYFUNCTION("""COMPUTED_VALUE"""),48453)</f>
        <v>48453</v>
      </c>
      <c r="B884" s="5"/>
      <c r="C884" s="5" t="str">
        <f ca="1">IFERROR(__xludf.DUMMYFUNCTION("""COMPUTED_VALUE"""),"Bihor")</f>
        <v>Bihor</v>
      </c>
      <c r="D884" s="13">
        <f ca="1">IFERROR(__xludf.DUMMYFUNCTION("""COMPUTED_VALUE"""),44042)</f>
        <v>44042</v>
      </c>
      <c r="E884" s="5" t="str">
        <f ca="1">IFERROR(__xludf.DUMMYFUNCTION("""COMPUTED_VALUE"""),"Nu")</f>
        <v>Nu</v>
      </c>
      <c r="F884" s="5"/>
      <c r="G884" s="5"/>
      <c r="H884" s="6"/>
      <c r="I884" s="5"/>
      <c r="J884" s="5"/>
      <c r="K884" s="7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884" s="5"/>
      <c r="M884" s="5"/>
      <c r="N884" s="5"/>
      <c r="O884" s="5"/>
      <c r="P884" s="5"/>
      <c r="Q884" s="5"/>
      <c r="R884" s="5" t="str">
        <f ca="1">IFERROR(__xludf.DUMMYFUNCTION("""COMPUTED_VALUE"""),"România")</f>
        <v>România</v>
      </c>
      <c r="S884" s="5" t="str">
        <f ca="1">IFERROR(__xludf.DUMMYFUNCTION("""COMPUTED_VALUE"""),"Octavian")</f>
        <v>Octavian</v>
      </c>
      <c r="T884" s="7" t="str">
        <f ca="1">IFERROR(__xludf.DUMMYFUNCTION("""COMPUTED_VALUE"""),"http://www.ms.ro/2020/07/30/buletin-informativ-30-07-2020/")</f>
        <v>http://www.ms.ro/2020/07/30/buletin-informativ-30-07-2020/</v>
      </c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2.5">
      <c r="A885" s="5">
        <f ca="1">IFERROR(__xludf.DUMMYFUNCTION("""COMPUTED_VALUE"""),48454)</f>
        <v>48454</v>
      </c>
      <c r="B885" s="5"/>
      <c r="C885" s="5" t="str">
        <f ca="1">IFERROR(__xludf.DUMMYFUNCTION("""COMPUTED_VALUE"""),"Bihor")</f>
        <v>Bihor</v>
      </c>
      <c r="D885" s="13">
        <f ca="1">IFERROR(__xludf.DUMMYFUNCTION("""COMPUTED_VALUE"""),44042)</f>
        <v>44042</v>
      </c>
      <c r="E885" s="5" t="str">
        <f ca="1">IFERROR(__xludf.DUMMYFUNCTION("""COMPUTED_VALUE"""),"Nu")</f>
        <v>Nu</v>
      </c>
      <c r="F885" s="5"/>
      <c r="G885" s="5"/>
      <c r="H885" s="6"/>
      <c r="I885" s="5"/>
      <c r="J885" s="5"/>
      <c r="K885" s="7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885" s="5"/>
      <c r="M885" s="5"/>
      <c r="N885" s="5"/>
      <c r="O885" s="5"/>
      <c r="P885" s="5"/>
      <c r="Q885" s="5"/>
      <c r="R885" s="5" t="str">
        <f ca="1">IFERROR(__xludf.DUMMYFUNCTION("""COMPUTED_VALUE"""),"România")</f>
        <v>România</v>
      </c>
      <c r="S885" s="5" t="str">
        <f ca="1">IFERROR(__xludf.DUMMYFUNCTION("""COMPUTED_VALUE"""),"Octavian")</f>
        <v>Octavian</v>
      </c>
      <c r="T885" s="7" t="str">
        <f ca="1">IFERROR(__xludf.DUMMYFUNCTION("""COMPUTED_VALUE"""),"http://www.ms.ro/2020/07/30/buletin-informativ-30-07-2020/")</f>
        <v>http://www.ms.ro/2020/07/30/buletin-informativ-30-07-2020/</v>
      </c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ht="12.5">
      <c r="A886" s="5">
        <f ca="1">IFERROR(__xludf.DUMMYFUNCTION("""COMPUTED_VALUE"""),48455)</f>
        <v>48455</v>
      </c>
      <c r="B886" s="5"/>
      <c r="C886" s="5" t="str">
        <f ca="1">IFERROR(__xludf.DUMMYFUNCTION("""COMPUTED_VALUE"""),"Bihor")</f>
        <v>Bihor</v>
      </c>
      <c r="D886" s="13">
        <f ca="1">IFERROR(__xludf.DUMMYFUNCTION("""COMPUTED_VALUE"""),44042)</f>
        <v>44042</v>
      </c>
      <c r="E886" s="5" t="str">
        <f ca="1">IFERROR(__xludf.DUMMYFUNCTION("""COMPUTED_VALUE"""),"Nu")</f>
        <v>Nu</v>
      </c>
      <c r="F886" s="5"/>
      <c r="G886" s="5"/>
      <c r="H886" s="6"/>
      <c r="I886" s="5"/>
      <c r="J886" s="5"/>
      <c r="K886" s="7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886" s="5"/>
      <c r="M886" s="5"/>
      <c r="N886" s="5"/>
      <c r="O886" s="5"/>
      <c r="P886" s="5"/>
      <c r="Q886" s="5"/>
      <c r="R886" s="5" t="str">
        <f ca="1">IFERROR(__xludf.DUMMYFUNCTION("""COMPUTED_VALUE"""),"România")</f>
        <v>România</v>
      </c>
      <c r="S886" s="5" t="str">
        <f ca="1">IFERROR(__xludf.DUMMYFUNCTION("""COMPUTED_VALUE"""),"Octavian")</f>
        <v>Octavian</v>
      </c>
      <c r="T886" s="7" t="str">
        <f ca="1">IFERROR(__xludf.DUMMYFUNCTION("""COMPUTED_VALUE"""),"http://www.ms.ro/2020/07/30/buletin-informativ-30-07-2020/")</f>
        <v>http://www.ms.ro/2020/07/30/buletin-informativ-30-07-2020/</v>
      </c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2.5">
      <c r="A887" s="5">
        <f ca="1">IFERROR(__xludf.DUMMYFUNCTION("""COMPUTED_VALUE"""),48456)</f>
        <v>48456</v>
      </c>
      <c r="B887" s="5"/>
      <c r="C887" s="5" t="str">
        <f ca="1">IFERROR(__xludf.DUMMYFUNCTION("""COMPUTED_VALUE"""),"Bihor")</f>
        <v>Bihor</v>
      </c>
      <c r="D887" s="13">
        <f ca="1">IFERROR(__xludf.DUMMYFUNCTION("""COMPUTED_VALUE"""),44042)</f>
        <v>44042</v>
      </c>
      <c r="E887" s="5" t="str">
        <f ca="1">IFERROR(__xludf.DUMMYFUNCTION("""COMPUTED_VALUE"""),"Nu")</f>
        <v>Nu</v>
      </c>
      <c r="F887" s="5"/>
      <c r="G887" s="5"/>
      <c r="H887" s="6"/>
      <c r="I887" s="5"/>
      <c r="J887" s="5"/>
      <c r="K887" s="7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887" s="5"/>
      <c r="M887" s="5"/>
      <c r="N887" s="5"/>
      <c r="O887" s="5"/>
      <c r="P887" s="5"/>
      <c r="Q887" s="5"/>
      <c r="R887" s="5" t="str">
        <f ca="1">IFERROR(__xludf.DUMMYFUNCTION("""COMPUTED_VALUE"""),"România")</f>
        <v>România</v>
      </c>
      <c r="S887" s="5" t="str">
        <f ca="1">IFERROR(__xludf.DUMMYFUNCTION("""COMPUTED_VALUE"""),"Octavian")</f>
        <v>Octavian</v>
      </c>
      <c r="T887" s="7" t="str">
        <f ca="1">IFERROR(__xludf.DUMMYFUNCTION("""COMPUTED_VALUE"""),"http://www.ms.ro/2020/07/30/buletin-informativ-30-07-2020/")</f>
        <v>http://www.ms.ro/2020/07/30/buletin-informativ-30-07-2020/</v>
      </c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ht="12.5">
      <c r="A888" s="5">
        <f ca="1">IFERROR(__xludf.DUMMYFUNCTION("""COMPUTED_VALUE"""),48457)</f>
        <v>48457</v>
      </c>
      <c r="B888" s="5"/>
      <c r="C888" s="5" t="str">
        <f ca="1">IFERROR(__xludf.DUMMYFUNCTION("""COMPUTED_VALUE"""),"Bihor")</f>
        <v>Bihor</v>
      </c>
      <c r="D888" s="13">
        <f ca="1">IFERROR(__xludf.DUMMYFUNCTION("""COMPUTED_VALUE"""),44042)</f>
        <v>44042</v>
      </c>
      <c r="E888" s="5" t="str">
        <f ca="1">IFERROR(__xludf.DUMMYFUNCTION("""COMPUTED_VALUE"""),"Nu")</f>
        <v>Nu</v>
      </c>
      <c r="F888" s="5"/>
      <c r="G888" s="5"/>
      <c r="H888" s="6"/>
      <c r="I888" s="5"/>
      <c r="J888" s="5"/>
      <c r="K888" s="7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888" s="5"/>
      <c r="M888" s="5"/>
      <c r="N888" s="5"/>
      <c r="O888" s="5"/>
      <c r="P888" s="5"/>
      <c r="Q888" s="5"/>
      <c r="R888" s="5" t="str">
        <f ca="1">IFERROR(__xludf.DUMMYFUNCTION("""COMPUTED_VALUE"""),"România")</f>
        <v>România</v>
      </c>
      <c r="S888" s="5" t="str">
        <f ca="1">IFERROR(__xludf.DUMMYFUNCTION("""COMPUTED_VALUE"""),"Octavian")</f>
        <v>Octavian</v>
      </c>
      <c r="T888" s="7" t="str">
        <f ca="1">IFERROR(__xludf.DUMMYFUNCTION("""COMPUTED_VALUE"""),"http://www.ms.ro/2020/07/30/buletin-informativ-30-07-2020/")</f>
        <v>http://www.ms.ro/2020/07/30/buletin-informativ-30-07-2020/</v>
      </c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2.5">
      <c r="A889" s="5">
        <f ca="1">IFERROR(__xludf.DUMMYFUNCTION("""COMPUTED_VALUE"""),48458)</f>
        <v>48458</v>
      </c>
      <c r="B889" s="5"/>
      <c r="C889" s="5" t="str">
        <f ca="1">IFERROR(__xludf.DUMMYFUNCTION("""COMPUTED_VALUE"""),"Bihor")</f>
        <v>Bihor</v>
      </c>
      <c r="D889" s="13">
        <f ca="1">IFERROR(__xludf.DUMMYFUNCTION("""COMPUTED_VALUE"""),44042)</f>
        <v>44042</v>
      </c>
      <c r="E889" s="5" t="str">
        <f ca="1">IFERROR(__xludf.DUMMYFUNCTION("""COMPUTED_VALUE"""),"Nu")</f>
        <v>Nu</v>
      </c>
      <c r="F889" s="5"/>
      <c r="G889" s="5"/>
      <c r="H889" s="6"/>
      <c r="I889" s="5"/>
      <c r="J889" s="5"/>
      <c r="K889" s="7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889" s="5"/>
      <c r="M889" s="5"/>
      <c r="N889" s="5"/>
      <c r="O889" s="5"/>
      <c r="P889" s="5"/>
      <c r="Q889" s="5"/>
      <c r="R889" s="5" t="str">
        <f ca="1">IFERROR(__xludf.DUMMYFUNCTION("""COMPUTED_VALUE"""),"România")</f>
        <v>România</v>
      </c>
      <c r="S889" s="5" t="str">
        <f ca="1">IFERROR(__xludf.DUMMYFUNCTION("""COMPUTED_VALUE"""),"Octavian")</f>
        <v>Octavian</v>
      </c>
      <c r="T889" s="7" t="str">
        <f ca="1">IFERROR(__xludf.DUMMYFUNCTION("""COMPUTED_VALUE"""),"http://www.ms.ro/2020/07/30/buletin-informativ-30-07-2020/")</f>
        <v>http://www.ms.ro/2020/07/30/buletin-informativ-30-07-2020/</v>
      </c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ht="12.5">
      <c r="A890" s="5">
        <f ca="1">IFERROR(__xludf.DUMMYFUNCTION("""COMPUTED_VALUE"""),48459)</f>
        <v>48459</v>
      </c>
      <c r="B890" s="5"/>
      <c r="C890" s="5" t="str">
        <f ca="1">IFERROR(__xludf.DUMMYFUNCTION("""COMPUTED_VALUE"""),"Bihor")</f>
        <v>Bihor</v>
      </c>
      <c r="D890" s="13">
        <f ca="1">IFERROR(__xludf.DUMMYFUNCTION("""COMPUTED_VALUE"""),44042)</f>
        <v>44042</v>
      </c>
      <c r="E890" s="5" t="str">
        <f ca="1">IFERROR(__xludf.DUMMYFUNCTION("""COMPUTED_VALUE"""),"Nu")</f>
        <v>Nu</v>
      </c>
      <c r="F890" s="5"/>
      <c r="G890" s="5"/>
      <c r="H890" s="6"/>
      <c r="I890" s="5"/>
      <c r="J890" s="5"/>
      <c r="K890" s="7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890" s="5"/>
      <c r="M890" s="5"/>
      <c r="N890" s="5"/>
      <c r="O890" s="5"/>
      <c r="P890" s="5"/>
      <c r="Q890" s="5"/>
      <c r="R890" s="5" t="str">
        <f ca="1">IFERROR(__xludf.DUMMYFUNCTION("""COMPUTED_VALUE"""),"România")</f>
        <v>România</v>
      </c>
      <c r="S890" s="5" t="str">
        <f ca="1">IFERROR(__xludf.DUMMYFUNCTION("""COMPUTED_VALUE"""),"Octavian")</f>
        <v>Octavian</v>
      </c>
      <c r="T890" s="7" t="str">
        <f ca="1">IFERROR(__xludf.DUMMYFUNCTION("""COMPUTED_VALUE"""),"http://www.ms.ro/2020/07/30/buletin-informativ-30-07-2020/")</f>
        <v>http://www.ms.ro/2020/07/30/buletin-informativ-30-07-2020/</v>
      </c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2.5">
      <c r="A891" s="5">
        <f ca="1">IFERROR(__xludf.DUMMYFUNCTION("""COMPUTED_VALUE"""),48460)</f>
        <v>48460</v>
      </c>
      <c r="B891" s="5"/>
      <c r="C891" s="5" t="str">
        <f ca="1">IFERROR(__xludf.DUMMYFUNCTION("""COMPUTED_VALUE"""),"Bihor")</f>
        <v>Bihor</v>
      </c>
      <c r="D891" s="13">
        <f ca="1">IFERROR(__xludf.DUMMYFUNCTION("""COMPUTED_VALUE"""),44042)</f>
        <v>44042</v>
      </c>
      <c r="E891" s="5" t="str">
        <f ca="1">IFERROR(__xludf.DUMMYFUNCTION("""COMPUTED_VALUE"""),"Nu")</f>
        <v>Nu</v>
      </c>
      <c r="F891" s="5"/>
      <c r="G891" s="5"/>
      <c r="H891" s="6"/>
      <c r="I891" s="5"/>
      <c r="J891" s="5"/>
      <c r="K891" s="7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891" s="5"/>
      <c r="M891" s="5"/>
      <c r="N891" s="5"/>
      <c r="O891" s="5"/>
      <c r="P891" s="5"/>
      <c r="Q891" s="5"/>
      <c r="R891" s="5" t="str">
        <f ca="1">IFERROR(__xludf.DUMMYFUNCTION("""COMPUTED_VALUE"""),"România")</f>
        <v>România</v>
      </c>
      <c r="S891" s="5" t="str">
        <f ca="1">IFERROR(__xludf.DUMMYFUNCTION("""COMPUTED_VALUE"""),"Octavian")</f>
        <v>Octavian</v>
      </c>
      <c r="T891" s="7" t="str">
        <f ca="1">IFERROR(__xludf.DUMMYFUNCTION("""COMPUTED_VALUE"""),"http://www.ms.ro/2020/07/30/buletin-informativ-30-07-2020/")</f>
        <v>http://www.ms.ro/2020/07/30/buletin-informativ-30-07-2020/</v>
      </c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ht="12.5">
      <c r="A892" s="5">
        <f ca="1">IFERROR(__xludf.DUMMYFUNCTION("""COMPUTED_VALUE"""),48461)</f>
        <v>48461</v>
      </c>
      <c r="B892" s="5"/>
      <c r="C892" s="5" t="str">
        <f ca="1">IFERROR(__xludf.DUMMYFUNCTION("""COMPUTED_VALUE"""),"Bihor")</f>
        <v>Bihor</v>
      </c>
      <c r="D892" s="13">
        <f ca="1">IFERROR(__xludf.DUMMYFUNCTION("""COMPUTED_VALUE"""),44042)</f>
        <v>44042</v>
      </c>
      <c r="E892" s="5" t="str">
        <f ca="1">IFERROR(__xludf.DUMMYFUNCTION("""COMPUTED_VALUE"""),"Nu")</f>
        <v>Nu</v>
      </c>
      <c r="F892" s="5"/>
      <c r="G892" s="5"/>
      <c r="H892" s="6"/>
      <c r="I892" s="5"/>
      <c r="J892" s="5"/>
      <c r="K892" s="7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892" s="5"/>
      <c r="M892" s="5"/>
      <c r="N892" s="5"/>
      <c r="O892" s="5"/>
      <c r="P892" s="5"/>
      <c r="Q892" s="5"/>
      <c r="R892" s="5" t="str">
        <f ca="1">IFERROR(__xludf.DUMMYFUNCTION("""COMPUTED_VALUE"""),"România")</f>
        <v>România</v>
      </c>
      <c r="S892" s="5" t="str">
        <f ca="1">IFERROR(__xludf.DUMMYFUNCTION("""COMPUTED_VALUE"""),"Octavian")</f>
        <v>Octavian</v>
      </c>
      <c r="T892" s="7" t="str">
        <f ca="1">IFERROR(__xludf.DUMMYFUNCTION("""COMPUTED_VALUE"""),"http://www.ms.ro/2020/07/30/buletin-informativ-30-07-2020/")</f>
        <v>http://www.ms.ro/2020/07/30/buletin-informativ-30-07-2020/</v>
      </c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2.5">
      <c r="A893" s="5">
        <f ca="1">IFERROR(__xludf.DUMMYFUNCTION("""COMPUTED_VALUE"""),48462)</f>
        <v>48462</v>
      </c>
      <c r="B893" s="5"/>
      <c r="C893" s="5" t="str">
        <f ca="1">IFERROR(__xludf.DUMMYFUNCTION("""COMPUTED_VALUE"""),"Bihor")</f>
        <v>Bihor</v>
      </c>
      <c r="D893" s="13">
        <f ca="1">IFERROR(__xludf.DUMMYFUNCTION("""COMPUTED_VALUE"""),44042)</f>
        <v>44042</v>
      </c>
      <c r="E893" s="5" t="str">
        <f ca="1">IFERROR(__xludf.DUMMYFUNCTION("""COMPUTED_VALUE"""),"Nu")</f>
        <v>Nu</v>
      </c>
      <c r="F893" s="5"/>
      <c r="G893" s="5"/>
      <c r="H893" s="6"/>
      <c r="I893" s="5"/>
      <c r="J893" s="5"/>
      <c r="K893" s="7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893" s="5"/>
      <c r="M893" s="5"/>
      <c r="N893" s="5"/>
      <c r="O893" s="5"/>
      <c r="P893" s="5"/>
      <c r="Q893" s="5"/>
      <c r="R893" s="5" t="str">
        <f ca="1">IFERROR(__xludf.DUMMYFUNCTION("""COMPUTED_VALUE"""),"România")</f>
        <v>România</v>
      </c>
      <c r="S893" s="5" t="str">
        <f ca="1">IFERROR(__xludf.DUMMYFUNCTION("""COMPUTED_VALUE"""),"Octavian")</f>
        <v>Octavian</v>
      </c>
      <c r="T893" s="7" t="str">
        <f ca="1">IFERROR(__xludf.DUMMYFUNCTION("""COMPUTED_VALUE"""),"http://www.ms.ro/2020/07/30/buletin-informativ-30-07-2020/")</f>
        <v>http://www.ms.ro/2020/07/30/buletin-informativ-30-07-2020/</v>
      </c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ht="12.5">
      <c r="A894" s="5">
        <f ca="1">IFERROR(__xludf.DUMMYFUNCTION("""COMPUTED_VALUE"""),49790)</f>
        <v>49790</v>
      </c>
      <c r="B894" s="5"/>
      <c r="C894" s="5" t="str">
        <f ca="1">IFERROR(__xludf.DUMMYFUNCTION("""COMPUTED_VALUE"""),"Bihor")</f>
        <v>Bihor</v>
      </c>
      <c r="D894" s="13">
        <f ca="1">IFERROR(__xludf.DUMMYFUNCTION("""COMPUTED_VALUE"""),44043)</f>
        <v>44043</v>
      </c>
      <c r="E894" s="5" t="str">
        <f ca="1">IFERROR(__xludf.DUMMYFUNCTION("""COMPUTED_VALUE"""),"Nu")</f>
        <v>Nu</v>
      </c>
      <c r="F894" s="5"/>
      <c r="G894" s="5"/>
      <c r="H894" s="6"/>
      <c r="I894" s="5"/>
      <c r="J894" s="5"/>
      <c r="K894" s="7" t="str">
        <f ca="1">IFERROR(__xludf.DUMMYFUNCTION("""COMPUTED_VALUE"""),"https://www.bihon.ro/stirile-judetului-bihor/caz-de-coronavirus-la-curtea-de-apel-oradea-2342142/")</f>
        <v>https://www.bihon.ro/stirile-judetului-bihor/caz-de-coronavirus-la-curtea-de-apel-oradea-2342142/</v>
      </c>
      <c r="L894" s="5"/>
      <c r="M894" s="5" t="str">
        <f ca="1">IFERROR(__xludf.DUMMYFUNCTION("""COMPUTED_VALUE"""),"Oradea")</f>
        <v>Oradea</v>
      </c>
      <c r="N894" s="5"/>
      <c r="O894" s="5"/>
      <c r="P894" s="5" t="str">
        <f ca="1">IFERROR(__xludf.DUMMYFUNCTION("""COMPUTED_VALUE"""),"Angajat Curtea de Apel")</f>
        <v>Angajat Curtea de Apel</v>
      </c>
      <c r="Q894" s="5"/>
      <c r="R894" s="5" t="str">
        <f ca="1">IFERROR(__xludf.DUMMYFUNCTION("""COMPUTED_VALUE"""),"România")</f>
        <v>România</v>
      </c>
      <c r="S894" s="5" t="str">
        <f ca="1">IFERROR(__xludf.DUMMYFUNCTION("""COMPUTED_VALUE"""),"Ruxandra")</f>
        <v>Ruxandra</v>
      </c>
      <c r="T894" s="7" t="str">
        <f ca="1">IFERROR(__xludf.DUMMYFUNCTION("""COMPUTED_VALUE"""),"http://www.ms.ro/2020/07/31/buletin-informativ-31-07-2020/")</f>
        <v>http://www.ms.ro/2020/07/31/buletin-informativ-31-07-2020/</v>
      </c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2.5">
      <c r="A895" s="5">
        <f ca="1">IFERROR(__xludf.DUMMYFUNCTION("""COMPUTED_VALUE"""),49791)</f>
        <v>49791</v>
      </c>
      <c r="B895" s="5"/>
      <c r="C895" s="5" t="str">
        <f ca="1">IFERROR(__xludf.DUMMYFUNCTION("""COMPUTED_VALUE"""),"Bihor")</f>
        <v>Bihor</v>
      </c>
      <c r="D895" s="13">
        <f ca="1">IFERROR(__xludf.DUMMYFUNCTION("""COMPUTED_VALUE"""),44043)</f>
        <v>44043</v>
      </c>
      <c r="E895" s="5" t="str">
        <f ca="1">IFERROR(__xludf.DUMMYFUNCTION("""COMPUTED_VALUE"""),"Nu")</f>
        <v>Nu</v>
      </c>
      <c r="F895" s="5"/>
      <c r="G895" s="5"/>
      <c r="H895" s="6"/>
      <c r="I895" s="5"/>
      <c r="J895" s="5"/>
      <c r="K895" s="7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895" s="5"/>
      <c r="M895" s="5"/>
      <c r="N895" s="5"/>
      <c r="O895" s="5"/>
      <c r="P895" s="5"/>
      <c r="Q895" s="5"/>
      <c r="R895" s="5" t="str">
        <f ca="1">IFERROR(__xludf.DUMMYFUNCTION("""COMPUTED_VALUE"""),"România")</f>
        <v>România</v>
      </c>
      <c r="S895" s="5" t="str">
        <f ca="1">IFERROR(__xludf.DUMMYFUNCTION("""COMPUTED_VALUE"""),"Octavian")</f>
        <v>Octavian</v>
      </c>
      <c r="T895" s="7" t="str">
        <f ca="1">IFERROR(__xludf.DUMMYFUNCTION("""COMPUTED_VALUE"""),"http://www.ms.ro/2020/07/31/buletin-informativ-31-07-2020/")</f>
        <v>http://www.ms.ro/2020/07/31/buletin-informativ-31-07-2020/</v>
      </c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ht="12.5">
      <c r="A896" s="5">
        <f ca="1">IFERROR(__xludf.DUMMYFUNCTION("""COMPUTED_VALUE"""),49792)</f>
        <v>49792</v>
      </c>
      <c r="B896" s="5"/>
      <c r="C896" s="5" t="str">
        <f ca="1">IFERROR(__xludf.DUMMYFUNCTION("""COMPUTED_VALUE"""),"Bihor")</f>
        <v>Bihor</v>
      </c>
      <c r="D896" s="13">
        <f ca="1">IFERROR(__xludf.DUMMYFUNCTION("""COMPUTED_VALUE"""),44043)</f>
        <v>44043</v>
      </c>
      <c r="E896" s="5" t="str">
        <f ca="1">IFERROR(__xludf.DUMMYFUNCTION("""COMPUTED_VALUE"""),"Nu")</f>
        <v>Nu</v>
      </c>
      <c r="F896" s="5"/>
      <c r="G896" s="5"/>
      <c r="H896" s="6"/>
      <c r="I896" s="5"/>
      <c r="J896" s="5"/>
      <c r="K896" s="7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896" s="5"/>
      <c r="M896" s="5"/>
      <c r="N896" s="5"/>
      <c r="O896" s="5"/>
      <c r="P896" s="5"/>
      <c r="Q896" s="5"/>
      <c r="R896" s="5" t="str">
        <f ca="1">IFERROR(__xludf.DUMMYFUNCTION("""COMPUTED_VALUE"""),"România")</f>
        <v>România</v>
      </c>
      <c r="S896" s="5" t="str">
        <f ca="1">IFERROR(__xludf.DUMMYFUNCTION("""COMPUTED_VALUE"""),"Octavian")</f>
        <v>Octavian</v>
      </c>
      <c r="T896" s="7" t="str">
        <f ca="1">IFERROR(__xludf.DUMMYFUNCTION("""COMPUTED_VALUE"""),"http://www.ms.ro/2020/07/31/buletin-informativ-31-07-2020/")</f>
        <v>http://www.ms.ro/2020/07/31/buletin-informativ-31-07-2020/</v>
      </c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2.5">
      <c r="A897" s="5">
        <f ca="1">IFERROR(__xludf.DUMMYFUNCTION("""COMPUTED_VALUE"""),49793)</f>
        <v>49793</v>
      </c>
      <c r="B897" s="5"/>
      <c r="C897" s="5" t="str">
        <f ca="1">IFERROR(__xludf.DUMMYFUNCTION("""COMPUTED_VALUE"""),"Bihor")</f>
        <v>Bihor</v>
      </c>
      <c r="D897" s="13">
        <f ca="1">IFERROR(__xludf.DUMMYFUNCTION("""COMPUTED_VALUE"""),44043)</f>
        <v>44043</v>
      </c>
      <c r="E897" s="5" t="str">
        <f ca="1">IFERROR(__xludf.DUMMYFUNCTION("""COMPUTED_VALUE"""),"Nu")</f>
        <v>Nu</v>
      </c>
      <c r="F897" s="5"/>
      <c r="G897" s="5"/>
      <c r="H897" s="6"/>
      <c r="I897" s="5"/>
      <c r="J897" s="5"/>
      <c r="K897" s="7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897" s="5"/>
      <c r="M897" s="5"/>
      <c r="N897" s="5"/>
      <c r="O897" s="5"/>
      <c r="P897" s="5"/>
      <c r="Q897" s="5"/>
      <c r="R897" s="5" t="str">
        <f ca="1">IFERROR(__xludf.DUMMYFUNCTION("""COMPUTED_VALUE"""),"România")</f>
        <v>România</v>
      </c>
      <c r="S897" s="5" t="str">
        <f ca="1">IFERROR(__xludf.DUMMYFUNCTION("""COMPUTED_VALUE"""),"Octavian")</f>
        <v>Octavian</v>
      </c>
      <c r="T897" s="7" t="str">
        <f ca="1">IFERROR(__xludf.DUMMYFUNCTION("""COMPUTED_VALUE"""),"http://www.ms.ro/2020/07/31/buletin-informativ-31-07-2020/")</f>
        <v>http://www.ms.ro/2020/07/31/buletin-informativ-31-07-2020/</v>
      </c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ht="12.5">
      <c r="A898" s="5">
        <f ca="1">IFERROR(__xludf.DUMMYFUNCTION("""COMPUTED_VALUE"""),49794)</f>
        <v>49794</v>
      </c>
      <c r="B898" s="5"/>
      <c r="C898" s="5" t="str">
        <f ca="1">IFERROR(__xludf.DUMMYFUNCTION("""COMPUTED_VALUE"""),"Bihor")</f>
        <v>Bihor</v>
      </c>
      <c r="D898" s="13">
        <f ca="1">IFERROR(__xludf.DUMMYFUNCTION("""COMPUTED_VALUE"""),44043)</f>
        <v>44043</v>
      </c>
      <c r="E898" s="5" t="str">
        <f ca="1">IFERROR(__xludf.DUMMYFUNCTION("""COMPUTED_VALUE"""),"Nu")</f>
        <v>Nu</v>
      </c>
      <c r="F898" s="5"/>
      <c r="G898" s="5"/>
      <c r="H898" s="6"/>
      <c r="I898" s="5"/>
      <c r="J898" s="5"/>
      <c r="K898" s="7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898" s="5"/>
      <c r="M898" s="5"/>
      <c r="N898" s="5"/>
      <c r="O898" s="5"/>
      <c r="P898" s="5"/>
      <c r="Q898" s="5"/>
      <c r="R898" s="5" t="str">
        <f ca="1">IFERROR(__xludf.DUMMYFUNCTION("""COMPUTED_VALUE"""),"România")</f>
        <v>România</v>
      </c>
      <c r="S898" s="5" t="str">
        <f ca="1">IFERROR(__xludf.DUMMYFUNCTION("""COMPUTED_VALUE"""),"Octavian")</f>
        <v>Octavian</v>
      </c>
      <c r="T898" s="7" t="str">
        <f ca="1">IFERROR(__xludf.DUMMYFUNCTION("""COMPUTED_VALUE"""),"http://www.ms.ro/2020/07/31/buletin-informativ-31-07-2020/")</f>
        <v>http://www.ms.ro/2020/07/31/buletin-informativ-31-07-2020/</v>
      </c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2.5">
      <c r="A899" s="5">
        <f ca="1">IFERROR(__xludf.DUMMYFUNCTION("""COMPUTED_VALUE"""),49795)</f>
        <v>49795</v>
      </c>
      <c r="B899" s="5"/>
      <c r="C899" s="5" t="str">
        <f ca="1">IFERROR(__xludf.DUMMYFUNCTION("""COMPUTED_VALUE"""),"Bihor")</f>
        <v>Bihor</v>
      </c>
      <c r="D899" s="13">
        <f ca="1">IFERROR(__xludf.DUMMYFUNCTION("""COMPUTED_VALUE"""),44043)</f>
        <v>44043</v>
      </c>
      <c r="E899" s="5" t="str">
        <f ca="1">IFERROR(__xludf.DUMMYFUNCTION("""COMPUTED_VALUE"""),"Nu")</f>
        <v>Nu</v>
      </c>
      <c r="F899" s="5"/>
      <c r="G899" s="5"/>
      <c r="H899" s="6"/>
      <c r="I899" s="5"/>
      <c r="J899" s="5"/>
      <c r="K899" s="7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899" s="5"/>
      <c r="M899" s="5"/>
      <c r="N899" s="5"/>
      <c r="O899" s="5"/>
      <c r="P899" s="5"/>
      <c r="Q899" s="5"/>
      <c r="R899" s="5" t="str">
        <f ca="1">IFERROR(__xludf.DUMMYFUNCTION("""COMPUTED_VALUE"""),"România")</f>
        <v>România</v>
      </c>
      <c r="S899" s="5" t="str">
        <f ca="1">IFERROR(__xludf.DUMMYFUNCTION("""COMPUTED_VALUE"""),"Octavian")</f>
        <v>Octavian</v>
      </c>
      <c r="T899" s="7" t="str">
        <f ca="1">IFERROR(__xludf.DUMMYFUNCTION("""COMPUTED_VALUE"""),"http://www.ms.ro/2020/07/31/buletin-informativ-31-07-2020/")</f>
        <v>http://www.ms.ro/2020/07/31/buletin-informativ-31-07-2020/</v>
      </c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ht="12.5">
      <c r="A900" s="5">
        <f ca="1">IFERROR(__xludf.DUMMYFUNCTION("""COMPUTED_VALUE"""),49796)</f>
        <v>49796</v>
      </c>
      <c r="B900" s="5"/>
      <c r="C900" s="5" t="str">
        <f ca="1">IFERROR(__xludf.DUMMYFUNCTION("""COMPUTED_VALUE"""),"Bihor")</f>
        <v>Bihor</v>
      </c>
      <c r="D900" s="13">
        <f ca="1">IFERROR(__xludf.DUMMYFUNCTION("""COMPUTED_VALUE"""),44043)</f>
        <v>44043</v>
      </c>
      <c r="E900" s="5" t="str">
        <f ca="1">IFERROR(__xludf.DUMMYFUNCTION("""COMPUTED_VALUE"""),"Nu")</f>
        <v>Nu</v>
      </c>
      <c r="F900" s="5"/>
      <c r="G900" s="5"/>
      <c r="H900" s="6"/>
      <c r="I900" s="5"/>
      <c r="J900" s="5"/>
      <c r="K900" s="7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900" s="5"/>
      <c r="M900" s="5"/>
      <c r="N900" s="5"/>
      <c r="O900" s="5"/>
      <c r="P900" s="5"/>
      <c r="Q900" s="5"/>
      <c r="R900" s="5" t="str">
        <f ca="1">IFERROR(__xludf.DUMMYFUNCTION("""COMPUTED_VALUE"""),"România")</f>
        <v>România</v>
      </c>
      <c r="S900" s="5" t="str">
        <f ca="1">IFERROR(__xludf.DUMMYFUNCTION("""COMPUTED_VALUE"""),"Octavian")</f>
        <v>Octavian</v>
      </c>
      <c r="T900" s="7" t="str">
        <f ca="1">IFERROR(__xludf.DUMMYFUNCTION("""COMPUTED_VALUE"""),"http://www.ms.ro/2020/07/31/buletin-informativ-31-07-2020/")</f>
        <v>http://www.ms.ro/2020/07/31/buletin-informativ-31-07-2020/</v>
      </c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2.5">
      <c r="A901" s="5">
        <f ca="1">IFERROR(__xludf.DUMMYFUNCTION("""COMPUTED_VALUE"""),49797)</f>
        <v>49797</v>
      </c>
      <c r="B901" s="5"/>
      <c r="C901" s="5" t="str">
        <f ca="1">IFERROR(__xludf.DUMMYFUNCTION("""COMPUTED_VALUE"""),"Bihor")</f>
        <v>Bihor</v>
      </c>
      <c r="D901" s="13">
        <f ca="1">IFERROR(__xludf.DUMMYFUNCTION("""COMPUTED_VALUE"""),44043)</f>
        <v>44043</v>
      </c>
      <c r="E901" s="5" t="str">
        <f ca="1">IFERROR(__xludf.DUMMYFUNCTION("""COMPUTED_VALUE"""),"Nu")</f>
        <v>Nu</v>
      </c>
      <c r="F901" s="5"/>
      <c r="G901" s="5"/>
      <c r="H901" s="6"/>
      <c r="I901" s="5"/>
      <c r="J901" s="5"/>
      <c r="K901" s="7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901" s="5"/>
      <c r="M901" s="5"/>
      <c r="N901" s="5"/>
      <c r="O901" s="5"/>
      <c r="P901" s="5"/>
      <c r="Q901" s="5"/>
      <c r="R901" s="5" t="str">
        <f ca="1">IFERROR(__xludf.DUMMYFUNCTION("""COMPUTED_VALUE"""),"România")</f>
        <v>România</v>
      </c>
      <c r="S901" s="5" t="str">
        <f ca="1">IFERROR(__xludf.DUMMYFUNCTION("""COMPUTED_VALUE"""),"Octavian")</f>
        <v>Octavian</v>
      </c>
      <c r="T901" s="7" t="str">
        <f ca="1">IFERROR(__xludf.DUMMYFUNCTION("""COMPUTED_VALUE"""),"http://www.ms.ro/2020/07/31/buletin-informativ-31-07-2020/")</f>
        <v>http://www.ms.ro/2020/07/31/buletin-informativ-31-07-2020/</v>
      </c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ht="12.5">
      <c r="A902" s="5">
        <f ca="1">IFERROR(__xludf.DUMMYFUNCTION("""COMPUTED_VALUE"""),49798)</f>
        <v>49798</v>
      </c>
      <c r="B902" s="5"/>
      <c r="C902" s="5" t="str">
        <f ca="1">IFERROR(__xludf.DUMMYFUNCTION("""COMPUTED_VALUE"""),"Bihor")</f>
        <v>Bihor</v>
      </c>
      <c r="D902" s="13">
        <f ca="1">IFERROR(__xludf.DUMMYFUNCTION("""COMPUTED_VALUE"""),44043)</f>
        <v>44043</v>
      </c>
      <c r="E902" s="5" t="str">
        <f ca="1">IFERROR(__xludf.DUMMYFUNCTION("""COMPUTED_VALUE"""),"Nu")</f>
        <v>Nu</v>
      </c>
      <c r="F902" s="5"/>
      <c r="G902" s="5"/>
      <c r="H902" s="6"/>
      <c r="I902" s="5"/>
      <c r="J902" s="5"/>
      <c r="K902" s="7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902" s="5"/>
      <c r="M902" s="5"/>
      <c r="N902" s="5"/>
      <c r="O902" s="5"/>
      <c r="P902" s="5"/>
      <c r="Q902" s="5"/>
      <c r="R902" s="5" t="str">
        <f ca="1">IFERROR(__xludf.DUMMYFUNCTION("""COMPUTED_VALUE"""),"România")</f>
        <v>România</v>
      </c>
      <c r="S902" s="5" t="str">
        <f ca="1">IFERROR(__xludf.DUMMYFUNCTION("""COMPUTED_VALUE"""),"Octavian")</f>
        <v>Octavian</v>
      </c>
      <c r="T902" s="7" t="str">
        <f ca="1">IFERROR(__xludf.DUMMYFUNCTION("""COMPUTED_VALUE"""),"http://www.ms.ro/2020/07/31/buletin-informativ-31-07-2020/")</f>
        <v>http://www.ms.ro/2020/07/31/buletin-informativ-31-07-2020/</v>
      </c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2.5">
      <c r="A903" s="5">
        <f ca="1">IFERROR(__xludf.DUMMYFUNCTION("""COMPUTED_VALUE"""),49799)</f>
        <v>49799</v>
      </c>
      <c r="B903" s="5"/>
      <c r="C903" s="5" t="str">
        <f ca="1">IFERROR(__xludf.DUMMYFUNCTION("""COMPUTED_VALUE"""),"Bihor")</f>
        <v>Bihor</v>
      </c>
      <c r="D903" s="13">
        <f ca="1">IFERROR(__xludf.DUMMYFUNCTION("""COMPUTED_VALUE"""),44043)</f>
        <v>44043</v>
      </c>
      <c r="E903" s="5" t="str">
        <f ca="1">IFERROR(__xludf.DUMMYFUNCTION("""COMPUTED_VALUE"""),"Nu")</f>
        <v>Nu</v>
      </c>
      <c r="F903" s="5"/>
      <c r="G903" s="5"/>
      <c r="H903" s="6"/>
      <c r="I903" s="5"/>
      <c r="J903" s="5"/>
      <c r="K903" s="7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903" s="5"/>
      <c r="M903" s="5"/>
      <c r="N903" s="5"/>
      <c r="O903" s="5"/>
      <c r="P903" s="5"/>
      <c r="Q903" s="5"/>
      <c r="R903" s="5" t="str">
        <f ca="1">IFERROR(__xludf.DUMMYFUNCTION("""COMPUTED_VALUE"""),"România")</f>
        <v>România</v>
      </c>
      <c r="S903" s="5" t="str">
        <f ca="1">IFERROR(__xludf.DUMMYFUNCTION("""COMPUTED_VALUE"""),"Octavian")</f>
        <v>Octavian</v>
      </c>
      <c r="T903" s="7" t="str">
        <f ca="1">IFERROR(__xludf.DUMMYFUNCTION("""COMPUTED_VALUE"""),"http://www.ms.ro/2020/07/31/buletin-informativ-31-07-2020/")</f>
        <v>http://www.ms.ro/2020/07/31/buletin-informativ-31-07-2020/</v>
      </c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ht="12.5">
      <c r="A904" s="5">
        <f ca="1">IFERROR(__xludf.DUMMYFUNCTION("""COMPUTED_VALUE"""),49800)</f>
        <v>49800</v>
      </c>
      <c r="B904" s="5"/>
      <c r="C904" s="5" t="str">
        <f ca="1">IFERROR(__xludf.DUMMYFUNCTION("""COMPUTED_VALUE"""),"Bihor")</f>
        <v>Bihor</v>
      </c>
      <c r="D904" s="13">
        <f ca="1">IFERROR(__xludf.DUMMYFUNCTION("""COMPUTED_VALUE"""),44043)</f>
        <v>44043</v>
      </c>
      <c r="E904" s="5" t="str">
        <f ca="1">IFERROR(__xludf.DUMMYFUNCTION("""COMPUTED_VALUE"""),"Nu")</f>
        <v>Nu</v>
      </c>
      <c r="F904" s="5"/>
      <c r="G904" s="5"/>
      <c r="H904" s="6"/>
      <c r="I904" s="5"/>
      <c r="J904" s="5"/>
      <c r="K904" s="7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904" s="5"/>
      <c r="M904" s="5"/>
      <c r="N904" s="5"/>
      <c r="O904" s="5"/>
      <c r="P904" s="5"/>
      <c r="Q904" s="5"/>
      <c r="R904" s="5" t="str">
        <f ca="1">IFERROR(__xludf.DUMMYFUNCTION("""COMPUTED_VALUE"""),"România")</f>
        <v>România</v>
      </c>
      <c r="S904" s="5" t="str">
        <f ca="1">IFERROR(__xludf.DUMMYFUNCTION("""COMPUTED_VALUE"""),"Octavian")</f>
        <v>Octavian</v>
      </c>
      <c r="T904" s="7" t="str">
        <f ca="1">IFERROR(__xludf.DUMMYFUNCTION("""COMPUTED_VALUE"""),"http://www.ms.ro/2020/07/31/buletin-informativ-31-07-2020/")</f>
        <v>http://www.ms.ro/2020/07/31/buletin-informativ-31-07-2020/</v>
      </c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2.5">
      <c r="A905" s="5">
        <f ca="1">IFERROR(__xludf.DUMMYFUNCTION("""COMPUTED_VALUE"""),49801)</f>
        <v>49801</v>
      </c>
      <c r="B905" s="5"/>
      <c r="C905" s="5" t="str">
        <f ca="1">IFERROR(__xludf.DUMMYFUNCTION("""COMPUTED_VALUE"""),"Bihor")</f>
        <v>Bihor</v>
      </c>
      <c r="D905" s="13">
        <f ca="1">IFERROR(__xludf.DUMMYFUNCTION("""COMPUTED_VALUE"""),44043)</f>
        <v>44043</v>
      </c>
      <c r="E905" s="5" t="str">
        <f ca="1">IFERROR(__xludf.DUMMYFUNCTION("""COMPUTED_VALUE"""),"Nu")</f>
        <v>Nu</v>
      </c>
      <c r="F905" s="5"/>
      <c r="G905" s="5"/>
      <c r="H905" s="6"/>
      <c r="I905" s="5"/>
      <c r="J905" s="5"/>
      <c r="K905" s="7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905" s="5"/>
      <c r="M905" s="5"/>
      <c r="N905" s="5"/>
      <c r="O905" s="5"/>
      <c r="P905" s="5"/>
      <c r="Q905" s="5"/>
      <c r="R905" s="5" t="str">
        <f ca="1">IFERROR(__xludf.DUMMYFUNCTION("""COMPUTED_VALUE"""),"România")</f>
        <v>România</v>
      </c>
      <c r="S905" s="5" t="str">
        <f ca="1">IFERROR(__xludf.DUMMYFUNCTION("""COMPUTED_VALUE"""),"Octavian")</f>
        <v>Octavian</v>
      </c>
      <c r="T905" s="7" t="str">
        <f ca="1">IFERROR(__xludf.DUMMYFUNCTION("""COMPUTED_VALUE"""),"http://www.ms.ro/2020/07/31/buletin-informativ-31-07-2020/")</f>
        <v>http://www.ms.ro/2020/07/31/buletin-informativ-31-07-2020/</v>
      </c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ht="12.5">
      <c r="A906" s="5">
        <f ca="1">IFERROR(__xludf.DUMMYFUNCTION("""COMPUTED_VALUE"""),49802)</f>
        <v>49802</v>
      </c>
      <c r="B906" s="5"/>
      <c r="C906" s="5" t="str">
        <f ca="1">IFERROR(__xludf.DUMMYFUNCTION("""COMPUTED_VALUE"""),"Bihor")</f>
        <v>Bihor</v>
      </c>
      <c r="D906" s="13">
        <f ca="1">IFERROR(__xludf.DUMMYFUNCTION("""COMPUTED_VALUE"""),44043)</f>
        <v>44043</v>
      </c>
      <c r="E906" s="5" t="str">
        <f ca="1">IFERROR(__xludf.DUMMYFUNCTION("""COMPUTED_VALUE"""),"Nu")</f>
        <v>Nu</v>
      </c>
      <c r="F906" s="5"/>
      <c r="G906" s="5"/>
      <c r="H906" s="6"/>
      <c r="I906" s="5"/>
      <c r="J906" s="5"/>
      <c r="K906" s="7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906" s="5"/>
      <c r="M906" s="5"/>
      <c r="N906" s="5"/>
      <c r="O906" s="5"/>
      <c r="P906" s="5"/>
      <c r="Q906" s="5"/>
      <c r="R906" s="5" t="str">
        <f ca="1">IFERROR(__xludf.DUMMYFUNCTION("""COMPUTED_VALUE"""),"România")</f>
        <v>România</v>
      </c>
      <c r="S906" s="5" t="str">
        <f ca="1">IFERROR(__xludf.DUMMYFUNCTION("""COMPUTED_VALUE"""),"Octavian")</f>
        <v>Octavian</v>
      </c>
      <c r="T906" s="7" t="str">
        <f ca="1">IFERROR(__xludf.DUMMYFUNCTION("""COMPUTED_VALUE"""),"http://www.ms.ro/2020/07/31/buletin-informativ-31-07-2020/")</f>
        <v>http://www.ms.ro/2020/07/31/buletin-informativ-31-07-2020/</v>
      </c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2.5">
      <c r="A907" s="5">
        <f ca="1">IFERROR(__xludf.DUMMYFUNCTION("""COMPUTED_VALUE"""),49803)</f>
        <v>49803</v>
      </c>
      <c r="B907" s="5"/>
      <c r="C907" s="5" t="str">
        <f ca="1">IFERROR(__xludf.DUMMYFUNCTION("""COMPUTED_VALUE"""),"Bihor")</f>
        <v>Bihor</v>
      </c>
      <c r="D907" s="13">
        <f ca="1">IFERROR(__xludf.DUMMYFUNCTION("""COMPUTED_VALUE"""),44043)</f>
        <v>44043</v>
      </c>
      <c r="E907" s="5" t="str">
        <f ca="1">IFERROR(__xludf.DUMMYFUNCTION("""COMPUTED_VALUE"""),"Nu")</f>
        <v>Nu</v>
      </c>
      <c r="F907" s="5"/>
      <c r="G907" s="5"/>
      <c r="H907" s="6"/>
      <c r="I907" s="5"/>
      <c r="J907" s="5"/>
      <c r="K907" s="7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907" s="5"/>
      <c r="M907" s="5"/>
      <c r="N907" s="5"/>
      <c r="O907" s="5"/>
      <c r="P907" s="5"/>
      <c r="Q907" s="5"/>
      <c r="R907" s="5" t="str">
        <f ca="1">IFERROR(__xludf.DUMMYFUNCTION("""COMPUTED_VALUE"""),"România")</f>
        <v>România</v>
      </c>
      <c r="S907" s="5" t="str">
        <f ca="1">IFERROR(__xludf.DUMMYFUNCTION("""COMPUTED_VALUE"""),"Octavian")</f>
        <v>Octavian</v>
      </c>
      <c r="T907" s="7" t="str">
        <f ca="1">IFERROR(__xludf.DUMMYFUNCTION("""COMPUTED_VALUE"""),"http://www.ms.ro/2020/07/31/buletin-informativ-31-07-2020/")</f>
        <v>http://www.ms.ro/2020/07/31/buletin-informativ-31-07-2020/</v>
      </c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ht="12.5">
      <c r="A908" s="5">
        <f ca="1">IFERROR(__xludf.DUMMYFUNCTION("""COMPUTED_VALUE"""),49804)</f>
        <v>49804</v>
      </c>
      <c r="B908" s="5"/>
      <c r="C908" s="5" t="str">
        <f ca="1">IFERROR(__xludf.DUMMYFUNCTION("""COMPUTED_VALUE"""),"Bihor")</f>
        <v>Bihor</v>
      </c>
      <c r="D908" s="13">
        <f ca="1">IFERROR(__xludf.DUMMYFUNCTION("""COMPUTED_VALUE"""),44043)</f>
        <v>44043</v>
      </c>
      <c r="E908" s="5" t="str">
        <f ca="1">IFERROR(__xludf.DUMMYFUNCTION("""COMPUTED_VALUE"""),"Nu")</f>
        <v>Nu</v>
      </c>
      <c r="F908" s="5"/>
      <c r="G908" s="5"/>
      <c r="H908" s="6"/>
      <c r="I908" s="5"/>
      <c r="J908" s="5"/>
      <c r="K908" s="7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908" s="5"/>
      <c r="M908" s="5"/>
      <c r="N908" s="5"/>
      <c r="O908" s="5"/>
      <c r="P908" s="5"/>
      <c r="Q908" s="5"/>
      <c r="R908" s="5" t="str">
        <f ca="1">IFERROR(__xludf.DUMMYFUNCTION("""COMPUTED_VALUE"""),"România")</f>
        <v>România</v>
      </c>
      <c r="S908" s="5" t="str">
        <f ca="1">IFERROR(__xludf.DUMMYFUNCTION("""COMPUTED_VALUE"""),"Octavian")</f>
        <v>Octavian</v>
      </c>
      <c r="T908" s="7" t="str">
        <f ca="1">IFERROR(__xludf.DUMMYFUNCTION("""COMPUTED_VALUE"""),"http://www.ms.ro/2020/07/31/buletin-informativ-31-07-2020/")</f>
        <v>http://www.ms.ro/2020/07/31/buletin-informativ-31-07-2020/</v>
      </c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2.5">
      <c r="A909" s="5">
        <f ca="1">IFERROR(__xludf.DUMMYFUNCTION("""COMPUTED_VALUE"""),49805)</f>
        <v>49805</v>
      </c>
      <c r="B909" s="5"/>
      <c r="C909" s="5" t="str">
        <f ca="1">IFERROR(__xludf.DUMMYFUNCTION("""COMPUTED_VALUE"""),"Bihor")</f>
        <v>Bihor</v>
      </c>
      <c r="D909" s="13">
        <f ca="1">IFERROR(__xludf.DUMMYFUNCTION("""COMPUTED_VALUE"""),44043)</f>
        <v>44043</v>
      </c>
      <c r="E909" s="5" t="str">
        <f ca="1">IFERROR(__xludf.DUMMYFUNCTION("""COMPUTED_VALUE"""),"Nu")</f>
        <v>Nu</v>
      </c>
      <c r="F909" s="5"/>
      <c r="G909" s="5"/>
      <c r="H909" s="6"/>
      <c r="I909" s="5"/>
      <c r="J909" s="5"/>
      <c r="K909" s="7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909" s="5"/>
      <c r="M909" s="5"/>
      <c r="N909" s="5"/>
      <c r="O909" s="5"/>
      <c r="P909" s="5"/>
      <c r="Q909" s="5"/>
      <c r="R909" s="5" t="str">
        <f ca="1">IFERROR(__xludf.DUMMYFUNCTION("""COMPUTED_VALUE"""),"România")</f>
        <v>România</v>
      </c>
      <c r="S909" s="5" t="str">
        <f ca="1">IFERROR(__xludf.DUMMYFUNCTION("""COMPUTED_VALUE"""),"Octavian")</f>
        <v>Octavian</v>
      </c>
      <c r="T909" s="7" t="str">
        <f ca="1">IFERROR(__xludf.DUMMYFUNCTION("""COMPUTED_VALUE"""),"http://www.ms.ro/2020/07/31/buletin-informativ-31-07-2020/")</f>
        <v>http://www.ms.ro/2020/07/31/buletin-informativ-31-07-2020/</v>
      </c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ht="12.5">
      <c r="A910" s="5">
        <f ca="1">IFERROR(__xludf.DUMMYFUNCTION("""COMPUTED_VALUE"""),49806)</f>
        <v>49806</v>
      </c>
      <c r="B910" s="5"/>
      <c r="C910" s="5" t="str">
        <f ca="1">IFERROR(__xludf.DUMMYFUNCTION("""COMPUTED_VALUE"""),"Bihor")</f>
        <v>Bihor</v>
      </c>
      <c r="D910" s="13">
        <f ca="1">IFERROR(__xludf.DUMMYFUNCTION("""COMPUTED_VALUE"""),44043)</f>
        <v>44043</v>
      </c>
      <c r="E910" s="5" t="str">
        <f ca="1">IFERROR(__xludf.DUMMYFUNCTION("""COMPUTED_VALUE"""),"Nu")</f>
        <v>Nu</v>
      </c>
      <c r="F910" s="5"/>
      <c r="G910" s="5"/>
      <c r="H910" s="6"/>
      <c r="I910" s="5"/>
      <c r="J910" s="5"/>
      <c r="K910" s="7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910" s="5"/>
      <c r="M910" s="5"/>
      <c r="N910" s="5"/>
      <c r="O910" s="5"/>
      <c r="P910" s="5"/>
      <c r="Q910" s="5"/>
      <c r="R910" s="5" t="str">
        <f ca="1">IFERROR(__xludf.DUMMYFUNCTION("""COMPUTED_VALUE"""),"România")</f>
        <v>România</v>
      </c>
      <c r="S910" s="5" t="str">
        <f ca="1">IFERROR(__xludf.DUMMYFUNCTION("""COMPUTED_VALUE"""),"Octavian")</f>
        <v>Octavian</v>
      </c>
      <c r="T910" s="7" t="str">
        <f ca="1">IFERROR(__xludf.DUMMYFUNCTION("""COMPUTED_VALUE"""),"http://www.ms.ro/2020/07/31/buletin-informativ-31-07-2020/")</f>
        <v>http://www.ms.ro/2020/07/31/buletin-informativ-31-07-2020/</v>
      </c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2.5">
      <c r="A911" s="5">
        <f ca="1">IFERROR(__xludf.DUMMYFUNCTION("""COMPUTED_VALUE"""),49807)</f>
        <v>49807</v>
      </c>
      <c r="B911" s="5"/>
      <c r="C911" s="5" t="str">
        <f ca="1">IFERROR(__xludf.DUMMYFUNCTION("""COMPUTED_VALUE"""),"Bihor")</f>
        <v>Bihor</v>
      </c>
      <c r="D911" s="13">
        <f ca="1">IFERROR(__xludf.DUMMYFUNCTION("""COMPUTED_VALUE"""),44043)</f>
        <v>44043</v>
      </c>
      <c r="E911" s="5" t="str">
        <f ca="1">IFERROR(__xludf.DUMMYFUNCTION("""COMPUTED_VALUE"""),"Nu")</f>
        <v>Nu</v>
      </c>
      <c r="F911" s="5"/>
      <c r="G911" s="5"/>
      <c r="H911" s="6"/>
      <c r="I911" s="5"/>
      <c r="J911" s="5"/>
      <c r="K911" s="7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911" s="5"/>
      <c r="M911" s="5"/>
      <c r="N911" s="5"/>
      <c r="O911" s="5"/>
      <c r="P911" s="5"/>
      <c r="Q911" s="5"/>
      <c r="R911" s="5" t="str">
        <f ca="1">IFERROR(__xludf.DUMMYFUNCTION("""COMPUTED_VALUE"""),"România")</f>
        <v>România</v>
      </c>
      <c r="S911" s="5" t="str">
        <f ca="1">IFERROR(__xludf.DUMMYFUNCTION("""COMPUTED_VALUE"""),"Octavian")</f>
        <v>Octavian</v>
      </c>
      <c r="T911" s="7" t="str">
        <f ca="1">IFERROR(__xludf.DUMMYFUNCTION("""COMPUTED_VALUE"""),"http://www.ms.ro/2020/07/31/buletin-informativ-31-07-2020/")</f>
        <v>http://www.ms.ro/2020/07/31/buletin-informativ-31-07-2020/</v>
      </c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ht="12.5">
      <c r="A912" s="5">
        <f ca="1">IFERROR(__xludf.DUMMYFUNCTION("""COMPUTED_VALUE"""),49808)</f>
        <v>49808</v>
      </c>
      <c r="B912" s="5"/>
      <c r="C912" s="5" t="str">
        <f ca="1">IFERROR(__xludf.DUMMYFUNCTION("""COMPUTED_VALUE"""),"Bihor")</f>
        <v>Bihor</v>
      </c>
      <c r="D912" s="13">
        <f ca="1">IFERROR(__xludf.DUMMYFUNCTION("""COMPUTED_VALUE"""),44043)</f>
        <v>44043</v>
      </c>
      <c r="E912" s="5" t="str">
        <f ca="1">IFERROR(__xludf.DUMMYFUNCTION("""COMPUTED_VALUE"""),"Nu")</f>
        <v>Nu</v>
      </c>
      <c r="F912" s="5"/>
      <c r="G912" s="5"/>
      <c r="H912" s="6"/>
      <c r="I912" s="5"/>
      <c r="J912" s="5"/>
      <c r="K912" s="7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912" s="5"/>
      <c r="M912" s="5"/>
      <c r="N912" s="5"/>
      <c r="O912" s="5"/>
      <c r="P912" s="5"/>
      <c r="Q912" s="5"/>
      <c r="R912" s="5" t="str">
        <f ca="1">IFERROR(__xludf.DUMMYFUNCTION("""COMPUTED_VALUE"""),"România")</f>
        <v>România</v>
      </c>
      <c r="S912" s="5" t="str">
        <f ca="1">IFERROR(__xludf.DUMMYFUNCTION("""COMPUTED_VALUE"""),"Octavian")</f>
        <v>Octavian</v>
      </c>
      <c r="T912" s="7" t="str">
        <f ca="1">IFERROR(__xludf.DUMMYFUNCTION("""COMPUTED_VALUE"""),"http://www.ms.ro/2020/07/31/buletin-informativ-31-07-2020/")</f>
        <v>http://www.ms.ro/2020/07/31/buletin-informativ-31-07-2020/</v>
      </c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2.5">
      <c r="A913" s="5">
        <f ca="1">IFERROR(__xludf.DUMMYFUNCTION("""COMPUTED_VALUE"""),49809)</f>
        <v>49809</v>
      </c>
      <c r="B913" s="5"/>
      <c r="C913" s="5" t="str">
        <f ca="1">IFERROR(__xludf.DUMMYFUNCTION("""COMPUTED_VALUE"""),"Bihor")</f>
        <v>Bihor</v>
      </c>
      <c r="D913" s="13">
        <f ca="1">IFERROR(__xludf.DUMMYFUNCTION("""COMPUTED_VALUE"""),44043)</f>
        <v>44043</v>
      </c>
      <c r="E913" s="5" t="str">
        <f ca="1">IFERROR(__xludf.DUMMYFUNCTION("""COMPUTED_VALUE"""),"Nu")</f>
        <v>Nu</v>
      </c>
      <c r="F913" s="5"/>
      <c r="G913" s="5"/>
      <c r="H913" s="6"/>
      <c r="I913" s="5"/>
      <c r="J913" s="5"/>
      <c r="K913" s="7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913" s="5"/>
      <c r="M913" s="5"/>
      <c r="N913" s="5"/>
      <c r="O913" s="5"/>
      <c r="P913" s="5"/>
      <c r="Q913" s="5"/>
      <c r="R913" s="5" t="str">
        <f ca="1">IFERROR(__xludf.DUMMYFUNCTION("""COMPUTED_VALUE"""),"România")</f>
        <v>România</v>
      </c>
      <c r="S913" s="5" t="str">
        <f ca="1">IFERROR(__xludf.DUMMYFUNCTION("""COMPUTED_VALUE"""),"Octavian")</f>
        <v>Octavian</v>
      </c>
      <c r="T913" s="7" t="str">
        <f ca="1">IFERROR(__xludf.DUMMYFUNCTION("""COMPUTED_VALUE"""),"http://www.ms.ro/2020/07/31/buletin-informativ-31-07-2020/")</f>
        <v>http://www.ms.ro/2020/07/31/buletin-informativ-31-07-2020/</v>
      </c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ht="12.5">
      <c r="A914" s="5">
        <f ca="1">IFERROR(__xludf.DUMMYFUNCTION("""COMPUTED_VALUE"""),49810)</f>
        <v>49810</v>
      </c>
      <c r="B914" s="5"/>
      <c r="C914" s="5" t="str">
        <f ca="1">IFERROR(__xludf.DUMMYFUNCTION("""COMPUTED_VALUE"""),"Bihor")</f>
        <v>Bihor</v>
      </c>
      <c r="D914" s="13">
        <f ca="1">IFERROR(__xludf.DUMMYFUNCTION("""COMPUTED_VALUE"""),44043)</f>
        <v>44043</v>
      </c>
      <c r="E914" s="5" t="str">
        <f ca="1">IFERROR(__xludf.DUMMYFUNCTION("""COMPUTED_VALUE"""),"Nu")</f>
        <v>Nu</v>
      </c>
      <c r="F914" s="5"/>
      <c r="G914" s="5"/>
      <c r="H914" s="6"/>
      <c r="I914" s="5"/>
      <c r="J914" s="5"/>
      <c r="K914" s="7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914" s="5"/>
      <c r="M914" s="5"/>
      <c r="N914" s="5"/>
      <c r="O914" s="5"/>
      <c r="P914" s="5"/>
      <c r="Q914" s="5"/>
      <c r="R914" s="5" t="str">
        <f ca="1">IFERROR(__xludf.DUMMYFUNCTION("""COMPUTED_VALUE"""),"România")</f>
        <v>România</v>
      </c>
      <c r="S914" s="5" t="str">
        <f ca="1">IFERROR(__xludf.DUMMYFUNCTION("""COMPUTED_VALUE"""),"Octavian")</f>
        <v>Octavian</v>
      </c>
      <c r="T914" s="7" t="str">
        <f ca="1">IFERROR(__xludf.DUMMYFUNCTION("""COMPUTED_VALUE"""),"http://www.ms.ro/2020/07/31/buletin-informativ-31-07-2020/")</f>
        <v>http://www.ms.ro/2020/07/31/buletin-informativ-31-07-2020/</v>
      </c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2.5">
      <c r="A915" s="5">
        <f ca="1">IFERROR(__xludf.DUMMYFUNCTION("""COMPUTED_VALUE"""),49811)</f>
        <v>49811</v>
      </c>
      <c r="B915" s="5"/>
      <c r="C915" s="5" t="str">
        <f ca="1">IFERROR(__xludf.DUMMYFUNCTION("""COMPUTED_VALUE"""),"Bihor")</f>
        <v>Bihor</v>
      </c>
      <c r="D915" s="13">
        <f ca="1">IFERROR(__xludf.DUMMYFUNCTION("""COMPUTED_VALUE"""),44043)</f>
        <v>44043</v>
      </c>
      <c r="E915" s="5" t="str">
        <f ca="1">IFERROR(__xludf.DUMMYFUNCTION("""COMPUTED_VALUE"""),"Nu")</f>
        <v>Nu</v>
      </c>
      <c r="F915" s="5"/>
      <c r="G915" s="5"/>
      <c r="H915" s="6"/>
      <c r="I915" s="5"/>
      <c r="J915" s="5"/>
      <c r="K915" s="7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915" s="5"/>
      <c r="M915" s="5"/>
      <c r="N915" s="5"/>
      <c r="O915" s="5"/>
      <c r="P915" s="5"/>
      <c r="Q915" s="5"/>
      <c r="R915" s="5" t="str">
        <f ca="1">IFERROR(__xludf.DUMMYFUNCTION("""COMPUTED_VALUE"""),"România")</f>
        <v>România</v>
      </c>
      <c r="S915" s="5" t="str">
        <f ca="1">IFERROR(__xludf.DUMMYFUNCTION("""COMPUTED_VALUE"""),"Octavian")</f>
        <v>Octavian</v>
      </c>
      <c r="T915" s="7" t="str">
        <f ca="1">IFERROR(__xludf.DUMMYFUNCTION("""COMPUTED_VALUE"""),"http://www.ms.ro/2020/07/31/buletin-informativ-31-07-2020/")</f>
        <v>http://www.ms.ro/2020/07/31/buletin-informativ-31-07-2020/</v>
      </c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ht="12.5">
      <c r="A916" s="5">
        <f ca="1">IFERROR(__xludf.DUMMYFUNCTION("""COMPUTED_VALUE"""),49812)</f>
        <v>49812</v>
      </c>
      <c r="B916" s="5"/>
      <c r="C916" s="5" t="str">
        <f ca="1">IFERROR(__xludf.DUMMYFUNCTION("""COMPUTED_VALUE"""),"Bihor")</f>
        <v>Bihor</v>
      </c>
      <c r="D916" s="13">
        <f ca="1">IFERROR(__xludf.DUMMYFUNCTION("""COMPUTED_VALUE"""),44043)</f>
        <v>44043</v>
      </c>
      <c r="E916" s="5" t="str">
        <f ca="1">IFERROR(__xludf.DUMMYFUNCTION("""COMPUTED_VALUE"""),"Nu")</f>
        <v>Nu</v>
      </c>
      <c r="F916" s="5"/>
      <c r="G916" s="5"/>
      <c r="H916" s="6"/>
      <c r="I916" s="5"/>
      <c r="J916" s="5"/>
      <c r="K916" s="7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916" s="5"/>
      <c r="M916" s="5"/>
      <c r="N916" s="5"/>
      <c r="O916" s="5"/>
      <c r="P916" s="5"/>
      <c r="Q916" s="5"/>
      <c r="R916" s="5" t="str">
        <f ca="1">IFERROR(__xludf.DUMMYFUNCTION("""COMPUTED_VALUE"""),"România")</f>
        <v>România</v>
      </c>
      <c r="S916" s="5" t="str">
        <f ca="1">IFERROR(__xludf.DUMMYFUNCTION("""COMPUTED_VALUE"""),"Octavian")</f>
        <v>Octavian</v>
      </c>
      <c r="T916" s="7" t="str">
        <f ca="1">IFERROR(__xludf.DUMMYFUNCTION("""COMPUTED_VALUE"""),"http://www.ms.ro/2020/07/31/buletin-informativ-31-07-2020/")</f>
        <v>http://www.ms.ro/2020/07/31/buletin-informativ-31-07-2020/</v>
      </c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2.5">
      <c r="A917" s="5">
        <f ca="1">IFERROR(__xludf.DUMMYFUNCTION("""COMPUTED_VALUE"""),49813)</f>
        <v>49813</v>
      </c>
      <c r="B917" s="5"/>
      <c r="C917" s="5" t="str">
        <f ca="1">IFERROR(__xludf.DUMMYFUNCTION("""COMPUTED_VALUE"""),"Bihor")</f>
        <v>Bihor</v>
      </c>
      <c r="D917" s="13">
        <f ca="1">IFERROR(__xludf.DUMMYFUNCTION("""COMPUTED_VALUE"""),44043)</f>
        <v>44043</v>
      </c>
      <c r="E917" s="5" t="str">
        <f ca="1">IFERROR(__xludf.DUMMYFUNCTION("""COMPUTED_VALUE"""),"Nu")</f>
        <v>Nu</v>
      </c>
      <c r="F917" s="5"/>
      <c r="G917" s="5"/>
      <c r="H917" s="6"/>
      <c r="I917" s="5"/>
      <c r="J917" s="5"/>
      <c r="K917" s="7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917" s="5"/>
      <c r="M917" s="5"/>
      <c r="N917" s="5"/>
      <c r="O917" s="5"/>
      <c r="P917" s="5"/>
      <c r="Q917" s="5"/>
      <c r="R917" s="5" t="str">
        <f ca="1">IFERROR(__xludf.DUMMYFUNCTION("""COMPUTED_VALUE"""),"România")</f>
        <v>România</v>
      </c>
      <c r="S917" s="5" t="str">
        <f ca="1">IFERROR(__xludf.DUMMYFUNCTION("""COMPUTED_VALUE"""),"Octavian")</f>
        <v>Octavian</v>
      </c>
      <c r="T917" s="7" t="str">
        <f ca="1">IFERROR(__xludf.DUMMYFUNCTION("""COMPUTED_VALUE"""),"http://www.ms.ro/2020/07/31/buletin-informativ-31-07-2020/")</f>
        <v>http://www.ms.ro/2020/07/31/buletin-informativ-31-07-2020/</v>
      </c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ht="12.5">
      <c r="A918" s="5">
        <f ca="1">IFERROR(__xludf.DUMMYFUNCTION("""COMPUTED_VALUE"""),51087)</f>
        <v>51087</v>
      </c>
      <c r="B918" s="5"/>
      <c r="C918" s="5" t="str">
        <f ca="1">IFERROR(__xludf.DUMMYFUNCTION("""COMPUTED_VALUE"""),"Bihor")</f>
        <v>Bihor</v>
      </c>
      <c r="D918" s="13">
        <f ca="1">IFERROR(__xludf.DUMMYFUNCTION("""COMPUTED_VALUE"""),44043)</f>
        <v>44043</v>
      </c>
      <c r="E918" s="5" t="str">
        <f ca="1">IFERROR(__xludf.DUMMYFUNCTION("""COMPUTED_VALUE"""),"Nu")</f>
        <v>Nu</v>
      </c>
      <c r="F918" s="5"/>
      <c r="G918" s="5"/>
      <c r="H918" s="6"/>
      <c r="I918" s="5"/>
      <c r="J918" s="5"/>
      <c r="K918" s="7" t="str">
        <f ca="1">IFERROR(__xludf.DUMMYFUNCTION("""COMPUTED_VALUE"""),"https://www.ebihoreanul.ro/stiri/nou-record-covid-in-bihor-52-de-cazuri-noi-157971.html")</f>
        <v>https://www.ebihoreanul.ro/stiri/nou-record-covid-in-bihor-52-de-cazuri-noi-157971.html</v>
      </c>
      <c r="L918" s="5"/>
      <c r="M918" s="5" t="str">
        <f ca="1">IFERROR(__xludf.DUMMYFUNCTION("""COMPUTED_VALUE"""),"Oradea")</f>
        <v>Oradea</v>
      </c>
      <c r="N918" s="5"/>
      <c r="O918" s="5"/>
      <c r="P918" s="5"/>
      <c r="Q918" s="5"/>
      <c r="R918" s="5" t="str">
        <f ca="1">IFERROR(__xludf.DUMMYFUNCTION("""COMPUTED_VALUE"""),"România")</f>
        <v>România</v>
      </c>
      <c r="S918" s="5" t="str">
        <f ca="1">IFERROR(__xludf.DUMMYFUNCTION("""COMPUTED_VALUE"""),"Octavian")</f>
        <v>Octavian</v>
      </c>
      <c r="T918" s="7" t="str">
        <f ca="1">IFERROR(__xludf.DUMMYFUNCTION("""COMPUTED_VALUE"""),"http://www.ms.ro/2020/08/01/buletin-informativ-01-08-2020/")</f>
        <v>http://www.ms.ro/2020/08/01/buletin-informativ-01-08-2020/</v>
      </c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2.5">
      <c r="A919" s="5">
        <f ca="1">IFERROR(__xludf.DUMMYFUNCTION("""COMPUTED_VALUE"""),51088)</f>
        <v>51088</v>
      </c>
      <c r="B919" s="5"/>
      <c r="C919" s="5" t="str">
        <f ca="1">IFERROR(__xludf.DUMMYFUNCTION("""COMPUTED_VALUE"""),"Bihor")</f>
        <v>Bihor</v>
      </c>
      <c r="D919" s="13">
        <f ca="1">IFERROR(__xludf.DUMMYFUNCTION("""COMPUTED_VALUE"""),44043)</f>
        <v>44043</v>
      </c>
      <c r="E919" s="5" t="str">
        <f ca="1">IFERROR(__xludf.DUMMYFUNCTION("""COMPUTED_VALUE"""),"Nu")</f>
        <v>Nu</v>
      </c>
      <c r="F919" s="5"/>
      <c r="G919" s="5"/>
      <c r="H919" s="6"/>
      <c r="I919" s="5"/>
      <c r="J919" s="5"/>
      <c r="K919" s="7" t="str">
        <f ca="1">IFERROR(__xludf.DUMMYFUNCTION("""COMPUTED_VALUE"""),"https://www.ebihoreanul.ro/stiri/nou-record-covid-in-bihor-52-de-cazuri-noi-157971.html")</f>
        <v>https://www.ebihoreanul.ro/stiri/nou-record-covid-in-bihor-52-de-cazuri-noi-157971.html</v>
      </c>
      <c r="L919" s="5"/>
      <c r="M919" s="5" t="str">
        <f ca="1">IFERROR(__xludf.DUMMYFUNCTION("""COMPUTED_VALUE"""),"Ineu")</f>
        <v>Ineu</v>
      </c>
      <c r="N919" s="5"/>
      <c r="O919" s="5"/>
      <c r="P919" s="5"/>
      <c r="Q919" s="5"/>
      <c r="R919" s="5" t="str">
        <f ca="1">IFERROR(__xludf.DUMMYFUNCTION("""COMPUTED_VALUE"""),"România")</f>
        <v>România</v>
      </c>
      <c r="S919" s="5" t="str">
        <f ca="1">IFERROR(__xludf.DUMMYFUNCTION("""COMPUTED_VALUE"""),"Octavian")</f>
        <v>Octavian</v>
      </c>
      <c r="T919" s="7" t="str">
        <f ca="1">IFERROR(__xludf.DUMMYFUNCTION("""COMPUTED_VALUE"""),"http://www.ms.ro/2020/08/01/buletin-informativ-01-08-2020/")</f>
        <v>http://www.ms.ro/2020/08/01/buletin-informativ-01-08-2020/</v>
      </c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ht="12.5">
      <c r="A920" s="5">
        <f ca="1">IFERROR(__xludf.DUMMYFUNCTION("""COMPUTED_VALUE"""),51089)</f>
        <v>51089</v>
      </c>
      <c r="B920" s="5"/>
      <c r="C920" s="5" t="str">
        <f ca="1">IFERROR(__xludf.DUMMYFUNCTION("""COMPUTED_VALUE"""),"Bihor")</f>
        <v>Bihor</v>
      </c>
      <c r="D920" s="13">
        <f ca="1">IFERROR(__xludf.DUMMYFUNCTION("""COMPUTED_VALUE"""),44043)</f>
        <v>44043</v>
      </c>
      <c r="E920" s="5" t="str">
        <f ca="1">IFERROR(__xludf.DUMMYFUNCTION("""COMPUTED_VALUE"""),"Nu")</f>
        <v>Nu</v>
      </c>
      <c r="F920" s="5"/>
      <c r="G920" s="5"/>
      <c r="H920" s="6"/>
      <c r="I920" s="5"/>
      <c r="J920" s="5"/>
      <c r="K920" s="7" t="str">
        <f ca="1">IFERROR(__xludf.DUMMYFUNCTION("""COMPUTED_VALUE"""),"https://www.ebihoreanul.ro/stiri/nou-record-covid-in-bihor-52-de-cazuri-noi-157971.html")</f>
        <v>https://www.ebihoreanul.ro/stiri/nou-record-covid-in-bihor-52-de-cazuri-noi-157971.html</v>
      </c>
      <c r="L920" s="5"/>
      <c r="M920" s="5" t="str">
        <f ca="1">IFERROR(__xludf.DUMMYFUNCTION("""COMPUTED_VALUE"""),"Oșorhei")</f>
        <v>Oșorhei</v>
      </c>
      <c r="N920" s="5"/>
      <c r="O920" s="5"/>
      <c r="P920" s="5"/>
      <c r="Q920" s="5"/>
      <c r="R920" s="5" t="str">
        <f ca="1">IFERROR(__xludf.DUMMYFUNCTION("""COMPUTED_VALUE"""),"România")</f>
        <v>România</v>
      </c>
      <c r="S920" s="5" t="str">
        <f ca="1">IFERROR(__xludf.DUMMYFUNCTION("""COMPUTED_VALUE"""),"Octavian")</f>
        <v>Octavian</v>
      </c>
      <c r="T920" s="7" t="str">
        <f ca="1">IFERROR(__xludf.DUMMYFUNCTION("""COMPUTED_VALUE"""),"http://www.ms.ro/2020/08/01/buletin-informativ-01-08-2020/")</f>
        <v>http://www.ms.ro/2020/08/01/buletin-informativ-01-08-2020/</v>
      </c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2.5">
      <c r="A921" s="5">
        <f ca="1">IFERROR(__xludf.DUMMYFUNCTION("""COMPUTED_VALUE"""),51090)</f>
        <v>51090</v>
      </c>
      <c r="B921" s="5"/>
      <c r="C921" s="5" t="str">
        <f ca="1">IFERROR(__xludf.DUMMYFUNCTION("""COMPUTED_VALUE"""),"Bihor")</f>
        <v>Bihor</v>
      </c>
      <c r="D921" s="13">
        <f ca="1">IFERROR(__xludf.DUMMYFUNCTION("""COMPUTED_VALUE"""),44043)</f>
        <v>44043</v>
      </c>
      <c r="E921" s="5" t="str">
        <f ca="1">IFERROR(__xludf.DUMMYFUNCTION("""COMPUTED_VALUE"""),"Nu")</f>
        <v>Nu</v>
      </c>
      <c r="F921" s="5"/>
      <c r="G921" s="5"/>
      <c r="H921" s="6"/>
      <c r="I921" s="5"/>
      <c r="J921" s="5"/>
      <c r="K921" s="7" t="str">
        <f ca="1">IFERROR(__xludf.DUMMYFUNCTION("""COMPUTED_VALUE"""),"https://www.ebihoreanul.ro/stiri/nou-record-covid-in-bihor-52-de-cazuri-noi-157971.html")</f>
        <v>https://www.ebihoreanul.ro/stiri/nou-record-covid-in-bihor-52-de-cazuri-noi-157971.html</v>
      </c>
      <c r="L921" s="5"/>
      <c r="M921" s="5" t="str">
        <f ca="1">IFERROR(__xludf.DUMMYFUNCTION("""COMPUTED_VALUE"""),"Țețchea")</f>
        <v>Țețchea</v>
      </c>
      <c r="N921" s="5"/>
      <c r="O921" s="5"/>
      <c r="P921" s="5"/>
      <c r="Q921" s="5"/>
      <c r="R921" s="5" t="str">
        <f ca="1">IFERROR(__xludf.DUMMYFUNCTION("""COMPUTED_VALUE"""),"România")</f>
        <v>România</v>
      </c>
      <c r="S921" s="5" t="str">
        <f ca="1">IFERROR(__xludf.DUMMYFUNCTION("""COMPUTED_VALUE"""),"Octavian")</f>
        <v>Octavian</v>
      </c>
      <c r="T921" s="7" t="str">
        <f ca="1">IFERROR(__xludf.DUMMYFUNCTION("""COMPUTED_VALUE"""),"http://www.ms.ro/2020/08/01/buletin-informativ-01-08-2020/")</f>
        <v>http://www.ms.ro/2020/08/01/buletin-informativ-01-08-2020/</v>
      </c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ht="12.5">
      <c r="A922" s="5">
        <f ca="1">IFERROR(__xludf.DUMMYFUNCTION("""COMPUTED_VALUE"""),51091)</f>
        <v>51091</v>
      </c>
      <c r="B922" s="5"/>
      <c r="C922" s="5" t="str">
        <f ca="1">IFERROR(__xludf.DUMMYFUNCTION("""COMPUTED_VALUE"""),"Bihor")</f>
        <v>Bihor</v>
      </c>
      <c r="D922" s="13">
        <f ca="1">IFERROR(__xludf.DUMMYFUNCTION("""COMPUTED_VALUE"""),44043)</f>
        <v>44043</v>
      </c>
      <c r="E922" s="5" t="str">
        <f ca="1">IFERROR(__xludf.DUMMYFUNCTION("""COMPUTED_VALUE"""),"Nu")</f>
        <v>Nu</v>
      </c>
      <c r="F922" s="5"/>
      <c r="G922" s="5"/>
      <c r="H922" s="6"/>
      <c r="I922" s="5"/>
      <c r="J922" s="5"/>
      <c r="K922" s="7" t="str">
        <f ca="1">IFERROR(__xludf.DUMMYFUNCTION("""COMPUTED_VALUE"""),"https://www.ebihoreanul.ro/stiri/nou-record-covid-in-bihor-52-de-cazuri-noi-157971.html")</f>
        <v>https://www.ebihoreanul.ro/stiri/nou-record-covid-in-bihor-52-de-cazuri-noi-157971.html</v>
      </c>
      <c r="L922" s="5"/>
      <c r="M922" s="5" t="str">
        <f ca="1">IFERROR(__xludf.DUMMYFUNCTION("""COMPUTED_VALUE"""),"Beiuș")</f>
        <v>Beiuș</v>
      </c>
      <c r="N922" s="5"/>
      <c r="O922" s="5"/>
      <c r="P922" s="5"/>
      <c r="Q922" s="5"/>
      <c r="R922" s="5" t="str">
        <f ca="1">IFERROR(__xludf.DUMMYFUNCTION("""COMPUTED_VALUE"""),"România")</f>
        <v>România</v>
      </c>
      <c r="S922" s="5" t="str">
        <f ca="1">IFERROR(__xludf.DUMMYFUNCTION("""COMPUTED_VALUE"""),"Octavian")</f>
        <v>Octavian</v>
      </c>
      <c r="T922" s="7" t="str">
        <f ca="1">IFERROR(__xludf.DUMMYFUNCTION("""COMPUTED_VALUE"""),"http://www.ms.ro/2020/08/01/buletin-informativ-01-08-2020/")</f>
        <v>http://www.ms.ro/2020/08/01/buletin-informativ-01-08-2020/</v>
      </c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2.5">
      <c r="A923" s="5">
        <f ca="1">IFERROR(__xludf.DUMMYFUNCTION("""COMPUTED_VALUE"""),51092)</f>
        <v>51092</v>
      </c>
      <c r="B923" s="5"/>
      <c r="C923" s="5" t="str">
        <f ca="1">IFERROR(__xludf.DUMMYFUNCTION("""COMPUTED_VALUE"""),"Bihor")</f>
        <v>Bihor</v>
      </c>
      <c r="D923" s="13">
        <f ca="1">IFERROR(__xludf.DUMMYFUNCTION("""COMPUTED_VALUE"""),44043)</f>
        <v>44043</v>
      </c>
      <c r="E923" s="5" t="str">
        <f ca="1">IFERROR(__xludf.DUMMYFUNCTION("""COMPUTED_VALUE"""),"Nu")</f>
        <v>Nu</v>
      </c>
      <c r="F923" s="5"/>
      <c r="G923" s="5"/>
      <c r="H923" s="6"/>
      <c r="I923" s="5"/>
      <c r="J923" s="5"/>
      <c r="K923" s="7" t="str">
        <f ca="1">IFERROR(__xludf.DUMMYFUNCTION("""COMPUTED_VALUE"""),"https://www.ebihoreanul.ro/stiri/nou-record-covid-in-bihor-52-de-cazuri-noi-157971.html")</f>
        <v>https://www.ebihoreanul.ro/stiri/nou-record-covid-in-bihor-52-de-cazuri-noi-157971.html</v>
      </c>
      <c r="L923" s="5"/>
      <c r="M923" s="5" t="str">
        <f ca="1">IFERROR(__xludf.DUMMYFUNCTION("""COMPUTED_VALUE"""),"Uileacu de Beiuș")</f>
        <v>Uileacu de Beiuș</v>
      </c>
      <c r="N923" s="5"/>
      <c r="O923" s="5"/>
      <c r="P923" s="5"/>
      <c r="Q923" s="5"/>
      <c r="R923" s="5" t="str">
        <f ca="1">IFERROR(__xludf.DUMMYFUNCTION("""COMPUTED_VALUE"""),"România")</f>
        <v>România</v>
      </c>
      <c r="S923" s="5" t="str">
        <f ca="1">IFERROR(__xludf.DUMMYFUNCTION("""COMPUTED_VALUE"""),"Octavian")</f>
        <v>Octavian</v>
      </c>
      <c r="T923" s="7" t="str">
        <f ca="1">IFERROR(__xludf.DUMMYFUNCTION("""COMPUTED_VALUE"""),"http://www.ms.ro/2020/08/01/buletin-informativ-01-08-2020/")</f>
        <v>http://www.ms.ro/2020/08/01/buletin-informativ-01-08-2020/</v>
      </c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ht="12.5">
      <c r="A924" s="5">
        <f ca="1">IFERROR(__xludf.DUMMYFUNCTION("""COMPUTED_VALUE"""),51093)</f>
        <v>51093</v>
      </c>
      <c r="B924" s="5"/>
      <c r="C924" s="5" t="str">
        <f ca="1">IFERROR(__xludf.DUMMYFUNCTION("""COMPUTED_VALUE"""),"Bihor")</f>
        <v>Bihor</v>
      </c>
      <c r="D924" s="13">
        <f ca="1">IFERROR(__xludf.DUMMYFUNCTION("""COMPUTED_VALUE"""),44043)</f>
        <v>44043</v>
      </c>
      <c r="E924" s="5" t="str">
        <f ca="1">IFERROR(__xludf.DUMMYFUNCTION("""COMPUTED_VALUE"""),"Nu")</f>
        <v>Nu</v>
      </c>
      <c r="F924" s="5"/>
      <c r="G924" s="5"/>
      <c r="H924" s="6"/>
      <c r="I924" s="5"/>
      <c r="J924" s="5"/>
      <c r="K924" s="7" t="str">
        <f ca="1">IFERROR(__xludf.DUMMYFUNCTION("""COMPUTED_VALUE"""),"https://www.ebihoreanul.ro/stiri/nou-record-covid-in-bihor-52-de-cazuri-noi-157971.html")</f>
        <v>https://www.ebihoreanul.ro/stiri/nou-record-covid-in-bihor-52-de-cazuri-noi-157971.html</v>
      </c>
      <c r="L924" s="5"/>
      <c r="M924" s="5" t="str">
        <f ca="1">IFERROR(__xludf.DUMMYFUNCTION("""COMPUTED_VALUE"""),"Căbești")</f>
        <v>Căbești</v>
      </c>
      <c r="N924" s="5"/>
      <c r="O924" s="5"/>
      <c r="P924" s="5"/>
      <c r="Q924" s="5"/>
      <c r="R924" s="5" t="str">
        <f ca="1">IFERROR(__xludf.DUMMYFUNCTION("""COMPUTED_VALUE"""),"România")</f>
        <v>România</v>
      </c>
      <c r="S924" s="5" t="str">
        <f ca="1">IFERROR(__xludf.DUMMYFUNCTION("""COMPUTED_VALUE"""),"Octavian")</f>
        <v>Octavian</v>
      </c>
      <c r="T924" s="7" t="str">
        <f ca="1">IFERROR(__xludf.DUMMYFUNCTION("""COMPUTED_VALUE"""),"http://www.ms.ro/2020/08/01/buletin-informativ-01-08-2020/")</f>
        <v>http://www.ms.ro/2020/08/01/buletin-informativ-01-08-2020/</v>
      </c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2.5">
      <c r="A925" s="5">
        <f ca="1">IFERROR(__xludf.DUMMYFUNCTION("""COMPUTED_VALUE"""),51094)</f>
        <v>51094</v>
      </c>
      <c r="B925" s="5"/>
      <c r="C925" s="5" t="str">
        <f ca="1">IFERROR(__xludf.DUMMYFUNCTION("""COMPUTED_VALUE"""),"Bihor")</f>
        <v>Bihor</v>
      </c>
      <c r="D925" s="13">
        <f ca="1">IFERROR(__xludf.DUMMYFUNCTION("""COMPUTED_VALUE"""),44043)</f>
        <v>44043</v>
      </c>
      <c r="E925" s="5" t="str">
        <f ca="1">IFERROR(__xludf.DUMMYFUNCTION("""COMPUTED_VALUE"""),"Nu")</f>
        <v>Nu</v>
      </c>
      <c r="F925" s="5"/>
      <c r="G925" s="5"/>
      <c r="H925" s="6"/>
      <c r="I925" s="5"/>
      <c r="J925" s="5"/>
      <c r="K925" s="7" t="str">
        <f ca="1">IFERROR(__xludf.DUMMYFUNCTION("""COMPUTED_VALUE"""),"https://www.ebihoreanul.ro/stiri/nou-record-covid-in-bihor-52-de-cazuri-noi-157971.html")</f>
        <v>https://www.ebihoreanul.ro/stiri/nou-record-covid-in-bihor-52-de-cazuri-noi-157971.html</v>
      </c>
      <c r="L925" s="5"/>
      <c r="M925" s="5" t="str">
        <f ca="1">IFERROR(__xludf.DUMMYFUNCTION("""COMPUTED_VALUE"""),"Pomezeu")</f>
        <v>Pomezeu</v>
      </c>
      <c r="N925" s="5"/>
      <c r="O925" s="5"/>
      <c r="P925" s="5"/>
      <c r="Q925" s="5"/>
      <c r="R925" s="5" t="str">
        <f ca="1">IFERROR(__xludf.DUMMYFUNCTION("""COMPUTED_VALUE"""),"România")</f>
        <v>România</v>
      </c>
      <c r="S925" s="5" t="str">
        <f ca="1">IFERROR(__xludf.DUMMYFUNCTION("""COMPUTED_VALUE"""),"Octavian")</f>
        <v>Octavian</v>
      </c>
      <c r="T925" s="7" t="str">
        <f ca="1">IFERROR(__xludf.DUMMYFUNCTION("""COMPUTED_VALUE"""),"http://www.ms.ro/2020/08/01/buletin-informativ-01-08-2020/")</f>
        <v>http://www.ms.ro/2020/08/01/buletin-informativ-01-08-2020/</v>
      </c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ht="12.5">
      <c r="A926" s="5">
        <f ca="1">IFERROR(__xludf.DUMMYFUNCTION("""COMPUTED_VALUE"""),51095)</f>
        <v>51095</v>
      </c>
      <c r="B926" s="5"/>
      <c r="C926" s="5" t="str">
        <f ca="1">IFERROR(__xludf.DUMMYFUNCTION("""COMPUTED_VALUE"""),"Bihor")</f>
        <v>Bihor</v>
      </c>
      <c r="D926" s="13">
        <f ca="1">IFERROR(__xludf.DUMMYFUNCTION("""COMPUTED_VALUE"""),44043)</f>
        <v>44043</v>
      </c>
      <c r="E926" s="5" t="str">
        <f ca="1">IFERROR(__xludf.DUMMYFUNCTION("""COMPUTED_VALUE"""),"Nu")</f>
        <v>Nu</v>
      </c>
      <c r="F926" s="5"/>
      <c r="G926" s="5"/>
      <c r="H926" s="6"/>
      <c r="I926" s="5"/>
      <c r="J926" s="5"/>
      <c r="K926" s="7" t="str">
        <f ca="1">IFERROR(__xludf.DUMMYFUNCTION("""COMPUTED_VALUE"""),"https://www.ebihoreanul.ro/stiri/nou-record-covid-in-bihor-52-de-cazuri-noi-157971.html")</f>
        <v>https://www.ebihoreanul.ro/stiri/nou-record-covid-in-bihor-52-de-cazuri-noi-157971.html</v>
      </c>
      <c r="L926" s="5"/>
      <c r="M926" s="5" t="str">
        <f ca="1">IFERROR(__xludf.DUMMYFUNCTION("""COMPUTED_VALUE"""),"Lunca")</f>
        <v>Lunca</v>
      </c>
      <c r="N926" s="5"/>
      <c r="O926" s="5"/>
      <c r="P926" s="5"/>
      <c r="Q926" s="5"/>
      <c r="R926" s="5" t="str">
        <f ca="1">IFERROR(__xludf.DUMMYFUNCTION("""COMPUTED_VALUE"""),"România")</f>
        <v>România</v>
      </c>
      <c r="S926" s="5" t="str">
        <f ca="1">IFERROR(__xludf.DUMMYFUNCTION("""COMPUTED_VALUE"""),"Octavian")</f>
        <v>Octavian</v>
      </c>
      <c r="T926" s="7" t="str">
        <f ca="1">IFERROR(__xludf.DUMMYFUNCTION("""COMPUTED_VALUE"""),"http://www.ms.ro/2020/08/01/buletin-informativ-01-08-2020/")</f>
        <v>http://www.ms.ro/2020/08/01/buletin-informativ-01-08-2020/</v>
      </c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2.5">
      <c r="A927" s="5">
        <f ca="1">IFERROR(__xludf.DUMMYFUNCTION("""COMPUTED_VALUE"""),51096)</f>
        <v>51096</v>
      </c>
      <c r="B927" s="5"/>
      <c r="C927" s="5" t="str">
        <f ca="1">IFERROR(__xludf.DUMMYFUNCTION("""COMPUTED_VALUE"""),"Bihor")</f>
        <v>Bihor</v>
      </c>
      <c r="D927" s="13">
        <f ca="1">IFERROR(__xludf.DUMMYFUNCTION("""COMPUTED_VALUE"""),44043)</f>
        <v>44043</v>
      </c>
      <c r="E927" s="5" t="str">
        <f ca="1">IFERROR(__xludf.DUMMYFUNCTION("""COMPUTED_VALUE"""),"Nu")</f>
        <v>Nu</v>
      </c>
      <c r="F927" s="5"/>
      <c r="G927" s="5"/>
      <c r="H927" s="6"/>
      <c r="I927" s="5"/>
      <c r="J927" s="5"/>
      <c r="K927" s="7" t="str">
        <f ca="1">IFERROR(__xludf.DUMMYFUNCTION("""COMPUTED_VALUE"""),"https://www.ebihoreanul.ro/stiri/nou-record-covid-in-bihor-52-de-cazuri-noi-157971.html")</f>
        <v>https://www.ebihoreanul.ro/stiri/nou-record-covid-in-bihor-52-de-cazuri-noi-157971.html</v>
      </c>
      <c r="L927" s="5"/>
      <c r="M927" s="5" t="str">
        <f ca="1">IFERROR(__xludf.DUMMYFUNCTION("""COMPUTED_VALUE"""),"Ștei")</f>
        <v>Ștei</v>
      </c>
      <c r="N927" s="5"/>
      <c r="O927" s="5"/>
      <c r="P927" s="5"/>
      <c r="Q927" s="5"/>
      <c r="R927" s="5" t="str">
        <f ca="1">IFERROR(__xludf.DUMMYFUNCTION("""COMPUTED_VALUE"""),"România")</f>
        <v>România</v>
      </c>
      <c r="S927" s="5" t="str">
        <f ca="1">IFERROR(__xludf.DUMMYFUNCTION("""COMPUTED_VALUE"""),"Octavian")</f>
        <v>Octavian</v>
      </c>
      <c r="T927" s="7" t="str">
        <f ca="1">IFERROR(__xludf.DUMMYFUNCTION("""COMPUTED_VALUE"""),"http://www.ms.ro/2020/08/01/buletin-informativ-01-08-2020/")</f>
        <v>http://www.ms.ro/2020/08/01/buletin-informativ-01-08-2020/</v>
      </c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ht="12.5">
      <c r="A928" s="5">
        <f ca="1">IFERROR(__xludf.DUMMYFUNCTION("""COMPUTED_VALUE"""),51097)</f>
        <v>51097</v>
      </c>
      <c r="B928" s="5"/>
      <c r="C928" s="5" t="str">
        <f ca="1">IFERROR(__xludf.DUMMYFUNCTION("""COMPUTED_VALUE"""),"Bihor")</f>
        <v>Bihor</v>
      </c>
      <c r="D928" s="13">
        <f ca="1">IFERROR(__xludf.DUMMYFUNCTION("""COMPUTED_VALUE"""),44043)</f>
        <v>44043</v>
      </c>
      <c r="E928" s="5" t="str">
        <f ca="1">IFERROR(__xludf.DUMMYFUNCTION("""COMPUTED_VALUE"""),"Nu")</f>
        <v>Nu</v>
      </c>
      <c r="F928" s="5"/>
      <c r="G928" s="5"/>
      <c r="H928" s="6"/>
      <c r="I928" s="5"/>
      <c r="J928" s="5"/>
      <c r="K928" s="7" t="str">
        <f ca="1">IFERROR(__xludf.DUMMYFUNCTION("""COMPUTED_VALUE"""),"https://www.ebihoreanul.ro/stiri/nou-record-covid-in-bihor-52-de-cazuri-noi-157971.html")</f>
        <v>https://www.ebihoreanul.ro/stiri/nou-record-covid-in-bihor-52-de-cazuri-noi-157971.html</v>
      </c>
      <c r="L928" s="5"/>
      <c r="M928" s="5" t="str">
        <f ca="1">IFERROR(__xludf.DUMMYFUNCTION("""COMPUTED_VALUE"""),"Cărpinet")</f>
        <v>Cărpinet</v>
      </c>
      <c r="N928" s="5"/>
      <c r="O928" s="5"/>
      <c r="P928" s="5"/>
      <c r="Q928" s="5"/>
      <c r="R928" s="5" t="str">
        <f ca="1">IFERROR(__xludf.DUMMYFUNCTION("""COMPUTED_VALUE"""),"România")</f>
        <v>România</v>
      </c>
      <c r="S928" s="5" t="str">
        <f ca="1">IFERROR(__xludf.DUMMYFUNCTION("""COMPUTED_VALUE"""),"Octavian")</f>
        <v>Octavian</v>
      </c>
      <c r="T928" s="7" t="str">
        <f ca="1">IFERROR(__xludf.DUMMYFUNCTION("""COMPUTED_VALUE"""),"http://www.ms.ro/2020/08/01/buletin-informativ-01-08-2020/")</f>
        <v>http://www.ms.ro/2020/08/01/buletin-informativ-01-08-2020/</v>
      </c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2.5">
      <c r="A929" s="5">
        <f ca="1">IFERROR(__xludf.DUMMYFUNCTION("""COMPUTED_VALUE"""),51098)</f>
        <v>51098</v>
      </c>
      <c r="B929" s="5"/>
      <c r="C929" s="5" t="str">
        <f ca="1">IFERROR(__xludf.DUMMYFUNCTION("""COMPUTED_VALUE"""),"Bihor")</f>
        <v>Bihor</v>
      </c>
      <c r="D929" s="13">
        <f ca="1">IFERROR(__xludf.DUMMYFUNCTION("""COMPUTED_VALUE"""),44043)</f>
        <v>44043</v>
      </c>
      <c r="E929" s="5" t="str">
        <f ca="1">IFERROR(__xludf.DUMMYFUNCTION("""COMPUTED_VALUE"""),"Nu")</f>
        <v>Nu</v>
      </c>
      <c r="F929" s="5"/>
      <c r="G929" s="5"/>
      <c r="H929" s="6"/>
      <c r="I929" s="5"/>
      <c r="J929" s="5"/>
      <c r="K929" s="7" t="str">
        <f ca="1">IFERROR(__xludf.DUMMYFUNCTION("""COMPUTED_VALUE"""),"https://www.ebihoreanul.ro/stiri/nou-record-covid-in-bihor-52-de-cazuri-noi-157971.html")</f>
        <v>https://www.ebihoreanul.ro/stiri/nou-record-covid-in-bihor-52-de-cazuri-noi-157971.html</v>
      </c>
      <c r="L929" s="5"/>
      <c r="M929" s="5" t="str">
        <f ca="1">IFERROR(__xludf.DUMMYFUNCTION("""COMPUTED_VALUE"""),"Cefa")</f>
        <v>Cefa</v>
      </c>
      <c r="N929" s="5"/>
      <c r="O929" s="5"/>
      <c r="P929" s="5"/>
      <c r="Q929" s="5"/>
      <c r="R929" s="5" t="str">
        <f ca="1">IFERROR(__xludf.DUMMYFUNCTION("""COMPUTED_VALUE"""),"România")</f>
        <v>România</v>
      </c>
      <c r="S929" s="5" t="str">
        <f ca="1">IFERROR(__xludf.DUMMYFUNCTION("""COMPUTED_VALUE"""),"Octavian")</f>
        <v>Octavian</v>
      </c>
      <c r="T929" s="7" t="str">
        <f ca="1">IFERROR(__xludf.DUMMYFUNCTION("""COMPUTED_VALUE"""),"http://www.ms.ro/2020/08/01/buletin-informativ-01-08-2020/")</f>
        <v>http://www.ms.ro/2020/08/01/buletin-informativ-01-08-2020/</v>
      </c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ht="12.5">
      <c r="A930" s="5">
        <f ca="1">IFERROR(__xludf.DUMMYFUNCTION("""COMPUTED_VALUE"""),51099)</f>
        <v>51099</v>
      </c>
      <c r="B930" s="5"/>
      <c r="C930" s="5" t="str">
        <f ca="1">IFERROR(__xludf.DUMMYFUNCTION("""COMPUTED_VALUE"""),"Bihor")</f>
        <v>Bihor</v>
      </c>
      <c r="D930" s="13">
        <f ca="1">IFERROR(__xludf.DUMMYFUNCTION("""COMPUTED_VALUE"""),44043)</f>
        <v>44043</v>
      </c>
      <c r="E930" s="5" t="str">
        <f ca="1">IFERROR(__xludf.DUMMYFUNCTION("""COMPUTED_VALUE"""),"Nu")</f>
        <v>Nu</v>
      </c>
      <c r="F930" s="5"/>
      <c r="G930" s="5"/>
      <c r="H930" s="6"/>
      <c r="I930" s="5"/>
      <c r="J930" s="5"/>
      <c r="K930" s="7" t="str">
        <f ca="1">IFERROR(__xludf.DUMMYFUNCTION("""COMPUTED_VALUE"""),"https://stirioficiale.ro/informatii/informare-de-presa-01-august-2020")</f>
        <v>https://stirioficiale.ro/informatii/informare-de-presa-01-august-2020</v>
      </c>
      <c r="L930" s="5"/>
      <c r="M930" s="5"/>
      <c r="N930" s="5"/>
      <c r="O930" s="5"/>
      <c r="P930" s="5"/>
      <c r="Q930" s="5"/>
      <c r="R930" s="5" t="str">
        <f ca="1">IFERROR(__xludf.DUMMYFUNCTION("""COMPUTED_VALUE"""),"România")</f>
        <v>România</v>
      </c>
      <c r="S930" s="5" t="str">
        <f ca="1">IFERROR(__xludf.DUMMYFUNCTION("""COMPUTED_VALUE"""),"Octavian")</f>
        <v>Octavian</v>
      </c>
      <c r="T930" s="7" t="str">
        <f ca="1">IFERROR(__xludf.DUMMYFUNCTION("""COMPUTED_VALUE"""),"http://www.ms.ro/2020/08/01/buletin-informativ-01-08-2020/")</f>
        <v>http://www.ms.ro/2020/08/01/buletin-informativ-01-08-2020/</v>
      </c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2.5">
      <c r="A931" s="5">
        <f ca="1">IFERROR(__xludf.DUMMYFUNCTION("""COMPUTED_VALUE"""),51100)</f>
        <v>51100</v>
      </c>
      <c r="B931" s="5"/>
      <c r="C931" s="5" t="str">
        <f ca="1">IFERROR(__xludf.DUMMYFUNCTION("""COMPUTED_VALUE"""),"Bihor")</f>
        <v>Bihor</v>
      </c>
      <c r="D931" s="13">
        <f ca="1">IFERROR(__xludf.DUMMYFUNCTION("""COMPUTED_VALUE"""),44043)</f>
        <v>44043</v>
      </c>
      <c r="E931" s="5" t="str">
        <f ca="1">IFERROR(__xludf.DUMMYFUNCTION("""COMPUTED_VALUE"""),"Nu")</f>
        <v>Nu</v>
      </c>
      <c r="F931" s="5"/>
      <c r="G931" s="5"/>
      <c r="H931" s="6"/>
      <c r="I931" s="5"/>
      <c r="J931" s="5"/>
      <c r="K931" s="7" t="str">
        <f ca="1">IFERROR(__xludf.DUMMYFUNCTION("""COMPUTED_VALUE"""),"https://stirioficiale.ro/informatii/informare-de-presa-01-august-2020")</f>
        <v>https://stirioficiale.ro/informatii/informare-de-presa-01-august-2020</v>
      </c>
      <c r="L931" s="5"/>
      <c r="M931" s="5"/>
      <c r="N931" s="5"/>
      <c r="O931" s="5"/>
      <c r="P931" s="5"/>
      <c r="Q931" s="5"/>
      <c r="R931" s="5" t="str">
        <f ca="1">IFERROR(__xludf.DUMMYFUNCTION("""COMPUTED_VALUE"""),"România")</f>
        <v>România</v>
      </c>
      <c r="S931" s="5" t="str">
        <f ca="1">IFERROR(__xludf.DUMMYFUNCTION("""COMPUTED_VALUE"""),"Octavian")</f>
        <v>Octavian</v>
      </c>
      <c r="T931" s="7" t="str">
        <f ca="1">IFERROR(__xludf.DUMMYFUNCTION("""COMPUTED_VALUE"""),"http://www.ms.ro/2020/08/01/buletin-informativ-01-08-2020/")</f>
        <v>http://www.ms.ro/2020/08/01/buletin-informativ-01-08-2020/</v>
      </c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ht="12.5">
      <c r="A932" s="5">
        <f ca="1">IFERROR(__xludf.DUMMYFUNCTION("""COMPUTED_VALUE"""),51101)</f>
        <v>51101</v>
      </c>
      <c r="B932" s="5"/>
      <c r="C932" s="5" t="str">
        <f ca="1">IFERROR(__xludf.DUMMYFUNCTION("""COMPUTED_VALUE"""),"Bihor")</f>
        <v>Bihor</v>
      </c>
      <c r="D932" s="13">
        <f ca="1">IFERROR(__xludf.DUMMYFUNCTION("""COMPUTED_VALUE"""),44043)</f>
        <v>44043</v>
      </c>
      <c r="E932" s="5" t="str">
        <f ca="1">IFERROR(__xludf.DUMMYFUNCTION("""COMPUTED_VALUE"""),"Nu")</f>
        <v>Nu</v>
      </c>
      <c r="F932" s="5"/>
      <c r="G932" s="5"/>
      <c r="H932" s="6"/>
      <c r="I932" s="5"/>
      <c r="J932" s="5"/>
      <c r="K932" s="7" t="str">
        <f ca="1">IFERROR(__xludf.DUMMYFUNCTION("""COMPUTED_VALUE"""),"https://stirioficiale.ro/informatii/informare-de-presa-01-august-2020")</f>
        <v>https://stirioficiale.ro/informatii/informare-de-presa-01-august-2020</v>
      </c>
      <c r="L932" s="5"/>
      <c r="M932" s="5"/>
      <c r="N932" s="5"/>
      <c r="O932" s="5"/>
      <c r="P932" s="5"/>
      <c r="Q932" s="5"/>
      <c r="R932" s="5" t="str">
        <f ca="1">IFERROR(__xludf.DUMMYFUNCTION("""COMPUTED_VALUE"""),"România")</f>
        <v>România</v>
      </c>
      <c r="S932" s="5" t="str">
        <f ca="1">IFERROR(__xludf.DUMMYFUNCTION("""COMPUTED_VALUE"""),"Octavian")</f>
        <v>Octavian</v>
      </c>
      <c r="T932" s="7" t="str">
        <f ca="1">IFERROR(__xludf.DUMMYFUNCTION("""COMPUTED_VALUE"""),"http://www.ms.ro/2020/08/01/buletin-informativ-01-08-2020/")</f>
        <v>http://www.ms.ro/2020/08/01/buletin-informativ-01-08-2020/</v>
      </c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2.5">
      <c r="A933" s="5">
        <f ca="1">IFERROR(__xludf.DUMMYFUNCTION("""COMPUTED_VALUE"""),51102)</f>
        <v>51102</v>
      </c>
      <c r="B933" s="5"/>
      <c r="C933" s="5" t="str">
        <f ca="1">IFERROR(__xludf.DUMMYFUNCTION("""COMPUTED_VALUE"""),"Bihor")</f>
        <v>Bihor</v>
      </c>
      <c r="D933" s="13">
        <f ca="1">IFERROR(__xludf.DUMMYFUNCTION("""COMPUTED_VALUE"""),44043)</f>
        <v>44043</v>
      </c>
      <c r="E933" s="5" t="str">
        <f ca="1">IFERROR(__xludf.DUMMYFUNCTION("""COMPUTED_VALUE"""),"Nu")</f>
        <v>Nu</v>
      </c>
      <c r="F933" s="5"/>
      <c r="G933" s="5"/>
      <c r="H933" s="6"/>
      <c r="I933" s="5"/>
      <c r="J933" s="5"/>
      <c r="K933" s="7" t="str">
        <f ca="1">IFERROR(__xludf.DUMMYFUNCTION("""COMPUTED_VALUE"""),"https://stirioficiale.ro/informatii/informare-de-presa-01-august-2020")</f>
        <v>https://stirioficiale.ro/informatii/informare-de-presa-01-august-2020</v>
      </c>
      <c r="L933" s="5"/>
      <c r="M933" s="5"/>
      <c r="N933" s="5"/>
      <c r="O933" s="5"/>
      <c r="P933" s="5"/>
      <c r="Q933" s="5"/>
      <c r="R933" s="5" t="str">
        <f ca="1">IFERROR(__xludf.DUMMYFUNCTION("""COMPUTED_VALUE"""),"România")</f>
        <v>România</v>
      </c>
      <c r="S933" s="5" t="str">
        <f ca="1">IFERROR(__xludf.DUMMYFUNCTION("""COMPUTED_VALUE"""),"Octavian")</f>
        <v>Octavian</v>
      </c>
      <c r="T933" s="7" t="str">
        <f ca="1">IFERROR(__xludf.DUMMYFUNCTION("""COMPUTED_VALUE"""),"http://www.ms.ro/2020/08/01/buletin-informativ-01-08-2020/")</f>
        <v>http://www.ms.ro/2020/08/01/buletin-informativ-01-08-2020/</v>
      </c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ht="12.5">
      <c r="A934" s="5">
        <f ca="1">IFERROR(__xludf.DUMMYFUNCTION("""COMPUTED_VALUE"""),51103)</f>
        <v>51103</v>
      </c>
      <c r="B934" s="5"/>
      <c r="C934" s="5" t="str">
        <f ca="1">IFERROR(__xludf.DUMMYFUNCTION("""COMPUTED_VALUE"""),"Bihor")</f>
        <v>Bihor</v>
      </c>
      <c r="D934" s="13">
        <f ca="1">IFERROR(__xludf.DUMMYFUNCTION("""COMPUTED_VALUE"""),44043)</f>
        <v>44043</v>
      </c>
      <c r="E934" s="5" t="str">
        <f ca="1">IFERROR(__xludf.DUMMYFUNCTION("""COMPUTED_VALUE"""),"Nu")</f>
        <v>Nu</v>
      </c>
      <c r="F934" s="5"/>
      <c r="G934" s="5"/>
      <c r="H934" s="6"/>
      <c r="I934" s="5"/>
      <c r="J934" s="5"/>
      <c r="K934" s="7" t="str">
        <f ca="1">IFERROR(__xludf.DUMMYFUNCTION("""COMPUTED_VALUE"""),"https://stirioficiale.ro/informatii/informare-de-presa-01-august-2020")</f>
        <v>https://stirioficiale.ro/informatii/informare-de-presa-01-august-2020</v>
      </c>
      <c r="L934" s="5"/>
      <c r="M934" s="5"/>
      <c r="N934" s="5"/>
      <c r="O934" s="5"/>
      <c r="P934" s="5"/>
      <c r="Q934" s="5"/>
      <c r="R934" s="5" t="str">
        <f ca="1">IFERROR(__xludf.DUMMYFUNCTION("""COMPUTED_VALUE"""),"România")</f>
        <v>România</v>
      </c>
      <c r="S934" s="5" t="str">
        <f ca="1">IFERROR(__xludf.DUMMYFUNCTION("""COMPUTED_VALUE"""),"Octavian")</f>
        <v>Octavian</v>
      </c>
      <c r="T934" s="7" t="str">
        <f ca="1">IFERROR(__xludf.DUMMYFUNCTION("""COMPUTED_VALUE"""),"http://www.ms.ro/2020/08/01/buletin-informativ-01-08-2020/")</f>
        <v>http://www.ms.ro/2020/08/01/buletin-informativ-01-08-2020/</v>
      </c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2.5">
      <c r="A935" s="5">
        <f ca="1">IFERROR(__xludf.DUMMYFUNCTION("""COMPUTED_VALUE"""),51104)</f>
        <v>51104</v>
      </c>
      <c r="B935" s="5"/>
      <c r="C935" s="5" t="str">
        <f ca="1">IFERROR(__xludf.DUMMYFUNCTION("""COMPUTED_VALUE"""),"Bihor")</f>
        <v>Bihor</v>
      </c>
      <c r="D935" s="13">
        <f ca="1">IFERROR(__xludf.DUMMYFUNCTION("""COMPUTED_VALUE"""),44043)</f>
        <v>44043</v>
      </c>
      <c r="E935" s="5" t="str">
        <f ca="1">IFERROR(__xludf.DUMMYFUNCTION("""COMPUTED_VALUE"""),"Nu")</f>
        <v>Nu</v>
      </c>
      <c r="F935" s="5"/>
      <c r="G935" s="5"/>
      <c r="H935" s="6"/>
      <c r="I935" s="5"/>
      <c r="J935" s="5"/>
      <c r="K935" s="7" t="str">
        <f ca="1">IFERROR(__xludf.DUMMYFUNCTION("""COMPUTED_VALUE"""),"https://stirioficiale.ro/informatii/informare-de-presa-01-august-2020")</f>
        <v>https://stirioficiale.ro/informatii/informare-de-presa-01-august-2020</v>
      </c>
      <c r="L935" s="5"/>
      <c r="M935" s="5"/>
      <c r="N935" s="5"/>
      <c r="O935" s="5"/>
      <c r="P935" s="5"/>
      <c r="Q935" s="5"/>
      <c r="R935" s="5" t="str">
        <f ca="1">IFERROR(__xludf.DUMMYFUNCTION("""COMPUTED_VALUE"""),"România")</f>
        <v>România</v>
      </c>
      <c r="S935" s="5" t="str">
        <f ca="1">IFERROR(__xludf.DUMMYFUNCTION("""COMPUTED_VALUE"""),"Octavian")</f>
        <v>Octavian</v>
      </c>
      <c r="T935" s="7" t="str">
        <f ca="1">IFERROR(__xludf.DUMMYFUNCTION("""COMPUTED_VALUE"""),"http://www.ms.ro/2020/08/01/buletin-informativ-01-08-2020/")</f>
        <v>http://www.ms.ro/2020/08/01/buletin-informativ-01-08-2020/</v>
      </c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ht="12.5">
      <c r="A936" s="5">
        <f ca="1">IFERROR(__xludf.DUMMYFUNCTION("""COMPUTED_VALUE"""),51105)</f>
        <v>51105</v>
      </c>
      <c r="B936" s="5"/>
      <c r="C936" s="5" t="str">
        <f ca="1">IFERROR(__xludf.DUMMYFUNCTION("""COMPUTED_VALUE"""),"Bihor")</f>
        <v>Bihor</v>
      </c>
      <c r="D936" s="13">
        <f ca="1">IFERROR(__xludf.DUMMYFUNCTION("""COMPUTED_VALUE"""),44043)</f>
        <v>44043</v>
      </c>
      <c r="E936" s="5" t="str">
        <f ca="1">IFERROR(__xludf.DUMMYFUNCTION("""COMPUTED_VALUE"""),"Nu")</f>
        <v>Nu</v>
      </c>
      <c r="F936" s="5"/>
      <c r="G936" s="5"/>
      <c r="H936" s="6"/>
      <c r="I936" s="5"/>
      <c r="J936" s="5"/>
      <c r="K936" s="7" t="str">
        <f ca="1">IFERROR(__xludf.DUMMYFUNCTION("""COMPUTED_VALUE"""),"https://stirioficiale.ro/informatii/informare-de-presa-01-august-2020")</f>
        <v>https://stirioficiale.ro/informatii/informare-de-presa-01-august-2020</v>
      </c>
      <c r="L936" s="5"/>
      <c r="M936" s="5"/>
      <c r="N936" s="5"/>
      <c r="O936" s="5"/>
      <c r="P936" s="5"/>
      <c r="Q936" s="5"/>
      <c r="R936" s="5" t="str">
        <f ca="1">IFERROR(__xludf.DUMMYFUNCTION("""COMPUTED_VALUE"""),"România")</f>
        <v>România</v>
      </c>
      <c r="S936" s="5" t="str">
        <f ca="1">IFERROR(__xludf.DUMMYFUNCTION("""COMPUTED_VALUE"""),"Octavian")</f>
        <v>Octavian</v>
      </c>
      <c r="T936" s="7" t="str">
        <f ca="1">IFERROR(__xludf.DUMMYFUNCTION("""COMPUTED_VALUE"""),"http://www.ms.ro/2020/08/01/buletin-informativ-01-08-2020/")</f>
        <v>http://www.ms.ro/2020/08/01/buletin-informativ-01-08-2020/</v>
      </c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2.5">
      <c r="A937" s="5">
        <f ca="1">IFERROR(__xludf.DUMMYFUNCTION("""COMPUTED_VALUE"""),51106)</f>
        <v>51106</v>
      </c>
      <c r="B937" s="5"/>
      <c r="C937" s="5" t="str">
        <f ca="1">IFERROR(__xludf.DUMMYFUNCTION("""COMPUTED_VALUE"""),"Bihor")</f>
        <v>Bihor</v>
      </c>
      <c r="D937" s="13">
        <f ca="1">IFERROR(__xludf.DUMMYFUNCTION("""COMPUTED_VALUE"""),44043)</f>
        <v>44043</v>
      </c>
      <c r="E937" s="5" t="str">
        <f ca="1">IFERROR(__xludf.DUMMYFUNCTION("""COMPUTED_VALUE"""),"Nu")</f>
        <v>Nu</v>
      </c>
      <c r="F937" s="5"/>
      <c r="G937" s="5"/>
      <c r="H937" s="6"/>
      <c r="I937" s="5"/>
      <c r="J937" s="5"/>
      <c r="K937" s="7" t="str">
        <f ca="1">IFERROR(__xludf.DUMMYFUNCTION("""COMPUTED_VALUE"""),"https://stirioficiale.ro/informatii/informare-de-presa-01-august-2020")</f>
        <v>https://stirioficiale.ro/informatii/informare-de-presa-01-august-2020</v>
      </c>
      <c r="L937" s="5"/>
      <c r="M937" s="5"/>
      <c r="N937" s="5"/>
      <c r="O937" s="5"/>
      <c r="P937" s="5"/>
      <c r="Q937" s="5"/>
      <c r="R937" s="5" t="str">
        <f ca="1">IFERROR(__xludf.DUMMYFUNCTION("""COMPUTED_VALUE"""),"România")</f>
        <v>România</v>
      </c>
      <c r="S937" s="5" t="str">
        <f ca="1">IFERROR(__xludf.DUMMYFUNCTION("""COMPUTED_VALUE"""),"Octavian")</f>
        <v>Octavian</v>
      </c>
      <c r="T937" s="7" t="str">
        <f ca="1">IFERROR(__xludf.DUMMYFUNCTION("""COMPUTED_VALUE"""),"http://www.ms.ro/2020/08/01/buletin-informativ-01-08-2020/")</f>
        <v>http://www.ms.ro/2020/08/01/buletin-informativ-01-08-2020/</v>
      </c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ht="12.5">
      <c r="A938" s="5">
        <f ca="1">IFERROR(__xludf.DUMMYFUNCTION("""COMPUTED_VALUE"""),51107)</f>
        <v>51107</v>
      </c>
      <c r="B938" s="5"/>
      <c r="C938" s="5" t="str">
        <f ca="1">IFERROR(__xludf.DUMMYFUNCTION("""COMPUTED_VALUE"""),"Bihor")</f>
        <v>Bihor</v>
      </c>
      <c r="D938" s="13">
        <f ca="1">IFERROR(__xludf.DUMMYFUNCTION("""COMPUTED_VALUE"""),44043)</f>
        <v>44043</v>
      </c>
      <c r="E938" s="5" t="str">
        <f ca="1">IFERROR(__xludf.DUMMYFUNCTION("""COMPUTED_VALUE"""),"Nu")</f>
        <v>Nu</v>
      </c>
      <c r="F938" s="5"/>
      <c r="G938" s="5"/>
      <c r="H938" s="6"/>
      <c r="I938" s="5"/>
      <c r="J938" s="5"/>
      <c r="K938" s="7" t="str">
        <f ca="1">IFERROR(__xludf.DUMMYFUNCTION("""COMPUTED_VALUE"""),"https://stirioficiale.ro/informatii/informare-de-presa-01-august-2020")</f>
        <v>https://stirioficiale.ro/informatii/informare-de-presa-01-august-2020</v>
      </c>
      <c r="L938" s="5"/>
      <c r="M938" s="5"/>
      <c r="N938" s="5"/>
      <c r="O938" s="5"/>
      <c r="P938" s="5"/>
      <c r="Q938" s="5"/>
      <c r="R938" s="5" t="str">
        <f ca="1">IFERROR(__xludf.DUMMYFUNCTION("""COMPUTED_VALUE"""),"România")</f>
        <v>România</v>
      </c>
      <c r="S938" s="5" t="str">
        <f ca="1">IFERROR(__xludf.DUMMYFUNCTION("""COMPUTED_VALUE"""),"Octavian")</f>
        <v>Octavian</v>
      </c>
      <c r="T938" s="7" t="str">
        <f ca="1">IFERROR(__xludf.DUMMYFUNCTION("""COMPUTED_VALUE"""),"http://www.ms.ro/2020/08/01/buletin-informativ-01-08-2020/")</f>
        <v>http://www.ms.ro/2020/08/01/buletin-informativ-01-08-2020/</v>
      </c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t="12.5">
      <c r="A939" s="5">
        <f ca="1">IFERROR(__xludf.DUMMYFUNCTION("""COMPUTED_VALUE"""),51108)</f>
        <v>51108</v>
      </c>
      <c r="B939" s="5"/>
      <c r="C939" s="5" t="str">
        <f ca="1">IFERROR(__xludf.DUMMYFUNCTION("""COMPUTED_VALUE"""),"Bihor")</f>
        <v>Bihor</v>
      </c>
      <c r="D939" s="13">
        <f ca="1">IFERROR(__xludf.DUMMYFUNCTION("""COMPUTED_VALUE"""),44043)</f>
        <v>44043</v>
      </c>
      <c r="E939" s="5" t="str">
        <f ca="1">IFERROR(__xludf.DUMMYFUNCTION("""COMPUTED_VALUE"""),"Nu")</f>
        <v>Nu</v>
      </c>
      <c r="F939" s="5"/>
      <c r="G939" s="5"/>
      <c r="H939" s="6"/>
      <c r="I939" s="5"/>
      <c r="J939" s="5"/>
      <c r="K939" s="7" t="str">
        <f ca="1">IFERROR(__xludf.DUMMYFUNCTION("""COMPUTED_VALUE"""),"https://stirioficiale.ro/informatii/informare-de-presa-01-august-2020")</f>
        <v>https://stirioficiale.ro/informatii/informare-de-presa-01-august-2020</v>
      </c>
      <c r="L939" s="5"/>
      <c r="M939" s="5"/>
      <c r="N939" s="5"/>
      <c r="O939" s="5"/>
      <c r="P939" s="5"/>
      <c r="Q939" s="5"/>
      <c r="R939" s="5" t="str">
        <f ca="1">IFERROR(__xludf.DUMMYFUNCTION("""COMPUTED_VALUE"""),"România")</f>
        <v>România</v>
      </c>
      <c r="S939" s="5" t="str">
        <f ca="1">IFERROR(__xludf.DUMMYFUNCTION("""COMPUTED_VALUE"""),"Octavian")</f>
        <v>Octavian</v>
      </c>
      <c r="T939" s="7" t="str">
        <f ca="1">IFERROR(__xludf.DUMMYFUNCTION("""COMPUTED_VALUE"""),"http://www.ms.ro/2020/08/01/buletin-informativ-01-08-2020/")</f>
        <v>http://www.ms.ro/2020/08/01/buletin-informativ-01-08-2020/</v>
      </c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ht="12.5">
      <c r="A940" s="5">
        <f ca="1">IFERROR(__xludf.DUMMYFUNCTION("""COMPUTED_VALUE"""),51109)</f>
        <v>51109</v>
      </c>
      <c r="B940" s="5"/>
      <c r="C940" s="5" t="str">
        <f ca="1">IFERROR(__xludf.DUMMYFUNCTION("""COMPUTED_VALUE"""),"Bihor")</f>
        <v>Bihor</v>
      </c>
      <c r="D940" s="13">
        <f ca="1">IFERROR(__xludf.DUMMYFUNCTION("""COMPUTED_VALUE"""),44043)</f>
        <v>44043</v>
      </c>
      <c r="E940" s="5" t="str">
        <f ca="1">IFERROR(__xludf.DUMMYFUNCTION("""COMPUTED_VALUE"""),"Nu")</f>
        <v>Nu</v>
      </c>
      <c r="F940" s="5"/>
      <c r="G940" s="5"/>
      <c r="H940" s="6"/>
      <c r="I940" s="5"/>
      <c r="J940" s="5"/>
      <c r="K940" s="7" t="str">
        <f ca="1">IFERROR(__xludf.DUMMYFUNCTION("""COMPUTED_VALUE"""),"https://stirioficiale.ro/informatii/informare-de-presa-01-august-2020")</f>
        <v>https://stirioficiale.ro/informatii/informare-de-presa-01-august-2020</v>
      </c>
      <c r="L940" s="5"/>
      <c r="M940" s="5"/>
      <c r="N940" s="5"/>
      <c r="O940" s="5"/>
      <c r="P940" s="5"/>
      <c r="Q940" s="5"/>
      <c r="R940" s="5" t="str">
        <f ca="1">IFERROR(__xludf.DUMMYFUNCTION("""COMPUTED_VALUE"""),"România")</f>
        <v>România</v>
      </c>
      <c r="S940" s="5" t="str">
        <f ca="1">IFERROR(__xludf.DUMMYFUNCTION("""COMPUTED_VALUE"""),"Octavian")</f>
        <v>Octavian</v>
      </c>
      <c r="T940" s="7" t="str">
        <f ca="1">IFERROR(__xludf.DUMMYFUNCTION("""COMPUTED_VALUE"""),"http://www.ms.ro/2020/08/01/buletin-informativ-01-08-2020/")</f>
        <v>http://www.ms.ro/2020/08/01/buletin-informativ-01-08-2020/</v>
      </c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t="12.5">
      <c r="A941" s="5">
        <f ca="1">IFERROR(__xludf.DUMMYFUNCTION("""COMPUTED_VALUE"""),51110)</f>
        <v>51110</v>
      </c>
      <c r="B941" s="5"/>
      <c r="C941" s="5" t="str">
        <f ca="1">IFERROR(__xludf.DUMMYFUNCTION("""COMPUTED_VALUE"""),"Bihor")</f>
        <v>Bihor</v>
      </c>
      <c r="D941" s="13">
        <f ca="1">IFERROR(__xludf.DUMMYFUNCTION("""COMPUTED_VALUE"""),44043)</f>
        <v>44043</v>
      </c>
      <c r="E941" s="5" t="str">
        <f ca="1">IFERROR(__xludf.DUMMYFUNCTION("""COMPUTED_VALUE"""),"Nu")</f>
        <v>Nu</v>
      </c>
      <c r="F941" s="5"/>
      <c r="G941" s="5"/>
      <c r="H941" s="6"/>
      <c r="I941" s="5"/>
      <c r="J941" s="5"/>
      <c r="K941" s="7" t="str">
        <f ca="1">IFERROR(__xludf.DUMMYFUNCTION("""COMPUTED_VALUE"""),"https://stirioficiale.ro/informatii/informare-de-presa-01-august-2020")</f>
        <v>https://stirioficiale.ro/informatii/informare-de-presa-01-august-2020</v>
      </c>
      <c r="L941" s="5"/>
      <c r="M941" s="5"/>
      <c r="N941" s="5"/>
      <c r="O941" s="5"/>
      <c r="P941" s="5"/>
      <c r="Q941" s="5"/>
      <c r="R941" s="5" t="str">
        <f ca="1">IFERROR(__xludf.DUMMYFUNCTION("""COMPUTED_VALUE"""),"România")</f>
        <v>România</v>
      </c>
      <c r="S941" s="5" t="str">
        <f ca="1">IFERROR(__xludf.DUMMYFUNCTION("""COMPUTED_VALUE"""),"Octavian")</f>
        <v>Octavian</v>
      </c>
      <c r="T941" s="7" t="str">
        <f ca="1">IFERROR(__xludf.DUMMYFUNCTION("""COMPUTED_VALUE"""),"http://www.ms.ro/2020/08/01/buletin-informativ-01-08-2020/")</f>
        <v>http://www.ms.ro/2020/08/01/buletin-informativ-01-08-2020/</v>
      </c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ht="12.5">
      <c r="A942" s="5">
        <f ca="1">IFERROR(__xludf.DUMMYFUNCTION("""COMPUTED_VALUE"""),51111)</f>
        <v>51111</v>
      </c>
      <c r="B942" s="5"/>
      <c r="C942" s="5" t="str">
        <f ca="1">IFERROR(__xludf.DUMMYFUNCTION("""COMPUTED_VALUE"""),"Bihor")</f>
        <v>Bihor</v>
      </c>
      <c r="D942" s="13">
        <f ca="1">IFERROR(__xludf.DUMMYFUNCTION("""COMPUTED_VALUE"""),44043)</f>
        <v>44043</v>
      </c>
      <c r="E942" s="5" t="str">
        <f ca="1">IFERROR(__xludf.DUMMYFUNCTION("""COMPUTED_VALUE"""),"Nu")</f>
        <v>Nu</v>
      </c>
      <c r="F942" s="5"/>
      <c r="G942" s="5"/>
      <c r="H942" s="6"/>
      <c r="I942" s="5"/>
      <c r="J942" s="5"/>
      <c r="K942" s="7" t="str">
        <f ca="1">IFERROR(__xludf.DUMMYFUNCTION("""COMPUTED_VALUE"""),"https://stirioficiale.ro/informatii/informare-de-presa-01-august-2020")</f>
        <v>https://stirioficiale.ro/informatii/informare-de-presa-01-august-2020</v>
      </c>
      <c r="L942" s="5"/>
      <c r="M942" s="5"/>
      <c r="N942" s="5"/>
      <c r="O942" s="5"/>
      <c r="P942" s="5"/>
      <c r="Q942" s="5"/>
      <c r="R942" s="5" t="str">
        <f ca="1">IFERROR(__xludf.DUMMYFUNCTION("""COMPUTED_VALUE"""),"România")</f>
        <v>România</v>
      </c>
      <c r="S942" s="5" t="str">
        <f ca="1">IFERROR(__xludf.DUMMYFUNCTION("""COMPUTED_VALUE"""),"Octavian")</f>
        <v>Octavian</v>
      </c>
      <c r="T942" s="7" t="str">
        <f ca="1">IFERROR(__xludf.DUMMYFUNCTION("""COMPUTED_VALUE"""),"http://www.ms.ro/2020/08/01/buletin-informativ-01-08-2020/")</f>
        <v>http://www.ms.ro/2020/08/01/buletin-informativ-01-08-2020/</v>
      </c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ht="12.5">
      <c r="A943" s="5">
        <f ca="1">IFERROR(__xludf.DUMMYFUNCTION("""COMPUTED_VALUE"""),51112)</f>
        <v>51112</v>
      </c>
      <c r="B943" s="5"/>
      <c r="C943" s="5" t="str">
        <f ca="1">IFERROR(__xludf.DUMMYFUNCTION("""COMPUTED_VALUE"""),"Bihor")</f>
        <v>Bihor</v>
      </c>
      <c r="D943" s="13">
        <f ca="1">IFERROR(__xludf.DUMMYFUNCTION("""COMPUTED_VALUE"""),44043)</f>
        <v>44043</v>
      </c>
      <c r="E943" s="5" t="str">
        <f ca="1">IFERROR(__xludf.DUMMYFUNCTION("""COMPUTED_VALUE"""),"Nu")</f>
        <v>Nu</v>
      </c>
      <c r="F943" s="5"/>
      <c r="G943" s="5"/>
      <c r="H943" s="6"/>
      <c r="I943" s="5"/>
      <c r="J943" s="5"/>
      <c r="K943" s="7" t="str">
        <f ca="1">IFERROR(__xludf.DUMMYFUNCTION("""COMPUTED_VALUE"""),"https://stirioficiale.ro/informatii/informare-de-presa-01-august-2020")</f>
        <v>https://stirioficiale.ro/informatii/informare-de-presa-01-august-2020</v>
      </c>
      <c r="L943" s="5"/>
      <c r="M943" s="5"/>
      <c r="N943" s="5"/>
      <c r="O943" s="5"/>
      <c r="P943" s="5"/>
      <c r="Q943" s="5"/>
      <c r="R943" s="5" t="str">
        <f ca="1">IFERROR(__xludf.DUMMYFUNCTION("""COMPUTED_VALUE"""),"România")</f>
        <v>România</v>
      </c>
      <c r="S943" s="5" t="str">
        <f ca="1">IFERROR(__xludf.DUMMYFUNCTION("""COMPUTED_VALUE"""),"Octavian")</f>
        <v>Octavian</v>
      </c>
      <c r="T943" s="7" t="str">
        <f ca="1">IFERROR(__xludf.DUMMYFUNCTION("""COMPUTED_VALUE"""),"http://www.ms.ro/2020/08/01/buletin-informativ-01-08-2020/")</f>
        <v>http://www.ms.ro/2020/08/01/buletin-informativ-01-08-2020/</v>
      </c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ht="12.5">
      <c r="A944" s="5">
        <f ca="1">IFERROR(__xludf.DUMMYFUNCTION("""COMPUTED_VALUE"""),51113)</f>
        <v>51113</v>
      </c>
      <c r="B944" s="5"/>
      <c r="C944" s="5" t="str">
        <f ca="1">IFERROR(__xludf.DUMMYFUNCTION("""COMPUTED_VALUE"""),"Bihor")</f>
        <v>Bihor</v>
      </c>
      <c r="D944" s="13">
        <f ca="1">IFERROR(__xludf.DUMMYFUNCTION("""COMPUTED_VALUE"""),44043)</f>
        <v>44043</v>
      </c>
      <c r="E944" s="5" t="str">
        <f ca="1">IFERROR(__xludf.DUMMYFUNCTION("""COMPUTED_VALUE"""),"Nu")</f>
        <v>Nu</v>
      </c>
      <c r="F944" s="5"/>
      <c r="G944" s="5"/>
      <c r="H944" s="6"/>
      <c r="I944" s="5"/>
      <c r="J944" s="5"/>
      <c r="K944" s="7" t="str">
        <f ca="1">IFERROR(__xludf.DUMMYFUNCTION("""COMPUTED_VALUE"""),"https://stirioficiale.ro/informatii/informare-de-presa-01-august-2020")</f>
        <v>https://stirioficiale.ro/informatii/informare-de-presa-01-august-2020</v>
      </c>
      <c r="L944" s="5"/>
      <c r="M944" s="5"/>
      <c r="N944" s="5"/>
      <c r="O944" s="5"/>
      <c r="P944" s="5"/>
      <c r="Q944" s="5"/>
      <c r="R944" s="5" t="str">
        <f ca="1">IFERROR(__xludf.DUMMYFUNCTION("""COMPUTED_VALUE"""),"România")</f>
        <v>România</v>
      </c>
      <c r="S944" s="5" t="str">
        <f ca="1">IFERROR(__xludf.DUMMYFUNCTION("""COMPUTED_VALUE"""),"Octavian")</f>
        <v>Octavian</v>
      </c>
      <c r="T944" s="7" t="str">
        <f ca="1">IFERROR(__xludf.DUMMYFUNCTION("""COMPUTED_VALUE"""),"http://www.ms.ro/2020/08/01/buletin-informativ-01-08-2020/")</f>
        <v>http://www.ms.ro/2020/08/01/buletin-informativ-01-08-2020/</v>
      </c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ht="12.5">
      <c r="A945" s="5">
        <f ca="1">IFERROR(__xludf.DUMMYFUNCTION("""COMPUTED_VALUE"""),51114)</f>
        <v>51114</v>
      </c>
      <c r="B945" s="5"/>
      <c r="C945" s="5" t="str">
        <f ca="1">IFERROR(__xludf.DUMMYFUNCTION("""COMPUTED_VALUE"""),"Bihor")</f>
        <v>Bihor</v>
      </c>
      <c r="D945" s="13">
        <f ca="1">IFERROR(__xludf.DUMMYFUNCTION("""COMPUTED_VALUE"""),44043)</f>
        <v>44043</v>
      </c>
      <c r="E945" s="5" t="str">
        <f ca="1">IFERROR(__xludf.DUMMYFUNCTION("""COMPUTED_VALUE"""),"Nu")</f>
        <v>Nu</v>
      </c>
      <c r="F945" s="5"/>
      <c r="G945" s="5"/>
      <c r="H945" s="6"/>
      <c r="I945" s="5"/>
      <c r="J945" s="5"/>
      <c r="K945" s="7" t="str">
        <f ca="1">IFERROR(__xludf.DUMMYFUNCTION("""COMPUTED_VALUE"""),"https://stirioficiale.ro/informatii/informare-de-presa-01-august-2020")</f>
        <v>https://stirioficiale.ro/informatii/informare-de-presa-01-august-2020</v>
      </c>
      <c r="L945" s="5"/>
      <c r="M945" s="5"/>
      <c r="N945" s="5"/>
      <c r="O945" s="5"/>
      <c r="P945" s="5"/>
      <c r="Q945" s="5"/>
      <c r="R945" s="5" t="str">
        <f ca="1">IFERROR(__xludf.DUMMYFUNCTION("""COMPUTED_VALUE"""),"România")</f>
        <v>România</v>
      </c>
      <c r="S945" s="5" t="str">
        <f ca="1">IFERROR(__xludf.DUMMYFUNCTION("""COMPUTED_VALUE"""),"Octavian")</f>
        <v>Octavian</v>
      </c>
      <c r="T945" s="7" t="str">
        <f ca="1">IFERROR(__xludf.DUMMYFUNCTION("""COMPUTED_VALUE"""),"http://www.ms.ro/2020/08/01/buletin-informativ-01-08-2020/")</f>
        <v>http://www.ms.ro/2020/08/01/buletin-informativ-01-08-2020/</v>
      </c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ht="12.5">
      <c r="A946" s="5">
        <f ca="1">IFERROR(__xludf.DUMMYFUNCTION("""COMPUTED_VALUE"""),51115)</f>
        <v>51115</v>
      </c>
      <c r="B946" s="5"/>
      <c r="C946" s="5" t="str">
        <f ca="1">IFERROR(__xludf.DUMMYFUNCTION("""COMPUTED_VALUE"""),"Bihor")</f>
        <v>Bihor</v>
      </c>
      <c r="D946" s="13">
        <f ca="1">IFERROR(__xludf.DUMMYFUNCTION("""COMPUTED_VALUE"""),44043)</f>
        <v>44043</v>
      </c>
      <c r="E946" s="5" t="str">
        <f ca="1">IFERROR(__xludf.DUMMYFUNCTION("""COMPUTED_VALUE"""),"Nu")</f>
        <v>Nu</v>
      </c>
      <c r="F946" s="5"/>
      <c r="G946" s="5"/>
      <c r="H946" s="6"/>
      <c r="I946" s="5"/>
      <c r="J946" s="5"/>
      <c r="K946" s="7" t="str">
        <f ca="1">IFERROR(__xludf.DUMMYFUNCTION("""COMPUTED_VALUE"""),"https://stirioficiale.ro/informatii/informare-de-presa-01-august-2020")</f>
        <v>https://stirioficiale.ro/informatii/informare-de-presa-01-august-2020</v>
      </c>
      <c r="L946" s="5"/>
      <c r="M946" s="5"/>
      <c r="N946" s="5"/>
      <c r="O946" s="5"/>
      <c r="P946" s="5"/>
      <c r="Q946" s="5"/>
      <c r="R946" s="5" t="str">
        <f ca="1">IFERROR(__xludf.DUMMYFUNCTION("""COMPUTED_VALUE"""),"România")</f>
        <v>România</v>
      </c>
      <c r="S946" s="5" t="str">
        <f ca="1">IFERROR(__xludf.DUMMYFUNCTION("""COMPUTED_VALUE"""),"Octavian")</f>
        <v>Octavian</v>
      </c>
      <c r="T946" s="7" t="str">
        <f ca="1">IFERROR(__xludf.DUMMYFUNCTION("""COMPUTED_VALUE"""),"http://www.ms.ro/2020/08/01/buletin-informativ-01-08-2020/")</f>
        <v>http://www.ms.ro/2020/08/01/buletin-informativ-01-08-2020/</v>
      </c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ht="12.5">
      <c r="A947" s="5">
        <f ca="1">IFERROR(__xludf.DUMMYFUNCTION("""COMPUTED_VALUE"""),51116)</f>
        <v>51116</v>
      </c>
      <c r="B947" s="5"/>
      <c r="C947" s="5" t="str">
        <f ca="1">IFERROR(__xludf.DUMMYFUNCTION("""COMPUTED_VALUE"""),"Bihor")</f>
        <v>Bihor</v>
      </c>
      <c r="D947" s="13">
        <f ca="1">IFERROR(__xludf.DUMMYFUNCTION("""COMPUTED_VALUE"""),44043)</f>
        <v>44043</v>
      </c>
      <c r="E947" s="5" t="str">
        <f ca="1">IFERROR(__xludf.DUMMYFUNCTION("""COMPUTED_VALUE"""),"Nu")</f>
        <v>Nu</v>
      </c>
      <c r="F947" s="5"/>
      <c r="G947" s="5"/>
      <c r="H947" s="6"/>
      <c r="I947" s="5"/>
      <c r="J947" s="5"/>
      <c r="K947" s="7" t="str">
        <f ca="1">IFERROR(__xludf.DUMMYFUNCTION("""COMPUTED_VALUE"""),"https://stirioficiale.ro/informatii/informare-de-presa-01-august-2020")</f>
        <v>https://stirioficiale.ro/informatii/informare-de-presa-01-august-2020</v>
      </c>
      <c r="L947" s="5"/>
      <c r="M947" s="5"/>
      <c r="N947" s="5"/>
      <c r="O947" s="5"/>
      <c r="P947" s="5"/>
      <c r="Q947" s="5"/>
      <c r="R947" s="5" t="str">
        <f ca="1">IFERROR(__xludf.DUMMYFUNCTION("""COMPUTED_VALUE"""),"România")</f>
        <v>România</v>
      </c>
      <c r="S947" s="5" t="str">
        <f ca="1">IFERROR(__xludf.DUMMYFUNCTION("""COMPUTED_VALUE"""),"Octavian")</f>
        <v>Octavian</v>
      </c>
      <c r="T947" s="7" t="str">
        <f ca="1">IFERROR(__xludf.DUMMYFUNCTION("""COMPUTED_VALUE"""),"http://www.ms.ro/2020/08/01/buletin-informativ-01-08-2020/")</f>
        <v>http://www.ms.ro/2020/08/01/buletin-informativ-01-08-2020/</v>
      </c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ht="12.5">
      <c r="A948" s="5">
        <f ca="1">IFERROR(__xludf.DUMMYFUNCTION("""COMPUTED_VALUE"""),51117)</f>
        <v>51117</v>
      </c>
      <c r="B948" s="5"/>
      <c r="C948" s="5" t="str">
        <f ca="1">IFERROR(__xludf.DUMMYFUNCTION("""COMPUTED_VALUE"""),"Bihor")</f>
        <v>Bihor</v>
      </c>
      <c r="D948" s="13">
        <f ca="1">IFERROR(__xludf.DUMMYFUNCTION("""COMPUTED_VALUE"""),44043)</f>
        <v>44043</v>
      </c>
      <c r="E948" s="5" t="str">
        <f ca="1">IFERROR(__xludf.DUMMYFUNCTION("""COMPUTED_VALUE"""),"Nu")</f>
        <v>Nu</v>
      </c>
      <c r="F948" s="5"/>
      <c r="G948" s="5"/>
      <c r="H948" s="6"/>
      <c r="I948" s="5"/>
      <c r="J948" s="5"/>
      <c r="K948" s="7" t="str">
        <f ca="1">IFERROR(__xludf.DUMMYFUNCTION("""COMPUTED_VALUE"""),"https://stirioficiale.ro/informatii/informare-de-presa-01-august-2020")</f>
        <v>https://stirioficiale.ro/informatii/informare-de-presa-01-august-2020</v>
      </c>
      <c r="L948" s="5"/>
      <c r="M948" s="5"/>
      <c r="N948" s="5"/>
      <c r="O948" s="5"/>
      <c r="P948" s="5"/>
      <c r="Q948" s="5"/>
      <c r="R948" s="5" t="str">
        <f ca="1">IFERROR(__xludf.DUMMYFUNCTION("""COMPUTED_VALUE"""),"România")</f>
        <v>România</v>
      </c>
      <c r="S948" s="5" t="str">
        <f ca="1">IFERROR(__xludf.DUMMYFUNCTION("""COMPUTED_VALUE"""),"Octavian")</f>
        <v>Octavian</v>
      </c>
      <c r="T948" s="7" t="str">
        <f ca="1">IFERROR(__xludf.DUMMYFUNCTION("""COMPUTED_VALUE"""),"http://www.ms.ro/2020/08/01/buletin-informativ-01-08-2020/")</f>
        <v>http://www.ms.ro/2020/08/01/buletin-informativ-01-08-2020/</v>
      </c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ht="12.5">
      <c r="A949" s="5">
        <f ca="1">IFERROR(__xludf.DUMMYFUNCTION("""COMPUTED_VALUE"""),51118)</f>
        <v>51118</v>
      </c>
      <c r="B949" s="5"/>
      <c r="C949" s="5" t="str">
        <f ca="1">IFERROR(__xludf.DUMMYFUNCTION("""COMPUTED_VALUE"""),"Bihor")</f>
        <v>Bihor</v>
      </c>
      <c r="D949" s="13">
        <f ca="1">IFERROR(__xludf.DUMMYFUNCTION("""COMPUTED_VALUE"""),44043)</f>
        <v>44043</v>
      </c>
      <c r="E949" s="5" t="str">
        <f ca="1">IFERROR(__xludf.DUMMYFUNCTION("""COMPUTED_VALUE"""),"Nu")</f>
        <v>Nu</v>
      </c>
      <c r="F949" s="5"/>
      <c r="G949" s="5"/>
      <c r="H949" s="6"/>
      <c r="I949" s="5"/>
      <c r="J949" s="5"/>
      <c r="K949" s="7" t="str">
        <f ca="1">IFERROR(__xludf.DUMMYFUNCTION("""COMPUTED_VALUE"""),"https://stirioficiale.ro/informatii/informare-de-presa-01-august-2020")</f>
        <v>https://stirioficiale.ro/informatii/informare-de-presa-01-august-2020</v>
      </c>
      <c r="L949" s="5"/>
      <c r="M949" s="5"/>
      <c r="N949" s="5"/>
      <c r="O949" s="5"/>
      <c r="P949" s="5"/>
      <c r="Q949" s="5"/>
      <c r="R949" s="5" t="str">
        <f ca="1">IFERROR(__xludf.DUMMYFUNCTION("""COMPUTED_VALUE"""),"România")</f>
        <v>România</v>
      </c>
      <c r="S949" s="5" t="str">
        <f ca="1">IFERROR(__xludf.DUMMYFUNCTION("""COMPUTED_VALUE"""),"Octavian")</f>
        <v>Octavian</v>
      </c>
      <c r="T949" s="7" t="str">
        <f ca="1">IFERROR(__xludf.DUMMYFUNCTION("""COMPUTED_VALUE"""),"http://www.ms.ro/2020/08/01/buletin-informativ-01-08-2020/")</f>
        <v>http://www.ms.ro/2020/08/01/buletin-informativ-01-08-2020/</v>
      </c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ht="12.5">
      <c r="A950" s="5">
        <f ca="1">IFERROR(__xludf.DUMMYFUNCTION("""COMPUTED_VALUE"""),51119)</f>
        <v>51119</v>
      </c>
      <c r="B950" s="5"/>
      <c r="C950" s="5" t="str">
        <f ca="1">IFERROR(__xludf.DUMMYFUNCTION("""COMPUTED_VALUE"""),"Bihor")</f>
        <v>Bihor</v>
      </c>
      <c r="D950" s="13">
        <f ca="1">IFERROR(__xludf.DUMMYFUNCTION("""COMPUTED_VALUE"""),44043)</f>
        <v>44043</v>
      </c>
      <c r="E950" s="5" t="str">
        <f ca="1">IFERROR(__xludf.DUMMYFUNCTION("""COMPUTED_VALUE"""),"Nu")</f>
        <v>Nu</v>
      </c>
      <c r="F950" s="5"/>
      <c r="G950" s="5"/>
      <c r="H950" s="6"/>
      <c r="I950" s="5"/>
      <c r="J950" s="5"/>
      <c r="K950" s="7" t="str">
        <f ca="1">IFERROR(__xludf.DUMMYFUNCTION("""COMPUTED_VALUE"""),"https://stirioficiale.ro/informatii/informare-de-presa-01-august-2020")</f>
        <v>https://stirioficiale.ro/informatii/informare-de-presa-01-august-2020</v>
      </c>
      <c r="L950" s="5"/>
      <c r="M950" s="5"/>
      <c r="N950" s="5"/>
      <c r="O950" s="5"/>
      <c r="P950" s="5"/>
      <c r="Q950" s="5"/>
      <c r="R950" s="5" t="str">
        <f ca="1">IFERROR(__xludf.DUMMYFUNCTION("""COMPUTED_VALUE"""),"România")</f>
        <v>România</v>
      </c>
      <c r="S950" s="5" t="str">
        <f ca="1">IFERROR(__xludf.DUMMYFUNCTION("""COMPUTED_VALUE"""),"Octavian")</f>
        <v>Octavian</v>
      </c>
      <c r="T950" s="7" t="str">
        <f ca="1">IFERROR(__xludf.DUMMYFUNCTION("""COMPUTED_VALUE"""),"http://www.ms.ro/2020/08/01/buletin-informativ-01-08-2020/")</f>
        <v>http://www.ms.ro/2020/08/01/buletin-informativ-01-08-2020/</v>
      </c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ht="12.5">
      <c r="A951" s="5">
        <f ca="1">IFERROR(__xludf.DUMMYFUNCTION("""COMPUTED_VALUE"""),51120)</f>
        <v>51120</v>
      </c>
      <c r="B951" s="5"/>
      <c r="C951" s="5" t="str">
        <f ca="1">IFERROR(__xludf.DUMMYFUNCTION("""COMPUTED_VALUE"""),"Bihor")</f>
        <v>Bihor</v>
      </c>
      <c r="D951" s="13">
        <f ca="1">IFERROR(__xludf.DUMMYFUNCTION("""COMPUTED_VALUE"""),44043)</f>
        <v>44043</v>
      </c>
      <c r="E951" s="5" t="str">
        <f ca="1">IFERROR(__xludf.DUMMYFUNCTION("""COMPUTED_VALUE"""),"Nu")</f>
        <v>Nu</v>
      </c>
      <c r="F951" s="5"/>
      <c r="G951" s="5"/>
      <c r="H951" s="6"/>
      <c r="I951" s="5"/>
      <c r="J951" s="5"/>
      <c r="K951" s="7" t="str">
        <f ca="1">IFERROR(__xludf.DUMMYFUNCTION("""COMPUTED_VALUE"""),"https://stirioficiale.ro/informatii/informare-de-presa-01-august-2020")</f>
        <v>https://stirioficiale.ro/informatii/informare-de-presa-01-august-2020</v>
      </c>
      <c r="L951" s="5"/>
      <c r="M951" s="5"/>
      <c r="N951" s="5"/>
      <c r="O951" s="5"/>
      <c r="P951" s="5"/>
      <c r="Q951" s="5"/>
      <c r="R951" s="5" t="str">
        <f ca="1">IFERROR(__xludf.DUMMYFUNCTION("""COMPUTED_VALUE"""),"România")</f>
        <v>România</v>
      </c>
      <c r="S951" s="5" t="str">
        <f ca="1">IFERROR(__xludf.DUMMYFUNCTION("""COMPUTED_VALUE"""),"Octavian")</f>
        <v>Octavian</v>
      </c>
      <c r="T951" s="7" t="str">
        <f ca="1">IFERROR(__xludf.DUMMYFUNCTION("""COMPUTED_VALUE"""),"http://www.ms.ro/2020/08/01/buletin-informativ-01-08-2020/")</f>
        <v>http://www.ms.ro/2020/08/01/buletin-informativ-01-08-2020/</v>
      </c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ht="12.5">
      <c r="A952" s="5">
        <f ca="1">IFERROR(__xludf.DUMMYFUNCTION("""COMPUTED_VALUE"""),51121)</f>
        <v>51121</v>
      </c>
      <c r="B952" s="5"/>
      <c r="C952" s="5" t="str">
        <f ca="1">IFERROR(__xludf.DUMMYFUNCTION("""COMPUTED_VALUE"""),"Bihor")</f>
        <v>Bihor</v>
      </c>
      <c r="D952" s="13">
        <f ca="1">IFERROR(__xludf.DUMMYFUNCTION("""COMPUTED_VALUE"""),44043)</f>
        <v>44043</v>
      </c>
      <c r="E952" s="5" t="str">
        <f ca="1">IFERROR(__xludf.DUMMYFUNCTION("""COMPUTED_VALUE"""),"Nu")</f>
        <v>Nu</v>
      </c>
      <c r="F952" s="5"/>
      <c r="G952" s="5"/>
      <c r="H952" s="6"/>
      <c r="I952" s="5"/>
      <c r="J952" s="5"/>
      <c r="K952" s="7" t="str">
        <f ca="1">IFERROR(__xludf.DUMMYFUNCTION("""COMPUTED_VALUE"""),"https://stirioficiale.ro/informatii/informare-de-presa-01-august-2020")</f>
        <v>https://stirioficiale.ro/informatii/informare-de-presa-01-august-2020</v>
      </c>
      <c r="L952" s="5"/>
      <c r="M952" s="5"/>
      <c r="N952" s="5"/>
      <c r="O952" s="5"/>
      <c r="P952" s="5"/>
      <c r="Q952" s="5"/>
      <c r="R952" s="5" t="str">
        <f ca="1">IFERROR(__xludf.DUMMYFUNCTION("""COMPUTED_VALUE"""),"România")</f>
        <v>România</v>
      </c>
      <c r="S952" s="5" t="str">
        <f ca="1">IFERROR(__xludf.DUMMYFUNCTION("""COMPUTED_VALUE"""),"Octavian")</f>
        <v>Octavian</v>
      </c>
      <c r="T952" s="7" t="str">
        <f ca="1">IFERROR(__xludf.DUMMYFUNCTION("""COMPUTED_VALUE"""),"http://www.ms.ro/2020/08/01/buletin-informativ-01-08-2020/")</f>
        <v>http://www.ms.ro/2020/08/01/buletin-informativ-01-08-2020/</v>
      </c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ht="12.5">
      <c r="A953" s="5">
        <f ca="1">IFERROR(__xludf.DUMMYFUNCTION("""COMPUTED_VALUE"""),51122)</f>
        <v>51122</v>
      </c>
      <c r="B953" s="5"/>
      <c r="C953" s="5" t="str">
        <f ca="1">IFERROR(__xludf.DUMMYFUNCTION("""COMPUTED_VALUE"""),"Bihor")</f>
        <v>Bihor</v>
      </c>
      <c r="D953" s="13">
        <f ca="1">IFERROR(__xludf.DUMMYFUNCTION("""COMPUTED_VALUE"""),44043)</f>
        <v>44043</v>
      </c>
      <c r="E953" s="5" t="str">
        <f ca="1">IFERROR(__xludf.DUMMYFUNCTION("""COMPUTED_VALUE"""),"Nu")</f>
        <v>Nu</v>
      </c>
      <c r="F953" s="5"/>
      <c r="G953" s="5"/>
      <c r="H953" s="6"/>
      <c r="I953" s="5"/>
      <c r="J953" s="5"/>
      <c r="K953" s="7" t="str">
        <f ca="1">IFERROR(__xludf.DUMMYFUNCTION("""COMPUTED_VALUE"""),"https://stirioficiale.ro/informatii/informare-de-presa-01-august-2020")</f>
        <v>https://stirioficiale.ro/informatii/informare-de-presa-01-august-2020</v>
      </c>
      <c r="L953" s="5"/>
      <c r="M953" s="5"/>
      <c r="N953" s="5"/>
      <c r="O953" s="5"/>
      <c r="P953" s="5"/>
      <c r="Q953" s="5"/>
      <c r="R953" s="5" t="str">
        <f ca="1">IFERROR(__xludf.DUMMYFUNCTION("""COMPUTED_VALUE"""),"România")</f>
        <v>România</v>
      </c>
      <c r="S953" s="5" t="str">
        <f ca="1">IFERROR(__xludf.DUMMYFUNCTION("""COMPUTED_VALUE"""),"Octavian")</f>
        <v>Octavian</v>
      </c>
      <c r="T953" s="7" t="str">
        <f ca="1">IFERROR(__xludf.DUMMYFUNCTION("""COMPUTED_VALUE"""),"http://www.ms.ro/2020/08/01/buletin-informativ-01-08-2020/")</f>
        <v>http://www.ms.ro/2020/08/01/buletin-informativ-01-08-2020/</v>
      </c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ht="12.5">
      <c r="A954" s="5">
        <f ca="1">IFERROR(__xludf.DUMMYFUNCTION("""COMPUTED_VALUE"""),51123)</f>
        <v>51123</v>
      </c>
      <c r="B954" s="5"/>
      <c r="C954" s="5" t="str">
        <f ca="1">IFERROR(__xludf.DUMMYFUNCTION("""COMPUTED_VALUE"""),"Bihor")</f>
        <v>Bihor</v>
      </c>
      <c r="D954" s="13">
        <f ca="1">IFERROR(__xludf.DUMMYFUNCTION("""COMPUTED_VALUE"""),44043)</f>
        <v>44043</v>
      </c>
      <c r="E954" s="5" t="str">
        <f ca="1">IFERROR(__xludf.DUMMYFUNCTION("""COMPUTED_VALUE"""),"Nu")</f>
        <v>Nu</v>
      </c>
      <c r="F954" s="5"/>
      <c r="G954" s="5"/>
      <c r="H954" s="6"/>
      <c r="I954" s="5"/>
      <c r="J954" s="5"/>
      <c r="K954" s="7" t="str">
        <f ca="1">IFERROR(__xludf.DUMMYFUNCTION("""COMPUTED_VALUE"""),"https://stirioficiale.ro/informatii/informare-de-presa-01-august-2020")</f>
        <v>https://stirioficiale.ro/informatii/informare-de-presa-01-august-2020</v>
      </c>
      <c r="L954" s="5"/>
      <c r="M954" s="5"/>
      <c r="N954" s="5"/>
      <c r="O954" s="5"/>
      <c r="P954" s="5"/>
      <c r="Q954" s="5"/>
      <c r="R954" s="5" t="str">
        <f ca="1">IFERROR(__xludf.DUMMYFUNCTION("""COMPUTED_VALUE"""),"România")</f>
        <v>România</v>
      </c>
      <c r="S954" s="5" t="str">
        <f ca="1">IFERROR(__xludf.DUMMYFUNCTION("""COMPUTED_VALUE"""),"Octavian")</f>
        <v>Octavian</v>
      </c>
      <c r="T954" s="7" t="str">
        <f ca="1">IFERROR(__xludf.DUMMYFUNCTION("""COMPUTED_VALUE"""),"http://www.ms.ro/2020/08/01/buletin-informativ-01-08-2020/")</f>
        <v>http://www.ms.ro/2020/08/01/buletin-informativ-01-08-2020/</v>
      </c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ht="12.5">
      <c r="A955" s="5">
        <f ca="1">IFERROR(__xludf.DUMMYFUNCTION("""COMPUTED_VALUE"""),51124)</f>
        <v>51124</v>
      </c>
      <c r="B955" s="5"/>
      <c r="C955" s="5" t="str">
        <f ca="1">IFERROR(__xludf.DUMMYFUNCTION("""COMPUTED_VALUE"""),"Bihor")</f>
        <v>Bihor</v>
      </c>
      <c r="D955" s="13">
        <f ca="1">IFERROR(__xludf.DUMMYFUNCTION("""COMPUTED_VALUE"""),44043)</f>
        <v>44043</v>
      </c>
      <c r="E955" s="5" t="str">
        <f ca="1">IFERROR(__xludf.DUMMYFUNCTION("""COMPUTED_VALUE"""),"Nu")</f>
        <v>Nu</v>
      </c>
      <c r="F955" s="5"/>
      <c r="G955" s="5"/>
      <c r="H955" s="6"/>
      <c r="I955" s="5"/>
      <c r="J955" s="5"/>
      <c r="K955" s="7" t="str">
        <f ca="1">IFERROR(__xludf.DUMMYFUNCTION("""COMPUTED_VALUE"""),"https://stirioficiale.ro/informatii/informare-de-presa-01-august-2020")</f>
        <v>https://stirioficiale.ro/informatii/informare-de-presa-01-august-2020</v>
      </c>
      <c r="L955" s="5"/>
      <c r="M955" s="5"/>
      <c r="N955" s="5"/>
      <c r="O955" s="5"/>
      <c r="P955" s="5"/>
      <c r="Q955" s="5"/>
      <c r="R955" s="5" t="str">
        <f ca="1">IFERROR(__xludf.DUMMYFUNCTION("""COMPUTED_VALUE"""),"România")</f>
        <v>România</v>
      </c>
      <c r="S955" s="5" t="str">
        <f ca="1">IFERROR(__xludf.DUMMYFUNCTION("""COMPUTED_VALUE"""),"Octavian")</f>
        <v>Octavian</v>
      </c>
      <c r="T955" s="7" t="str">
        <f ca="1">IFERROR(__xludf.DUMMYFUNCTION("""COMPUTED_VALUE"""),"http://www.ms.ro/2020/08/01/buletin-informativ-01-08-2020/")</f>
        <v>http://www.ms.ro/2020/08/01/buletin-informativ-01-08-2020/</v>
      </c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ht="12.5">
      <c r="A956" s="5">
        <f ca="1">IFERROR(__xludf.DUMMYFUNCTION("""COMPUTED_VALUE"""),52269)</f>
        <v>52269</v>
      </c>
      <c r="B956" s="5"/>
      <c r="C956" s="5" t="str">
        <f ca="1">IFERROR(__xludf.DUMMYFUNCTION("""COMPUTED_VALUE"""),"Bihor")</f>
        <v>Bihor</v>
      </c>
      <c r="D956" s="13">
        <f ca="1">IFERROR(__xludf.DUMMYFUNCTION("""COMPUTED_VALUE"""),44043)</f>
        <v>44043</v>
      </c>
      <c r="E956" s="5" t="str">
        <f ca="1">IFERROR(__xludf.DUMMYFUNCTION("""COMPUTED_VALUE"""),"Nu")</f>
        <v>Nu</v>
      </c>
      <c r="F956" s="5"/>
      <c r="G956" s="5"/>
      <c r="H956" s="6"/>
      <c r="I956" s="5"/>
      <c r="J956" s="5"/>
      <c r="K956" s="7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956" s="5"/>
      <c r="M956" s="5"/>
      <c r="N956" s="5"/>
      <c r="O956" s="5"/>
      <c r="P956" s="5"/>
      <c r="Q956" s="5"/>
      <c r="R956" s="5" t="str">
        <f ca="1">IFERROR(__xludf.DUMMYFUNCTION("""COMPUTED_VALUE"""),"România")</f>
        <v>România</v>
      </c>
      <c r="S956" s="5" t="str">
        <f ca="1">IFERROR(__xludf.DUMMYFUNCTION("""COMPUTED_VALUE"""),"Octavian")</f>
        <v>Octavian</v>
      </c>
      <c r="T956" s="7" t="str">
        <f ca="1">IFERROR(__xludf.DUMMYFUNCTION("""COMPUTED_VALUE"""),"http://www.ms.ro/2020/08/02/buletin-informativ-02-08-2020/")</f>
        <v>http://www.ms.ro/2020/08/02/buletin-informativ-02-08-2020/</v>
      </c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ht="12.5">
      <c r="A957" s="5">
        <f ca="1">IFERROR(__xludf.DUMMYFUNCTION("""COMPUTED_VALUE"""),52270)</f>
        <v>52270</v>
      </c>
      <c r="B957" s="5"/>
      <c r="C957" s="5" t="str">
        <f ca="1">IFERROR(__xludf.DUMMYFUNCTION("""COMPUTED_VALUE"""),"Bihor")</f>
        <v>Bihor</v>
      </c>
      <c r="D957" s="13">
        <f ca="1">IFERROR(__xludf.DUMMYFUNCTION("""COMPUTED_VALUE"""),44043)</f>
        <v>44043</v>
      </c>
      <c r="E957" s="5" t="str">
        <f ca="1">IFERROR(__xludf.DUMMYFUNCTION("""COMPUTED_VALUE"""),"Nu")</f>
        <v>Nu</v>
      </c>
      <c r="F957" s="5"/>
      <c r="G957" s="5"/>
      <c r="H957" s="6"/>
      <c r="I957" s="5"/>
      <c r="J957" s="5"/>
      <c r="K957" s="7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957" s="5"/>
      <c r="M957" s="5"/>
      <c r="N957" s="5"/>
      <c r="O957" s="5"/>
      <c r="P957" s="5"/>
      <c r="Q957" s="5"/>
      <c r="R957" s="5" t="str">
        <f ca="1">IFERROR(__xludf.DUMMYFUNCTION("""COMPUTED_VALUE"""),"România")</f>
        <v>România</v>
      </c>
      <c r="S957" s="5" t="str">
        <f ca="1">IFERROR(__xludf.DUMMYFUNCTION("""COMPUTED_VALUE"""),"Octavian")</f>
        <v>Octavian</v>
      </c>
      <c r="T957" s="7" t="str">
        <f ca="1">IFERROR(__xludf.DUMMYFUNCTION("""COMPUTED_VALUE"""),"http://www.ms.ro/2020/08/02/buletin-informativ-02-08-2020/")</f>
        <v>http://www.ms.ro/2020/08/02/buletin-informativ-02-08-2020/</v>
      </c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ht="12.5">
      <c r="A958" s="5">
        <f ca="1">IFERROR(__xludf.DUMMYFUNCTION("""COMPUTED_VALUE"""),52271)</f>
        <v>52271</v>
      </c>
      <c r="B958" s="5"/>
      <c r="C958" s="5" t="str">
        <f ca="1">IFERROR(__xludf.DUMMYFUNCTION("""COMPUTED_VALUE"""),"Bihor")</f>
        <v>Bihor</v>
      </c>
      <c r="D958" s="13">
        <f ca="1">IFERROR(__xludf.DUMMYFUNCTION("""COMPUTED_VALUE"""),44043)</f>
        <v>44043</v>
      </c>
      <c r="E958" s="5" t="str">
        <f ca="1">IFERROR(__xludf.DUMMYFUNCTION("""COMPUTED_VALUE"""),"Nu")</f>
        <v>Nu</v>
      </c>
      <c r="F958" s="5"/>
      <c r="G958" s="5"/>
      <c r="H958" s="6"/>
      <c r="I958" s="5"/>
      <c r="J958" s="5"/>
      <c r="K958" s="7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958" s="5"/>
      <c r="M958" s="5"/>
      <c r="N958" s="5"/>
      <c r="O958" s="5"/>
      <c r="P958" s="5"/>
      <c r="Q958" s="5"/>
      <c r="R958" s="5" t="str">
        <f ca="1">IFERROR(__xludf.DUMMYFUNCTION("""COMPUTED_VALUE"""),"România")</f>
        <v>România</v>
      </c>
      <c r="S958" s="5" t="str">
        <f ca="1">IFERROR(__xludf.DUMMYFUNCTION("""COMPUTED_VALUE"""),"Octavian")</f>
        <v>Octavian</v>
      </c>
      <c r="T958" s="7" t="str">
        <f ca="1">IFERROR(__xludf.DUMMYFUNCTION("""COMPUTED_VALUE"""),"http://www.ms.ro/2020/08/02/buletin-informativ-02-08-2020/")</f>
        <v>http://www.ms.ro/2020/08/02/buletin-informativ-02-08-2020/</v>
      </c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ht="12.5">
      <c r="A959" s="5">
        <f ca="1">IFERROR(__xludf.DUMMYFUNCTION("""COMPUTED_VALUE"""),52272)</f>
        <v>52272</v>
      </c>
      <c r="B959" s="5"/>
      <c r="C959" s="5" t="str">
        <f ca="1">IFERROR(__xludf.DUMMYFUNCTION("""COMPUTED_VALUE"""),"Bihor")</f>
        <v>Bihor</v>
      </c>
      <c r="D959" s="13">
        <f ca="1">IFERROR(__xludf.DUMMYFUNCTION("""COMPUTED_VALUE"""),44043)</f>
        <v>44043</v>
      </c>
      <c r="E959" s="5" t="str">
        <f ca="1">IFERROR(__xludf.DUMMYFUNCTION("""COMPUTED_VALUE"""),"Nu")</f>
        <v>Nu</v>
      </c>
      <c r="F959" s="5"/>
      <c r="G959" s="5"/>
      <c r="H959" s="6"/>
      <c r="I959" s="5"/>
      <c r="J959" s="5"/>
      <c r="K959" s="7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959" s="5"/>
      <c r="M959" s="5"/>
      <c r="N959" s="5"/>
      <c r="O959" s="5"/>
      <c r="P959" s="5"/>
      <c r="Q959" s="5"/>
      <c r="R959" s="5" t="str">
        <f ca="1">IFERROR(__xludf.DUMMYFUNCTION("""COMPUTED_VALUE"""),"România")</f>
        <v>România</v>
      </c>
      <c r="S959" s="5" t="str">
        <f ca="1">IFERROR(__xludf.DUMMYFUNCTION("""COMPUTED_VALUE"""),"Octavian")</f>
        <v>Octavian</v>
      </c>
      <c r="T959" s="7" t="str">
        <f ca="1">IFERROR(__xludf.DUMMYFUNCTION("""COMPUTED_VALUE"""),"http://www.ms.ro/2020/08/02/buletin-informativ-02-08-2020/")</f>
        <v>http://www.ms.ro/2020/08/02/buletin-informativ-02-08-2020/</v>
      </c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ht="12.5">
      <c r="A960" s="5">
        <f ca="1">IFERROR(__xludf.DUMMYFUNCTION("""COMPUTED_VALUE"""),52273)</f>
        <v>52273</v>
      </c>
      <c r="B960" s="5"/>
      <c r="C960" s="5" t="str">
        <f ca="1">IFERROR(__xludf.DUMMYFUNCTION("""COMPUTED_VALUE"""),"Bihor")</f>
        <v>Bihor</v>
      </c>
      <c r="D960" s="13">
        <f ca="1">IFERROR(__xludf.DUMMYFUNCTION("""COMPUTED_VALUE"""),44043)</f>
        <v>44043</v>
      </c>
      <c r="E960" s="5" t="str">
        <f ca="1">IFERROR(__xludf.DUMMYFUNCTION("""COMPUTED_VALUE"""),"Nu")</f>
        <v>Nu</v>
      </c>
      <c r="F960" s="5"/>
      <c r="G960" s="5"/>
      <c r="H960" s="6"/>
      <c r="I960" s="5"/>
      <c r="J960" s="5"/>
      <c r="K960" s="7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960" s="5"/>
      <c r="M960" s="5"/>
      <c r="N960" s="5"/>
      <c r="O960" s="5"/>
      <c r="P960" s="5"/>
      <c r="Q960" s="5"/>
      <c r="R960" s="5" t="str">
        <f ca="1">IFERROR(__xludf.DUMMYFUNCTION("""COMPUTED_VALUE"""),"România")</f>
        <v>România</v>
      </c>
      <c r="S960" s="5" t="str">
        <f ca="1">IFERROR(__xludf.DUMMYFUNCTION("""COMPUTED_VALUE"""),"Octavian")</f>
        <v>Octavian</v>
      </c>
      <c r="T960" s="7" t="str">
        <f ca="1">IFERROR(__xludf.DUMMYFUNCTION("""COMPUTED_VALUE"""),"http://www.ms.ro/2020/08/02/buletin-informativ-02-08-2020/")</f>
        <v>http://www.ms.ro/2020/08/02/buletin-informativ-02-08-2020/</v>
      </c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ht="12.5">
      <c r="A961" s="5">
        <f ca="1">IFERROR(__xludf.DUMMYFUNCTION("""COMPUTED_VALUE"""),52274)</f>
        <v>52274</v>
      </c>
      <c r="B961" s="5"/>
      <c r="C961" s="5" t="str">
        <f ca="1">IFERROR(__xludf.DUMMYFUNCTION("""COMPUTED_VALUE"""),"Bihor")</f>
        <v>Bihor</v>
      </c>
      <c r="D961" s="13">
        <f ca="1">IFERROR(__xludf.DUMMYFUNCTION("""COMPUTED_VALUE"""),44043)</f>
        <v>44043</v>
      </c>
      <c r="E961" s="5" t="str">
        <f ca="1">IFERROR(__xludf.DUMMYFUNCTION("""COMPUTED_VALUE"""),"Nu")</f>
        <v>Nu</v>
      </c>
      <c r="F961" s="5"/>
      <c r="G961" s="5"/>
      <c r="H961" s="6"/>
      <c r="I961" s="5"/>
      <c r="J961" s="5"/>
      <c r="K961" s="7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961" s="5"/>
      <c r="M961" s="5"/>
      <c r="N961" s="5"/>
      <c r="O961" s="5"/>
      <c r="P961" s="5"/>
      <c r="Q961" s="5"/>
      <c r="R961" s="5" t="str">
        <f ca="1">IFERROR(__xludf.DUMMYFUNCTION("""COMPUTED_VALUE"""),"România")</f>
        <v>România</v>
      </c>
      <c r="S961" s="5" t="str">
        <f ca="1">IFERROR(__xludf.DUMMYFUNCTION("""COMPUTED_VALUE"""),"Octavian")</f>
        <v>Octavian</v>
      </c>
      <c r="T961" s="7" t="str">
        <f ca="1">IFERROR(__xludf.DUMMYFUNCTION("""COMPUTED_VALUE"""),"http://www.ms.ro/2020/08/02/buletin-informativ-02-08-2020/")</f>
        <v>http://www.ms.ro/2020/08/02/buletin-informativ-02-08-2020/</v>
      </c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ht="12.5">
      <c r="A962" s="5">
        <f ca="1">IFERROR(__xludf.DUMMYFUNCTION("""COMPUTED_VALUE"""),52275)</f>
        <v>52275</v>
      </c>
      <c r="B962" s="5"/>
      <c r="C962" s="5" t="str">
        <f ca="1">IFERROR(__xludf.DUMMYFUNCTION("""COMPUTED_VALUE"""),"Bihor")</f>
        <v>Bihor</v>
      </c>
      <c r="D962" s="13">
        <f ca="1">IFERROR(__xludf.DUMMYFUNCTION("""COMPUTED_VALUE"""),44043)</f>
        <v>44043</v>
      </c>
      <c r="E962" s="5" t="str">
        <f ca="1">IFERROR(__xludf.DUMMYFUNCTION("""COMPUTED_VALUE"""),"Nu")</f>
        <v>Nu</v>
      </c>
      <c r="F962" s="5"/>
      <c r="G962" s="5"/>
      <c r="H962" s="6"/>
      <c r="I962" s="5"/>
      <c r="J962" s="5"/>
      <c r="K962" s="7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962" s="5"/>
      <c r="M962" s="5"/>
      <c r="N962" s="5"/>
      <c r="O962" s="5"/>
      <c r="P962" s="5"/>
      <c r="Q962" s="5"/>
      <c r="R962" s="5" t="str">
        <f ca="1">IFERROR(__xludf.DUMMYFUNCTION("""COMPUTED_VALUE"""),"România")</f>
        <v>România</v>
      </c>
      <c r="S962" s="5" t="str">
        <f ca="1">IFERROR(__xludf.DUMMYFUNCTION("""COMPUTED_VALUE"""),"Octavian")</f>
        <v>Octavian</v>
      </c>
      <c r="T962" s="7" t="str">
        <f ca="1">IFERROR(__xludf.DUMMYFUNCTION("""COMPUTED_VALUE"""),"http://www.ms.ro/2020/08/02/buletin-informativ-02-08-2020/")</f>
        <v>http://www.ms.ro/2020/08/02/buletin-informativ-02-08-2020/</v>
      </c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ht="12.5">
      <c r="A963" s="5">
        <f ca="1">IFERROR(__xludf.DUMMYFUNCTION("""COMPUTED_VALUE"""),52276)</f>
        <v>52276</v>
      </c>
      <c r="B963" s="5"/>
      <c r="C963" s="5" t="str">
        <f ca="1">IFERROR(__xludf.DUMMYFUNCTION("""COMPUTED_VALUE"""),"Bihor")</f>
        <v>Bihor</v>
      </c>
      <c r="D963" s="13">
        <f ca="1">IFERROR(__xludf.DUMMYFUNCTION("""COMPUTED_VALUE"""),44043)</f>
        <v>44043</v>
      </c>
      <c r="E963" s="5" t="str">
        <f ca="1">IFERROR(__xludf.DUMMYFUNCTION("""COMPUTED_VALUE"""),"Nu")</f>
        <v>Nu</v>
      </c>
      <c r="F963" s="5"/>
      <c r="G963" s="5"/>
      <c r="H963" s="6"/>
      <c r="I963" s="5"/>
      <c r="J963" s="5"/>
      <c r="K963" s="7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963" s="5"/>
      <c r="M963" s="5"/>
      <c r="N963" s="5"/>
      <c r="O963" s="5"/>
      <c r="P963" s="5"/>
      <c r="Q963" s="5"/>
      <c r="R963" s="5" t="str">
        <f ca="1">IFERROR(__xludf.DUMMYFUNCTION("""COMPUTED_VALUE"""),"România")</f>
        <v>România</v>
      </c>
      <c r="S963" s="5" t="str">
        <f ca="1">IFERROR(__xludf.DUMMYFUNCTION("""COMPUTED_VALUE"""),"Octavian")</f>
        <v>Octavian</v>
      </c>
      <c r="T963" s="7" t="str">
        <f ca="1">IFERROR(__xludf.DUMMYFUNCTION("""COMPUTED_VALUE"""),"http://www.ms.ro/2020/08/02/buletin-informativ-02-08-2020/")</f>
        <v>http://www.ms.ro/2020/08/02/buletin-informativ-02-08-2020/</v>
      </c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ht="12.5">
      <c r="A964" s="5">
        <f ca="1">IFERROR(__xludf.DUMMYFUNCTION("""COMPUTED_VALUE"""),52277)</f>
        <v>52277</v>
      </c>
      <c r="B964" s="5"/>
      <c r="C964" s="5" t="str">
        <f ca="1">IFERROR(__xludf.DUMMYFUNCTION("""COMPUTED_VALUE"""),"Bihor")</f>
        <v>Bihor</v>
      </c>
      <c r="D964" s="13">
        <f ca="1">IFERROR(__xludf.DUMMYFUNCTION("""COMPUTED_VALUE"""),44043)</f>
        <v>44043</v>
      </c>
      <c r="E964" s="5" t="str">
        <f ca="1">IFERROR(__xludf.DUMMYFUNCTION("""COMPUTED_VALUE"""),"Nu")</f>
        <v>Nu</v>
      </c>
      <c r="F964" s="5"/>
      <c r="G964" s="5"/>
      <c r="H964" s="6"/>
      <c r="I964" s="5"/>
      <c r="J964" s="5"/>
      <c r="K964" s="7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964" s="5"/>
      <c r="M964" s="5"/>
      <c r="N964" s="5"/>
      <c r="O964" s="5"/>
      <c r="P964" s="5"/>
      <c r="Q964" s="5"/>
      <c r="R964" s="5" t="str">
        <f ca="1">IFERROR(__xludf.DUMMYFUNCTION("""COMPUTED_VALUE"""),"România")</f>
        <v>România</v>
      </c>
      <c r="S964" s="5" t="str">
        <f ca="1">IFERROR(__xludf.DUMMYFUNCTION("""COMPUTED_VALUE"""),"Octavian")</f>
        <v>Octavian</v>
      </c>
      <c r="T964" s="7" t="str">
        <f ca="1">IFERROR(__xludf.DUMMYFUNCTION("""COMPUTED_VALUE"""),"http://www.ms.ro/2020/08/02/buletin-informativ-02-08-2020/")</f>
        <v>http://www.ms.ro/2020/08/02/buletin-informativ-02-08-2020/</v>
      </c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ht="12.5">
      <c r="A965" s="5">
        <f ca="1">IFERROR(__xludf.DUMMYFUNCTION("""COMPUTED_VALUE"""),52278)</f>
        <v>52278</v>
      </c>
      <c r="B965" s="5"/>
      <c r="C965" s="5" t="str">
        <f ca="1">IFERROR(__xludf.DUMMYFUNCTION("""COMPUTED_VALUE"""),"Bihor")</f>
        <v>Bihor</v>
      </c>
      <c r="D965" s="13">
        <f ca="1">IFERROR(__xludf.DUMMYFUNCTION("""COMPUTED_VALUE"""),44043)</f>
        <v>44043</v>
      </c>
      <c r="E965" s="5" t="str">
        <f ca="1">IFERROR(__xludf.DUMMYFUNCTION("""COMPUTED_VALUE"""),"Nu")</f>
        <v>Nu</v>
      </c>
      <c r="F965" s="5"/>
      <c r="G965" s="5"/>
      <c r="H965" s="6"/>
      <c r="I965" s="5"/>
      <c r="J965" s="5"/>
      <c r="K965" s="7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965" s="5"/>
      <c r="M965" s="5"/>
      <c r="N965" s="5"/>
      <c r="O965" s="5"/>
      <c r="P965" s="5"/>
      <c r="Q965" s="5"/>
      <c r="R965" s="5" t="str">
        <f ca="1">IFERROR(__xludf.DUMMYFUNCTION("""COMPUTED_VALUE"""),"România")</f>
        <v>România</v>
      </c>
      <c r="S965" s="5" t="str">
        <f ca="1">IFERROR(__xludf.DUMMYFUNCTION("""COMPUTED_VALUE"""),"Octavian")</f>
        <v>Octavian</v>
      </c>
      <c r="T965" s="7" t="str">
        <f ca="1">IFERROR(__xludf.DUMMYFUNCTION("""COMPUTED_VALUE"""),"http://www.ms.ro/2020/08/02/buletin-informativ-02-08-2020/")</f>
        <v>http://www.ms.ro/2020/08/02/buletin-informativ-02-08-2020/</v>
      </c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ht="12.5">
      <c r="A966" s="5">
        <f ca="1">IFERROR(__xludf.DUMMYFUNCTION("""COMPUTED_VALUE"""),52279)</f>
        <v>52279</v>
      </c>
      <c r="B966" s="5"/>
      <c r="C966" s="5" t="str">
        <f ca="1">IFERROR(__xludf.DUMMYFUNCTION("""COMPUTED_VALUE"""),"Bihor")</f>
        <v>Bihor</v>
      </c>
      <c r="D966" s="13">
        <f ca="1">IFERROR(__xludf.DUMMYFUNCTION("""COMPUTED_VALUE"""),44043)</f>
        <v>44043</v>
      </c>
      <c r="E966" s="5" t="str">
        <f ca="1">IFERROR(__xludf.DUMMYFUNCTION("""COMPUTED_VALUE"""),"Nu")</f>
        <v>Nu</v>
      </c>
      <c r="F966" s="5"/>
      <c r="G966" s="5"/>
      <c r="H966" s="6"/>
      <c r="I966" s="5"/>
      <c r="J966" s="5"/>
      <c r="K966" s="7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966" s="5"/>
      <c r="M966" s="5"/>
      <c r="N966" s="5"/>
      <c r="O966" s="5"/>
      <c r="P966" s="5"/>
      <c r="Q966" s="5"/>
      <c r="R966" s="5" t="str">
        <f ca="1">IFERROR(__xludf.DUMMYFUNCTION("""COMPUTED_VALUE"""),"România")</f>
        <v>România</v>
      </c>
      <c r="S966" s="5" t="str">
        <f ca="1">IFERROR(__xludf.DUMMYFUNCTION("""COMPUTED_VALUE"""),"Octavian")</f>
        <v>Octavian</v>
      </c>
      <c r="T966" s="7" t="str">
        <f ca="1">IFERROR(__xludf.DUMMYFUNCTION("""COMPUTED_VALUE"""),"http://www.ms.ro/2020/08/02/buletin-informativ-02-08-2020/")</f>
        <v>http://www.ms.ro/2020/08/02/buletin-informativ-02-08-2020/</v>
      </c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ht="12.5">
      <c r="A967" s="5">
        <f ca="1">IFERROR(__xludf.DUMMYFUNCTION("""COMPUTED_VALUE"""),52280)</f>
        <v>52280</v>
      </c>
      <c r="B967" s="5"/>
      <c r="C967" s="5" t="str">
        <f ca="1">IFERROR(__xludf.DUMMYFUNCTION("""COMPUTED_VALUE"""),"Bihor")</f>
        <v>Bihor</v>
      </c>
      <c r="D967" s="13">
        <f ca="1">IFERROR(__xludf.DUMMYFUNCTION("""COMPUTED_VALUE"""),44043)</f>
        <v>44043</v>
      </c>
      <c r="E967" s="5" t="str">
        <f ca="1">IFERROR(__xludf.DUMMYFUNCTION("""COMPUTED_VALUE"""),"Nu")</f>
        <v>Nu</v>
      </c>
      <c r="F967" s="5"/>
      <c r="G967" s="5"/>
      <c r="H967" s="6"/>
      <c r="I967" s="5"/>
      <c r="J967" s="5"/>
      <c r="K967" s="7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967" s="5"/>
      <c r="M967" s="5"/>
      <c r="N967" s="5"/>
      <c r="O967" s="5"/>
      <c r="P967" s="5"/>
      <c r="Q967" s="5"/>
      <c r="R967" s="5" t="str">
        <f ca="1">IFERROR(__xludf.DUMMYFUNCTION("""COMPUTED_VALUE"""),"România")</f>
        <v>România</v>
      </c>
      <c r="S967" s="5" t="str">
        <f ca="1">IFERROR(__xludf.DUMMYFUNCTION("""COMPUTED_VALUE"""),"Octavian")</f>
        <v>Octavian</v>
      </c>
      <c r="T967" s="7" t="str">
        <f ca="1">IFERROR(__xludf.DUMMYFUNCTION("""COMPUTED_VALUE"""),"http://www.ms.ro/2020/08/02/buletin-informativ-02-08-2020/")</f>
        <v>http://www.ms.ro/2020/08/02/buletin-informativ-02-08-2020/</v>
      </c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ht="12.5">
      <c r="A968" s="5">
        <f ca="1">IFERROR(__xludf.DUMMYFUNCTION("""COMPUTED_VALUE"""),52281)</f>
        <v>52281</v>
      </c>
      <c r="B968" s="5"/>
      <c r="C968" s="5" t="str">
        <f ca="1">IFERROR(__xludf.DUMMYFUNCTION("""COMPUTED_VALUE"""),"Bihor")</f>
        <v>Bihor</v>
      </c>
      <c r="D968" s="13">
        <f ca="1">IFERROR(__xludf.DUMMYFUNCTION("""COMPUTED_VALUE"""),44043)</f>
        <v>44043</v>
      </c>
      <c r="E968" s="5" t="str">
        <f ca="1">IFERROR(__xludf.DUMMYFUNCTION("""COMPUTED_VALUE"""),"Nu")</f>
        <v>Nu</v>
      </c>
      <c r="F968" s="5"/>
      <c r="G968" s="5"/>
      <c r="H968" s="6"/>
      <c r="I968" s="5"/>
      <c r="J968" s="5"/>
      <c r="K968" s="7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968" s="5"/>
      <c r="M968" s="5"/>
      <c r="N968" s="5"/>
      <c r="O968" s="5"/>
      <c r="P968" s="5"/>
      <c r="Q968" s="5"/>
      <c r="R968" s="5" t="str">
        <f ca="1">IFERROR(__xludf.DUMMYFUNCTION("""COMPUTED_VALUE"""),"România")</f>
        <v>România</v>
      </c>
      <c r="S968" s="5" t="str">
        <f ca="1">IFERROR(__xludf.DUMMYFUNCTION("""COMPUTED_VALUE"""),"Octavian")</f>
        <v>Octavian</v>
      </c>
      <c r="T968" s="7" t="str">
        <f ca="1">IFERROR(__xludf.DUMMYFUNCTION("""COMPUTED_VALUE"""),"http://www.ms.ro/2020/08/02/buletin-informativ-02-08-2020/")</f>
        <v>http://www.ms.ro/2020/08/02/buletin-informativ-02-08-2020/</v>
      </c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ht="12.5">
      <c r="A969" s="5">
        <f ca="1">IFERROR(__xludf.DUMMYFUNCTION("""COMPUTED_VALUE"""),52282)</f>
        <v>52282</v>
      </c>
      <c r="B969" s="5"/>
      <c r="C969" s="5" t="str">
        <f ca="1">IFERROR(__xludf.DUMMYFUNCTION("""COMPUTED_VALUE"""),"Bihor")</f>
        <v>Bihor</v>
      </c>
      <c r="D969" s="13">
        <f ca="1">IFERROR(__xludf.DUMMYFUNCTION("""COMPUTED_VALUE"""),44043)</f>
        <v>44043</v>
      </c>
      <c r="E969" s="5" t="str">
        <f ca="1">IFERROR(__xludf.DUMMYFUNCTION("""COMPUTED_VALUE"""),"Nu")</f>
        <v>Nu</v>
      </c>
      <c r="F969" s="5"/>
      <c r="G969" s="5"/>
      <c r="H969" s="6"/>
      <c r="I969" s="5"/>
      <c r="J969" s="5"/>
      <c r="K969" s="7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969" s="5"/>
      <c r="M969" s="5"/>
      <c r="N969" s="5"/>
      <c r="O969" s="5"/>
      <c r="P969" s="5"/>
      <c r="Q969" s="5"/>
      <c r="R969" s="5" t="str">
        <f ca="1">IFERROR(__xludf.DUMMYFUNCTION("""COMPUTED_VALUE"""),"România")</f>
        <v>România</v>
      </c>
      <c r="S969" s="5" t="str">
        <f ca="1">IFERROR(__xludf.DUMMYFUNCTION("""COMPUTED_VALUE"""),"Octavian")</f>
        <v>Octavian</v>
      </c>
      <c r="T969" s="7" t="str">
        <f ca="1">IFERROR(__xludf.DUMMYFUNCTION("""COMPUTED_VALUE"""),"http://www.ms.ro/2020/08/02/buletin-informativ-02-08-2020/")</f>
        <v>http://www.ms.ro/2020/08/02/buletin-informativ-02-08-2020/</v>
      </c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ht="12.5">
      <c r="A970" s="5">
        <f ca="1">IFERROR(__xludf.DUMMYFUNCTION("""COMPUTED_VALUE"""),52283)</f>
        <v>52283</v>
      </c>
      <c r="B970" s="5"/>
      <c r="C970" s="5" t="str">
        <f ca="1">IFERROR(__xludf.DUMMYFUNCTION("""COMPUTED_VALUE"""),"Bihor")</f>
        <v>Bihor</v>
      </c>
      <c r="D970" s="13">
        <f ca="1">IFERROR(__xludf.DUMMYFUNCTION("""COMPUTED_VALUE"""),44043)</f>
        <v>44043</v>
      </c>
      <c r="E970" s="5" t="str">
        <f ca="1">IFERROR(__xludf.DUMMYFUNCTION("""COMPUTED_VALUE"""),"Nu")</f>
        <v>Nu</v>
      </c>
      <c r="F970" s="5"/>
      <c r="G970" s="5"/>
      <c r="H970" s="6"/>
      <c r="I970" s="5"/>
      <c r="J970" s="5"/>
      <c r="K970" s="7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970" s="5"/>
      <c r="M970" s="5"/>
      <c r="N970" s="5"/>
      <c r="O970" s="5"/>
      <c r="P970" s="5"/>
      <c r="Q970" s="5"/>
      <c r="R970" s="5" t="str">
        <f ca="1">IFERROR(__xludf.DUMMYFUNCTION("""COMPUTED_VALUE"""),"România")</f>
        <v>România</v>
      </c>
      <c r="S970" s="5" t="str">
        <f ca="1">IFERROR(__xludf.DUMMYFUNCTION("""COMPUTED_VALUE"""),"Octavian")</f>
        <v>Octavian</v>
      </c>
      <c r="T970" s="7" t="str">
        <f ca="1">IFERROR(__xludf.DUMMYFUNCTION("""COMPUTED_VALUE"""),"http://www.ms.ro/2020/08/02/buletin-informativ-02-08-2020/")</f>
        <v>http://www.ms.ro/2020/08/02/buletin-informativ-02-08-2020/</v>
      </c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ht="12.5">
      <c r="A971" s="5">
        <f ca="1">IFERROR(__xludf.DUMMYFUNCTION("""COMPUTED_VALUE"""),52284)</f>
        <v>52284</v>
      </c>
      <c r="B971" s="5"/>
      <c r="C971" s="5" t="str">
        <f ca="1">IFERROR(__xludf.DUMMYFUNCTION("""COMPUTED_VALUE"""),"Bihor")</f>
        <v>Bihor</v>
      </c>
      <c r="D971" s="13">
        <f ca="1">IFERROR(__xludf.DUMMYFUNCTION("""COMPUTED_VALUE"""),44043)</f>
        <v>44043</v>
      </c>
      <c r="E971" s="5" t="str">
        <f ca="1">IFERROR(__xludf.DUMMYFUNCTION("""COMPUTED_VALUE"""),"Nu")</f>
        <v>Nu</v>
      </c>
      <c r="F971" s="5"/>
      <c r="G971" s="5"/>
      <c r="H971" s="6"/>
      <c r="I971" s="5"/>
      <c r="J971" s="5"/>
      <c r="K971" s="7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971" s="5"/>
      <c r="M971" s="5"/>
      <c r="N971" s="5"/>
      <c r="O971" s="5"/>
      <c r="P971" s="5"/>
      <c r="Q971" s="5"/>
      <c r="R971" s="5" t="str">
        <f ca="1">IFERROR(__xludf.DUMMYFUNCTION("""COMPUTED_VALUE"""),"România")</f>
        <v>România</v>
      </c>
      <c r="S971" s="5" t="str">
        <f ca="1">IFERROR(__xludf.DUMMYFUNCTION("""COMPUTED_VALUE"""),"Octavian")</f>
        <v>Octavian</v>
      </c>
      <c r="T971" s="7" t="str">
        <f ca="1">IFERROR(__xludf.DUMMYFUNCTION("""COMPUTED_VALUE"""),"http://www.ms.ro/2020/08/02/buletin-informativ-02-08-2020/")</f>
        <v>http://www.ms.ro/2020/08/02/buletin-informativ-02-08-2020/</v>
      </c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ht="12.5">
      <c r="A972" s="5">
        <f ca="1">IFERROR(__xludf.DUMMYFUNCTION("""COMPUTED_VALUE"""),52285)</f>
        <v>52285</v>
      </c>
      <c r="B972" s="5"/>
      <c r="C972" s="5" t="str">
        <f ca="1">IFERROR(__xludf.DUMMYFUNCTION("""COMPUTED_VALUE"""),"Bihor")</f>
        <v>Bihor</v>
      </c>
      <c r="D972" s="13">
        <f ca="1">IFERROR(__xludf.DUMMYFUNCTION("""COMPUTED_VALUE"""),44043)</f>
        <v>44043</v>
      </c>
      <c r="E972" s="5" t="str">
        <f ca="1">IFERROR(__xludf.DUMMYFUNCTION("""COMPUTED_VALUE"""),"Nu")</f>
        <v>Nu</v>
      </c>
      <c r="F972" s="5"/>
      <c r="G972" s="5"/>
      <c r="H972" s="6"/>
      <c r="I972" s="5"/>
      <c r="J972" s="5"/>
      <c r="K972" s="7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972" s="5"/>
      <c r="M972" s="5"/>
      <c r="N972" s="5"/>
      <c r="O972" s="5"/>
      <c r="P972" s="5"/>
      <c r="Q972" s="5"/>
      <c r="R972" s="5" t="str">
        <f ca="1">IFERROR(__xludf.DUMMYFUNCTION("""COMPUTED_VALUE"""),"România")</f>
        <v>România</v>
      </c>
      <c r="S972" s="5" t="str">
        <f ca="1">IFERROR(__xludf.DUMMYFUNCTION("""COMPUTED_VALUE"""),"Octavian")</f>
        <v>Octavian</v>
      </c>
      <c r="T972" s="7" t="str">
        <f ca="1">IFERROR(__xludf.DUMMYFUNCTION("""COMPUTED_VALUE"""),"http://www.ms.ro/2020/08/02/buletin-informativ-02-08-2020/")</f>
        <v>http://www.ms.ro/2020/08/02/buletin-informativ-02-08-2020/</v>
      </c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ht="12.5">
      <c r="A973" s="5">
        <f ca="1">IFERROR(__xludf.DUMMYFUNCTION("""COMPUTED_VALUE"""),52286)</f>
        <v>52286</v>
      </c>
      <c r="B973" s="5"/>
      <c r="C973" s="5" t="str">
        <f ca="1">IFERROR(__xludf.DUMMYFUNCTION("""COMPUTED_VALUE"""),"Bihor")</f>
        <v>Bihor</v>
      </c>
      <c r="D973" s="13">
        <f ca="1">IFERROR(__xludf.DUMMYFUNCTION("""COMPUTED_VALUE"""),44043)</f>
        <v>44043</v>
      </c>
      <c r="E973" s="5" t="str">
        <f ca="1">IFERROR(__xludf.DUMMYFUNCTION("""COMPUTED_VALUE"""),"Nu")</f>
        <v>Nu</v>
      </c>
      <c r="F973" s="5"/>
      <c r="G973" s="5"/>
      <c r="H973" s="6"/>
      <c r="I973" s="5"/>
      <c r="J973" s="5"/>
      <c r="K973" s="7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973" s="5"/>
      <c r="M973" s="5"/>
      <c r="N973" s="5"/>
      <c r="O973" s="5"/>
      <c r="P973" s="5"/>
      <c r="Q973" s="5"/>
      <c r="R973" s="5" t="str">
        <f ca="1">IFERROR(__xludf.DUMMYFUNCTION("""COMPUTED_VALUE"""),"România")</f>
        <v>România</v>
      </c>
      <c r="S973" s="5" t="str">
        <f ca="1">IFERROR(__xludf.DUMMYFUNCTION("""COMPUTED_VALUE"""),"Octavian")</f>
        <v>Octavian</v>
      </c>
      <c r="T973" s="7" t="str">
        <f ca="1">IFERROR(__xludf.DUMMYFUNCTION("""COMPUTED_VALUE"""),"http://www.ms.ro/2020/08/02/buletin-informativ-02-08-2020/")</f>
        <v>http://www.ms.ro/2020/08/02/buletin-informativ-02-08-2020/</v>
      </c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ht="12.5">
      <c r="A974" s="5">
        <f ca="1">IFERROR(__xludf.DUMMYFUNCTION("""COMPUTED_VALUE"""),52287)</f>
        <v>52287</v>
      </c>
      <c r="B974" s="5"/>
      <c r="C974" s="5" t="str">
        <f ca="1">IFERROR(__xludf.DUMMYFUNCTION("""COMPUTED_VALUE"""),"Bihor")</f>
        <v>Bihor</v>
      </c>
      <c r="D974" s="13">
        <f ca="1">IFERROR(__xludf.DUMMYFUNCTION("""COMPUTED_VALUE"""),44043)</f>
        <v>44043</v>
      </c>
      <c r="E974" s="5" t="str">
        <f ca="1">IFERROR(__xludf.DUMMYFUNCTION("""COMPUTED_VALUE"""),"Nu")</f>
        <v>Nu</v>
      </c>
      <c r="F974" s="5"/>
      <c r="G974" s="5"/>
      <c r="H974" s="6"/>
      <c r="I974" s="5"/>
      <c r="J974" s="5"/>
      <c r="K974" s="7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974" s="5"/>
      <c r="M974" s="5"/>
      <c r="N974" s="5"/>
      <c r="O974" s="5"/>
      <c r="P974" s="5"/>
      <c r="Q974" s="5"/>
      <c r="R974" s="5" t="str">
        <f ca="1">IFERROR(__xludf.DUMMYFUNCTION("""COMPUTED_VALUE"""),"România")</f>
        <v>România</v>
      </c>
      <c r="S974" s="5" t="str">
        <f ca="1">IFERROR(__xludf.DUMMYFUNCTION("""COMPUTED_VALUE"""),"Octavian")</f>
        <v>Octavian</v>
      </c>
      <c r="T974" s="7" t="str">
        <f ca="1">IFERROR(__xludf.DUMMYFUNCTION("""COMPUTED_VALUE"""),"http://www.ms.ro/2020/08/02/buletin-informativ-02-08-2020/")</f>
        <v>http://www.ms.ro/2020/08/02/buletin-informativ-02-08-2020/</v>
      </c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ht="12.5">
      <c r="A975" s="5">
        <f ca="1">IFERROR(__xludf.DUMMYFUNCTION("""COMPUTED_VALUE"""),52288)</f>
        <v>52288</v>
      </c>
      <c r="B975" s="5"/>
      <c r="C975" s="5" t="str">
        <f ca="1">IFERROR(__xludf.DUMMYFUNCTION("""COMPUTED_VALUE"""),"Bihor")</f>
        <v>Bihor</v>
      </c>
      <c r="D975" s="13">
        <f ca="1">IFERROR(__xludf.DUMMYFUNCTION("""COMPUTED_VALUE"""),44043)</f>
        <v>44043</v>
      </c>
      <c r="E975" s="5" t="str">
        <f ca="1">IFERROR(__xludf.DUMMYFUNCTION("""COMPUTED_VALUE"""),"Nu")</f>
        <v>Nu</v>
      </c>
      <c r="F975" s="5"/>
      <c r="G975" s="5"/>
      <c r="H975" s="6"/>
      <c r="I975" s="5"/>
      <c r="J975" s="5"/>
      <c r="K975" s="7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975" s="5"/>
      <c r="M975" s="5"/>
      <c r="N975" s="5"/>
      <c r="O975" s="5"/>
      <c r="P975" s="5"/>
      <c r="Q975" s="5"/>
      <c r="R975" s="5" t="str">
        <f ca="1">IFERROR(__xludf.DUMMYFUNCTION("""COMPUTED_VALUE"""),"România")</f>
        <v>România</v>
      </c>
      <c r="S975" s="5" t="str">
        <f ca="1">IFERROR(__xludf.DUMMYFUNCTION("""COMPUTED_VALUE"""),"Octavian")</f>
        <v>Octavian</v>
      </c>
      <c r="T975" s="7" t="str">
        <f ca="1">IFERROR(__xludf.DUMMYFUNCTION("""COMPUTED_VALUE"""),"http://www.ms.ro/2020/08/02/buletin-informativ-02-08-2020/")</f>
        <v>http://www.ms.ro/2020/08/02/buletin-informativ-02-08-2020/</v>
      </c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ht="12.5">
      <c r="A976" s="5">
        <f ca="1">IFERROR(__xludf.DUMMYFUNCTION("""COMPUTED_VALUE"""),52289)</f>
        <v>52289</v>
      </c>
      <c r="B976" s="5"/>
      <c r="C976" s="5" t="str">
        <f ca="1">IFERROR(__xludf.DUMMYFUNCTION("""COMPUTED_VALUE"""),"Bihor")</f>
        <v>Bihor</v>
      </c>
      <c r="D976" s="13">
        <f ca="1">IFERROR(__xludf.DUMMYFUNCTION("""COMPUTED_VALUE"""),44043)</f>
        <v>44043</v>
      </c>
      <c r="E976" s="5" t="str">
        <f ca="1">IFERROR(__xludf.DUMMYFUNCTION("""COMPUTED_VALUE"""),"Nu")</f>
        <v>Nu</v>
      </c>
      <c r="F976" s="5"/>
      <c r="G976" s="5"/>
      <c r="H976" s="6"/>
      <c r="I976" s="5"/>
      <c r="J976" s="5"/>
      <c r="K976" s="7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976" s="5"/>
      <c r="M976" s="5"/>
      <c r="N976" s="5"/>
      <c r="O976" s="5"/>
      <c r="P976" s="5"/>
      <c r="Q976" s="5"/>
      <c r="R976" s="5" t="str">
        <f ca="1">IFERROR(__xludf.DUMMYFUNCTION("""COMPUTED_VALUE"""),"România")</f>
        <v>România</v>
      </c>
      <c r="S976" s="5" t="str">
        <f ca="1">IFERROR(__xludf.DUMMYFUNCTION("""COMPUTED_VALUE"""),"Octavian")</f>
        <v>Octavian</v>
      </c>
      <c r="T976" s="7" t="str">
        <f ca="1">IFERROR(__xludf.DUMMYFUNCTION("""COMPUTED_VALUE"""),"http://www.ms.ro/2020/08/02/buletin-informativ-02-08-2020/")</f>
        <v>http://www.ms.ro/2020/08/02/buletin-informativ-02-08-2020/</v>
      </c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ht="12.5">
      <c r="A977" s="5">
        <f ca="1">IFERROR(__xludf.DUMMYFUNCTION("""COMPUTED_VALUE"""),52290)</f>
        <v>52290</v>
      </c>
      <c r="B977" s="5"/>
      <c r="C977" s="5" t="str">
        <f ca="1">IFERROR(__xludf.DUMMYFUNCTION("""COMPUTED_VALUE"""),"Bihor")</f>
        <v>Bihor</v>
      </c>
      <c r="D977" s="13">
        <f ca="1">IFERROR(__xludf.DUMMYFUNCTION("""COMPUTED_VALUE"""),44043)</f>
        <v>44043</v>
      </c>
      <c r="E977" s="5" t="str">
        <f ca="1">IFERROR(__xludf.DUMMYFUNCTION("""COMPUTED_VALUE"""),"Nu")</f>
        <v>Nu</v>
      </c>
      <c r="F977" s="5"/>
      <c r="G977" s="5"/>
      <c r="H977" s="6"/>
      <c r="I977" s="5"/>
      <c r="J977" s="5"/>
      <c r="K977" s="7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977" s="5"/>
      <c r="M977" s="5"/>
      <c r="N977" s="5"/>
      <c r="O977" s="5"/>
      <c r="P977" s="5"/>
      <c r="Q977" s="5"/>
      <c r="R977" s="5" t="str">
        <f ca="1">IFERROR(__xludf.DUMMYFUNCTION("""COMPUTED_VALUE"""),"România")</f>
        <v>România</v>
      </c>
      <c r="S977" s="5" t="str">
        <f ca="1">IFERROR(__xludf.DUMMYFUNCTION("""COMPUTED_VALUE"""),"Octavian")</f>
        <v>Octavian</v>
      </c>
      <c r="T977" s="7" t="str">
        <f ca="1">IFERROR(__xludf.DUMMYFUNCTION("""COMPUTED_VALUE"""),"http://www.ms.ro/2020/08/02/buletin-informativ-02-08-2020/")</f>
        <v>http://www.ms.ro/2020/08/02/buletin-informativ-02-08-2020/</v>
      </c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ht="12.5">
      <c r="A978" s="5">
        <f ca="1">IFERROR(__xludf.DUMMYFUNCTION("""COMPUTED_VALUE"""),52291)</f>
        <v>52291</v>
      </c>
      <c r="B978" s="5"/>
      <c r="C978" s="5" t="str">
        <f ca="1">IFERROR(__xludf.DUMMYFUNCTION("""COMPUTED_VALUE"""),"Bihor")</f>
        <v>Bihor</v>
      </c>
      <c r="D978" s="13">
        <f ca="1">IFERROR(__xludf.DUMMYFUNCTION("""COMPUTED_VALUE"""),44043)</f>
        <v>44043</v>
      </c>
      <c r="E978" s="5" t="str">
        <f ca="1">IFERROR(__xludf.DUMMYFUNCTION("""COMPUTED_VALUE"""),"Nu")</f>
        <v>Nu</v>
      </c>
      <c r="F978" s="5"/>
      <c r="G978" s="5"/>
      <c r="H978" s="6"/>
      <c r="I978" s="5"/>
      <c r="J978" s="5"/>
      <c r="K978" s="7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978" s="5"/>
      <c r="M978" s="5"/>
      <c r="N978" s="5"/>
      <c r="O978" s="5"/>
      <c r="P978" s="5"/>
      <c r="Q978" s="5"/>
      <c r="R978" s="5" t="str">
        <f ca="1">IFERROR(__xludf.DUMMYFUNCTION("""COMPUTED_VALUE"""),"România")</f>
        <v>România</v>
      </c>
      <c r="S978" s="5" t="str">
        <f ca="1">IFERROR(__xludf.DUMMYFUNCTION("""COMPUTED_VALUE"""),"Octavian")</f>
        <v>Octavian</v>
      </c>
      <c r="T978" s="7" t="str">
        <f ca="1">IFERROR(__xludf.DUMMYFUNCTION("""COMPUTED_VALUE"""),"http://www.ms.ro/2020/08/02/buletin-informativ-02-08-2020/")</f>
        <v>http://www.ms.ro/2020/08/02/buletin-informativ-02-08-2020/</v>
      </c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ht="12.5">
      <c r="A979" s="5">
        <f ca="1">IFERROR(__xludf.DUMMYFUNCTION("""COMPUTED_VALUE"""),52292)</f>
        <v>52292</v>
      </c>
      <c r="B979" s="5"/>
      <c r="C979" s="5" t="str">
        <f ca="1">IFERROR(__xludf.DUMMYFUNCTION("""COMPUTED_VALUE"""),"Bihor")</f>
        <v>Bihor</v>
      </c>
      <c r="D979" s="13">
        <f ca="1">IFERROR(__xludf.DUMMYFUNCTION("""COMPUTED_VALUE"""),44043)</f>
        <v>44043</v>
      </c>
      <c r="E979" s="5" t="str">
        <f ca="1">IFERROR(__xludf.DUMMYFUNCTION("""COMPUTED_VALUE"""),"Nu")</f>
        <v>Nu</v>
      </c>
      <c r="F979" s="5"/>
      <c r="G979" s="5"/>
      <c r="H979" s="6"/>
      <c r="I979" s="5"/>
      <c r="J979" s="5"/>
      <c r="K979" s="7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979" s="5"/>
      <c r="M979" s="5"/>
      <c r="N979" s="5"/>
      <c r="O979" s="5"/>
      <c r="P979" s="5"/>
      <c r="Q979" s="5"/>
      <c r="R979" s="5" t="str">
        <f ca="1">IFERROR(__xludf.DUMMYFUNCTION("""COMPUTED_VALUE"""),"România")</f>
        <v>România</v>
      </c>
      <c r="S979" s="5" t="str">
        <f ca="1">IFERROR(__xludf.DUMMYFUNCTION("""COMPUTED_VALUE"""),"Octavian")</f>
        <v>Octavian</v>
      </c>
      <c r="T979" s="7" t="str">
        <f ca="1">IFERROR(__xludf.DUMMYFUNCTION("""COMPUTED_VALUE"""),"http://www.ms.ro/2020/08/02/buletin-informativ-02-08-2020/")</f>
        <v>http://www.ms.ro/2020/08/02/buletin-informativ-02-08-2020/</v>
      </c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ht="12.5">
      <c r="A980" s="5">
        <f ca="1">IFERROR(__xludf.DUMMYFUNCTION("""COMPUTED_VALUE"""),52293)</f>
        <v>52293</v>
      </c>
      <c r="B980" s="5"/>
      <c r="C980" s="5" t="str">
        <f ca="1">IFERROR(__xludf.DUMMYFUNCTION("""COMPUTED_VALUE"""),"Bihor")</f>
        <v>Bihor</v>
      </c>
      <c r="D980" s="13">
        <f ca="1">IFERROR(__xludf.DUMMYFUNCTION("""COMPUTED_VALUE"""),44043)</f>
        <v>44043</v>
      </c>
      <c r="E980" s="5" t="str">
        <f ca="1">IFERROR(__xludf.DUMMYFUNCTION("""COMPUTED_VALUE"""),"Nu")</f>
        <v>Nu</v>
      </c>
      <c r="F980" s="5"/>
      <c r="G980" s="5"/>
      <c r="H980" s="6"/>
      <c r="I980" s="5"/>
      <c r="J980" s="5"/>
      <c r="K980" s="7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980" s="5"/>
      <c r="M980" s="5"/>
      <c r="N980" s="5"/>
      <c r="O980" s="5"/>
      <c r="P980" s="5"/>
      <c r="Q980" s="5"/>
      <c r="R980" s="5" t="str">
        <f ca="1">IFERROR(__xludf.DUMMYFUNCTION("""COMPUTED_VALUE"""),"România")</f>
        <v>România</v>
      </c>
      <c r="S980" s="5" t="str">
        <f ca="1">IFERROR(__xludf.DUMMYFUNCTION("""COMPUTED_VALUE"""),"Octavian")</f>
        <v>Octavian</v>
      </c>
      <c r="T980" s="7" t="str">
        <f ca="1">IFERROR(__xludf.DUMMYFUNCTION("""COMPUTED_VALUE"""),"http://www.ms.ro/2020/08/02/buletin-informativ-02-08-2020/")</f>
        <v>http://www.ms.ro/2020/08/02/buletin-informativ-02-08-2020/</v>
      </c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ht="12.5">
      <c r="A981" s="5">
        <f ca="1">IFERROR(__xludf.DUMMYFUNCTION("""COMPUTED_VALUE"""),52294)</f>
        <v>52294</v>
      </c>
      <c r="B981" s="5"/>
      <c r="C981" s="5" t="str">
        <f ca="1">IFERROR(__xludf.DUMMYFUNCTION("""COMPUTED_VALUE"""),"Bihor")</f>
        <v>Bihor</v>
      </c>
      <c r="D981" s="13">
        <f ca="1">IFERROR(__xludf.DUMMYFUNCTION("""COMPUTED_VALUE"""),44043)</f>
        <v>44043</v>
      </c>
      <c r="E981" s="5" t="str">
        <f ca="1">IFERROR(__xludf.DUMMYFUNCTION("""COMPUTED_VALUE"""),"Nu")</f>
        <v>Nu</v>
      </c>
      <c r="F981" s="5"/>
      <c r="G981" s="5"/>
      <c r="H981" s="6"/>
      <c r="I981" s="5"/>
      <c r="J981" s="5"/>
      <c r="K981" s="7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981" s="5"/>
      <c r="M981" s="5"/>
      <c r="N981" s="5"/>
      <c r="O981" s="5"/>
      <c r="P981" s="5"/>
      <c r="Q981" s="5"/>
      <c r="R981" s="5" t="str">
        <f ca="1">IFERROR(__xludf.DUMMYFUNCTION("""COMPUTED_VALUE"""),"România")</f>
        <v>România</v>
      </c>
      <c r="S981" s="5" t="str">
        <f ca="1">IFERROR(__xludf.DUMMYFUNCTION("""COMPUTED_VALUE"""),"Octavian")</f>
        <v>Octavian</v>
      </c>
      <c r="T981" s="7" t="str">
        <f ca="1">IFERROR(__xludf.DUMMYFUNCTION("""COMPUTED_VALUE"""),"http://www.ms.ro/2020/08/02/buletin-informativ-02-08-2020/")</f>
        <v>http://www.ms.ro/2020/08/02/buletin-informativ-02-08-2020/</v>
      </c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ht="12.5">
      <c r="A982" s="5">
        <f ca="1">IFERROR(__xludf.DUMMYFUNCTION("""COMPUTED_VALUE"""),52295)</f>
        <v>52295</v>
      </c>
      <c r="B982" s="5"/>
      <c r="C982" s="5" t="str">
        <f ca="1">IFERROR(__xludf.DUMMYFUNCTION("""COMPUTED_VALUE"""),"Bihor")</f>
        <v>Bihor</v>
      </c>
      <c r="D982" s="13">
        <f ca="1">IFERROR(__xludf.DUMMYFUNCTION("""COMPUTED_VALUE"""),44043)</f>
        <v>44043</v>
      </c>
      <c r="E982" s="5" t="str">
        <f ca="1">IFERROR(__xludf.DUMMYFUNCTION("""COMPUTED_VALUE"""),"Nu")</f>
        <v>Nu</v>
      </c>
      <c r="F982" s="5"/>
      <c r="G982" s="5"/>
      <c r="H982" s="6"/>
      <c r="I982" s="5"/>
      <c r="J982" s="5"/>
      <c r="K982" s="7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982" s="5"/>
      <c r="M982" s="5"/>
      <c r="N982" s="5"/>
      <c r="O982" s="5"/>
      <c r="P982" s="5"/>
      <c r="Q982" s="5"/>
      <c r="R982" s="5" t="str">
        <f ca="1">IFERROR(__xludf.DUMMYFUNCTION("""COMPUTED_VALUE"""),"România")</f>
        <v>România</v>
      </c>
      <c r="S982" s="5" t="str">
        <f ca="1">IFERROR(__xludf.DUMMYFUNCTION("""COMPUTED_VALUE"""),"Octavian")</f>
        <v>Octavian</v>
      </c>
      <c r="T982" s="7" t="str">
        <f ca="1">IFERROR(__xludf.DUMMYFUNCTION("""COMPUTED_VALUE"""),"http://www.ms.ro/2020/08/02/buletin-informativ-02-08-2020/")</f>
        <v>http://www.ms.ro/2020/08/02/buletin-informativ-02-08-2020/</v>
      </c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ht="12.5">
      <c r="A983" s="5">
        <f ca="1">IFERROR(__xludf.DUMMYFUNCTION("""COMPUTED_VALUE"""),52296)</f>
        <v>52296</v>
      </c>
      <c r="B983" s="5"/>
      <c r="C983" s="5" t="str">
        <f ca="1">IFERROR(__xludf.DUMMYFUNCTION("""COMPUTED_VALUE"""),"Bihor")</f>
        <v>Bihor</v>
      </c>
      <c r="D983" s="13">
        <f ca="1">IFERROR(__xludf.DUMMYFUNCTION("""COMPUTED_VALUE"""),44043)</f>
        <v>44043</v>
      </c>
      <c r="E983" s="5" t="str">
        <f ca="1">IFERROR(__xludf.DUMMYFUNCTION("""COMPUTED_VALUE"""),"Nu")</f>
        <v>Nu</v>
      </c>
      <c r="F983" s="5"/>
      <c r="G983" s="5"/>
      <c r="H983" s="6"/>
      <c r="I983" s="5"/>
      <c r="J983" s="5"/>
      <c r="K983" s="7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983" s="5"/>
      <c r="M983" s="5"/>
      <c r="N983" s="5"/>
      <c r="O983" s="5"/>
      <c r="P983" s="5"/>
      <c r="Q983" s="5"/>
      <c r="R983" s="5" t="str">
        <f ca="1">IFERROR(__xludf.DUMMYFUNCTION("""COMPUTED_VALUE"""),"România")</f>
        <v>România</v>
      </c>
      <c r="S983" s="5" t="str">
        <f ca="1">IFERROR(__xludf.DUMMYFUNCTION("""COMPUTED_VALUE"""),"Octavian")</f>
        <v>Octavian</v>
      </c>
      <c r="T983" s="7" t="str">
        <f ca="1">IFERROR(__xludf.DUMMYFUNCTION("""COMPUTED_VALUE"""),"http://www.ms.ro/2020/08/02/buletin-informativ-02-08-2020/")</f>
        <v>http://www.ms.ro/2020/08/02/buletin-informativ-02-08-2020/</v>
      </c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ht="12.5">
      <c r="A984" s="5">
        <f ca="1">IFERROR(__xludf.DUMMYFUNCTION("""COMPUTED_VALUE"""),53353)</f>
        <v>53353</v>
      </c>
      <c r="B984" s="5"/>
      <c r="C984" s="5" t="str">
        <f ca="1">IFERROR(__xludf.DUMMYFUNCTION("""COMPUTED_VALUE"""),"Bihor")</f>
        <v>Bihor</v>
      </c>
      <c r="D984" s="13">
        <f ca="1">IFERROR(__xludf.DUMMYFUNCTION("""COMPUTED_VALUE"""),44043)</f>
        <v>44043</v>
      </c>
      <c r="E984" s="5" t="str">
        <f ca="1">IFERROR(__xludf.DUMMYFUNCTION("""COMPUTED_VALUE"""),"Nu")</f>
        <v>Nu</v>
      </c>
      <c r="F984" s="5"/>
      <c r="G984" s="5"/>
      <c r="H984" s="6"/>
      <c r="I984" s="5"/>
      <c r="J984" s="5"/>
      <c r="K984" s="7" t="str">
        <f ca="1">IFERROR(__xludf.DUMMYFUNCTION("""COMPUTED_VALUE"""),"https://www.ebihoreanul.ro/stiri/inca-50-de-cazuri-de-covid-19-in-bihor-in-urma-testelor-facute-duminica-157998.html")</f>
        <v>https://www.ebihoreanul.ro/stiri/inca-50-de-cazuri-de-covid-19-in-bihor-in-urma-testelor-facute-duminica-157998.html</v>
      </c>
      <c r="L984" s="5"/>
      <c r="M984" s="5"/>
      <c r="N984" s="5"/>
      <c r="O984" s="5"/>
      <c r="P984" s="5"/>
      <c r="Q984" s="5"/>
      <c r="R984" s="5" t="str">
        <f ca="1">IFERROR(__xludf.DUMMYFUNCTION("""COMPUTED_VALUE"""),"România")</f>
        <v>România</v>
      </c>
      <c r="S984" s="5" t="str">
        <f ca="1">IFERROR(__xludf.DUMMYFUNCTION("""COMPUTED_VALUE"""),"Octavian")</f>
        <v>Octavian</v>
      </c>
      <c r="T984" s="7" t="str">
        <f ca="1">IFERROR(__xludf.DUMMYFUNCTION("""COMPUTED_VALUE"""),"http://www.ms.ro/2020/08/03/buletin-informativ-03-08-2020/")</f>
        <v>http://www.ms.ro/2020/08/03/buletin-informativ-03-08-2020/</v>
      </c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ht="12.5">
      <c r="A985" s="5">
        <f ca="1">IFERROR(__xludf.DUMMYFUNCTION("""COMPUTED_VALUE"""),53354)</f>
        <v>53354</v>
      </c>
      <c r="B985" s="5"/>
      <c r="C985" s="5" t="str">
        <f ca="1">IFERROR(__xludf.DUMMYFUNCTION("""COMPUTED_VALUE"""),"Bihor")</f>
        <v>Bihor</v>
      </c>
      <c r="D985" s="13">
        <f ca="1">IFERROR(__xludf.DUMMYFUNCTION("""COMPUTED_VALUE"""),44043)</f>
        <v>44043</v>
      </c>
      <c r="E985" s="5" t="str">
        <f ca="1">IFERROR(__xludf.DUMMYFUNCTION("""COMPUTED_VALUE"""),"Nu")</f>
        <v>Nu</v>
      </c>
      <c r="F985" s="5"/>
      <c r="G985" s="5"/>
      <c r="H985" s="6"/>
      <c r="I985" s="5"/>
      <c r="J985" s="5"/>
      <c r="K985" s="7" t="str">
        <f ca="1">IFERROR(__xludf.DUMMYFUNCTION("""COMPUTED_VALUE"""),"https://www.ebihoreanul.ro/stiri/inca-50-de-cazuri-de-covid-19-in-bihor-in-urma-testelor-facute-duminica-157998.html")</f>
        <v>https://www.ebihoreanul.ro/stiri/inca-50-de-cazuri-de-covid-19-in-bihor-in-urma-testelor-facute-duminica-157998.html</v>
      </c>
      <c r="L985" s="7" t="str">
        <f ca="1">IFERROR(__xludf.DUMMYFUNCTION("""COMPUTED_VALUE"""),"https://www.ebihoreanul.ro/stiri/inca-50-de-cazuri-de-covid-19-in-bihor-in-urma-testelor-facute-duminica-157998.html")</f>
        <v>https://www.ebihoreanul.ro/stiri/inca-50-de-cazuri-de-covid-19-in-bihor-in-urma-testelor-facute-duminica-157998.html</v>
      </c>
      <c r="M985" s="5" t="str">
        <f ca="1">IFERROR(__xludf.DUMMYFUNCTION("""COMPUTED_VALUE"""),"Oradea")</f>
        <v>Oradea</v>
      </c>
      <c r="N985" s="5"/>
      <c r="O985" s="5"/>
      <c r="P985" s="5"/>
      <c r="Q985" s="5"/>
      <c r="R985" s="5" t="str">
        <f ca="1">IFERROR(__xludf.DUMMYFUNCTION("""COMPUTED_VALUE"""),"România")</f>
        <v>România</v>
      </c>
      <c r="S985" s="5" t="str">
        <f ca="1">IFERROR(__xludf.DUMMYFUNCTION("""COMPUTED_VALUE"""),"Octavian")</f>
        <v>Octavian</v>
      </c>
      <c r="T985" s="7" t="str">
        <f ca="1">IFERROR(__xludf.DUMMYFUNCTION("""COMPUTED_VALUE"""),"http://www.ms.ro/2020/08/03/buletin-informativ-03-08-2020/")</f>
        <v>http://www.ms.ro/2020/08/03/buletin-informativ-03-08-2020/</v>
      </c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ht="12.5">
      <c r="A986" s="5">
        <f ca="1">IFERROR(__xludf.DUMMYFUNCTION("""COMPUTED_VALUE"""),53355)</f>
        <v>53355</v>
      </c>
      <c r="B986" s="5"/>
      <c r="C986" s="5" t="str">
        <f ca="1">IFERROR(__xludf.DUMMYFUNCTION("""COMPUTED_VALUE"""),"Bihor")</f>
        <v>Bihor</v>
      </c>
      <c r="D986" s="13">
        <f ca="1">IFERROR(__xludf.DUMMYFUNCTION("""COMPUTED_VALUE"""),44043)</f>
        <v>44043</v>
      </c>
      <c r="E986" s="5" t="str">
        <f ca="1">IFERROR(__xludf.DUMMYFUNCTION("""COMPUTED_VALUE"""),"Nu")</f>
        <v>Nu</v>
      </c>
      <c r="F986" s="5"/>
      <c r="G986" s="5"/>
      <c r="H986" s="6"/>
      <c r="I986" s="5"/>
      <c r="J986" s="5"/>
      <c r="K986" s="7" t="str">
        <f ca="1">IFERROR(__xludf.DUMMYFUNCTION("""COMPUTED_VALUE"""),"https://www.ebihoreanul.ro/stiri/inca-50-de-cazuri-de-covid-19-in-bihor-in-urma-testelor-facute-duminica-157998.html")</f>
        <v>https://www.ebihoreanul.ro/stiri/inca-50-de-cazuri-de-covid-19-in-bihor-in-urma-testelor-facute-duminica-157998.html</v>
      </c>
      <c r="L986" s="7" t="str">
        <f ca="1">IFERROR(__xludf.DUMMYFUNCTION("""COMPUTED_VALUE"""),"https://www.ebihoreanul.ro/stiri/inca-50-de-cazuri-de-covid-19-in-bihor-in-urma-testelor-facute-duminica-157998.html")</f>
        <v>https://www.ebihoreanul.ro/stiri/inca-50-de-cazuri-de-covid-19-in-bihor-in-urma-testelor-facute-duminica-157998.html</v>
      </c>
      <c r="M986" s="5" t="str">
        <f ca="1">IFERROR(__xludf.DUMMYFUNCTION("""COMPUTED_VALUE"""),"Sânmarin")</f>
        <v>Sânmarin</v>
      </c>
      <c r="N986" s="5"/>
      <c r="O986" s="5"/>
      <c r="P986" s="5"/>
      <c r="Q986" s="5"/>
      <c r="R986" s="5" t="str">
        <f ca="1">IFERROR(__xludf.DUMMYFUNCTION("""COMPUTED_VALUE"""),"România")</f>
        <v>România</v>
      </c>
      <c r="S986" s="5" t="str">
        <f ca="1">IFERROR(__xludf.DUMMYFUNCTION("""COMPUTED_VALUE"""),"Octavian")</f>
        <v>Octavian</v>
      </c>
      <c r="T986" s="7" t="str">
        <f ca="1">IFERROR(__xludf.DUMMYFUNCTION("""COMPUTED_VALUE"""),"http://www.ms.ro/2020/08/03/buletin-informativ-03-08-2020/")</f>
        <v>http://www.ms.ro/2020/08/03/buletin-informativ-03-08-2020/</v>
      </c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ht="12.5">
      <c r="A987" s="5">
        <f ca="1">IFERROR(__xludf.DUMMYFUNCTION("""COMPUTED_VALUE"""),53356)</f>
        <v>53356</v>
      </c>
      <c r="B987" s="5"/>
      <c r="C987" s="5" t="str">
        <f ca="1">IFERROR(__xludf.DUMMYFUNCTION("""COMPUTED_VALUE"""),"Bihor")</f>
        <v>Bihor</v>
      </c>
      <c r="D987" s="13">
        <f ca="1">IFERROR(__xludf.DUMMYFUNCTION("""COMPUTED_VALUE"""),44043)</f>
        <v>44043</v>
      </c>
      <c r="E987" s="5" t="str">
        <f ca="1">IFERROR(__xludf.DUMMYFUNCTION("""COMPUTED_VALUE"""),"Nu")</f>
        <v>Nu</v>
      </c>
      <c r="F987" s="5"/>
      <c r="G987" s="5"/>
      <c r="H987" s="6"/>
      <c r="I987" s="5"/>
      <c r="J987" s="5"/>
      <c r="K987" s="7" t="str">
        <f ca="1">IFERROR(__xludf.DUMMYFUNCTION("""COMPUTED_VALUE"""),"https://www.ebihoreanul.ro/stiri/inca-50-de-cazuri-de-covid-19-in-bihor-in-urma-testelor-facute-duminica-157998.html")</f>
        <v>https://www.ebihoreanul.ro/stiri/inca-50-de-cazuri-de-covid-19-in-bihor-in-urma-testelor-facute-duminica-157998.html</v>
      </c>
      <c r="L987" s="7" t="str">
        <f ca="1">IFERROR(__xludf.DUMMYFUNCTION("""COMPUTED_VALUE"""),"https://www.ebihoreanul.ro/stiri/inca-50-de-cazuri-de-covid-19-in-bihor-in-urma-testelor-facute-duminica-157998.html")</f>
        <v>https://www.ebihoreanul.ro/stiri/inca-50-de-cazuri-de-covid-19-in-bihor-in-urma-testelor-facute-duminica-157998.html</v>
      </c>
      <c r="M987" s="5" t="str">
        <f ca="1">IFERROR(__xludf.DUMMYFUNCTION("""COMPUTED_VALUE"""),"Beiuș")</f>
        <v>Beiuș</v>
      </c>
      <c r="N987" s="5"/>
      <c r="O987" s="5"/>
      <c r="P987" s="5"/>
      <c r="Q987" s="5"/>
      <c r="R987" s="5" t="str">
        <f ca="1">IFERROR(__xludf.DUMMYFUNCTION("""COMPUTED_VALUE"""),"România")</f>
        <v>România</v>
      </c>
      <c r="S987" s="5" t="str">
        <f ca="1">IFERROR(__xludf.DUMMYFUNCTION("""COMPUTED_VALUE"""),"Octavian")</f>
        <v>Octavian</v>
      </c>
      <c r="T987" s="7" t="str">
        <f ca="1">IFERROR(__xludf.DUMMYFUNCTION("""COMPUTED_VALUE"""),"http://www.ms.ro/2020/08/03/buletin-informativ-03-08-2020/")</f>
        <v>http://www.ms.ro/2020/08/03/buletin-informativ-03-08-2020/</v>
      </c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ht="12.5">
      <c r="A988" s="5">
        <f ca="1">IFERROR(__xludf.DUMMYFUNCTION("""COMPUTED_VALUE"""),53357)</f>
        <v>53357</v>
      </c>
      <c r="B988" s="5"/>
      <c r="C988" s="5" t="str">
        <f ca="1">IFERROR(__xludf.DUMMYFUNCTION("""COMPUTED_VALUE"""),"Bihor")</f>
        <v>Bihor</v>
      </c>
      <c r="D988" s="13">
        <f ca="1">IFERROR(__xludf.DUMMYFUNCTION("""COMPUTED_VALUE"""),44043)</f>
        <v>44043</v>
      </c>
      <c r="E988" s="5" t="str">
        <f ca="1">IFERROR(__xludf.DUMMYFUNCTION("""COMPUTED_VALUE"""),"Nu")</f>
        <v>Nu</v>
      </c>
      <c r="F988" s="5"/>
      <c r="G988" s="5"/>
      <c r="H988" s="6"/>
      <c r="I988" s="5"/>
      <c r="J988" s="5"/>
      <c r="K988" s="7" t="str">
        <f ca="1">IFERROR(__xludf.DUMMYFUNCTION("""COMPUTED_VALUE"""),"https://www.ebihoreanul.ro/stiri/inca-50-de-cazuri-de-covid-19-in-bihor-in-urma-testelor-facute-duminica-157998.html")</f>
        <v>https://www.ebihoreanul.ro/stiri/inca-50-de-cazuri-de-covid-19-in-bihor-in-urma-testelor-facute-duminica-157998.html</v>
      </c>
      <c r="L988" s="7" t="str">
        <f ca="1">IFERROR(__xludf.DUMMYFUNCTION("""COMPUTED_VALUE"""),"https://www.ebihoreanul.ro/stiri/inca-50-de-cazuri-de-covid-19-in-bihor-in-urma-testelor-facute-duminica-157998.html")</f>
        <v>https://www.ebihoreanul.ro/stiri/inca-50-de-cazuri-de-covid-19-in-bihor-in-urma-testelor-facute-duminica-157998.html</v>
      </c>
      <c r="M988" s="5" t="str">
        <f ca="1">IFERROR(__xludf.DUMMYFUNCTION("""COMPUTED_VALUE"""),"Lazuri de Beiuș")</f>
        <v>Lazuri de Beiuș</v>
      </c>
      <c r="N988" s="5"/>
      <c r="O988" s="5"/>
      <c r="P988" s="5"/>
      <c r="Q988" s="5"/>
      <c r="R988" s="5" t="str">
        <f ca="1">IFERROR(__xludf.DUMMYFUNCTION("""COMPUTED_VALUE"""),"România")</f>
        <v>România</v>
      </c>
      <c r="S988" s="5" t="str">
        <f ca="1">IFERROR(__xludf.DUMMYFUNCTION("""COMPUTED_VALUE"""),"Octavian")</f>
        <v>Octavian</v>
      </c>
      <c r="T988" s="7" t="str">
        <f ca="1">IFERROR(__xludf.DUMMYFUNCTION("""COMPUTED_VALUE"""),"http://www.ms.ro/2020/08/03/buletin-informativ-03-08-2020/")</f>
        <v>http://www.ms.ro/2020/08/03/buletin-informativ-03-08-2020/</v>
      </c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ht="12.5">
      <c r="A989" s="5">
        <f ca="1">IFERROR(__xludf.DUMMYFUNCTION("""COMPUTED_VALUE"""),53358)</f>
        <v>53358</v>
      </c>
      <c r="B989" s="5"/>
      <c r="C989" s="5" t="str">
        <f ca="1">IFERROR(__xludf.DUMMYFUNCTION("""COMPUTED_VALUE"""),"Bihor")</f>
        <v>Bihor</v>
      </c>
      <c r="D989" s="13">
        <f ca="1">IFERROR(__xludf.DUMMYFUNCTION("""COMPUTED_VALUE"""),44043)</f>
        <v>44043</v>
      </c>
      <c r="E989" s="5" t="str">
        <f ca="1">IFERROR(__xludf.DUMMYFUNCTION("""COMPUTED_VALUE"""),"Nu")</f>
        <v>Nu</v>
      </c>
      <c r="F989" s="5"/>
      <c r="G989" s="5"/>
      <c r="H989" s="6"/>
      <c r="I989" s="5"/>
      <c r="J989" s="5"/>
      <c r="K989" s="7" t="str">
        <f ca="1">IFERROR(__xludf.DUMMYFUNCTION("""COMPUTED_VALUE"""),"https://www.ebihoreanul.ro/stiri/inca-50-de-cazuri-de-covid-19-in-bihor-in-urma-testelor-facute-duminica-157998.html")</f>
        <v>https://www.ebihoreanul.ro/stiri/inca-50-de-cazuri-de-covid-19-in-bihor-in-urma-testelor-facute-duminica-157998.html</v>
      </c>
      <c r="L989" s="7" t="str">
        <f ca="1">IFERROR(__xludf.DUMMYFUNCTION("""COMPUTED_VALUE"""),"https://www.ebihoreanul.ro/stiri/inca-50-de-cazuri-de-covid-19-in-bihor-in-urma-testelor-facute-duminica-157998.html")</f>
        <v>https://www.ebihoreanul.ro/stiri/inca-50-de-cazuri-de-covid-19-in-bihor-in-urma-testelor-facute-duminica-157998.html</v>
      </c>
      <c r="M989" s="5" t="str">
        <f ca="1">IFERROR(__xludf.DUMMYFUNCTION("""COMPUTED_VALUE"""),"Rieni")</f>
        <v>Rieni</v>
      </c>
      <c r="N989" s="5"/>
      <c r="O989" s="5"/>
      <c r="P989" s="5"/>
      <c r="Q989" s="5"/>
      <c r="R989" s="5" t="str">
        <f ca="1">IFERROR(__xludf.DUMMYFUNCTION("""COMPUTED_VALUE"""),"România")</f>
        <v>România</v>
      </c>
      <c r="S989" s="5" t="str">
        <f ca="1">IFERROR(__xludf.DUMMYFUNCTION("""COMPUTED_VALUE"""),"Octavian")</f>
        <v>Octavian</v>
      </c>
      <c r="T989" s="7" t="str">
        <f ca="1">IFERROR(__xludf.DUMMYFUNCTION("""COMPUTED_VALUE"""),"http://www.ms.ro/2020/08/03/buletin-informativ-03-08-2020/")</f>
        <v>http://www.ms.ro/2020/08/03/buletin-informativ-03-08-2020/</v>
      </c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ht="12.5">
      <c r="A990" s="5">
        <f ca="1">IFERROR(__xludf.DUMMYFUNCTION("""COMPUTED_VALUE"""),53359)</f>
        <v>53359</v>
      </c>
      <c r="B990" s="5"/>
      <c r="C990" s="5" t="str">
        <f ca="1">IFERROR(__xludf.DUMMYFUNCTION("""COMPUTED_VALUE"""),"Bihor")</f>
        <v>Bihor</v>
      </c>
      <c r="D990" s="13">
        <f ca="1">IFERROR(__xludf.DUMMYFUNCTION("""COMPUTED_VALUE"""),44043)</f>
        <v>44043</v>
      </c>
      <c r="E990" s="5" t="str">
        <f ca="1">IFERROR(__xludf.DUMMYFUNCTION("""COMPUTED_VALUE"""),"Nu")</f>
        <v>Nu</v>
      </c>
      <c r="F990" s="5"/>
      <c r="G990" s="5"/>
      <c r="H990" s="6"/>
      <c r="I990" s="5"/>
      <c r="J990" s="5"/>
      <c r="K990" s="7" t="str">
        <f ca="1">IFERROR(__xludf.DUMMYFUNCTION("""COMPUTED_VALUE"""),"https://www.ebihoreanul.ro/stiri/inca-50-de-cazuri-de-covid-19-in-bihor-in-urma-testelor-facute-duminica-157998.html")</f>
        <v>https://www.ebihoreanul.ro/stiri/inca-50-de-cazuri-de-covid-19-in-bihor-in-urma-testelor-facute-duminica-157998.html</v>
      </c>
      <c r="L990" s="7" t="str">
        <f ca="1">IFERROR(__xludf.DUMMYFUNCTION("""COMPUTED_VALUE"""),"https://www.ebihoreanul.ro/stiri/inca-50-de-cazuri-de-covid-19-in-bihor-in-urma-testelor-facute-duminica-157998.html")</f>
        <v>https://www.ebihoreanul.ro/stiri/inca-50-de-cazuri-de-covid-19-in-bihor-in-urma-testelor-facute-duminica-157998.html</v>
      </c>
      <c r="M990" s="5" t="str">
        <f ca="1">IFERROR(__xludf.DUMMYFUNCTION("""COMPUTED_VALUE"""),"Tărcaia")</f>
        <v>Tărcaia</v>
      </c>
      <c r="N990" s="5"/>
      <c r="O990" s="5"/>
      <c r="P990" s="5"/>
      <c r="Q990" s="5"/>
      <c r="R990" s="5" t="str">
        <f ca="1">IFERROR(__xludf.DUMMYFUNCTION("""COMPUTED_VALUE"""),"România")</f>
        <v>România</v>
      </c>
      <c r="S990" s="5" t="str">
        <f ca="1">IFERROR(__xludf.DUMMYFUNCTION("""COMPUTED_VALUE"""),"Octavian")</f>
        <v>Octavian</v>
      </c>
      <c r="T990" s="7" t="str">
        <f ca="1">IFERROR(__xludf.DUMMYFUNCTION("""COMPUTED_VALUE"""),"http://www.ms.ro/2020/08/03/buletin-informativ-03-08-2020/")</f>
        <v>http://www.ms.ro/2020/08/03/buletin-informativ-03-08-2020/</v>
      </c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ht="12.5">
      <c r="A991" s="5">
        <f ca="1">IFERROR(__xludf.DUMMYFUNCTION("""COMPUTED_VALUE"""),53360)</f>
        <v>53360</v>
      </c>
      <c r="B991" s="5"/>
      <c r="C991" s="5" t="str">
        <f ca="1">IFERROR(__xludf.DUMMYFUNCTION("""COMPUTED_VALUE"""),"Bihor")</f>
        <v>Bihor</v>
      </c>
      <c r="D991" s="13">
        <f ca="1">IFERROR(__xludf.DUMMYFUNCTION("""COMPUTED_VALUE"""),44043)</f>
        <v>44043</v>
      </c>
      <c r="E991" s="5" t="str">
        <f ca="1">IFERROR(__xludf.DUMMYFUNCTION("""COMPUTED_VALUE"""),"Nu")</f>
        <v>Nu</v>
      </c>
      <c r="F991" s="5"/>
      <c r="G991" s="5"/>
      <c r="H991" s="6"/>
      <c r="I991" s="5"/>
      <c r="J991" s="5"/>
      <c r="K991" s="7" t="str">
        <f ca="1">IFERROR(__xludf.DUMMYFUNCTION("""COMPUTED_VALUE"""),"https://www.ebihoreanul.ro/stiri/inca-50-de-cazuri-de-covid-19-in-bihor-in-urma-testelor-facute-duminica-157998.html")</f>
        <v>https://www.ebihoreanul.ro/stiri/inca-50-de-cazuri-de-covid-19-in-bihor-in-urma-testelor-facute-duminica-157998.html</v>
      </c>
      <c r="L991" s="7" t="str">
        <f ca="1">IFERROR(__xludf.DUMMYFUNCTION("""COMPUTED_VALUE"""),"https://www.ebihoreanul.ro/stiri/inca-50-de-cazuri-de-covid-19-in-bihor-in-urma-testelor-facute-duminica-157998.html")</f>
        <v>https://www.ebihoreanul.ro/stiri/inca-50-de-cazuri-de-covid-19-in-bihor-in-urma-testelor-facute-duminica-157998.html</v>
      </c>
      <c r="M991" s="5" t="str">
        <f ca="1">IFERROR(__xludf.DUMMYFUNCTION("""COMPUTED_VALUE"""),"Curățele")</f>
        <v>Curățele</v>
      </c>
      <c r="N991" s="5"/>
      <c r="O991" s="5"/>
      <c r="P991" s="5"/>
      <c r="Q991" s="5"/>
      <c r="R991" s="5" t="str">
        <f ca="1">IFERROR(__xludf.DUMMYFUNCTION("""COMPUTED_VALUE"""),"România")</f>
        <v>România</v>
      </c>
      <c r="S991" s="5" t="str">
        <f ca="1">IFERROR(__xludf.DUMMYFUNCTION("""COMPUTED_VALUE"""),"Octavian")</f>
        <v>Octavian</v>
      </c>
      <c r="T991" s="7" t="str">
        <f ca="1">IFERROR(__xludf.DUMMYFUNCTION("""COMPUTED_VALUE"""),"http://www.ms.ro/2020/08/03/buletin-informativ-03-08-2020/")</f>
        <v>http://www.ms.ro/2020/08/03/buletin-informativ-03-08-2020/</v>
      </c>
      <c r="U991" s="5"/>
      <c r="V991" s="5"/>
      <c r="W991" s="5"/>
      <c r="X991" s="5"/>
      <c r="Y991" s="5"/>
      <c r="Z991" s="5"/>
      <c r="AA991" s="5"/>
      <c r="AB991" s="5"/>
      <c r="AC991" s="5"/>
    </row>
    <row r="992" spans="1:29" ht="12.5">
      <c r="A992" s="5">
        <f ca="1">IFERROR(__xludf.DUMMYFUNCTION("""COMPUTED_VALUE"""),53361)</f>
        <v>53361</v>
      </c>
      <c r="B992" s="5"/>
      <c r="C992" s="5" t="str">
        <f ca="1">IFERROR(__xludf.DUMMYFUNCTION("""COMPUTED_VALUE"""),"Bihor")</f>
        <v>Bihor</v>
      </c>
      <c r="D992" s="13">
        <f ca="1">IFERROR(__xludf.DUMMYFUNCTION("""COMPUTED_VALUE"""),44043)</f>
        <v>44043</v>
      </c>
      <c r="E992" s="5" t="str">
        <f ca="1">IFERROR(__xludf.DUMMYFUNCTION("""COMPUTED_VALUE"""),"Nu")</f>
        <v>Nu</v>
      </c>
      <c r="F992" s="5"/>
      <c r="G992" s="5"/>
      <c r="H992" s="6"/>
      <c r="I992" s="5"/>
      <c r="J992" s="5"/>
      <c r="K992" s="7" t="str">
        <f ca="1">IFERROR(__xludf.DUMMYFUNCTION("""COMPUTED_VALUE"""),"https://www.ebihoreanul.ro/stiri/inca-50-de-cazuri-de-covid-19-in-bihor-in-urma-testelor-facute-duminica-157998.html")</f>
        <v>https://www.ebihoreanul.ro/stiri/inca-50-de-cazuri-de-covid-19-in-bihor-in-urma-testelor-facute-duminica-157998.html</v>
      </c>
      <c r="L992" s="7" t="str">
        <f ca="1">IFERROR(__xludf.DUMMYFUNCTION("""COMPUTED_VALUE"""),"https://www.ebihoreanul.ro/stiri/inca-50-de-cazuri-de-covid-19-in-bihor-in-urma-testelor-facute-duminica-157998.html")</f>
        <v>https://www.ebihoreanul.ro/stiri/inca-50-de-cazuri-de-covid-19-in-bihor-in-urma-testelor-facute-duminica-157998.html</v>
      </c>
      <c r="M992" s="5" t="str">
        <f ca="1">IFERROR(__xludf.DUMMYFUNCTION("""COMPUTED_VALUE"""),"Buntești")</f>
        <v>Buntești</v>
      </c>
      <c r="N992" s="5"/>
      <c r="O992" s="5"/>
      <c r="P992" s="5"/>
      <c r="Q992" s="5"/>
      <c r="R992" s="5" t="str">
        <f ca="1">IFERROR(__xludf.DUMMYFUNCTION("""COMPUTED_VALUE"""),"România")</f>
        <v>România</v>
      </c>
      <c r="S992" s="5" t="str">
        <f ca="1">IFERROR(__xludf.DUMMYFUNCTION("""COMPUTED_VALUE"""),"Octavian")</f>
        <v>Octavian</v>
      </c>
      <c r="T992" s="7" t="str">
        <f ca="1">IFERROR(__xludf.DUMMYFUNCTION("""COMPUTED_VALUE"""),"http://www.ms.ro/2020/08/03/buletin-informativ-03-08-2020/")</f>
        <v>http://www.ms.ro/2020/08/03/buletin-informativ-03-08-2020/</v>
      </c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ht="12.5">
      <c r="A993" s="5">
        <f ca="1">IFERROR(__xludf.DUMMYFUNCTION("""COMPUTED_VALUE"""),53362)</f>
        <v>53362</v>
      </c>
      <c r="B993" s="5"/>
      <c r="C993" s="5" t="str">
        <f ca="1">IFERROR(__xludf.DUMMYFUNCTION("""COMPUTED_VALUE"""),"Bihor")</f>
        <v>Bihor</v>
      </c>
      <c r="D993" s="13">
        <f ca="1">IFERROR(__xludf.DUMMYFUNCTION("""COMPUTED_VALUE"""),44043)</f>
        <v>44043</v>
      </c>
      <c r="E993" s="5" t="str">
        <f ca="1">IFERROR(__xludf.DUMMYFUNCTION("""COMPUTED_VALUE"""),"Nu")</f>
        <v>Nu</v>
      </c>
      <c r="F993" s="5"/>
      <c r="G993" s="5"/>
      <c r="H993" s="6"/>
      <c r="I993" s="5"/>
      <c r="J993" s="5"/>
      <c r="K993" s="7" t="str">
        <f ca="1">IFERROR(__xludf.DUMMYFUNCTION("""COMPUTED_VALUE"""),"https://www.ebihoreanul.ro/stiri/inca-50-de-cazuri-de-covid-19-in-bihor-in-urma-testelor-facute-duminica-157998.html")</f>
        <v>https://www.ebihoreanul.ro/stiri/inca-50-de-cazuri-de-covid-19-in-bihor-in-urma-testelor-facute-duminica-157998.html</v>
      </c>
      <c r="L993" s="7" t="str">
        <f ca="1">IFERROR(__xludf.DUMMYFUNCTION("""COMPUTED_VALUE"""),"https://www.ebihoreanul.ro/stiri/inca-50-de-cazuri-de-covid-19-in-bihor-in-urma-testelor-facute-duminica-157998.html")</f>
        <v>https://www.ebihoreanul.ro/stiri/inca-50-de-cazuri-de-covid-19-in-bihor-in-urma-testelor-facute-duminica-157998.html</v>
      </c>
      <c r="M993" s="5" t="str">
        <f ca="1">IFERROR(__xludf.DUMMYFUNCTION("""COMPUTED_VALUE"""),"Ștei")</f>
        <v>Ștei</v>
      </c>
      <c r="N993" s="5"/>
      <c r="O993" s="5"/>
      <c r="P993" s="5"/>
      <c r="Q993" s="5"/>
      <c r="R993" s="5" t="str">
        <f ca="1">IFERROR(__xludf.DUMMYFUNCTION("""COMPUTED_VALUE"""),"România")</f>
        <v>România</v>
      </c>
      <c r="S993" s="5" t="str">
        <f ca="1">IFERROR(__xludf.DUMMYFUNCTION("""COMPUTED_VALUE"""),"Octavian")</f>
        <v>Octavian</v>
      </c>
      <c r="T993" s="7" t="str">
        <f ca="1">IFERROR(__xludf.DUMMYFUNCTION("""COMPUTED_VALUE"""),"http://www.ms.ro/2020/08/03/buletin-informativ-03-08-2020/")</f>
        <v>http://www.ms.ro/2020/08/03/buletin-informativ-03-08-2020/</v>
      </c>
      <c r="U993" s="5"/>
      <c r="V993" s="5"/>
      <c r="W993" s="5"/>
      <c r="X993" s="5"/>
      <c r="Y993" s="5"/>
      <c r="Z993" s="5"/>
      <c r="AA993" s="5"/>
      <c r="AB993" s="5"/>
      <c r="AC993" s="5"/>
    </row>
    <row r="994" spans="1:29" ht="12.5">
      <c r="A994" s="5">
        <f ca="1">IFERROR(__xludf.DUMMYFUNCTION("""COMPUTED_VALUE"""),53363)</f>
        <v>53363</v>
      </c>
      <c r="B994" s="5"/>
      <c r="C994" s="5" t="str">
        <f ca="1">IFERROR(__xludf.DUMMYFUNCTION("""COMPUTED_VALUE"""),"Bihor")</f>
        <v>Bihor</v>
      </c>
      <c r="D994" s="13">
        <f ca="1">IFERROR(__xludf.DUMMYFUNCTION("""COMPUTED_VALUE"""),44043)</f>
        <v>44043</v>
      </c>
      <c r="E994" s="5" t="str">
        <f ca="1">IFERROR(__xludf.DUMMYFUNCTION("""COMPUTED_VALUE"""),"Nu")</f>
        <v>Nu</v>
      </c>
      <c r="F994" s="5"/>
      <c r="G994" s="5"/>
      <c r="H994" s="6"/>
      <c r="I994" s="5"/>
      <c r="J994" s="5"/>
      <c r="K994" s="7" t="str">
        <f ca="1">IFERROR(__xludf.DUMMYFUNCTION("""COMPUTED_VALUE"""),"https://www.ebihoreanul.ro/stiri/inca-50-de-cazuri-de-covid-19-in-bihor-in-urma-testelor-facute-duminica-157998.html")</f>
        <v>https://www.ebihoreanul.ro/stiri/inca-50-de-cazuri-de-covid-19-in-bihor-in-urma-testelor-facute-duminica-157998.html</v>
      </c>
      <c r="L994" s="7" t="str">
        <f ca="1">IFERROR(__xludf.DUMMYFUNCTION("""COMPUTED_VALUE"""),"https://www.ebihoreanul.ro/stiri/inca-50-de-cazuri-de-covid-19-in-bihor-in-urma-testelor-facute-duminica-157998.html")</f>
        <v>https://www.ebihoreanul.ro/stiri/inca-50-de-cazuri-de-covid-19-in-bihor-in-urma-testelor-facute-duminica-157998.html</v>
      </c>
      <c r="M994" s="5" t="str">
        <f ca="1">IFERROR(__xludf.DUMMYFUNCTION("""COMPUTED_VALUE"""),"Lunca")</f>
        <v>Lunca</v>
      </c>
      <c r="N994" s="5"/>
      <c r="O994" s="5"/>
      <c r="P994" s="5"/>
      <c r="Q994" s="5"/>
      <c r="R994" s="5" t="str">
        <f ca="1">IFERROR(__xludf.DUMMYFUNCTION("""COMPUTED_VALUE"""),"România")</f>
        <v>România</v>
      </c>
      <c r="S994" s="5" t="str">
        <f ca="1">IFERROR(__xludf.DUMMYFUNCTION("""COMPUTED_VALUE"""),"Octavian")</f>
        <v>Octavian</v>
      </c>
      <c r="T994" s="7" t="str">
        <f ca="1">IFERROR(__xludf.DUMMYFUNCTION("""COMPUTED_VALUE"""),"http://www.ms.ro/2020/08/03/buletin-informativ-03-08-2020/")</f>
        <v>http://www.ms.ro/2020/08/03/buletin-informativ-03-08-2020/</v>
      </c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ht="12.5">
      <c r="A995" s="5">
        <f ca="1">IFERROR(__xludf.DUMMYFUNCTION("""COMPUTED_VALUE"""),53364)</f>
        <v>53364</v>
      </c>
      <c r="B995" s="5"/>
      <c r="C995" s="5" t="str">
        <f ca="1">IFERROR(__xludf.DUMMYFUNCTION("""COMPUTED_VALUE"""),"Bihor")</f>
        <v>Bihor</v>
      </c>
      <c r="D995" s="13">
        <f ca="1">IFERROR(__xludf.DUMMYFUNCTION("""COMPUTED_VALUE"""),44043)</f>
        <v>44043</v>
      </c>
      <c r="E995" s="5" t="str">
        <f ca="1">IFERROR(__xludf.DUMMYFUNCTION("""COMPUTED_VALUE"""),"Nu")</f>
        <v>Nu</v>
      </c>
      <c r="F995" s="5"/>
      <c r="G995" s="5"/>
      <c r="H995" s="6"/>
      <c r="I995" s="5"/>
      <c r="J995" s="5"/>
      <c r="K995" s="7" t="str">
        <f ca="1">IFERROR(__xludf.DUMMYFUNCTION("""COMPUTED_VALUE"""),"https://www.ebihoreanul.ro/stiri/inca-50-de-cazuri-de-covid-19-in-bihor-in-urma-testelor-facute-duminica-157998.html")</f>
        <v>https://www.ebihoreanul.ro/stiri/inca-50-de-cazuri-de-covid-19-in-bihor-in-urma-testelor-facute-duminica-157998.html</v>
      </c>
      <c r="L995" s="7" t="str">
        <f ca="1">IFERROR(__xludf.DUMMYFUNCTION("""COMPUTED_VALUE"""),"https://www.ebihoreanul.ro/stiri/inca-50-de-cazuri-de-covid-19-in-bihor-in-urma-testelor-facute-duminica-157998.html")</f>
        <v>https://www.ebihoreanul.ro/stiri/inca-50-de-cazuri-de-covid-19-in-bihor-in-urma-testelor-facute-duminica-157998.html</v>
      </c>
      <c r="M995" s="5" t="str">
        <f ca="1">IFERROR(__xludf.DUMMYFUNCTION("""COMPUTED_VALUE"""),"Vârciorog")</f>
        <v>Vârciorog</v>
      </c>
      <c r="N995" s="5"/>
      <c r="O995" s="5"/>
      <c r="P995" s="5"/>
      <c r="Q995" s="5"/>
      <c r="R995" s="5" t="str">
        <f ca="1">IFERROR(__xludf.DUMMYFUNCTION("""COMPUTED_VALUE"""),"România")</f>
        <v>România</v>
      </c>
      <c r="S995" s="5" t="str">
        <f ca="1">IFERROR(__xludf.DUMMYFUNCTION("""COMPUTED_VALUE"""),"Octavian")</f>
        <v>Octavian</v>
      </c>
      <c r="T995" s="7" t="str">
        <f ca="1">IFERROR(__xludf.DUMMYFUNCTION("""COMPUTED_VALUE"""),"http://www.ms.ro/2020/08/03/buletin-informativ-03-08-2020/")</f>
        <v>http://www.ms.ro/2020/08/03/buletin-informativ-03-08-2020/</v>
      </c>
      <c r="U995" s="5"/>
      <c r="V995" s="5"/>
      <c r="W995" s="5"/>
      <c r="X995" s="5"/>
      <c r="Y995" s="5"/>
      <c r="Z995" s="5"/>
      <c r="AA995" s="5"/>
      <c r="AB995" s="5"/>
      <c r="AC995" s="5"/>
    </row>
    <row r="996" spans="1:29" ht="12.5">
      <c r="A996" s="5">
        <f ca="1">IFERROR(__xludf.DUMMYFUNCTION("""COMPUTED_VALUE"""),53365)</f>
        <v>53365</v>
      </c>
      <c r="B996" s="5"/>
      <c r="C996" s="5" t="str">
        <f ca="1">IFERROR(__xludf.DUMMYFUNCTION("""COMPUTED_VALUE"""),"Bihor")</f>
        <v>Bihor</v>
      </c>
      <c r="D996" s="13">
        <f ca="1">IFERROR(__xludf.DUMMYFUNCTION("""COMPUTED_VALUE"""),44043)</f>
        <v>44043</v>
      </c>
      <c r="E996" s="5" t="str">
        <f ca="1">IFERROR(__xludf.DUMMYFUNCTION("""COMPUTED_VALUE"""),"Nu")</f>
        <v>Nu</v>
      </c>
      <c r="F996" s="5"/>
      <c r="G996" s="5"/>
      <c r="H996" s="6"/>
      <c r="I996" s="5"/>
      <c r="J996" s="5"/>
      <c r="K996" s="7" t="str">
        <f ca="1">IFERROR(__xludf.DUMMYFUNCTION("""COMPUTED_VALUE"""),"https://www.ebihoreanul.ro/stiri/inca-50-de-cazuri-de-covid-19-in-bihor-in-urma-testelor-facute-duminica-157998.html")</f>
        <v>https://www.ebihoreanul.ro/stiri/inca-50-de-cazuri-de-covid-19-in-bihor-in-urma-testelor-facute-duminica-157998.html</v>
      </c>
      <c r="L996" s="7" t="str">
        <f ca="1">IFERROR(__xludf.DUMMYFUNCTION("""COMPUTED_VALUE"""),"https://www.ebihoreanul.ro/stiri/inca-50-de-cazuri-de-covid-19-in-bihor-in-urma-testelor-facute-duminica-157998.html")</f>
        <v>https://www.ebihoreanul.ro/stiri/inca-50-de-cazuri-de-covid-19-in-bihor-in-urma-testelor-facute-duminica-157998.html</v>
      </c>
      <c r="M996" s="5" t="str">
        <f ca="1">IFERROR(__xludf.DUMMYFUNCTION("""COMPUTED_VALUE"""),"Țețchea")</f>
        <v>Țețchea</v>
      </c>
      <c r="N996" s="5"/>
      <c r="O996" s="5"/>
      <c r="P996" s="5"/>
      <c r="Q996" s="5"/>
      <c r="R996" s="5" t="str">
        <f ca="1">IFERROR(__xludf.DUMMYFUNCTION("""COMPUTED_VALUE"""),"România")</f>
        <v>România</v>
      </c>
      <c r="S996" s="5" t="str">
        <f ca="1">IFERROR(__xludf.DUMMYFUNCTION("""COMPUTED_VALUE"""),"Octavian")</f>
        <v>Octavian</v>
      </c>
      <c r="T996" s="7" t="str">
        <f ca="1">IFERROR(__xludf.DUMMYFUNCTION("""COMPUTED_VALUE"""),"http://www.ms.ro/2020/08/03/buletin-informativ-03-08-2020/")</f>
        <v>http://www.ms.ro/2020/08/03/buletin-informativ-03-08-2020/</v>
      </c>
      <c r="U996" s="5"/>
      <c r="V996" s="5"/>
      <c r="W996" s="5"/>
      <c r="X996" s="5"/>
      <c r="Y996" s="5"/>
      <c r="Z996" s="5"/>
      <c r="AA996" s="5"/>
      <c r="AB996" s="5"/>
      <c r="AC996" s="5"/>
    </row>
    <row r="997" spans="1:29" ht="12.5">
      <c r="A997" s="5">
        <f ca="1">IFERROR(__xludf.DUMMYFUNCTION("""COMPUTED_VALUE"""),53366)</f>
        <v>53366</v>
      </c>
      <c r="B997" s="5"/>
      <c r="C997" s="5" t="str">
        <f ca="1">IFERROR(__xludf.DUMMYFUNCTION("""COMPUTED_VALUE"""),"Bihor")</f>
        <v>Bihor</v>
      </c>
      <c r="D997" s="13">
        <f ca="1">IFERROR(__xludf.DUMMYFUNCTION("""COMPUTED_VALUE"""),44043)</f>
        <v>44043</v>
      </c>
      <c r="E997" s="5" t="str">
        <f ca="1">IFERROR(__xludf.DUMMYFUNCTION("""COMPUTED_VALUE"""),"Nu")</f>
        <v>Nu</v>
      </c>
      <c r="F997" s="5"/>
      <c r="G997" s="5"/>
      <c r="H997" s="6"/>
      <c r="I997" s="5"/>
      <c r="J997" s="5"/>
      <c r="K997" s="7" t="str">
        <f ca="1">IFERROR(__xludf.DUMMYFUNCTION("""COMPUTED_VALUE"""),"https://www.ebihoreanul.ro/stiri/inca-50-de-cazuri-de-covid-19-in-bihor-in-urma-testelor-facute-duminica-157998.html")</f>
        <v>https://www.ebihoreanul.ro/stiri/inca-50-de-cazuri-de-covid-19-in-bihor-in-urma-testelor-facute-duminica-157998.html</v>
      </c>
      <c r="L997" s="7" t="str">
        <f ca="1">IFERROR(__xludf.DUMMYFUNCTION("""COMPUTED_VALUE"""),"https://www.ebihoreanul.ro/stiri/inca-50-de-cazuri-de-covid-19-in-bihor-in-urma-testelor-facute-duminica-157998.html")</f>
        <v>https://www.ebihoreanul.ro/stiri/inca-50-de-cazuri-de-covid-19-in-bihor-in-urma-testelor-facute-duminica-157998.html</v>
      </c>
      <c r="M997" s="5" t="str">
        <f ca="1">IFERROR(__xludf.DUMMYFUNCTION("""COMPUTED_VALUE"""),"Roșia")</f>
        <v>Roșia</v>
      </c>
      <c r="N997" s="5"/>
      <c r="O997" s="5"/>
      <c r="P997" s="5"/>
      <c r="Q997" s="5"/>
      <c r="R997" s="5" t="str">
        <f ca="1">IFERROR(__xludf.DUMMYFUNCTION("""COMPUTED_VALUE"""),"România")</f>
        <v>România</v>
      </c>
      <c r="S997" s="5" t="str">
        <f ca="1">IFERROR(__xludf.DUMMYFUNCTION("""COMPUTED_VALUE"""),"Octavian")</f>
        <v>Octavian</v>
      </c>
      <c r="T997" s="7" t="str">
        <f ca="1">IFERROR(__xludf.DUMMYFUNCTION("""COMPUTED_VALUE"""),"http://www.ms.ro/2020/08/03/buletin-informativ-03-08-2020/")</f>
        <v>http://www.ms.ro/2020/08/03/buletin-informativ-03-08-2020/</v>
      </c>
      <c r="U997" s="5"/>
      <c r="V997" s="5"/>
      <c r="W997" s="5"/>
      <c r="X997" s="5"/>
      <c r="Y997" s="5"/>
      <c r="Z997" s="5"/>
      <c r="AA997" s="5"/>
      <c r="AB997" s="5"/>
      <c r="AC997" s="5"/>
    </row>
    <row r="998" spans="1:29" ht="12.5">
      <c r="A998" s="5">
        <f ca="1">IFERROR(__xludf.DUMMYFUNCTION("""COMPUTED_VALUE"""),53367)</f>
        <v>53367</v>
      </c>
      <c r="B998" s="5"/>
      <c r="C998" s="5" t="str">
        <f ca="1">IFERROR(__xludf.DUMMYFUNCTION("""COMPUTED_VALUE"""),"Bihor")</f>
        <v>Bihor</v>
      </c>
      <c r="D998" s="13">
        <f ca="1">IFERROR(__xludf.DUMMYFUNCTION("""COMPUTED_VALUE"""),44043)</f>
        <v>44043</v>
      </c>
      <c r="E998" s="5" t="str">
        <f ca="1">IFERROR(__xludf.DUMMYFUNCTION("""COMPUTED_VALUE"""),"Nu")</f>
        <v>Nu</v>
      </c>
      <c r="F998" s="5"/>
      <c r="G998" s="5"/>
      <c r="H998" s="6"/>
      <c r="I998" s="5"/>
      <c r="J998" s="5"/>
      <c r="K998" s="7" t="str">
        <f ca="1">IFERROR(__xludf.DUMMYFUNCTION("""COMPUTED_VALUE"""),"https://www.ebihoreanul.ro/stiri/inca-50-de-cazuri-de-covid-19-in-bihor-in-urma-testelor-facute-duminica-157998.html")</f>
        <v>https://www.ebihoreanul.ro/stiri/inca-50-de-cazuri-de-covid-19-in-bihor-in-urma-testelor-facute-duminica-157998.html</v>
      </c>
      <c r="L998" s="7" t="str">
        <f ca="1">IFERROR(__xludf.DUMMYFUNCTION("""COMPUTED_VALUE"""),"https://www.ebihoreanul.ro/stiri/inca-50-de-cazuri-de-covid-19-in-bihor-in-urma-testelor-facute-duminica-157998.html")</f>
        <v>https://www.ebihoreanul.ro/stiri/inca-50-de-cazuri-de-covid-19-in-bihor-in-urma-testelor-facute-duminica-157998.html</v>
      </c>
      <c r="M998" s="5" t="str">
        <f ca="1">IFERROR(__xludf.DUMMYFUNCTION("""COMPUTED_VALUE"""),"Brusturi")</f>
        <v>Brusturi</v>
      </c>
      <c r="N998" s="5"/>
      <c r="O998" s="5"/>
      <c r="P998" s="5"/>
      <c r="Q998" s="5"/>
      <c r="R998" s="5" t="str">
        <f ca="1">IFERROR(__xludf.DUMMYFUNCTION("""COMPUTED_VALUE"""),"România")</f>
        <v>România</v>
      </c>
      <c r="S998" s="5" t="str">
        <f ca="1">IFERROR(__xludf.DUMMYFUNCTION("""COMPUTED_VALUE"""),"Octavian")</f>
        <v>Octavian</v>
      </c>
      <c r="T998" s="7" t="str">
        <f ca="1">IFERROR(__xludf.DUMMYFUNCTION("""COMPUTED_VALUE"""),"http://www.ms.ro/2020/08/03/buletin-informativ-03-08-2020/")</f>
        <v>http://www.ms.ro/2020/08/03/buletin-informativ-03-08-2020/</v>
      </c>
      <c r="U998" s="5"/>
      <c r="V998" s="5"/>
      <c r="W998" s="5"/>
      <c r="X998" s="5"/>
      <c r="Y998" s="5"/>
      <c r="Z998" s="5"/>
      <c r="AA998" s="5"/>
      <c r="AB998" s="5"/>
      <c r="AC998" s="5"/>
    </row>
    <row r="999" spans="1:29" ht="12.5">
      <c r="A999" s="5">
        <f ca="1">IFERROR(__xludf.DUMMYFUNCTION("""COMPUTED_VALUE"""),53368)</f>
        <v>53368</v>
      </c>
      <c r="B999" s="5"/>
      <c r="C999" s="5" t="str">
        <f ca="1">IFERROR(__xludf.DUMMYFUNCTION("""COMPUTED_VALUE"""),"Bihor")</f>
        <v>Bihor</v>
      </c>
      <c r="D999" s="13">
        <f ca="1">IFERROR(__xludf.DUMMYFUNCTION("""COMPUTED_VALUE"""),44043)</f>
        <v>44043</v>
      </c>
      <c r="E999" s="5" t="str">
        <f ca="1">IFERROR(__xludf.DUMMYFUNCTION("""COMPUTED_VALUE"""),"Nu")</f>
        <v>Nu</v>
      </c>
      <c r="F999" s="5"/>
      <c r="G999" s="5"/>
      <c r="H999" s="6"/>
      <c r="I999" s="5"/>
      <c r="J999" s="5"/>
      <c r="K999" s="7" t="str">
        <f ca="1">IFERROR(__xludf.DUMMYFUNCTION("""COMPUTED_VALUE"""),"https://www.ebihoreanul.ro/stiri/inca-50-de-cazuri-de-covid-19-in-bihor-in-urma-testelor-facute-duminica-157998.html")</f>
        <v>https://www.ebihoreanul.ro/stiri/inca-50-de-cazuri-de-covid-19-in-bihor-in-urma-testelor-facute-duminica-157998.html</v>
      </c>
      <c r="L999" s="7" t="str">
        <f ca="1">IFERROR(__xludf.DUMMYFUNCTION("""COMPUTED_VALUE"""),"https://www.ebihoreanul.ro/stiri/inca-50-de-cazuri-de-covid-19-in-bihor-in-urma-testelor-facute-duminica-157998.html")</f>
        <v>https://www.ebihoreanul.ro/stiri/inca-50-de-cazuri-de-covid-19-in-bihor-in-urma-testelor-facute-duminica-157998.html</v>
      </c>
      <c r="M999" s="5" t="str">
        <f ca="1">IFERROR(__xludf.DUMMYFUNCTION("""COMPUTED_VALUE"""),"Remetea")</f>
        <v>Remetea</v>
      </c>
      <c r="N999" s="5"/>
      <c r="O999" s="5"/>
      <c r="P999" s="5"/>
      <c r="Q999" s="5"/>
      <c r="R999" s="5" t="str">
        <f ca="1">IFERROR(__xludf.DUMMYFUNCTION("""COMPUTED_VALUE"""),"România")</f>
        <v>România</v>
      </c>
      <c r="S999" s="5" t="str">
        <f ca="1">IFERROR(__xludf.DUMMYFUNCTION("""COMPUTED_VALUE"""),"Octavian")</f>
        <v>Octavian</v>
      </c>
      <c r="T999" s="7" t="str">
        <f ca="1">IFERROR(__xludf.DUMMYFUNCTION("""COMPUTED_VALUE"""),"http://www.ms.ro/2020/08/03/buletin-informativ-03-08-2020/")</f>
        <v>http://www.ms.ro/2020/08/03/buletin-informativ-03-08-2020/</v>
      </c>
      <c r="U999" s="5"/>
      <c r="V999" s="5"/>
      <c r="W999" s="5"/>
      <c r="X999" s="5"/>
      <c r="Y999" s="5"/>
      <c r="Z999" s="5"/>
      <c r="AA999" s="5"/>
      <c r="AB999" s="5"/>
      <c r="AC999" s="5"/>
    </row>
    <row r="1000" spans="1:29" ht="12.5">
      <c r="A1000" s="5">
        <f ca="1">IFERROR(__xludf.DUMMYFUNCTION("""COMPUTED_VALUE"""),53369)</f>
        <v>53369</v>
      </c>
      <c r="B1000" s="5"/>
      <c r="C1000" s="5" t="str">
        <f ca="1">IFERROR(__xludf.DUMMYFUNCTION("""COMPUTED_VALUE"""),"Bihor")</f>
        <v>Bihor</v>
      </c>
      <c r="D1000" s="13">
        <f ca="1">IFERROR(__xludf.DUMMYFUNCTION("""COMPUTED_VALUE"""),44043)</f>
        <v>44043</v>
      </c>
      <c r="E1000" s="5" t="str">
        <f ca="1">IFERROR(__xludf.DUMMYFUNCTION("""COMPUTED_VALUE"""),"Nu")</f>
        <v>Nu</v>
      </c>
      <c r="F1000" s="5"/>
      <c r="G1000" s="5"/>
      <c r="H1000" s="6"/>
      <c r="I1000" s="5"/>
      <c r="J1000" s="5"/>
      <c r="K1000" s="7" t="str">
        <f ca="1">IFERROR(__xludf.DUMMYFUNCTION("""COMPUTED_VALUE"""),"https://www.ebihoreanul.ro/stiri/inca-50-de-cazuri-de-covid-19-in-bihor-in-urma-testelor-facute-duminica-157998.html")</f>
        <v>https://www.ebihoreanul.ro/stiri/inca-50-de-cazuri-de-covid-19-in-bihor-in-urma-testelor-facute-duminica-157998.html</v>
      </c>
      <c r="L1000" s="7" t="str">
        <f ca="1">IFERROR(__xludf.DUMMYFUNCTION("""COMPUTED_VALUE"""),"https://www.ebihoreanul.ro/stiri/inca-50-de-cazuri-de-covid-19-in-bihor-in-urma-testelor-facute-duminica-157998.html")</f>
        <v>https://www.ebihoreanul.ro/stiri/inca-50-de-cazuri-de-covid-19-in-bihor-in-urma-testelor-facute-duminica-157998.html</v>
      </c>
      <c r="M1000" s="5" t="str">
        <f ca="1">IFERROR(__xludf.DUMMYFUNCTION("""COMPUTED_VALUE"""),"Lăzăreni")</f>
        <v>Lăzăreni</v>
      </c>
      <c r="N1000" s="5"/>
      <c r="O1000" s="5"/>
      <c r="P1000" s="5"/>
      <c r="Q1000" s="5"/>
      <c r="R1000" s="5" t="str">
        <f ca="1">IFERROR(__xludf.DUMMYFUNCTION("""COMPUTED_VALUE"""),"România")</f>
        <v>România</v>
      </c>
      <c r="S1000" s="5" t="str">
        <f ca="1">IFERROR(__xludf.DUMMYFUNCTION("""COMPUTED_VALUE"""),"Octavian")</f>
        <v>Octavian</v>
      </c>
      <c r="T1000" s="7" t="str">
        <f ca="1">IFERROR(__xludf.DUMMYFUNCTION("""COMPUTED_VALUE"""),"http://www.ms.ro/2020/08/03/buletin-informativ-03-08-2020/")</f>
        <v>http://www.ms.ro/2020/08/03/buletin-informativ-03-08-2020/</v>
      </c>
      <c r="U1000" s="5"/>
      <c r="V1000" s="5"/>
      <c r="W1000" s="5"/>
      <c r="X1000" s="5"/>
      <c r="Y1000" s="5"/>
      <c r="Z1000" s="5"/>
      <c r="AA1000" s="5"/>
      <c r="AB1000" s="5"/>
      <c r="AC1000" s="5"/>
    </row>
    <row r="1001" spans="1:29" ht="12.5">
      <c r="A1001" s="5">
        <f ca="1">IFERROR(__xludf.DUMMYFUNCTION("""COMPUTED_VALUE"""),53370)</f>
        <v>53370</v>
      </c>
      <c r="B1001" s="5"/>
      <c r="C1001" s="5" t="str">
        <f ca="1">IFERROR(__xludf.DUMMYFUNCTION("""COMPUTED_VALUE"""),"Bihor")</f>
        <v>Bihor</v>
      </c>
      <c r="D1001" s="13">
        <f ca="1">IFERROR(__xludf.DUMMYFUNCTION("""COMPUTED_VALUE"""),44043)</f>
        <v>44043</v>
      </c>
      <c r="E1001" s="5" t="str">
        <f ca="1">IFERROR(__xludf.DUMMYFUNCTION("""COMPUTED_VALUE"""),"Nu")</f>
        <v>Nu</v>
      </c>
      <c r="F1001" s="5"/>
      <c r="G1001" s="5"/>
      <c r="H1001" s="6"/>
      <c r="I1001" s="5"/>
      <c r="J1001" s="5"/>
      <c r="K1001" s="7" t="str">
        <f ca="1">IFERROR(__xludf.DUMMYFUNCTION("""COMPUTED_VALUE"""),"https://www.ebihoreanul.ro/stiri/inca-50-de-cazuri-de-covid-19-in-bihor-in-urma-testelor-facute-duminica-157998.html")</f>
        <v>https://www.ebihoreanul.ro/stiri/inca-50-de-cazuri-de-covid-19-in-bihor-in-urma-testelor-facute-duminica-157998.html</v>
      </c>
      <c r="L1001" s="7" t="str">
        <f ca="1">IFERROR(__xludf.DUMMYFUNCTION("""COMPUTED_VALUE"""),"https://www.ebihoreanul.ro/stiri/inca-50-de-cazuri-de-covid-19-in-bihor-in-urma-testelor-facute-duminica-157998.html")</f>
        <v>https://www.ebihoreanul.ro/stiri/inca-50-de-cazuri-de-covid-19-in-bihor-in-urma-testelor-facute-duminica-157998.html</v>
      </c>
      <c r="M1001" s="5" t="str">
        <f ca="1">IFERROR(__xludf.DUMMYFUNCTION("""COMPUTED_VALUE"""),"Copăcel")</f>
        <v>Copăcel</v>
      </c>
      <c r="N1001" s="5"/>
      <c r="O1001" s="5"/>
      <c r="P1001" s="5"/>
      <c r="Q1001" s="5"/>
      <c r="R1001" s="5" t="str">
        <f ca="1">IFERROR(__xludf.DUMMYFUNCTION("""COMPUTED_VALUE"""),"România")</f>
        <v>România</v>
      </c>
      <c r="S1001" s="5" t="str">
        <f ca="1">IFERROR(__xludf.DUMMYFUNCTION("""COMPUTED_VALUE"""),"Octavian")</f>
        <v>Octavian</v>
      </c>
      <c r="T1001" s="7" t="str">
        <f ca="1">IFERROR(__xludf.DUMMYFUNCTION("""COMPUTED_VALUE"""),"http://www.ms.ro/2020/08/03/buletin-informativ-03-08-2020/")</f>
        <v>http://www.ms.ro/2020/08/03/buletin-informativ-03-08-2020/</v>
      </c>
      <c r="U1001" s="5"/>
      <c r="V1001" s="5"/>
      <c r="W1001" s="5"/>
      <c r="X1001" s="5"/>
      <c r="Y1001" s="5"/>
      <c r="Z1001" s="5"/>
      <c r="AA1001" s="5"/>
      <c r="AB1001" s="5"/>
      <c r="AC1001" s="5"/>
    </row>
    <row r="1002" spans="1:29" ht="12.5">
      <c r="A1002" s="5">
        <f ca="1">IFERROR(__xludf.DUMMYFUNCTION("""COMPUTED_VALUE"""),53371)</f>
        <v>53371</v>
      </c>
      <c r="B1002" s="5"/>
      <c r="C1002" s="5" t="str">
        <f ca="1">IFERROR(__xludf.DUMMYFUNCTION("""COMPUTED_VALUE"""),"Bihor")</f>
        <v>Bihor</v>
      </c>
      <c r="D1002" s="13">
        <f ca="1">IFERROR(__xludf.DUMMYFUNCTION("""COMPUTED_VALUE"""),44043)</f>
        <v>44043</v>
      </c>
      <c r="E1002" s="5" t="str">
        <f ca="1">IFERROR(__xludf.DUMMYFUNCTION("""COMPUTED_VALUE"""),"Nu")</f>
        <v>Nu</v>
      </c>
      <c r="F1002" s="5"/>
      <c r="G1002" s="5"/>
      <c r="H1002" s="6"/>
      <c r="I1002" s="5"/>
      <c r="J1002" s="5"/>
      <c r="K1002" s="7" t="str">
        <f ca="1">IFERROR(__xludf.DUMMYFUNCTION("""COMPUTED_VALUE"""),"https://www.ebihoreanul.ro/stiri/inca-50-de-cazuri-de-covid-19-in-bihor-in-urma-testelor-facute-duminica-157998.html")</f>
        <v>https://www.ebihoreanul.ro/stiri/inca-50-de-cazuri-de-covid-19-in-bihor-in-urma-testelor-facute-duminica-157998.html</v>
      </c>
      <c r="L1002" s="5"/>
      <c r="M1002" s="5"/>
      <c r="N1002" s="5"/>
      <c r="O1002" s="5"/>
      <c r="P1002" s="5" t="str">
        <f ca="1">IFERROR(__xludf.DUMMYFUNCTION("""COMPUTED_VALUE"""),"European Drink, angajat.")</f>
        <v>European Drink, angajat.</v>
      </c>
      <c r="Q1002" s="5"/>
      <c r="R1002" s="5" t="str">
        <f ca="1">IFERROR(__xludf.DUMMYFUNCTION("""COMPUTED_VALUE"""),"România")</f>
        <v>România</v>
      </c>
      <c r="S1002" s="5" t="str">
        <f ca="1">IFERROR(__xludf.DUMMYFUNCTION("""COMPUTED_VALUE"""),"Octavian")</f>
        <v>Octavian</v>
      </c>
      <c r="T1002" s="7" t="str">
        <f ca="1">IFERROR(__xludf.DUMMYFUNCTION("""COMPUTED_VALUE"""),"http://www.ms.ro/2020/08/03/buletin-informativ-03-08-2020/")</f>
        <v>http://www.ms.ro/2020/08/03/buletin-informativ-03-08-2020/</v>
      </c>
      <c r="U1002" s="5"/>
      <c r="V1002" s="5"/>
      <c r="W1002" s="5"/>
      <c r="X1002" s="5"/>
      <c r="Y1002" s="5"/>
      <c r="Z1002" s="5"/>
      <c r="AA1002" s="5"/>
      <c r="AB1002" s="5"/>
      <c r="AC1002" s="5"/>
    </row>
    <row r="1003" spans="1:29" ht="12.5">
      <c r="A1003" s="5">
        <f ca="1">IFERROR(__xludf.DUMMYFUNCTION("""COMPUTED_VALUE"""),53372)</f>
        <v>53372</v>
      </c>
      <c r="B1003" s="5">
        <f ca="1">IFERROR(__xludf.DUMMYFUNCTION("""COMPUTED_VALUE"""),53371)</f>
        <v>53371</v>
      </c>
      <c r="C1003" s="5" t="str">
        <f ca="1">IFERROR(__xludf.DUMMYFUNCTION("""COMPUTED_VALUE"""),"Bihor")</f>
        <v>Bihor</v>
      </c>
      <c r="D1003" s="13">
        <f ca="1">IFERROR(__xludf.DUMMYFUNCTION("""COMPUTED_VALUE"""),44043)</f>
        <v>44043</v>
      </c>
      <c r="E1003" s="5" t="str">
        <f ca="1">IFERROR(__xludf.DUMMYFUNCTION("""COMPUTED_VALUE"""),"Nu")</f>
        <v>Nu</v>
      </c>
      <c r="F1003" s="5"/>
      <c r="G1003" s="5"/>
      <c r="H1003" s="6"/>
      <c r="I1003" s="5"/>
      <c r="J1003" s="5"/>
      <c r="K1003" s="7" t="str">
        <f ca="1">IFERROR(__xludf.DUMMYFUNCTION("""COMPUTED_VALUE"""),"https://www.ebihoreanul.ro/stiri/inca-50-de-cazuri-de-covid-19-in-bihor-in-urma-testelor-facute-duminica-157998.html")</f>
        <v>https://www.ebihoreanul.ro/stiri/inca-50-de-cazuri-de-covid-19-in-bihor-in-urma-testelor-facute-duminica-157998.html</v>
      </c>
      <c r="L1003" s="5"/>
      <c r="M1003" s="5"/>
      <c r="N1003" s="5"/>
      <c r="O1003" s="5"/>
      <c r="P1003" s="5" t="str">
        <f ca="1">IFERROR(__xludf.DUMMYFUNCTION("""COMPUTED_VALUE"""),"European Drink, angajat.")</f>
        <v>European Drink, angajat.</v>
      </c>
      <c r="Q1003" s="5"/>
      <c r="R1003" s="5" t="str">
        <f ca="1">IFERROR(__xludf.DUMMYFUNCTION("""COMPUTED_VALUE"""),"România")</f>
        <v>România</v>
      </c>
      <c r="S1003" s="5" t="str">
        <f ca="1">IFERROR(__xludf.DUMMYFUNCTION("""COMPUTED_VALUE"""),"Octavian")</f>
        <v>Octavian</v>
      </c>
      <c r="T1003" s="7" t="str">
        <f ca="1">IFERROR(__xludf.DUMMYFUNCTION("""COMPUTED_VALUE"""),"http://www.ms.ro/2020/08/03/buletin-informativ-03-08-2020/")</f>
        <v>http://www.ms.ro/2020/08/03/buletin-informativ-03-08-2020/</v>
      </c>
      <c r="U1003" s="5"/>
      <c r="V1003" s="5"/>
      <c r="W1003" s="5"/>
      <c r="X1003" s="5"/>
      <c r="Y1003" s="5"/>
      <c r="Z1003" s="5"/>
      <c r="AA1003" s="5"/>
      <c r="AB1003" s="5"/>
      <c r="AC1003" s="5"/>
    </row>
    <row r="1004" spans="1:29" ht="12.5">
      <c r="A1004" s="5">
        <f ca="1">IFERROR(__xludf.DUMMYFUNCTION("""COMPUTED_VALUE"""),53373)</f>
        <v>53373</v>
      </c>
      <c r="B1004" s="5">
        <f ca="1">IFERROR(__xludf.DUMMYFUNCTION("""COMPUTED_VALUE"""),53371)</f>
        <v>53371</v>
      </c>
      <c r="C1004" s="5" t="str">
        <f ca="1">IFERROR(__xludf.DUMMYFUNCTION("""COMPUTED_VALUE"""),"Bihor")</f>
        <v>Bihor</v>
      </c>
      <c r="D1004" s="13">
        <f ca="1">IFERROR(__xludf.DUMMYFUNCTION("""COMPUTED_VALUE"""),44043)</f>
        <v>44043</v>
      </c>
      <c r="E1004" s="5" t="str">
        <f ca="1">IFERROR(__xludf.DUMMYFUNCTION("""COMPUTED_VALUE"""),"Nu")</f>
        <v>Nu</v>
      </c>
      <c r="F1004" s="5"/>
      <c r="G1004" s="5"/>
      <c r="H1004" s="6"/>
      <c r="I1004" s="5"/>
      <c r="J1004" s="5"/>
      <c r="K1004" s="7" t="str">
        <f ca="1">IFERROR(__xludf.DUMMYFUNCTION("""COMPUTED_VALUE"""),"https://www.ebihoreanul.ro/stiri/inca-50-de-cazuri-de-covid-19-in-bihor-in-urma-testelor-facute-duminica-157998.html")</f>
        <v>https://www.ebihoreanul.ro/stiri/inca-50-de-cazuri-de-covid-19-in-bihor-in-urma-testelor-facute-duminica-157998.html</v>
      </c>
      <c r="L1004" s="5"/>
      <c r="M1004" s="5"/>
      <c r="N1004" s="5"/>
      <c r="O1004" s="5"/>
      <c r="P1004" s="5" t="str">
        <f ca="1">IFERROR(__xludf.DUMMYFUNCTION("""COMPUTED_VALUE"""),"European Drink, angajat.")</f>
        <v>European Drink, angajat.</v>
      </c>
      <c r="Q1004" s="5"/>
      <c r="R1004" s="5" t="str">
        <f ca="1">IFERROR(__xludf.DUMMYFUNCTION("""COMPUTED_VALUE"""),"România")</f>
        <v>România</v>
      </c>
      <c r="S1004" s="5" t="str">
        <f ca="1">IFERROR(__xludf.DUMMYFUNCTION("""COMPUTED_VALUE"""),"Octavian")</f>
        <v>Octavian</v>
      </c>
      <c r="T1004" s="7" t="str">
        <f ca="1">IFERROR(__xludf.DUMMYFUNCTION("""COMPUTED_VALUE"""),"http://www.ms.ro/2020/08/03/buletin-informativ-03-08-2020/")</f>
        <v>http://www.ms.ro/2020/08/03/buletin-informativ-03-08-2020/</v>
      </c>
      <c r="U1004" s="5"/>
      <c r="V1004" s="5"/>
      <c r="W1004" s="5"/>
      <c r="X1004" s="5"/>
      <c r="Y1004" s="5"/>
      <c r="Z1004" s="5"/>
      <c r="AA1004" s="5"/>
      <c r="AB1004" s="5"/>
      <c r="AC1004" s="5"/>
    </row>
    <row r="1005" spans="1:29" ht="12.5">
      <c r="A1005" s="5">
        <f ca="1">IFERROR(__xludf.DUMMYFUNCTION("""COMPUTED_VALUE"""),53374)</f>
        <v>53374</v>
      </c>
      <c r="B1005" s="5">
        <f ca="1">IFERROR(__xludf.DUMMYFUNCTION("""COMPUTED_VALUE"""),53371)</f>
        <v>53371</v>
      </c>
      <c r="C1005" s="5" t="str">
        <f ca="1">IFERROR(__xludf.DUMMYFUNCTION("""COMPUTED_VALUE"""),"Bihor")</f>
        <v>Bihor</v>
      </c>
      <c r="D1005" s="13">
        <f ca="1">IFERROR(__xludf.DUMMYFUNCTION("""COMPUTED_VALUE"""),44043)</f>
        <v>44043</v>
      </c>
      <c r="E1005" s="5" t="str">
        <f ca="1">IFERROR(__xludf.DUMMYFUNCTION("""COMPUTED_VALUE"""),"Nu")</f>
        <v>Nu</v>
      </c>
      <c r="F1005" s="5"/>
      <c r="G1005" s="5"/>
      <c r="H1005" s="6"/>
      <c r="I1005" s="5"/>
      <c r="J1005" s="5"/>
      <c r="K1005" s="7" t="str">
        <f ca="1">IFERROR(__xludf.DUMMYFUNCTION("""COMPUTED_VALUE"""),"https://www.ebihoreanul.ro/stiri/inca-50-de-cazuri-de-covid-19-in-bihor-in-urma-testelor-facute-duminica-157998.html")</f>
        <v>https://www.ebihoreanul.ro/stiri/inca-50-de-cazuri-de-covid-19-in-bihor-in-urma-testelor-facute-duminica-157998.html</v>
      </c>
      <c r="L1005" s="5"/>
      <c r="M1005" s="5"/>
      <c r="N1005" s="5"/>
      <c r="O1005" s="5"/>
      <c r="P1005" s="5" t="str">
        <f ca="1">IFERROR(__xludf.DUMMYFUNCTION("""COMPUTED_VALUE"""),"European Drink, angajat.")</f>
        <v>European Drink, angajat.</v>
      </c>
      <c r="Q1005" s="5"/>
      <c r="R1005" s="5" t="str">
        <f ca="1">IFERROR(__xludf.DUMMYFUNCTION("""COMPUTED_VALUE"""),"România")</f>
        <v>România</v>
      </c>
      <c r="S1005" s="5" t="str">
        <f ca="1">IFERROR(__xludf.DUMMYFUNCTION("""COMPUTED_VALUE"""),"Octavian")</f>
        <v>Octavian</v>
      </c>
      <c r="T1005" s="7" t="str">
        <f ca="1">IFERROR(__xludf.DUMMYFUNCTION("""COMPUTED_VALUE"""),"http://www.ms.ro/2020/08/03/buletin-informativ-03-08-2020/")</f>
        <v>http://www.ms.ro/2020/08/03/buletin-informativ-03-08-2020/</v>
      </c>
      <c r="U1005" s="5"/>
      <c r="V1005" s="5"/>
      <c r="W1005" s="5"/>
      <c r="X1005" s="5"/>
      <c r="Y1005" s="5"/>
      <c r="Z1005" s="5"/>
      <c r="AA1005" s="5"/>
      <c r="AB1005" s="5"/>
      <c r="AC1005" s="5"/>
    </row>
    <row r="1006" spans="1:29" ht="12.5">
      <c r="A1006" s="5">
        <f ca="1">IFERROR(__xludf.DUMMYFUNCTION("""COMPUTED_VALUE"""),53375)</f>
        <v>53375</v>
      </c>
      <c r="B1006" s="5">
        <f ca="1">IFERROR(__xludf.DUMMYFUNCTION("""COMPUTED_VALUE"""),53371)</f>
        <v>53371</v>
      </c>
      <c r="C1006" s="5" t="str">
        <f ca="1">IFERROR(__xludf.DUMMYFUNCTION("""COMPUTED_VALUE"""),"Bihor")</f>
        <v>Bihor</v>
      </c>
      <c r="D1006" s="13">
        <f ca="1">IFERROR(__xludf.DUMMYFUNCTION("""COMPUTED_VALUE"""),44043)</f>
        <v>44043</v>
      </c>
      <c r="E1006" s="5" t="str">
        <f ca="1">IFERROR(__xludf.DUMMYFUNCTION("""COMPUTED_VALUE"""),"Nu")</f>
        <v>Nu</v>
      </c>
      <c r="F1006" s="5"/>
      <c r="G1006" s="5"/>
      <c r="H1006" s="6"/>
      <c r="I1006" s="5"/>
      <c r="J1006" s="5"/>
      <c r="K1006" s="7" t="str">
        <f ca="1">IFERROR(__xludf.DUMMYFUNCTION("""COMPUTED_VALUE"""),"https://www.ebihoreanul.ro/stiri/inca-50-de-cazuri-de-covid-19-in-bihor-in-urma-testelor-facute-duminica-157998.html")</f>
        <v>https://www.ebihoreanul.ro/stiri/inca-50-de-cazuri-de-covid-19-in-bihor-in-urma-testelor-facute-duminica-157998.html</v>
      </c>
      <c r="L1006" s="5"/>
      <c r="M1006" s="5"/>
      <c r="N1006" s="5"/>
      <c r="O1006" s="5"/>
      <c r="P1006" s="5" t="str">
        <f ca="1">IFERROR(__xludf.DUMMYFUNCTION("""COMPUTED_VALUE"""),"European Drink, angajat.")</f>
        <v>European Drink, angajat.</v>
      </c>
      <c r="Q1006" s="5"/>
      <c r="R1006" s="5" t="str">
        <f ca="1">IFERROR(__xludf.DUMMYFUNCTION("""COMPUTED_VALUE"""),"România")</f>
        <v>România</v>
      </c>
      <c r="S1006" s="5" t="str">
        <f ca="1">IFERROR(__xludf.DUMMYFUNCTION("""COMPUTED_VALUE"""),"Octavian")</f>
        <v>Octavian</v>
      </c>
      <c r="T1006" s="7" t="str">
        <f ca="1">IFERROR(__xludf.DUMMYFUNCTION("""COMPUTED_VALUE"""),"http://www.ms.ro/2020/08/03/buletin-informativ-03-08-2020/")</f>
        <v>http://www.ms.ro/2020/08/03/buletin-informativ-03-08-2020/</v>
      </c>
      <c r="U1006" s="5"/>
      <c r="V1006" s="5"/>
      <c r="W1006" s="5"/>
      <c r="X1006" s="5"/>
      <c r="Y1006" s="5"/>
      <c r="Z1006" s="5"/>
      <c r="AA1006" s="5"/>
      <c r="AB1006" s="5"/>
      <c r="AC1006" s="5"/>
    </row>
    <row r="1007" spans="1:29" ht="12.5">
      <c r="A1007" s="5">
        <f ca="1">IFERROR(__xludf.DUMMYFUNCTION("""COMPUTED_VALUE"""),53376)</f>
        <v>53376</v>
      </c>
      <c r="B1007" s="5">
        <f ca="1">IFERROR(__xludf.DUMMYFUNCTION("""COMPUTED_VALUE"""),53371)</f>
        <v>53371</v>
      </c>
      <c r="C1007" s="5" t="str">
        <f ca="1">IFERROR(__xludf.DUMMYFUNCTION("""COMPUTED_VALUE"""),"Bihor")</f>
        <v>Bihor</v>
      </c>
      <c r="D1007" s="13">
        <f ca="1">IFERROR(__xludf.DUMMYFUNCTION("""COMPUTED_VALUE"""),44043)</f>
        <v>44043</v>
      </c>
      <c r="E1007" s="5" t="str">
        <f ca="1">IFERROR(__xludf.DUMMYFUNCTION("""COMPUTED_VALUE"""),"Nu")</f>
        <v>Nu</v>
      </c>
      <c r="F1007" s="5"/>
      <c r="G1007" s="5"/>
      <c r="H1007" s="6"/>
      <c r="I1007" s="5"/>
      <c r="J1007" s="5"/>
      <c r="K1007" s="7" t="str">
        <f ca="1">IFERROR(__xludf.DUMMYFUNCTION("""COMPUTED_VALUE"""),"https://www.ebihoreanul.ro/stiri/inca-50-de-cazuri-de-covid-19-in-bihor-in-urma-testelor-facute-duminica-157998.html")</f>
        <v>https://www.ebihoreanul.ro/stiri/inca-50-de-cazuri-de-covid-19-in-bihor-in-urma-testelor-facute-duminica-157998.html</v>
      </c>
      <c r="L1007" s="5"/>
      <c r="M1007" s="5"/>
      <c r="N1007" s="5"/>
      <c r="O1007" s="5"/>
      <c r="P1007" s="5" t="str">
        <f ca="1">IFERROR(__xludf.DUMMYFUNCTION("""COMPUTED_VALUE"""),"European Drink, angajat.")</f>
        <v>European Drink, angajat.</v>
      </c>
      <c r="Q1007" s="5"/>
      <c r="R1007" s="5" t="str">
        <f ca="1">IFERROR(__xludf.DUMMYFUNCTION("""COMPUTED_VALUE"""),"România")</f>
        <v>România</v>
      </c>
      <c r="S1007" s="5" t="str">
        <f ca="1">IFERROR(__xludf.DUMMYFUNCTION("""COMPUTED_VALUE"""),"Octavian")</f>
        <v>Octavian</v>
      </c>
      <c r="T1007" s="7" t="str">
        <f ca="1">IFERROR(__xludf.DUMMYFUNCTION("""COMPUTED_VALUE"""),"http://www.ms.ro/2020/08/03/buletin-informativ-03-08-2020/")</f>
        <v>http://www.ms.ro/2020/08/03/buletin-informativ-03-08-2020/</v>
      </c>
      <c r="U1007" s="5"/>
      <c r="V1007" s="5"/>
      <c r="W1007" s="5"/>
      <c r="X1007" s="5"/>
      <c r="Y1007" s="5"/>
      <c r="Z1007" s="5"/>
      <c r="AA1007" s="5"/>
      <c r="AB1007" s="5"/>
      <c r="AC1007" s="5"/>
    </row>
    <row r="1008" spans="1:29" ht="12.5">
      <c r="A1008" s="5">
        <f ca="1">IFERROR(__xludf.DUMMYFUNCTION("""COMPUTED_VALUE"""),53377)</f>
        <v>53377</v>
      </c>
      <c r="B1008" s="5">
        <f ca="1">IFERROR(__xludf.DUMMYFUNCTION("""COMPUTED_VALUE"""),53371)</f>
        <v>53371</v>
      </c>
      <c r="C1008" s="5" t="str">
        <f ca="1">IFERROR(__xludf.DUMMYFUNCTION("""COMPUTED_VALUE"""),"Bihor")</f>
        <v>Bihor</v>
      </c>
      <c r="D1008" s="13">
        <f ca="1">IFERROR(__xludf.DUMMYFUNCTION("""COMPUTED_VALUE"""),44043)</f>
        <v>44043</v>
      </c>
      <c r="E1008" s="5" t="str">
        <f ca="1">IFERROR(__xludf.DUMMYFUNCTION("""COMPUTED_VALUE"""),"Nu")</f>
        <v>Nu</v>
      </c>
      <c r="F1008" s="5"/>
      <c r="G1008" s="5"/>
      <c r="H1008" s="6"/>
      <c r="I1008" s="5"/>
      <c r="J1008" s="5"/>
      <c r="K1008" s="7" t="str">
        <f ca="1">IFERROR(__xludf.DUMMYFUNCTION("""COMPUTED_VALUE"""),"https://www.ebihoreanul.ro/stiri/inca-50-de-cazuri-de-covid-19-in-bihor-in-urma-testelor-facute-duminica-157998.html")</f>
        <v>https://www.ebihoreanul.ro/stiri/inca-50-de-cazuri-de-covid-19-in-bihor-in-urma-testelor-facute-duminica-157998.html</v>
      </c>
      <c r="L1008" s="5"/>
      <c r="M1008" s="5"/>
      <c r="N1008" s="5"/>
      <c r="O1008" s="5"/>
      <c r="P1008" s="5" t="str">
        <f ca="1">IFERROR(__xludf.DUMMYFUNCTION("""COMPUTED_VALUE"""),"European Drink, angajat.")</f>
        <v>European Drink, angajat.</v>
      </c>
      <c r="Q1008" s="5"/>
      <c r="R1008" s="5" t="str">
        <f ca="1">IFERROR(__xludf.DUMMYFUNCTION("""COMPUTED_VALUE"""),"România")</f>
        <v>România</v>
      </c>
      <c r="S1008" s="5" t="str">
        <f ca="1">IFERROR(__xludf.DUMMYFUNCTION("""COMPUTED_VALUE"""),"Octavian")</f>
        <v>Octavian</v>
      </c>
      <c r="T1008" s="7" t="str">
        <f ca="1">IFERROR(__xludf.DUMMYFUNCTION("""COMPUTED_VALUE"""),"http://www.ms.ro/2020/08/03/buletin-informativ-03-08-2020/")</f>
        <v>http://www.ms.ro/2020/08/03/buletin-informativ-03-08-2020/</v>
      </c>
      <c r="U1008" s="5"/>
      <c r="V1008" s="5"/>
      <c r="W1008" s="5"/>
      <c r="X1008" s="5"/>
      <c r="Y1008" s="5"/>
      <c r="Z1008" s="5"/>
      <c r="AA1008" s="5"/>
      <c r="AB1008" s="5"/>
      <c r="AC1008" s="5"/>
    </row>
    <row r="1009" spans="1:29" ht="12.5">
      <c r="A1009" s="5">
        <f ca="1">IFERROR(__xludf.DUMMYFUNCTION("""COMPUTED_VALUE"""),53378)</f>
        <v>53378</v>
      </c>
      <c r="B1009" s="5">
        <f ca="1">IFERROR(__xludf.DUMMYFUNCTION("""COMPUTED_VALUE"""),53371)</f>
        <v>53371</v>
      </c>
      <c r="C1009" s="5" t="str">
        <f ca="1">IFERROR(__xludf.DUMMYFUNCTION("""COMPUTED_VALUE"""),"Bihor")</f>
        <v>Bihor</v>
      </c>
      <c r="D1009" s="13">
        <f ca="1">IFERROR(__xludf.DUMMYFUNCTION("""COMPUTED_VALUE"""),44043)</f>
        <v>44043</v>
      </c>
      <c r="E1009" s="5" t="str">
        <f ca="1">IFERROR(__xludf.DUMMYFUNCTION("""COMPUTED_VALUE"""),"Nu")</f>
        <v>Nu</v>
      </c>
      <c r="F1009" s="5"/>
      <c r="G1009" s="5"/>
      <c r="H1009" s="6"/>
      <c r="I1009" s="5"/>
      <c r="J1009" s="5"/>
      <c r="K1009" s="7" t="str">
        <f ca="1">IFERROR(__xludf.DUMMYFUNCTION("""COMPUTED_VALUE"""),"https://www.ebihoreanul.ro/stiri/inca-50-de-cazuri-de-covid-19-in-bihor-in-urma-testelor-facute-duminica-157998.html")</f>
        <v>https://www.ebihoreanul.ro/stiri/inca-50-de-cazuri-de-covid-19-in-bihor-in-urma-testelor-facute-duminica-157998.html</v>
      </c>
      <c r="L1009" s="5"/>
      <c r="M1009" s="5"/>
      <c r="N1009" s="5"/>
      <c r="O1009" s="5"/>
      <c r="P1009" s="5" t="str">
        <f ca="1">IFERROR(__xludf.DUMMYFUNCTION("""COMPUTED_VALUE"""),"European Drink, angajat.")</f>
        <v>European Drink, angajat.</v>
      </c>
      <c r="Q1009" s="5"/>
      <c r="R1009" s="5" t="str">
        <f ca="1">IFERROR(__xludf.DUMMYFUNCTION("""COMPUTED_VALUE"""),"România")</f>
        <v>România</v>
      </c>
      <c r="S1009" s="5" t="str">
        <f ca="1">IFERROR(__xludf.DUMMYFUNCTION("""COMPUTED_VALUE"""),"Octavian")</f>
        <v>Octavian</v>
      </c>
      <c r="T1009" s="7" t="str">
        <f ca="1">IFERROR(__xludf.DUMMYFUNCTION("""COMPUTED_VALUE"""),"http://www.ms.ro/2020/08/03/buletin-informativ-03-08-2020/")</f>
        <v>http://www.ms.ro/2020/08/03/buletin-informativ-03-08-2020/</v>
      </c>
      <c r="U1009" s="5"/>
      <c r="V1009" s="5"/>
      <c r="W1009" s="5"/>
      <c r="X1009" s="5"/>
      <c r="Y1009" s="5"/>
      <c r="Z1009" s="5"/>
      <c r="AA1009" s="5"/>
      <c r="AB1009" s="5"/>
      <c r="AC1009" s="5"/>
    </row>
    <row r="1010" spans="1:29" ht="12.5">
      <c r="A1010" s="5">
        <f ca="1">IFERROR(__xludf.DUMMYFUNCTION("""COMPUTED_VALUE"""),53379)</f>
        <v>53379</v>
      </c>
      <c r="B1010" s="5">
        <f ca="1">IFERROR(__xludf.DUMMYFUNCTION("""COMPUTED_VALUE"""),53371)</f>
        <v>53371</v>
      </c>
      <c r="C1010" s="5" t="str">
        <f ca="1">IFERROR(__xludf.DUMMYFUNCTION("""COMPUTED_VALUE"""),"Bihor")</f>
        <v>Bihor</v>
      </c>
      <c r="D1010" s="13">
        <f ca="1">IFERROR(__xludf.DUMMYFUNCTION("""COMPUTED_VALUE"""),44043)</f>
        <v>44043</v>
      </c>
      <c r="E1010" s="5" t="str">
        <f ca="1">IFERROR(__xludf.DUMMYFUNCTION("""COMPUTED_VALUE"""),"Nu")</f>
        <v>Nu</v>
      </c>
      <c r="F1010" s="5"/>
      <c r="G1010" s="5"/>
      <c r="H1010" s="6"/>
      <c r="I1010" s="5"/>
      <c r="J1010" s="5"/>
      <c r="K1010" s="7" t="str">
        <f ca="1">IFERROR(__xludf.DUMMYFUNCTION("""COMPUTED_VALUE"""),"https://www.ebihoreanul.ro/stiri/inca-50-de-cazuri-de-covid-19-in-bihor-in-urma-testelor-facute-duminica-157998.html")</f>
        <v>https://www.ebihoreanul.ro/stiri/inca-50-de-cazuri-de-covid-19-in-bihor-in-urma-testelor-facute-duminica-157998.html</v>
      </c>
      <c r="L1010" s="5"/>
      <c r="M1010" s="5"/>
      <c r="N1010" s="5"/>
      <c r="O1010" s="5"/>
      <c r="P1010" s="5" t="str">
        <f ca="1">IFERROR(__xludf.DUMMYFUNCTION("""COMPUTED_VALUE"""),"European Drink, angajat.")</f>
        <v>European Drink, angajat.</v>
      </c>
      <c r="Q1010" s="5"/>
      <c r="R1010" s="5" t="str">
        <f ca="1">IFERROR(__xludf.DUMMYFUNCTION("""COMPUTED_VALUE"""),"România")</f>
        <v>România</v>
      </c>
      <c r="S1010" s="5" t="str">
        <f ca="1">IFERROR(__xludf.DUMMYFUNCTION("""COMPUTED_VALUE"""),"Octavian")</f>
        <v>Octavian</v>
      </c>
      <c r="T1010" s="7" t="str">
        <f ca="1">IFERROR(__xludf.DUMMYFUNCTION("""COMPUTED_VALUE"""),"http://www.ms.ro/2020/08/03/buletin-informativ-03-08-2020/")</f>
        <v>http://www.ms.ro/2020/08/03/buletin-informativ-03-08-2020/</v>
      </c>
      <c r="U1010" s="5"/>
      <c r="V1010" s="5"/>
      <c r="W1010" s="5"/>
      <c r="X1010" s="5"/>
      <c r="Y1010" s="5"/>
      <c r="Z1010" s="5"/>
      <c r="AA1010" s="5"/>
      <c r="AB1010" s="5"/>
      <c r="AC1010" s="5"/>
    </row>
    <row r="1011" spans="1:29" ht="12.5">
      <c r="A1011" s="5">
        <f ca="1">IFERROR(__xludf.DUMMYFUNCTION("""COMPUTED_VALUE"""),53380)</f>
        <v>53380</v>
      </c>
      <c r="B1011" s="5">
        <f ca="1">IFERROR(__xludf.DUMMYFUNCTION("""COMPUTED_VALUE"""),53371)</f>
        <v>53371</v>
      </c>
      <c r="C1011" s="5" t="str">
        <f ca="1">IFERROR(__xludf.DUMMYFUNCTION("""COMPUTED_VALUE"""),"Bihor")</f>
        <v>Bihor</v>
      </c>
      <c r="D1011" s="13">
        <f ca="1">IFERROR(__xludf.DUMMYFUNCTION("""COMPUTED_VALUE"""),44043)</f>
        <v>44043</v>
      </c>
      <c r="E1011" s="5" t="str">
        <f ca="1">IFERROR(__xludf.DUMMYFUNCTION("""COMPUTED_VALUE"""),"Nu")</f>
        <v>Nu</v>
      </c>
      <c r="F1011" s="5"/>
      <c r="G1011" s="5"/>
      <c r="H1011" s="6"/>
      <c r="I1011" s="5"/>
      <c r="J1011" s="5"/>
      <c r="K1011" s="7" t="str">
        <f ca="1">IFERROR(__xludf.DUMMYFUNCTION("""COMPUTED_VALUE"""),"https://www.ebihoreanul.ro/stiri/inca-50-de-cazuri-de-covid-19-in-bihor-in-urma-testelor-facute-duminica-157998.html")</f>
        <v>https://www.ebihoreanul.ro/stiri/inca-50-de-cazuri-de-covid-19-in-bihor-in-urma-testelor-facute-duminica-157998.html</v>
      </c>
      <c r="L1011" s="5"/>
      <c r="M1011" s="5"/>
      <c r="N1011" s="5"/>
      <c r="O1011" s="5"/>
      <c r="P1011" s="5" t="str">
        <f ca="1">IFERROR(__xludf.DUMMYFUNCTION("""COMPUTED_VALUE"""),"European Drink, angajat.")</f>
        <v>European Drink, angajat.</v>
      </c>
      <c r="Q1011" s="5"/>
      <c r="R1011" s="5" t="str">
        <f ca="1">IFERROR(__xludf.DUMMYFUNCTION("""COMPUTED_VALUE"""),"România")</f>
        <v>România</v>
      </c>
      <c r="S1011" s="5" t="str">
        <f ca="1">IFERROR(__xludf.DUMMYFUNCTION("""COMPUTED_VALUE"""),"Octavian")</f>
        <v>Octavian</v>
      </c>
      <c r="T1011" s="7" t="str">
        <f ca="1">IFERROR(__xludf.DUMMYFUNCTION("""COMPUTED_VALUE"""),"http://www.ms.ro/2020/08/03/buletin-informativ-03-08-2020/")</f>
        <v>http://www.ms.ro/2020/08/03/buletin-informativ-03-08-2020/</v>
      </c>
      <c r="U1011" s="5"/>
      <c r="V1011" s="5"/>
      <c r="W1011" s="5"/>
      <c r="X1011" s="5"/>
      <c r="Y1011" s="5"/>
      <c r="Z1011" s="5"/>
      <c r="AA1011" s="5"/>
      <c r="AB1011" s="5"/>
      <c r="AC1011" s="5"/>
    </row>
    <row r="1012" spans="1:29" ht="12.5">
      <c r="A1012" s="5">
        <f ca="1">IFERROR(__xludf.DUMMYFUNCTION("""COMPUTED_VALUE"""),53381)</f>
        <v>53381</v>
      </c>
      <c r="B1012" s="5">
        <f ca="1">IFERROR(__xludf.DUMMYFUNCTION("""COMPUTED_VALUE"""),53371)</f>
        <v>53371</v>
      </c>
      <c r="C1012" s="5" t="str">
        <f ca="1">IFERROR(__xludf.DUMMYFUNCTION("""COMPUTED_VALUE"""),"Bihor")</f>
        <v>Bihor</v>
      </c>
      <c r="D1012" s="13">
        <f ca="1">IFERROR(__xludf.DUMMYFUNCTION("""COMPUTED_VALUE"""),44043)</f>
        <v>44043</v>
      </c>
      <c r="E1012" s="5" t="str">
        <f ca="1">IFERROR(__xludf.DUMMYFUNCTION("""COMPUTED_VALUE"""),"Nu")</f>
        <v>Nu</v>
      </c>
      <c r="F1012" s="5"/>
      <c r="G1012" s="5"/>
      <c r="H1012" s="6"/>
      <c r="I1012" s="5"/>
      <c r="J1012" s="5"/>
      <c r="K1012" s="7" t="str">
        <f ca="1">IFERROR(__xludf.DUMMYFUNCTION("""COMPUTED_VALUE"""),"https://www.ebihoreanul.ro/stiri/inca-50-de-cazuri-de-covid-19-in-bihor-in-urma-testelor-facute-duminica-157998.html")</f>
        <v>https://www.ebihoreanul.ro/stiri/inca-50-de-cazuri-de-covid-19-in-bihor-in-urma-testelor-facute-duminica-157998.html</v>
      </c>
      <c r="L1012" s="5"/>
      <c r="M1012" s="5"/>
      <c r="N1012" s="5"/>
      <c r="O1012" s="5"/>
      <c r="P1012" s="5" t="str">
        <f ca="1">IFERROR(__xludf.DUMMYFUNCTION("""COMPUTED_VALUE"""),"European Drink, angajat.")</f>
        <v>European Drink, angajat.</v>
      </c>
      <c r="Q1012" s="5"/>
      <c r="R1012" s="5" t="str">
        <f ca="1">IFERROR(__xludf.DUMMYFUNCTION("""COMPUTED_VALUE"""),"România")</f>
        <v>România</v>
      </c>
      <c r="S1012" s="5" t="str">
        <f ca="1">IFERROR(__xludf.DUMMYFUNCTION("""COMPUTED_VALUE"""),"Octavian")</f>
        <v>Octavian</v>
      </c>
      <c r="T1012" s="7" t="str">
        <f ca="1">IFERROR(__xludf.DUMMYFUNCTION("""COMPUTED_VALUE"""),"http://www.ms.ro/2020/08/03/buletin-informativ-03-08-2020/")</f>
        <v>http://www.ms.ro/2020/08/03/buletin-informativ-03-08-2020/</v>
      </c>
      <c r="U1012" s="5"/>
      <c r="V1012" s="5"/>
      <c r="W1012" s="5"/>
      <c r="X1012" s="5"/>
      <c r="Y1012" s="5"/>
      <c r="Z1012" s="5"/>
      <c r="AA1012" s="5"/>
      <c r="AB1012" s="5"/>
      <c r="AC1012" s="5"/>
    </row>
    <row r="1013" spans="1:29" ht="12.5">
      <c r="A1013" s="5">
        <f ca="1">IFERROR(__xludf.DUMMYFUNCTION("""COMPUTED_VALUE"""),53382)</f>
        <v>53382</v>
      </c>
      <c r="B1013" s="5">
        <f ca="1">IFERROR(__xludf.DUMMYFUNCTION("""COMPUTED_VALUE"""),53371)</f>
        <v>53371</v>
      </c>
      <c r="C1013" s="5" t="str">
        <f ca="1">IFERROR(__xludf.DUMMYFUNCTION("""COMPUTED_VALUE"""),"Bihor")</f>
        <v>Bihor</v>
      </c>
      <c r="D1013" s="13">
        <f ca="1">IFERROR(__xludf.DUMMYFUNCTION("""COMPUTED_VALUE"""),44043)</f>
        <v>44043</v>
      </c>
      <c r="E1013" s="5" t="str">
        <f ca="1">IFERROR(__xludf.DUMMYFUNCTION("""COMPUTED_VALUE"""),"Nu")</f>
        <v>Nu</v>
      </c>
      <c r="F1013" s="5"/>
      <c r="G1013" s="5"/>
      <c r="H1013" s="6"/>
      <c r="I1013" s="5"/>
      <c r="J1013" s="5"/>
      <c r="K1013" s="7" t="str">
        <f ca="1">IFERROR(__xludf.DUMMYFUNCTION("""COMPUTED_VALUE"""),"https://www.ebihoreanul.ro/stiri/inca-50-de-cazuri-de-covid-19-in-bihor-in-urma-testelor-facute-duminica-157998.html")</f>
        <v>https://www.ebihoreanul.ro/stiri/inca-50-de-cazuri-de-covid-19-in-bihor-in-urma-testelor-facute-duminica-157998.html</v>
      </c>
      <c r="L1013" s="5"/>
      <c r="M1013" s="5"/>
      <c r="N1013" s="5"/>
      <c r="O1013" s="5"/>
      <c r="P1013" s="5" t="str">
        <f ca="1">IFERROR(__xludf.DUMMYFUNCTION("""COMPUTED_VALUE"""),"European Drink, angajat.")</f>
        <v>European Drink, angajat.</v>
      </c>
      <c r="Q1013" s="5"/>
      <c r="R1013" s="5" t="str">
        <f ca="1">IFERROR(__xludf.DUMMYFUNCTION("""COMPUTED_VALUE"""),"România")</f>
        <v>România</v>
      </c>
      <c r="S1013" s="5" t="str">
        <f ca="1">IFERROR(__xludf.DUMMYFUNCTION("""COMPUTED_VALUE"""),"Octavian")</f>
        <v>Octavian</v>
      </c>
      <c r="T1013" s="7" t="str">
        <f ca="1">IFERROR(__xludf.DUMMYFUNCTION("""COMPUTED_VALUE"""),"http://www.ms.ro/2020/08/03/buletin-informativ-03-08-2020/")</f>
        <v>http://www.ms.ro/2020/08/03/buletin-informativ-03-08-2020/</v>
      </c>
      <c r="U1013" s="5"/>
      <c r="V1013" s="5"/>
      <c r="W1013" s="5"/>
      <c r="X1013" s="5"/>
      <c r="Y1013" s="5"/>
      <c r="Z1013" s="5"/>
      <c r="AA1013" s="5"/>
      <c r="AB1013" s="5"/>
      <c r="AC1013" s="5"/>
    </row>
    <row r="1014" spans="1:29" ht="12.5">
      <c r="A1014" s="5">
        <f ca="1">IFERROR(__xludf.DUMMYFUNCTION("""COMPUTED_VALUE"""),53383)</f>
        <v>53383</v>
      </c>
      <c r="B1014" s="5"/>
      <c r="C1014" s="5" t="str">
        <f ca="1">IFERROR(__xludf.DUMMYFUNCTION("""COMPUTED_VALUE"""),"Bihor")</f>
        <v>Bihor</v>
      </c>
      <c r="D1014" s="13">
        <f ca="1">IFERROR(__xludf.DUMMYFUNCTION("""COMPUTED_VALUE"""),44043)</f>
        <v>44043</v>
      </c>
      <c r="E1014" s="5" t="str">
        <f ca="1">IFERROR(__xludf.DUMMYFUNCTION("""COMPUTED_VALUE"""),"Nu")</f>
        <v>Nu</v>
      </c>
      <c r="F1014" s="5"/>
      <c r="G1014" s="5"/>
      <c r="H1014" s="6"/>
      <c r="I1014" s="5"/>
      <c r="J1014" s="5"/>
      <c r="K1014" s="7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1014" s="5"/>
      <c r="M1014" s="5"/>
      <c r="N1014" s="5"/>
      <c r="O1014" s="5"/>
      <c r="P1014" s="5"/>
      <c r="Q1014" s="5"/>
      <c r="R1014" s="5" t="str">
        <f ca="1">IFERROR(__xludf.DUMMYFUNCTION("""COMPUTED_VALUE"""),"România")</f>
        <v>România</v>
      </c>
      <c r="S1014" s="5" t="str">
        <f ca="1">IFERROR(__xludf.DUMMYFUNCTION("""COMPUTED_VALUE"""),"Octavian")</f>
        <v>Octavian</v>
      </c>
      <c r="T1014" s="7" t="str">
        <f ca="1">IFERROR(__xludf.DUMMYFUNCTION("""COMPUTED_VALUE"""),"http://www.ms.ro/2020/08/03/buletin-informativ-03-08-2020/")</f>
        <v>http://www.ms.ro/2020/08/03/buletin-informativ-03-08-2020/</v>
      </c>
      <c r="U1014" s="5"/>
      <c r="V1014" s="5"/>
      <c r="W1014" s="5"/>
      <c r="X1014" s="5"/>
      <c r="Y1014" s="5"/>
      <c r="Z1014" s="5"/>
      <c r="AA1014" s="5"/>
      <c r="AB1014" s="5"/>
      <c r="AC1014" s="5"/>
    </row>
    <row r="1015" spans="1:29" ht="12.5">
      <c r="A1015" s="5">
        <f ca="1">IFERROR(__xludf.DUMMYFUNCTION("""COMPUTED_VALUE"""),53384)</f>
        <v>53384</v>
      </c>
      <c r="B1015" s="5"/>
      <c r="C1015" s="5" t="str">
        <f ca="1">IFERROR(__xludf.DUMMYFUNCTION("""COMPUTED_VALUE"""),"Bihor")</f>
        <v>Bihor</v>
      </c>
      <c r="D1015" s="13">
        <f ca="1">IFERROR(__xludf.DUMMYFUNCTION("""COMPUTED_VALUE"""),44043)</f>
        <v>44043</v>
      </c>
      <c r="E1015" s="5" t="str">
        <f ca="1">IFERROR(__xludf.DUMMYFUNCTION("""COMPUTED_VALUE"""),"Nu")</f>
        <v>Nu</v>
      </c>
      <c r="F1015" s="5"/>
      <c r="G1015" s="5"/>
      <c r="H1015" s="6"/>
      <c r="I1015" s="5"/>
      <c r="J1015" s="5"/>
      <c r="K1015" s="7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1015" s="5"/>
      <c r="M1015" s="5"/>
      <c r="N1015" s="5"/>
      <c r="O1015" s="5"/>
      <c r="P1015" s="5"/>
      <c r="Q1015" s="5"/>
      <c r="R1015" s="5" t="str">
        <f ca="1">IFERROR(__xludf.DUMMYFUNCTION("""COMPUTED_VALUE"""),"România")</f>
        <v>România</v>
      </c>
      <c r="S1015" s="5" t="str">
        <f ca="1">IFERROR(__xludf.DUMMYFUNCTION("""COMPUTED_VALUE"""),"Octavian")</f>
        <v>Octavian</v>
      </c>
      <c r="T1015" s="7" t="str">
        <f ca="1">IFERROR(__xludf.DUMMYFUNCTION("""COMPUTED_VALUE"""),"http://www.ms.ro/2020/08/03/buletin-informativ-03-08-2020/")</f>
        <v>http://www.ms.ro/2020/08/03/buletin-informativ-03-08-2020/</v>
      </c>
      <c r="U1015" s="5"/>
      <c r="V1015" s="5"/>
      <c r="W1015" s="5"/>
      <c r="X1015" s="5"/>
      <c r="Y1015" s="5"/>
      <c r="Z1015" s="5"/>
      <c r="AA1015" s="5"/>
      <c r="AB1015" s="5"/>
      <c r="AC1015" s="5"/>
    </row>
    <row r="1016" spans="1:29" ht="12.5">
      <c r="A1016" s="5">
        <f ca="1">IFERROR(__xludf.DUMMYFUNCTION("""COMPUTED_VALUE"""),53385)</f>
        <v>53385</v>
      </c>
      <c r="B1016" s="5"/>
      <c r="C1016" s="5" t="str">
        <f ca="1">IFERROR(__xludf.DUMMYFUNCTION("""COMPUTED_VALUE"""),"Bihor")</f>
        <v>Bihor</v>
      </c>
      <c r="D1016" s="13">
        <f ca="1">IFERROR(__xludf.DUMMYFUNCTION("""COMPUTED_VALUE"""),44043)</f>
        <v>44043</v>
      </c>
      <c r="E1016" s="5" t="str">
        <f ca="1">IFERROR(__xludf.DUMMYFUNCTION("""COMPUTED_VALUE"""),"Nu")</f>
        <v>Nu</v>
      </c>
      <c r="F1016" s="5"/>
      <c r="G1016" s="5"/>
      <c r="H1016" s="6"/>
      <c r="I1016" s="5"/>
      <c r="J1016" s="5"/>
      <c r="K1016" s="7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1016" s="5"/>
      <c r="M1016" s="5"/>
      <c r="N1016" s="5"/>
      <c r="O1016" s="5"/>
      <c r="P1016" s="5"/>
      <c r="Q1016" s="5"/>
      <c r="R1016" s="5" t="str">
        <f ca="1">IFERROR(__xludf.DUMMYFUNCTION("""COMPUTED_VALUE"""),"România")</f>
        <v>România</v>
      </c>
      <c r="S1016" s="5" t="str">
        <f ca="1">IFERROR(__xludf.DUMMYFUNCTION("""COMPUTED_VALUE"""),"Octavian")</f>
        <v>Octavian</v>
      </c>
      <c r="T1016" s="7" t="str">
        <f ca="1">IFERROR(__xludf.DUMMYFUNCTION("""COMPUTED_VALUE"""),"http://www.ms.ro/2020/08/03/buletin-informativ-03-08-2020/")</f>
        <v>http://www.ms.ro/2020/08/03/buletin-informativ-03-08-2020/</v>
      </c>
      <c r="U1016" s="5"/>
      <c r="V1016" s="5"/>
      <c r="W1016" s="5"/>
      <c r="X1016" s="5"/>
      <c r="Y1016" s="5"/>
      <c r="Z1016" s="5"/>
      <c r="AA1016" s="5"/>
      <c r="AB1016" s="5"/>
      <c r="AC1016" s="5"/>
    </row>
    <row r="1017" spans="1:29" ht="12.5">
      <c r="A1017" s="5">
        <f ca="1">IFERROR(__xludf.DUMMYFUNCTION("""COMPUTED_VALUE"""),53386)</f>
        <v>53386</v>
      </c>
      <c r="B1017" s="5"/>
      <c r="C1017" s="5" t="str">
        <f ca="1">IFERROR(__xludf.DUMMYFUNCTION("""COMPUTED_VALUE"""),"Bihor")</f>
        <v>Bihor</v>
      </c>
      <c r="D1017" s="13">
        <f ca="1">IFERROR(__xludf.DUMMYFUNCTION("""COMPUTED_VALUE"""),44043)</f>
        <v>44043</v>
      </c>
      <c r="E1017" s="5" t="str">
        <f ca="1">IFERROR(__xludf.DUMMYFUNCTION("""COMPUTED_VALUE"""),"Nu")</f>
        <v>Nu</v>
      </c>
      <c r="F1017" s="5"/>
      <c r="G1017" s="5"/>
      <c r="H1017" s="6"/>
      <c r="I1017" s="5"/>
      <c r="J1017" s="5"/>
      <c r="K1017" s="7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1017" s="5"/>
      <c r="M1017" s="5"/>
      <c r="N1017" s="5"/>
      <c r="O1017" s="5"/>
      <c r="P1017" s="5"/>
      <c r="Q1017" s="5"/>
      <c r="R1017" s="5" t="str">
        <f ca="1">IFERROR(__xludf.DUMMYFUNCTION("""COMPUTED_VALUE"""),"România")</f>
        <v>România</v>
      </c>
      <c r="S1017" s="5" t="str">
        <f ca="1">IFERROR(__xludf.DUMMYFUNCTION("""COMPUTED_VALUE"""),"Octavian")</f>
        <v>Octavian</v>
      </c>
      <c r="T1017" s="7" t="str">
        <f ca="1">IFERROR(__xludf.DUMMYFUNCTION("""COMPUTED_VALUE"""),"http://www.ms.ro/2020/08/03/buletin-informativ-03-08-2020/")</f>
        <v>http://www.ms.ro/2020/08/03/buletin-informativ-03-08-2020/</v>
      </c>
      <c r="U1017" s="5"/>
      <c r="V1017" s="5"/>
      <c r="W1017" s="5"/>
      <c r="X1017" s="5"/>
      <c r="Y1017" s="5"/>
      <c r="Z1017" s="5"/>
      <c r="AA1017" s="5"/>
      <c r="AB1017" s="5"/>
      <c r="AC1017" s="5"/>
    </row>
    <row r="1018" spans="1:29" ht="12.5">
      <c r="A1018" s="5">
        <f ca="1">IFERROR(__xludf.DUMMYFUNCTION("""COMPUTED_VALUE"""),53387)</f>
        <v>53387</v>
      </c>
      <c r="B1018" s="5"/>
      <c r="C1018" s="5" t="str">
        <f ca="1">IFERROR(__xludf.DUMMYFUNCTION("""COMPUTED_VALUE"""),"Bihor")</f>
        <v>Bihor</v>
      </c>
      <c r="D1018" s="13">
        <f ca="1">IFERROR(__xludf.DUMMYFUNCTION("""COMPUTED_VALUE"""),44043)</f>
        <v>44043</v>
      </c>
      <c r="E1018" s="5" t="str">
        <f ca="1">IFERROR(__xludf.DUMMYFUNCTION("""COMPUTED_VALUE"""),"Nu")</f>
        <v>Nu</v>
      </c>
      <c r="F1018" s="5"/>
      <c r="G1018" s="5"/>
      <c r="H1018" s="6"/>
      <c r="I1018" s="5"/>
      <c r="J1018" s="5"/>
      <c r="K1018" s="7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1018" s="5"/>
      <c r="M1018" s="5"/>
      <c r="N1018" s="5"/>
      <c r="O1018" s="5"/>
      <c r="P1018" s="5"/>
      <c r="Q1018" s="5"/>
      <c r="R1018" s="5" t="str">
        <f ca="1">IFERROR(__xludf.DUMMYFUNCTION("""COMPUTED_VALUE"""),"România")</f>
        <v>România</v>
      </c>
      <c r="S1018" s="5" t="str">
        <f ca="1">IFERROR(__xludf.DUMMYFUNCTION("""COMPUTED_VALUE"""),"Octavian")</f>
        <v>Octavian</v>
      </c>
      <c r="T1018" s="7" t="str">
        <f ca="1">IFERROR(__xludf.DUMMYFUNCTION("""COMPUTED_VALUE"""),"http://www.ms.ro/2020/08/03/buletin-informativ-03-08-2020/")</f>
        <v>http://www.ms.ro/2020/08/03/buletin-informativ-03-08-2020/</v>
      </c>
      <c r="U1018" s="5"/>
      <c r="V1018" s="5"/>
      <c r="W1018" s="5"/>
      <c r="X1018" s="5"/>
      <c r="Y1018" s="5"/>
      <c r="Z1018" s="5"/>
      <c r="AA1018" s="5"/>
      <c r="AB1018" s="5"/>
      <c r="AC1018" s="5"/>
    </row>
    <row r="1019" spans="1:29" ht="12.5">
      <c r="A1019" s="5">
        <f ca="1">IFERROR(__xludf.DUMMYFUNCTION("""COMPUTED_VALUE"""),53388)</f>
        <v>53388</v>
      </c>
      <c r="B1019" s="5"/>
      <c r="C1019" s="5" t="str">
        <f ca="1">IFERROR(__xludf.DUMMYFUNCTION("""COMPUTED_VALUE"""),"Bihor")</f>
        <v>Bihor</v>
      </c>
      <c r="D1019" s="13">
        <f ca="1">IFERROR(__xludf.DUMMYFUNCTION("""COMPUTED_VALUE"""),44043)</f>
        <v>44043</v>
      </c>
      <c r="E1019" s="5" t="str">
        <f ca="1">IFERROR(__xludf.DUMMYFUNCTION("""COMPUTED_VALUE"""),"Nu")</f>
        <v>Nu</v>
      </c>
      <c r="F1019" s="5"/>
      <c r="G1019" s="5"/>
      <c r="H1019" s="6"/>
      <c r="I1019" s="5"/>
      <c r="J1019" s="5"/>
      <c r="K1019" s="7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1019" s="5"/>
      <c r="M1019" s="5"/>
      <c r="N1019" s="5"/>
      <c r="O1019" s="5"/>
      <c r="P1019" s="5"/>
      <c r="Q1019" s="5"/>
      <c r="R1019" s="5" t="str">
        <f ca="1">IFERROR(__xludf.DUMMYFUNCTION("""COMPUTED_VALUE"""),"România")</f>
        <v>România</v>
      </c>
      <c r="S1019" s="5" t="str">
        <f ca="1">IFERROR(__xludf.DUMMYFUNCTION("""COMPUTED_VALUE"""),"Octavian")</f>
        <v>Octavian</v>
      </c>
      <c r="T1019" s="7" t="str">
        <f ca="1">IFERROR(__xludf.DUMMYFUNCTION("""COMPUTED_VALUE"""),"http://www.ms.ro/2020/08/03/buletin-informativ-03-08-2020/")</f>
        <v>http://www.ms.ro/2020/08/03/buletin-informativ-03-08-2020/</v>
      </c>
      <c r="U1019" s="5"/>
      <c r="V1019" s="5"/>
      <c r="W1019" s="5"/>
      <c r="X1019" s="5"/>
      <c r="Y1019" s="5"/>
      <c r="Z1019" s="5"/>
      <c r="AA1019" s="5"/>
      <c r="AB1019" s="5"/>
      <c r="AC1019" s="5"/>
    </row>
    <row r="1020" spans="1:29" ht="12.5">
      <c r="A1020" s="5">
        <f ca="1">IFERROR(__xludf.DUMMYFUNCTION("""COMPUTED_VALUE"""),53389)</f>
        <v>53389</v>
      </c>
      <c r="B1020" s="5"/>
      <c r="C1020" s="5" t="str">
        <f ca="1">IFERROR(__xludf.DUMMYFUNCTION("""COMPUTED_VALUE"""),"Bihor")</f>
        <v>Bihor</v>
      </c>
      <c r="D1020" s="13">
        <f ca="1">IFERROR(__xludf.DUMMYFUNCTION("""COMPUTED_VALUE"""),44043)</f>
        <v>44043</v>
      </c>
      <c r="E1020" s="5" t="str">
        <f ca="1">IFERROR(__xludf.DUMMYFUNCTION("""COMPUTED_VALUE"""),"Nu")</f>
        <v>Nu</v>
      </c>
      <c r="F1020" s="5"/>
      <c r="G1020" s="5"/>
      <c r="H1020" s="6"/>
      <c r="I1020" s="5"/>
      <c r="J1020" s="5"/>
      <c r="K1020" s="7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1020" s="5"/>
      <c r="M1020" s="5"/>
      <c r="N1020" s="5"/>
      <c r="O1020" s="5"/>
      <c r="P1020" s="5"/>
      <c r="Q1020" s="5"/>
      <c r="R1020" s="5" t="str">
        <f ca="1">IFERROR(__xludf.DUMMYFUNCTION("""COMPUTED_VALUE"""),"România")</f>
        <v>România</v>
      </c>
      <c r="S1020" s="5" t="str">
        <f ca="1">IFERROR(__xludf.DUMMYFUNCTION("""COMPUTED_VALUE"""),"Octavian")</f>
        <v>Octavian</v>
      </c>
      <c r="T1020" s="7" t="str">
        <f ca="1">IFERROR(__xludf.DUMMYFUNCTION("""COMPUTED_VALUE"""),"http://www.ms.ro/2020/08/03/buletin-informativ-03-08-2020/")</f>
        <v>http://www.ms.ro/2020/08/03/buletin-informativ-03-08-2020/</v>
      </c>
      <c r="U1020" s="5"/>
      <c r="V1020" s="5"/>
      <c r="W1020" s="5"/>
      <c r="X1020" s="5"/>
      <c r="Y1020" s="5"/>
      <c r="Z1020" s="5"/>
      <c r="AA1020" s="5"/>
      <c r="AB1020" s="5"/>
      <c r="AC1020" s="5"/>
    </row>
    <row r="1021" spans="1:29" ht="12.5">
      <c r="A1021" s="5">
        <f ca="1">IFERROR(__xludf.DUMMYFUNCTION("""COMPUTED_VALUE"""),53390)</f>
        <v>53390</v>
      </c>
      <c r="B1021" s="5"/>
      <c r="C1021" s="5" t="str">
        <f ca="1">IFERROR(__xludf.DUMMYFUNCTION("""COMPUTED_VALUE"""),"Bihor")</f>
        <v>Bihor</v>
      </c>
      <c r="D1021" s="13">
        <f ca="1">IFERROR(__xludf.DUMMYFUNCTION("""COMPUTED_VALUE"""),44043)</f>
        <v>44043</v>
      </c>
      <c r="E1021" s="5" t="str">
        <f ca="1">IFERROR(__xludf.DUMMYFUNCTION("""COMPUTED_VALUE"""),"Nu")</f>
        <v>Nu</v>
      </c>
      <c r="F1021" s="5"/>
      <c r="G1021" s="5"/>
      <c r="H1021" s="6"/>
      <c r="I1021" s="5"/>
      <c r="J1021" s="5"/>
      <c r="K1021" s="7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1021" s="5"/>
      <c r="M1021" s="5"/>
      <c r="N1021" s="5"/>
      <c r="O1021" s="5"/>
      <c r="P1021" s="5"/>
      <c r="Q1021" s="5"/>
      <c r="R1021" s="5" t="str">
        <f ca="1">IFERROR(__xludf.DUMMYFUNCTION("""COMPUTED_VALUE"""),"România")</f>
        <v>România</v>
      </c>
      <c r="S1021" s="5" t="str">
        <f ca="1">IFERROR(__xludf.DUMMYFUNCTION("""COMPUTED_VALUE"""),"Octavian")</f>
        <v>Octavian</v>
      </c>
      <c r="T1021" s="7" t="str">
        <f ca="1">IFERROR(__xludf.DUMMYFUNCTION("""COMPUTED_VALUE"""),"http://www.ms.ro/2020/08/03/buletin-informativ-03-08-2020/")</f>
        <v>http://www.ms.ro/2020/08/03/buletin-informativ-03-08-2020/</v>
      </c>
      <c r="U1021" s="5"/>
      <c r="V1021" s="5"/>
      <c r="W1021" s="5"/>
      <c r="X1021" s="5"/>
      <c r="Y1021" s="5"/>
      <c r="Z1021" s="5"/>
      <c r="AA1021" s="5"/>
      <c r="AB1021" s="5"/>
      <c r="AC1021" s="5"/>
    </row>
    <row r="1022" spans="1:29" ht="12.5">
      <c r="A1022" s="5">
        <f ca="1">IFERROR(__xludf.DUMMYFUNCTION("""COMPUTED_VALUE"""),53391)</f>
        <v>53391</v>
      </c>
      <c r="B1022" s="5"/>
      <c r="C1022" s="5" t="str">
        <f ca="1">IFERROR(__xludf.DUMMYFUNCTION("""COMPUTED_VALUE"""),"Bihor")</f>
        <v>Bihor</v>
      </c>
      <c r="D1022" s="13">
        <f ca="1">IFERROR(__xludf.DUMMYFUNCTION("""COMPUTED_VALUE"""),44043)</f>
        <v>44043</v>
      </c>
      <c r="E1022" s="5" t="str">
        <f ca="1">IFERROR(__xludf.DUMMYFUNCTION("""COMPUTED_VALUE"""),"Nu")</f>
        <v>Nu</v>
      </c>
      <c r="F1022" s="5"/>
      <c r="G1022" s="5"/>
      <c r="H1022" s="6"/>
      <c r="I1022" s="5"/>
      <c r="J1022" s="5"/>
      <c r="K1022" s="7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1022" s="5"/>
      <c r="M1022" s="5"/>
      <c r="N1022" s="5"/>
      <c r="O1022" s="5"/>
      <c r="P1022" s="5"/>
      <c r="Q1022" s="5"/>
      <c r="R1022" s="5" t="str">
        <f ca="1">IFERROR(__xludf.DUMMYFUNCTION("""COMPUTED_VALUE"""),"România")</f>
        <v>România</v>
      </c>
      <c r="S1022" s="5" t="str">
        <f ca="1">IFERROR(__xludf.DUMMYFUNCTION("""COMPUTED_VALUE"""),"Octavian")</f>
        <v>Octavian</v>
      </c>
      <c r="T1022" s="7" t="str">
        <f ca="1">IFERROR(__xludf.DUMMYFUNCTION("""COMPUTED_VALUE"""),"http://www.ms.ro/2020/08/03/buletin-informativ-03-08-2020/")</f>
        <v>http://www.ms.ro/2020/08/03/buletin-informativ-03-08-2020/</v>
      </c>
      <c r="U1022" s="5"/>
      <c r="V1022" s="5"/>
      <c r="W1022" s="5"/>
      <c r="X1022" s="5"/>
      <c r="Y1022" s="5"/>
      <c r="Z1022" s="5"/>
      <c r="AA1022" s="5"/>
      <c r="AB1022" s="5"/>
      <c r="AC1022" s="5"/>
    </row>
    <row r="1023" spans="1:29" ht="12.5">
      <c r="A1023" s="5">
        <f ca="1">IFERROR(__xludf.DUMMYFUNCTION("""COMPUTED_VALUE"""),53392)</f>
        <v>53392</v>
      </c>
      <c r="B1023" s="5"/>
      <c r="C1023" s="5" t="str">
        <f ca="1">IFERROR(__xludf.DUMMYFUNCTION("""COMPUTED_VALUE"""),"Bihor")</f>
        <v>Bihor</v>
      </c>
      <c r="D1023" s="13">
        <f ca="1">IFERROR(__xludf.DUMMYFUNCTION("""COMPUTED_VALUE"""),44043)</f>
        <v>44043</v>
      </c>
      <c r="E1023" s="5" t="str">
        <f ca="1">IFERROR(__xludf.DUMMYFUNCTION("""COMPUTED_VALUE"""),"Nu")</f>
        <v>Nu</v>
      </c>
      <c r="F1023" s="5"/>
      <c r="G1023" s="5"/>
      <c r="H1023" s="6"/>
      <c r="I1023" s="5"/>
      <c r="J1023" s="5"/>
      <c r="K1023" s="7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1023" s="5"/>
      <c r="M1023" s="5"/>
      <c r="N1023" s="5"/>
      <c r="O1023" s="5"/>
      <c r="P1023" s="5"/>
      <c r="Q1023" s="5"/>
      <c r="R1023" s="5" t="str">
        <f ca="1">IFERROR(__xludf.DUMMYFUNCTION("""COMPUTED_VALUE"""),"România")</f>
        <v>România</v>
      </c>
      <c r="S1023" s="5" t="str">
        <f ca="1">IFERROR(__xludf.DUMMYFUNCTION("""COMPUTED_VALUE"""),"Octavian")</f>
        <v>Octavian</v>
      </c>
      <c r="T1023" s="7" t="str">
        <f ca="1">IFERROR(__xludf.DUMMYFUNCTION("""COMPUTED_VALUE"""),"http://www.ms.ro/2020/08/03/buletin-informativ-03-08-2020/")</f>
        <v>http://www.ms.ro/2020/08/03/buletin-informativ-03-08-2020/</v>
      </c>
      <c r="U1023" s="5"/>
      <c r="V1023" s="5"/>
      <c r="W1023" s="5"/>
      <c r="X1023" s="5"/>
      <c r="Y1023" s="5"/>
      <c r="Z1023" s="5"/>
      <c r="AA1023" s="5"/>
      <c r="AB1023" s="5"/>
      <c r="AC1023" s="5"/>
    </row>
    <row r="1024" spans="1:29" ht="12.5">
      <c r="A1024" s="5">
        <f ca="1">IFERROR(__xludf.DUMMYFUNCTION("""COMPUTED_VALUE"""),53393)</f>
        <v>53393</v>
      </c>
      <c r="B1024" s="5"/>
      <c r="C1024" s="5" t="str">
        <f ca="1">IFERROR(__xludf.DUMMYFUNCTION("""COMPUTED_VALUE"""),"Bihor")</f>
        <v>Bihor</v>
      </c>
      <c r="D1024" s="13">
        <f ca="1">IFERROR(__xludf.DUMMYFUNCTION("""COMPUTED_VALUE"""),44043)</f>
        <v>44043</v>
      </c>
      <c r="E1024" s="5" t="str">
        <f ca="1">IFERROR(__xludf.DUMMYFUNCTION("""COMPUTED_VALUE"""),"Nu")</f>
        <v>Nu</v>
      </c>
      <c r="F1024" s="5"/>
      <c r="G1024" s="5"/>
      <c r="H1024" s="6"/>
      <c r="I1024" s="5"/>
      <c r="J1024" s="5"/>
      <c r="K1024" s="7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1024" s="5"/>
      <c r="M1024" s="5"/>
      <c r="N1024" s="5"/>
      <c r="O1024" s="5"/>
      <c r="P1024" s="5"/>
      <c r="Q1024" s="5"/>
      <c r="R1024" s="5" t="str">
        <f ca="1">IFERROR(__xludf.DUMMYFUNCTION("""COMPUTED_VALUE"""),"România")</f>
        <v>România</v>
      </c>
      <c r="S1024" s="5" t="str">
        <f ca="1">IFERROR(__xludf.DUMMYFUNCTION("""COMPUTED_VALUE"""),"Octavian")</f>
        <v>Octavian</v>
      </c>
      <c r="T1024" s="7" t="str">
        <f ca="1">IFERROR(__xludf.DUMMYFUNCTION("""COMPUTED_VALUE"""),"http://www.ms.ro/2020/08/03/buletin-informativ-03-08-2020/")</f>
        <v>http://www.ms.ro/2020/08/03/buletin-informativ-03-08-2020/</v>
      </c>
      <c r="U1024" s="5"/>
      <c r="V1024" s="5"/>
      <c r="W1024" s="5"/>
      <c r="X1024" s="5"/>
      <c r="Y1024" s="5"/>
      <c r="Z1024" s="5"/>
      <c r="AA1024" s="5"/>
      <c r="AB1024" s="5"/>
      <c r="AC1024" s="5"/>
    </row>
    <row r="1025" spans="1:29" ht="12.5">
      <c r="A1025" s="5">
        <f ca="1">IFERROR(__xludf.DUMMYFUNCTION("""COMPUTED_VALUE"""),53394)</f>
        <v>53394</v>
      </c>
      <c r="B1025" s="5"/>
      <c r="C1025" s="5" t="str">
        <f ca="1">IFERROR(__xludf.DUMMYFUNCTION("""COMPUTED_VALUE"""),"Bihor")</f>
        <v>Bihor</v>
      </c>
      <c r="D1025" s="13">
        <f ca="1">IFERROR(__xludf.DUMMYFUNCTION("""COMPUTED_VALUE"""),44043)</f>
        <v>44043</v>
      </c>
      <c r="E1025" s="5" t="str">
        <f ca="1">IFERROR(__xludf.DUMMYFUNCTION("""COMPUTED_VALUE"""),"Nu")</f>
        <v>Nu</v>
      </c>
      <c r="F1025" s="5"/>
      <c r="G1025" s="5"/>
      <c r="H1025" s="6"/>
      <c r="I1025" s="5"/>
      <c r="J1025" s="5"/>
      <c r="K1025" s="7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1025" s="5"/>
      <c r="M1025" s="5"/>
      <c r="N1025" s="5"/>
      <c r="O1025" s="5"/>
      <c r="P1025" s="5"/>
      <c r="Q1025" s="5"/>
      <c r="R1025" s="5" t="str">
        <f ca="1">IFERROR(__xludf.DUMMYFUNCTION("""COMPUTED_VALUE"""),"România")</f>
        <v>România</v>
      </c>
      <c r="S1025" s="5" t="str">
        <f ca="1">IFERROR(__xludf.DUMMYFUNCTION("""COMPUTED_VALUE"""),"Octavian")</f>
        <v>Octavian</v>
      </c>
      <c r="T1025" s="7" t="str">
        <f ca="1">IFERROR(__xludf.DUMMYFUNCTION("""COMPUTED_VALUE"""),"http://www.ms.ro/2020/08/03/buletin-informativ-03-08-2020/")</f>
        <v>http://www.ms.ro/2020/08/03/buletin-informativ-03-08-2020/</v>
      </c>
      <c r="U1025" s="5"/>
      <c r="V1025" s="5"/>
      <c r="W1025" s="5"/>
      <c r="X1025" s="5"/>
      <c r="Y1025" s="5"/>
      <c r="Z1025" s="5"/>
      <c r="AA1025" s="5"/>
      <c r="AB1025" s="5"/>
      <c r="AC1025" s="5"/>
    </row>
    <row r="1026" spans="1:29" ht="12.5">
      <c r="A1026" s="5">
        <f ca="1">IFERROR(__xludf.DUMMYFUNCTION("""COMPUTED_VALUE"""),53395)</f>
        <v>53395</v>
      </c>
      <c r="B1026" s="5"/>
      <c r="C1026" s="5" t="str">
        <f ca="1">IFERROR(__xludf.DUMMYFUNCTION("""COMPUTED_VALUE"""),"Bihor")</f>
        <v>Bihor</v>
      </c>
      <c r="D1026" s="13">
        <f ca="1">IFERROR(__xludf.DUMMYFUNCTION("""COMPUTED_VALUE"""),44043)</f>
        <v>44043</v>
      </c>
      <c r="E1026" s="5" t="str">
        <f ca="1">IFERROR(__xludf.DUMMYFUNCTION("""COMPUTED_VALUE"""),"Nu")</f>
        <v>Nu</v>
      </c>
      <c r="F1026" s="5"/>
      <c r="G1026" s="5"/>
      <c r="H1026" s="6"/>
      <c r="I1026" s="5"/>
      <c r="J1026" s="5"/>
      <c r="K1026" s="7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1026" s="5"/>
      <c r="M1026" s="5"/>
      <c r="N1026" s="5"/>
      <c r="O1026" s="5"/>
      <c r="P1026" s="5"/>
      <c r="Q1026" s="5"/>
      <c r="R1026" s="5" t="str">
        <f ca="1">IFERROR(__xludf.DUMMYFUNCTION("""COMPUTED_VALUE"""),"România")</f>
        <v>România</v>
      </c>
      <c r="S1026" s="5" t="str">
        <f ca="1">IFERROR(__xludf.DUMMYFUNCTION("""COMPUTED_VALUE"""),"Octavian")</f>
        <v>Octavian</v>
      </c>
      <c r="T1026" s="7" t="str">
        <f ca="1">IFERROR(__xludf.DUMMYFUNCTION("""COMPUTED_VALUE"""),"http://www.ms.ro/2020/08/03/buletin-informativ-03-08-2020/")</f>
        <v>http://www.ms.ro/2020/08/03/buletin-informativ-03-08-2020/</v>
      </c>
      <c r="U1026" s="5"/>
      <c r="V1026" s="5"/>
      <c r="W1026" s="5"/>
      <c r="X1026" s="5"/>
      <c r="Y1026" s="5"/>
      <c r="Z1026" s="5"/>
      <c r="AA1026" s="5"/>
      <c r="AB1026" s="5"/>
      <c r="AC1026" s="5"/>
    </row>
    <row r="1027" spans="1:29" ht="12.5">
      <c r="A1027" s="5">
        <f ca="1">IFERROR(__xludf.DUMMYFUNCTION("""COMPUTED_VALUE"""),53396)</f>
        <v>53396</v>
      </c>
      <c r="B1027" s="5"/>
      <c r="C1027" s="5" t="str">
        <f ca="1">IFERROR(__xludf.DUMMYFUNCTION("""COMPUTED_VALUE"""),"Bihor")</f>
        <v>Bihor</v>
      </c>
      <c r="D1027" s="13">
        <f ca="1">IFERROR(__xludf.DUMMYFUNCTION("""COMPUTED_VALUE"""),44043)</f>
        <v>44043</v>
      </c>
      <c r="E1027" s="5" t="str">
        <f ca="1">IFERROR(__xludf.DUMMYFUNCTION("""COMPUTED_VALUE"""),"Nu")</f>
        <v>Nu</v>
      </c>
      <c r="F1027" s="5"/>
      <c r="G1027" s="5"/>
      <c r="H1027" s="6"/>
      <c r="I1027" s="5"/>
      <c r="J1027" s="5"/>
      <c r="K1027" s="7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1027" s="5"/>
      <c r="M1027" s="5"/>
      <c r="N1027" s="5"/>
      <c r="O1027" s="5"/>
      <c r="P1027" s="5"/>
      <c r="Q1027" s="5"/>
      <c r="R1027" s="5" t="str">
        <f ca="1">IFERROR(__xludf.DUMMYFUNCTION("""COMPUTED_VALUE"""),"România")</f>
        <v>România</v>
      </c>
      <c r="S1027" s="5" t="str">
        <f ca="1">IFERROR(__xludf.DUMMYFUNCTION("""COMPUTED_VALUE"""),"Octavian")</f>
        <v>Octavian</v>
      </c>
      <c r="T1027" s="7" t="str">
        <f ca="1">IFERROR(__xludf.DUMMYFUNCTION("""COMPUTED_VALUE"""),"http://www.ms.ro/2020/08/03/buletin-informativ-03-08-2020/")</f>
        <v>http://www.ms.ro/2020/08/03/buletin-informativ-03-08-2020/</v>
      </c>
      <c r="U1027" s="5"/>
      <c r="V1027" s="5"/>
      <c r="W1027" s="5"/>
      <c r="X1027" s="5"/>
      <c r="Y1027" s="5"/>
      <c r="Z1027" s="5"/>
      <c r="AA1027" s="5"/>
      <c r="AB1027" s="5"/>
      <c r="AC1027" s="5"/>
    </row>
    <row r="1028" spans="1:29" ht="12.5">
      <c r="A1028" s="5">
        <f ca="1">IFERROR(__xludf.DUMMYFUNCTION("""COMPUTED_VALUE"""),53397)</f>
        <v>53397</v>
      </c>
      <c r="B1028" s="5"/>
      <c r="C1028" s="5" t="str">
        <f ca="1">IFERROR(__xludf.DUMMYFUNCTION("""COMPUTED_VALUE"""),"Bihor")</f>
        <v>Bihor</v>
      </c>
      <c r="D1028" s="13">
        <f ca="1">IFERROR(__xludf.DUMMYFUNCTION("""COMPUTED_VALUE"""),44043)</f>
        <v>44043</v>
      </c>
      <c r="E1028" s="5" t="str">
        <f ca="1">IFERROR(__xludf.DUMMYFUNCTION("""COMPUTED_VALUE"""),"Nu")</f>
        <v>Nu</v>
      </c>
      <c r="F1028" s="5"/>
      <c r="G1028" s="5"/>
      <c r="H1028" s="6"/>
      <c r="I1028" s="5"/>
      <c r="J1028" s="5"/>
      <c r="K1028" s="7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1028" s="5"/>
      <c r="M1028" s="5"/>
      <c r="N1028" s="5"/>
      <c r="O1028" s="5"/>
      <c r="P1028" s="5"/>
      <c r="Q1028" s="5"/>
      <c r="R1028" s="5" t="str">
        <f ca="1">IFERROR(__xludf.DUMMYFUNCTION("""COMPUTED_VALUE"""),"România")</f>
        <v>România</v>
      </c>
      <c r="S1028" s="5" t="str">
        <f ca="1">IFERROR(__xludf.DUMMYFUNCTION("""COMPUTED_VALUE"""),"Octavian")</f>
        <v>Octavian</v>
      </c>
      <c r="T1028" s="7" t="str">
        <f ca="1">IFERROR(__xludf.DUMMYFUNCTION("""COMPUTED_VALUE"""),"http://www.ms.ro/2020/08/03/buletin-informativ-03-08-2020/")</f>
        <v>http://www.ms.ro/2020/08/03/buletin-informativ-03-08-2020/</v>
      </c>
      <c r="U1028" s="5"/>
      <c r="V1028" s="5"/>
      <c r="W1028" s="5"/>
      <c r="X1028" s="5"/>
      <c r="Y1028" s="5"/>
      <c r="Z1028" s="5"/>
      <c r="AA1028" s="5"/>
      <c r="AB1028" s="5"/>
      <c r="AC1028" s="5"/>
    </row>
    <row r="1029" spans="1:29" ht="12.5">
      <c r="A1029" s="5">
        <f ca="1">IFERROR(__xludf.DUMMYFUNCTION("""COMPUTED_VALUE"""),53398)</f>
        <v>53398</v>
      </c>
      <c r="B1029" s="5"/>
      <c r="C1029" s="5" t="str">
        <f ca="1">IFERROR(__xludf.DUMMYFUNCTION("""COMPUTED_VALUE"""),"Bihor")</f>
        <v>Bihor</v>
      </c>
      <c r="D1029" s="13">
        <f ca="1">IFERROR(__xludf.DUMMYFUNCTION("""COMPUTED_VALUE"""),44043)</f>
        <v>44043</v>
      </c>
      <c r="E1029" s="5" t="str">
        <f ca="1">IFERROR(__xludf.DUMMYFUNCTION("""COMPUTED_VALUE"""),"Nu")</f>
        <v>Nu</v>
      </c>
      <c r="F1029" s="5"/>
      <c r="G1029" s="5"/>
      <c r="H1029" s="6"/>
      <c r="I1029" s="5"/>
      <c r="J1029" s="5"/>
      <c r="K1029" s="7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1029" s="5"/>
      <c r="M1029" s="5"/>
      <c r="N1029" s="5"/>
      <c r="O1029" s="5"/>
      <c r="P1029" s="5"/>
      <c r="Q1029" s="5"/>
      <c r="R1029" s="5" t="str">
        <f ca="1">IFERROR(__xludf.DUMMYFUNCTION("""COMPUTED_VALUE"""),"România")</f>
        <v>România</v>
      </c>
      <c r="S1029" s="5" t="str">
        <f ca="1">IFERROR(__xludf.DUMMYFUNCTION("""COMPUTED_VALUE"""),"Octavian")</f>
        <v>Octavian</v>
      </c>
      <c r="T1029" s="7" t="str">
        <f ca="1">IFERROR(__xludf.DUMMYFUNCTION("""COMPUTED_VALUE"""),"http://www.ms.ro/2020/08/03/buletin-informativ-03-08-2020/")</f>
        <v>http://www.ms.ro/2020/08/03/buletin-informativ-03-08-2020/</v>
      </c>
      <c r="U1029" s="5"/>
      <c r="V1029" s="5"/>
      <c r="W1029" s="5"/>
      <c r="X1029" s="5"/>
      <c r="Y1029" s="5"/>
      <c r="Z1029" s="5"/>
      <c r="AA1029" s="5"/>
      <c r="AB1029" s="5"/>
      <c r="AC1029" s="5"/>
    </row>
    <row r="1030" spans="1:29" ht="12.5">
      <c r="A1030" s="5">
        <f ca="1">IFERROR(__xludf.DUMMYFUNCTION("""COMPUTED_VALUE"""),53399)</f>
        <v>53399</v>
      </c>
      <c r="B1030" s="5"/>
      <c r="C1030" s="5" t="str">
        <f ca="1">IFERROR(__xludf.DUMMYFUNCTION("""COMPUTED_VALUE"""),"Bihor")</f>
        <v>Bihor</v>
      </c>
      <c r="D1030" s="13">
        <f ca="1">IFERROR(__xludf.DUMMYFUNCTION("""COMPUTED_VALUE"""),44043)</f>
        <v>44043</v>
      </c>
      <c r="E1030" s="5" t="str">
        <f ca="1">IFERROR(__xludf.DUMMYFUNCTION("""COMPUTED_VALUE"""),"Nu")</f>
        <v>Nu</v>
      </c>
      <c r="F1030" s="5"/>
      <c r="G1030" s="5"/>
      <c r="H1030" s="6"/>
      <c r="I1030" s="5"/>
      <c r="J1030" s="5"/>
      <c r="K1030" s="7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1030" s="5"/>
      <c r="M1030" s="5"/>
      <c r="N1030" s="5"/>
      <c r="O1030" s="5"/>
      <c r="P1030" s="5"/>
      <c r="Q1030" s="5"/>
      <c r="R1030" s="5" t="str">
        <f ca="1">IFERROR(__xludf.DUMMYFUNCTION("""COMPUTED_VALUE"""),"România")</f>
        <v>România</v>
      </c>
      <c r="S1030" s="5" t="str">
        <f ca="1">IFERROR(__xludf.DUMMYFUNCTION("""COMPUTED_VALUE"""),"Octavian")</f>
        <v>Octavian</v>
      </c>
      <c r="T1030" s="7" t="str">
        <f ca="1">IFERROR(__xludf.DUMMYFUNCTION("""COMPUTED_VALUE"""),"http://www.ms.ro/2020/08/03/buletin-informativ-03-08-2020/")</f>
        <v>http://www.ms.ro/2020/08/03/buletin-informativ-03-08-2020/</v>
      </c>
      <c r="U1030" s="5"/>
      <c r="V1030" s="5"/>
      <c r="W1030" s="5"/>
      <c r="X1030" s="5"/>
      <c r="Y1030" s="5"/>
      <c r="Z1030" s="5"/>
      <c r="AA1030" s="5"/>
      <c r="AB1030" s="5"/>
      <c r="AC1030" s="5"/>
    </row>
    <row r="1031" spans="1:29" ht="12.5">
      <c r="A1031" s="5">
        <f ca="1">IFERROR(__xludf.DUMMYFUNCTION("""COMPUTED_VALUE"""),53400)</f>
        <v>53400</v>
      </c>
      <c r="B1031" s="5"/>
      <c r="C1031" s="5" t="str">
        <f ca="1">IFERROR(__xludf.DUMMYFUNCTION("""COMPUTED_VALUE"""),"Bihor")</f>
        <v>Bihor</v>
      </c>
      <c r="D1031" s="13">
        <f ca="1">IFERROR(__xludf.DUMMYFUNCTION("""COMPUTED_VALUE"""),44043)</f>
        <v>44043</v>
      </c>
      <c r="E1031" s="5" t="str">
        <f ca="1">IFERROR(__xludf.DUMMYFUNCTION("""COMPUTED_VALUE"""),"Nu")</f>
        <v>Nu</v>
      </c>
      <c r="F1031" s="5"/>
      <c r="G1031" s="5"/>
      <c r="H1031" s="6"/>
      <c r="I1031" s="5"/>
      <c r="J1031" s="5"/>
      <c r="K1031" s="7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1031" s="5"/>
      <c r="M1031" s="5"/>
      <c r="N1031" s="5"/>
      <c r="O1031" s="5"/>
      <c r="P1031" s="5"/>
      <c r="Q1031" s="5"/>
      <c r="R1031" s="5" t="str">
        <f ca="1">IFERROR(__xludf.DUMMYFUNCTION("""COMPUTED_VALUE"""),"România")</f>
        <v>România</v>
      </c>
      <c r="S1031" s="5" t="str">
        <f ca="1">IFERROR(__xludf.DUMMYFUNCTION("""COMPUTED_VALUE"""),"Octavian")</f>
        <v>Octavian</v>
      </c>
      <c r="T1031" s="7" t="str">
        <f ca="1">IFERROR(__xludf.DUMMYFUNCTION("""COMPUTED_VALUE"""),"http://www.ms.ro/2020/08/03/buletin-informativ-03-08-2020/")</f>
        <v>http://www.ms.ro/2020/08/03/buletin-informativ-03-08-2020/</v>
      </c>
      <c r="U1031" s="5"/>
      <c r="V1031" s="5"/>
      <c r="W1031" s="5"/>
      <c r="X1031" s="5"/>
      <c r="Y1031" s="5"/>
      <c r="Z1031" s="5"/>
      <c r="AA1031" s="5"/>
      <c r="AB1031" s="5"/>
      <c r="AC1031" s="5"/>
    </row>
    <row r="1032" spans="1:29" ht="12.5">
      <c r="A1032" s="5">
        <f ca="1">IFERROR(__xludf.DUMMYFUNCTION("""COMPUTED_VALUE"""),53401)</f>
        <v>53401</v>
      </c>
      <c r="B1032" s="5"/>
      <c r="C1032" s="5" t="str">
        <f ca="1">IFERROR(__xludf.DUMMYFUNCTION("""COMPUTED_VALUE"""),"Bihor")</f>
        <v>Bihor</v>
      </c>
      <c r="D1032" s="13">
        <f ca="1">IFERROR(__xludf.DUMMYFUNCTION("""COMPUTED_VALUE"""),44043)</f>
        <v>44043</v>
      </c>
      <c r="E1032" s="5" t="str">
        <f ca="1">IFERROR(__xludf.DUMMYFUNCTION("""COMPUTED_VALUE"""),"Nu")</f>
        <v>Nu</v>
      </c>
      <c r="F1032" s="5"/>
      <c r="G1032" s="5"/>
      <c r="H1032" s="6"/>
      <c r="I1032" s="5"/>
      <c r="J1032" s="5"/>
      <c r="K1032" s="7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1032" s="5"/>
      <c r="M1032" s="5"/>
      <c r="N1032" s="5"/>
      <c r="O1032" s="5"/>
      <c r="P1032" s="5"/>
      <c r="Q1032" s="5"/>
      <c r="R1032" s="5" t="str">
        <f ca="1">IFERROR(__xludf.DUMMYFUNCTION("""COMPUTED_VALUE"""),"România")</f>
        <v>România</v>
      </c>
      <c r="S1032" s="5" t="str">
        <f ca="1">IFERROR(__xludf.DUMMYFUNCTION("""COMPUTED_VALUE"""),"Octavian")</f>
        <v>Octavian</v>
      </c>
      <c r="T1032" s="7" t="str">
        <f ca="1">IFERROR(__xludf.DUMMYFUNCTION("""COMPUTED_VALUE"""),"http://www.ms.ro/2020/08/03/buletin-informativ-03-08-2020/")</f>
        <v>http://www.ms.ro/2020/08/03/buletin-informativ-03-08-2020/</v>
      </c>
      <c r="U1032" s="5"/>
      <c r="V1032" s="5"/>
      <c r="W1032" s="5"/>
      <c r="X1032" s="5"/>
      <c r="Y1032" s="5"/>
      <c r="Z1032" s="5"/>
      <c r="AA1032" s="5"/>
      <c r="AB1032" s="5"/>
      <c r="AC1032" s="5"/>
    </row>
    <row r="1033" spans="1:29" ht="12.5">
      <c r="A1033" s="5">
        <f ca="1">IFERROR(__xludf.DUMMYFUNCTION("""COMPUTED_VALUE"""),53402)</f>
        <v>53402</v>
      </c>
      <c r="B1033" s="5"/>
      <c r="C1033" s="5" t="str">
        <f ca="1">IFERROR(__xludf.DUMMYFUNCTION("""COMPUTED_VALUE"""),"Bihor")</f>
        <v>Bihor</v>
      </c>
      <c r="D1033" s="13">
        <f ca="1">IFERROR(__xludf.DUMMYFUNCTION("""COMPUTED_VALUE"""),44043)</f>
        <v>44043</v>
      </c>
      <c r="E1033" s="5" t="str">
        <f ca="1">IFERROR(__xludf.DUMMYFUNCTION("""COMPUTED_VALUE"""),"Nu")</f>
        <v>Nu</v>
      </c>
      <c r="F1033" s="5"/>
      <c r="G1033" s="5"/>
      <c r="H1033" s="6"/>
      <c r="I1033" s="5"/>
      <c r="J1033" s="5"/>
      <c r="K1033" s="7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1033" s="5"/>
      <c r="M1033" s="5"/>
      <c r="N1033" s="5"/>
      <c r="O1033" s="5"/>
      <c r="P1033" s="5"/>
      <c r="Q1033" s="5"/>
      <c r="R1033" s="5" t="str">
        <f ca="1">IFERROR(__xludf.DUMMYFUNCTION("""COMPUTED_VALUE"""),"România")</f>
        <v>România</v>
      </c>
      <c r="S1033" s="5" t="str">
        <f ca="1">IFERROR(__xludf.DUMMYFUNCTION("""COMPUTED_VALUE"""),"Octavian")</f>
        <v>Octavian</v>
      </c>
      <c r="T1033" s="7" t="str">
        <f ca="1">IFERROR(__xludf.DUMMYFUNCTION("""COMPUTED_VALUE"""),"http://www.ms.ro/2020/08/03/buletin-informativ-03-08-2020/")</f>
        <v>http://www.ms.ro/2020/08/03/buletin-informativ-03-08-2020/</v>
      </c>
      <c r="U1033" s="5"/>
      <c r="V1033" s="5"/>
      <c r="W1033" s="5"/>
      <c r="X1033" s="5"/>
      <c r="Y1033" s="5"/>
      <c r="Z1033" s="5"/>
      <c r="AA1033" s="5"/>
      <c r="AB1033" s="5"/>
      <c r="AC1033" s="5"/>
    </row>
    <row r="1034" spans="1:29" ht="12.5">
      <c r="A1034" s="5">
        <f ca="1">IFERROR(__xludf.DUMMYFUNCTION("""COMPUTED_VALUE"""),54199)</f>
        <v>54199</v>
      </c>
      <c r="B1034" s="5"/>
      <c r="C1034" s="5" t="str">
        <f ca="1">IFERROR(__xludf.DUMMYFUNCTION("""COMPUTED_VALUE"""),"Bihor")</f>
        <v>Bihor</v>
      </c>
      <c r="D1034" s="13">
        <f ca="1">IFERROR(__xludf.DUMMYFUNCTION("""COMPUTED_VALUE"""),44047)</f>
        <v>44047</v>
      </c>
      <c r="E1034" s="5" t="str">
        <f ca="1">IFERROR(__xludf.DUMMYFUNCTION("""COMPUTED_VALUE"""),"Nu")</f>
        <v>Nu</v>
      </c>
      <c r="F1034" s="5"/>
      <c r="G1034" s="5"/>
      <c r="H1034" s="6"/>
      <c r="I1034" s="5"/>
      <c r="J1034" s="5"/>
      <c r="K1034" s="7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1034" s="5"/>
      <c r="M1034" s="5"/>
      <c r="N1034" s="5"/>
      <c r="O1034" s="5"/>
      <c r="P1034" s="5"/>
      <c r="Q1034" s="5"/>
      <c r="R1034" s="5" t="str">
        <f ca="1">IFERROR(__xludf.DUMMYFUNCTION("""COMPUTED_VALUE"""),"România")</f>
        <v>România</v>
      </c>
      <c r="S1034" s="5" t="str">
        <f ca="1">IFERROR(__xludf.DUMMYFUNCTION("""COMPUTED_VALUE"""),"Octavian")</f>
        <v>Octavian</v>
      </c>
      <c r="T1034" s="7" t="str">
        <f ca="1">IFERROR(__xludf.DUMMYFUNCTION("""COMPUTED_VALUE"""),"http://www.ms.ro/2020/08/04/buletin-informativ-04-08-2020/")</f>
        <v>http://www.ms.ro/2020/08/04/buletin-informativ-04-08-2020/</v>
      </c>
      <c r="U1034" s="5"/>
      <c r="V1034" s="5"/>
      <c r="W1034" s="5"/>
      <c r="X1034" s="5"/>
      <c r="Y1034" s="5"/>
      <c r="Z1034" s="5"/>
      <c r="AA1034" s="5"/>
      <c r="AB1034" s="5"/>
      <c r="AC1034" s="5"/>
    </row>
    <row r="1035" spans="1:29" ht="12.5">
      <c r="A1035" s="5">
        <f ca="1">IFERROR(__xludf.DUMMYFUNCTION("""COMPUTED_VALUE"""),54200)</f>
        <v>54200</v>
      </c>
      <c r="B1035" s="5"/>
      <c r="C1035" s="5" t="str">
        <f ca="1">IFERROR(__xludf.DUMMYFUNCTION("""COMPUTED_VALUE"""),"Bihor")</f>
        <v>Bihor</v>
      </c>
      <c r="D1035" s="13">
        <f ca="1">IFERROR(__xludf.DUMMYFUNCTION("""COMPUTED_VALUE"""),44047)</f>
        <v>44047</v>
      </c>
      <c r="E1035" s="5" t="str">
        <f ca="1">IFERROR(__xludf.DUMMYFUNCTION("""COMPUTED_VALUE"""),"Nu")</f>
        <v>Nu</v>
      </c>
      <c r="F1035" s="5"/>
      <c r="G1035" s="5"/>
      <c r="H1035" s="6"/>
      <c r="I1035" s="5"/>
      <c r="J1035" s="5"/>
      <c r="K1035" s="7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1035" s="5"/>
      <c r="M1035" s="5"/>
      <c r="N1035" s="5"/>
      <c r="O1035" s="5"/>
      <c r="P1035" s="5"/>
      <c r="Q1035" s="5"/>
      <c r="R1035" s="5" t="str">
        <f ca="1">IFERROR(__xludf.DUMMYFUNCTION("""COMPUTED_VALUE"""),"România")</f>
        <v>România</v>
      </c>
      <c r="S1035" s="5" t="str">
        <f ca="1">IFERROR(__xludf.DUMMYFUNCTION("""COMPUTED_VALUE"""),"Octavian")</f>
        <v>Octavian</v>
      </c>
      <c r="T1035" s="7" t="str">
        <f ca="1">IFERROR(__xludf.DUMMYFUNCTION("""COMPUTED_VALUE"""),"http://www.ms.ro/2020/08/04/buletin-informativ-04-08-2020/")</f>
        <v>http://www.ms.ro/2020/08/04/buletin-informativ-04-08-2020/</v>
      </c>
      <c r="U1035" s="5"/>
      <c r="V1035" s="5"/>
      <c r="W1035" s="5"/>
      <c r="X1035" s="5"/>
      <c r="Y1035" s="5"/>
      <c r="Z1035" s="5"/>
      <c r="AA1035" s="5"/>
      <c r="AB1035" s="5"/>
      <c r="AC1035" s="5"/>
    </row>
    <row r="1036" spans="1:29" ht="12.5">
      <c r="A1036" s="5">
        <f ca="1">IFERROR(__xludf.DUMMYFUNCTION("""COMPUTED_VALUE"""),54201)</f>
        <v>54201</v>
      </c>
      <c r="B1036" s="5"/>
      <c r="C1036" s="5" t="str">
        <f ca="1">IFERROR(__xludf.DUMMYFUNCTION("""COMPUTED_VALUE"""),"Bihor")</f>
        <v>Bihor</v>
      </c>
      <c r="D1036" s="13">
        <f ca="1">IFERROR(__xludf.DUMMYFUNCTION("""COMPUTED_VALUE"""),44047)</f>
        <v>44047</v>
      </c>
      <c r="E1036" s="5" t="str">
        <f ca="1">IFERROR(__xludf.DUMMYFUNCTION("""COMPUTED_VALUE"""),"Nu")</f>
        <v>Nu</v>
      </c>
      <c r="F1036" s="5"/>
      <c r="G1036" s="5"/>
      <c r="H1036" s="6"/>
      <c r="I1036" s="5"/>
      <c r="J1036" s="5"/>
      <c r="K1036" s="7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1036" s="5"/>
      <c r="M1036" s="5"/>
      <c r="N1036" s="5"/>
      <c r="O1036" s="5"/>
      <c r="P1036" s="5"/>
      <c r="Q1036" s="5"/>
      <c r="R1036" s="5" t="str">
        <f ca="1">IFERROR(__xludf.DUMMYFUNCTION("""COMPUTED_VALUE"""),"România")</f>
        <v>România</v>
      </c>
      <c r="S1036" s="5" t="str">
        <f ca="1">IFERROR(__xludf.DUMMYFUNCTION("""COMPUTED_VALUE"""),"Octavian")</f>
        <v>Octavian</v>
      </c>
      <c r="T1036" s="7" t="str">
        <f ca="1">IFERROR(__xludf.DUMMYFUNCTION("""COMPUTED_VALUE"""),"http://www.ms.ro/2020/08/04/buletin-informativ-04-08-2020/")</f>
        <v>http://www.ms.ro/2020/08/04/buletin-informativ-04-08-2020/</v>
      </c>
      <c r="U1036" s="5"/>
      <c r="V1036" s="5"/>
      <c r="W1036" s="5"/>
      <c r="X1036" s="5"/>
      <c r="Y1036" s="5"/>
      <c r="Z1036" s="5"/>
      <c r="AA1036" s="5"/>
      <c r="AB1036" s="5"/>
      <c r="AC1036" s="5"/>
    </row>
    <row r="1037" spans="1:29" ht="12.5">
      <c r="A1037" s="5">
        <f ca="1">IFERROR(__xludf.DUMMYFUNCTION("""COMPUTED_VALUE"""),54202)</f>
        <v>54202</v>
      </c>
      <c r="B1037" s="5"/>
      <c r="C1037" s="5" t="str">
        <f ca="1">IFERROR(__xludf.DUMMYFUNCTION("""COMPUTED_VALUE"""),"Bihor")</f>
        <v>Bihor</v>
      </c>
      <c r="D1037" s="13">
        <f ca="1">IFERROR(__xludf.DUMMYFUNCTION("""COMPUTED_VALUE"""),44047)</f>
        <v>44047</v>
      </c>
      <c r="E1037" s="5" t="str">
        <f ca="1">IFERROR(__xludf.DUMMYFUNCTION("""COMPUTED_VALUE"""),"Nu")</f>
        <v>Nu</v>
      </c>
      <c r="F1037" s="5"/>
      <c r="G1037" s="5"/>
      <c r="H1037" s="6"/>
      <c r="I1037" s="5"/>
      <c r="J1037" s="5"/>
      <c r="K1037" s="7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1037" s="5"/>
      <c r="M1037" s="5"/>
      <c r="N1037" s="5"/>
      <c r="O1037" s="5"/>
      <c r="P1037" s="5"/>
      <c r="Q1037" s="5"/>
      <c r="R1037" s="5" t="str">
        <f ca="1">IFERROR(__xludf.DUMMYFUNCTION("""COMPUTED_VALUE"""),"România")</f>
        <v>România</v>
      </c>
      <c r="S1037" s="5" t="str">
        <f ca="1">IFERROR(__xludf.DUMMYFUNCTION("""COMPUTED_VALUE"""),"Octavian")</f>
        <v>Octavian</v>
      </c>
      <c r="T1037" s="7" t="str">
        <f ca="1">IFERROR(__xludf.DUMMYFUNCTION("""COMPUTED_VALUE"""),"http://www.ms.ro/2020/08/04/buletin-informativ-04-08-2020/")</f>
        <v>http://www.ms.ro/2020/08/04/buletin-informativ-04-08-2020/</v>
      </c>
      <c r="U1037" s="5"/>
      <c r="V1037" s="5"/>
      <c r="W1037" s="5"/>
      <c r="X1037" s="5"/>
      <c r="Y1037" s="5"/>
      <c r="Z1037" s="5"/>
      <c r="AA1037" s="5"/>
      <c r="AB1037" s="5"/>
      <c r="AC1037" s="5"/>
    </row>
    <row r="1038" spans="1:29" ht="12.5">
      <c r="A1038" s="5">
        <f ca="1">IFERROR(__xludf.DUMMYFUNCTION("""COMPUTED_VALUE"""),54203)</f>
        <v>54203</v>
      </c>
      <c r="B1038" s="5"/>
      <c r="C1038" s="5" t="str">
        <f ca="1">IFERROR(__xludf.DUMMYFUNCTION("""COMPUTED_VALUE"""),"Bihor")</f>
        <v>Bihor</v>
      </c>
      <c r="D1038" s="13">
        <f ca="1">IFERROR(__xludf.DUMMYFUNCTION("""COMPUTED_VALUE"""),44047)</f>
        <v>44047</v>
      </c>
      <c r="E1038" s="5" t="str">
        <f ca="1">IFERROR(__xludf.DUMMYFUNCTION("""COMPUTED_VALUE"""),"Nu")</f>
        <v>Nu</v>
      </c>
      <c r="F1038" s="5"/>
      <c r="G1038" s="5"/>
      <c r="H1038" s="6"/>
      <c r="I1038" s="5"/>
      <c r="J1038" s="5"/>
      <c r="K1038" s="7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1038" s="5"/>
      <c r="M1038" s="5"/>
      <c r="N1038" s="5"/>
      <c r="O1038" s="5"/>
      <c r="P1038" s="5"/>
      <c r="Q1038" s="5"/>
      <c r="R1038" s="5" t="str">
        <f ca="1">IFERROR(__xludf.DUMMYFUNCTION("""COMPUTED_VALUE"""),"România")</f>
        <v>România</v>
      </c>
      <c r="S1038" s="5" t="str">
        <f ca="1">IFERROR(__xludf.DUMMYFUNCTION("""COMPUTED_VALUE"""),"Octavian")</f>
        <v>Octavian</v>
      </c>
      <c r="T1038" s="7" t="str">
        <f ca="1">IFERROR(__xludf.DUMMYFUNCTION("""COMPUTED_VALUE"""),"http://www.ms.ro/2020/08/04/buletin-informativ-04-08-2020/")</f>
        <v>http://www.ms.ro/2020/08/04/buletin-informativ-04-08-2020/</v>
      </c>
      <c r="U1038" s="5"/>
      <c r="V1038" s="5"/>
      <c r="W1038" s="5"/>
      <c r="X1038" s="5"/>
      <c r="Y1038" s="5"/>
      <c r="Z1038" s="5"/>
      <c r="AA1038" s="5"/>
      <c r="AB1038" s="5"/>
      <c r="AC1038" s="5"/>
    </row>
    <row r="1039" spans="1:29" ht="12.5">
      <c r="A1039" s="5">
        <f ca="1">IFERROR(__xludf.DUMMYFUNCTION("""COMPUTED_VALUE"""),54204)</f>
        <v>54204</v>
      </c>
      <c r="B1039" s="5"/>
      <c r="C1039" s="5" t="str">
        <f ca="1">IFERROR(__xludf.DUMMYFUNCTION("""COMPUTED_VALUE"""),"Bihor")</f>
        <v>Bihor</v>
      </c>
      <c r="D1039" s="13">
        <f ca="1">IFERROR(__xludf.DUMMYFUNCTION("""COMPUTED_VALUE"""),44047)</f>
        <v>44047</v>
      </c>
      <c r="E1039" s="5" t="str">
        <f ca="1">IFERROR(__xludf.DUMMYFUNCTION("""COMPUTED_VALUE"""),"Nu")</f>
        <v>Nu</v>
      </c>
      <c r="F1039" s="5"/>
      <c r="G1039" s="5"/>
      <c r="H1039" s="6"/>
      <c r="I1039" s="5"/>
      <c r="J1039" s="5"/>
      <c r="K1039" s="7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1039" s="5"/>
      <c r="M1039" s="5"/>
      <c r="N1039" s="5"/>
      <c r="O1039" s="5"/>
      <c r="P1039" s="5"/>
      <c r="Q1039" s="5"/>
      <c r="R1039" s="5" t="str">
        <f ca="1">IFERROR(__xludf.DUMMYFUNCTION("""COMPUTED_VALUE"""),"România")</f>
        <v>România</v>
      </c>
      <c r="S1039" s="5" t="str">
        <f ca="1">IFERROR(__xludf.DUMMYFUNCTION("""COMPUTED_VALUE"""),"Octavian")</f>
        <v>Octavian</v>
      </c>
      <c r="T1039" s="7" t="str">
        <f ca="1">IFERROR(__xludf.DUMMYFUNCTION("""COMPUTED_VALUE"""),"http://www.ms.ro/2020/08/04/buletin-informativ-04-08-2020/")</f>
        <v>http://www.ms.ro/2020/08/04/buletin-informativ-04-08-2020/</v>
      </c>
      <c r="U1039" s="5"/>
      <c r="V1039" s="5"/>
      <c r="W1039" s="5"/>
      <c r="X1039" s="5"/>
      <c r="Y1039" s="5"/>
      <c r="Z1039" s="5"/>
      <c r="AA1039" s="5"/>
      <c r="AB1039" s="5"/>
      <c r="AC1039" s="5"/>
    </row>
    <row r="1040" spans="1:29" ht="12.5">
      <c r="A1040" s="5">
        <f ca="1">IFERROR(__xludf.DUMMYFUNCTION("""COMPUTED_VALUE"""),54205)</f>
        <v>54205</v>
      </c>
      <c r="B1040" s="5"/>
      <c r="C1040" s="5" t="str">
        <f ca="1">IFERROR(__xludf.DUMMYFUNCTION("""COMPUTED_VALUE"""),"Bihor")</f>
        <v>Bihor</v>
      </c>
      <c r="D1040" s="13">
        <f ca="1">IFERROR(__xludf.DUMMYFUNCTION("""COMPUTED_VALUE"""),44047)</f>
        <v>44047</v>
      </c>
      <c r="E1040" s="5" t="str">
        <f ca="1">IFERROR(__xludf.DUMMYFUNCTION("""COMPUTED_VALUE"""),"Nu")</f>
        <v>Nu</v>
      </c>
      <c r="F1040" s="5"/>
      <c r="G1040" s="5"/>
      <c r="H1040" s="6"/>
      <c r="I1040" s="5"/>
      <c r="J1040" s="5"/>
      <c r="K1040" s="7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1040" s="5"/>
      <c r="M1040" s="5"/>
      <c r="N1040" s="5"/>
      <c r="O1040" s="5"/>
      <c r="P1040" s="5"/>
      <c r="Q1040" s="5"/>
      <c r="R1040" s="5" t="str">
        <f ca="1">IFERROR(__xludf.DUMMYFUNCTION("""COMPUTED_VALUE"""),"România")</f>
        <v>România</v>
      </c>
      <c r="S1040" s="5" t="str">
        <f ca="1">IFERROR(__xludf.DUMMYFUNCTION("""COMPUTED_VALUE"""),"Octavian")</f>
        <v>Octavian</v>
      </c>
      <c r="T1040" s="7" t="str">
        <f ca="1">IFERROR(__xludf.DUMMYFUNCTION("""COMPUTED_VALUE"""),"http://www.ms.ro/2020/08/04/buletin-informativ-04-08-2020/")</f>
        <v>http://www.ms.ro/2020/08/04/buletin-informativ-04-08-2020/</v>
      </c>
      <c r="U1040" s="5"/>
      <c r="V1040" s="5"/>
      <c r="W1040" s="5"/>
      <c r="X1040" s="5"/>
      <c r="Y1040" s="5"/>
      <c r="Z1040" s="5"/>
      <c r="AA1040" s="5"/>
      <c r="AB1040" s="5"/>
      <c r="AC1040" s="5"/>
    </row>
    <row r="1041" spans="1:29" ht="12.5">
      <c r="A1041" s="5">
        <f ca="1">IFERROR(__xludf.DUMMYFUNCTION("""COMPUTED_VALUE"""),54206)</f>
        <v>54206</v>
      </c>
      <c r="B1041" s="5"/>
      <c r="C1041" s="5" t="str">
        <f ca="1">IFERROR(__xludf.DUMMYFUNCTION("""COMPUTED_VALUE"""),"Bihor")</f>
        <v>Bihor</v>
      </c>
      <c r="D1041" s="13">
        <f ca="1">IFERROR(__xludf.DUMMYFUNCTION("""COMPUTED_VALUE"""),44047)</f>
        <v>44047</v>
      </c>
      <c r="E1041" s="5" t="str">
        <f ca="1">IFERROR(__xludf.DUMMYFUNCTION("""COMPUTED_VALUE"""),"Nu")</f>
        <v>Nu</v>
      </c>
      <c r="F1041" s="5"/>
      <c r="G1041" s="5"/>
      <c r="H1041" s="6"/>
      <c r="I1041" s="5"/>
      <c r="J1041" s="5"/>
      <c r="K1041" s="7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1041" s="5"/>
      <c r="M1041" s="5"/>
      <c r="N1041" s="5"/>
      <c r="O1041" s="5"/>
      <c r="P1041" s="5"/>
      <c r="Q1041" s="5"/>
      <c r="R1041" s="5" t="str">
        <f ca="1">IFERROR(__xludf.DUMMYFUNCTION("""COMPUTED_VALUE"""),"România")</f>
        <v>România</v>
      </c>
      <c r="S1041" s="5" t="str">
        <f ca="1">IFERROR(__xludf.DUMMYFUNCTION("""COMPUTED_VALUE"""),"Octavian")</f>
        <v>Octavian</v>
      </c>
      <c r="T1041" s="7" t="str">
        <f ca="1">IFERROR(__xludf.DUMMYFUNCTION("""COMPUTED_VALUE"""),"http://www.ms.ro/2020/08/04/buletin-informativ-04-08-2020/")</f>
        <v>http://www.ms.ro/2020/08/04/buletin-informativ-04-08-2020/</v>
      </c>
      <c r="U1041" s="5"/>
      <c r="V1041" s="5"/>
      <c r="W1041" s="5"/>
      <c r="X1041" s="5"/>
      <c r="Y1041" s="5"/>
      <c r="Z1041" s="5"/>
      <c r="AA1041" s="5"/>
      <c r="AB1041" s="5"/>
      <c r="AC1041" s="5"/>
    </row>
    <row r="1042" spans="1:29" ht="12.5">
      <c r="A1042" s="5">
        <f ca="1">IFERROR(__xludf.DUMMYFUNCTION("""COMPUTED_VALUE"""),54207)</f>
        <v>54207</v>
      </c>
      <c r="B1042" s="5"/>
      <c r="C1042" s="5" t="str">
        <f ca="1">IFERROR(__xludf.DUMMYFUNCTION("""COMPUTED_VALUE"""),"Bihor")</f>
        <v>Bihor</v>
      </c>
      <c r="D1042" s="13">
        <f ca="1">IFERROR(__xludf.DUMMYFUNCTION("""COMPUTED_VALUE"""),44047)</f>
        <v>44047</v>
      </c>
      <c r="E1042" s="5" t="str">
        <f ca="1">IFERROR(__xludf.DUMMYFUNCTION("""COMPUTED_VALUE"""),"Nu")</f>
        <v>Nu</v>
      </c>
      <c r="F1042" s="5"/>
      <c r="G1042" s="5"/>
      <c r="H1042" s="6"/>
      <c r="I1042" s="5"/>
      <c r="J1042" s="5"/>
      <c r="K1042" s="7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1042" s="5"/>
      <c r="M1042" s="5"/>
      <c r="N1042" s="5"/>
      <c r="O1042" s="5"/>
      <c r="P1042" s="5"/>
      <c r="Q1042" s="5"/>
      <c r="R1042" s="5" t="str">
        <f ca="1">IFERROR(__xludf.DUMMYFUNCTION("""COMPUTED_VALUE"""),"România")</f>
        <v>România</v>
      </c>
      <c r="S1042" s="5" t="str">
        <f ca="1">IFERROR(__xludf.DUMMYFUNCTION("""COMPUTED_VALUE"""),"Octavian")</f>
        <v>Octavian</v>
      </c>
      <c r="T1042" s="7" t="str">
        <f ca="1">IFERROR(__xludf.DUMMYFUNCTION("""COMPUTED_VALUE"""),"http://www.ms.ro/2020/08/04/buletin-informativ-04-08-2020/")</f>
        <v>http://www.ms.ro/2020/08/04/buletin-informativ-04-08-2020/</v>
      </c>
      <c r="U1042" s="5"/>
      <c r="V1042" s="5"/>
      <c r="W1042" s="5"/>
      <c r="X1042" s="5"/>
      <c r="Y1042" s="5"/>
      <c r="Z1042" s="5"/>
      <c r="AA1042" s="5"/>
      <c r="AB1042" s="5"/>
      <c r="AC1042" s="5"/>
    </row>
    <row r="1043" spans="1:29" ht="12.5">
      <c r="A1043" s="5">
        <f ca="1">IFERROR(__xludf.DUMMYFUNCTION("""COMPUTED_VALUE"""),54208)</f>
        <v>54208</v>
      </c>
      <c r="B1043" s="5"/>
      <c r="C1043" s="5" t="str">
        <f ca="1">IFERROR(__xludf.DUMMYFUNCTION("""COMPUTED_VALUE"""),"Bihor")</f>
        <v>Bihor</v>
      </c>
      <c r="D1043" s="13">
        <f ca="1">IFERROR(__xludf.DUMMYFUNCTION("""COMPUTED_VALUE"""),44047)</f>
        <v>44047</v>
      </c>
      <c r="E1043" s="5" t="str">
        <f ca="1">IFERROR(__xludf.DUMMYFUNCTION("""COMPUTED_VALUE"""),"Nu")</f>
        <v>Nu</v>
      </c>
      <c r="F1043" s="5"/>
      <c r="G1043" s="5"/>
      <c r="H1043" s="6"/>
      <c r="I1043" s="5"/>
      <c r="J1043" s="5"/>
      <c r="K1043" s="7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1043" s="5"/>
      <c r="M1043" s="5"/>
      <c r="N1043" s="5"/>
      <c r="O1043" s="5"/>
      <c r="P1043" s="5"/>
      <c r="Q1043" s="5"/>
      <c r="R1043" s="5" t="str">
        <f ca="1">IFERROR(__xludf.DUMMYFUNCTION("""COMPUTED_VALUE"""),"România")</f>
        <v>România</v>
      </c>
      <c r="S1043" s="5" t="str">
        <f ca="1">IFERROR(__xludf.DUMMYFUNCTION("""COMPUTED_VALUE"""),"Octavian")</f>
        <v>Octavian</v>
      </c>
      <c r="T1043" s="7" t="str">
        <f ca="1">IFERROR(__xludf.DUMMYFUNCTION("""COMPUTED_VALUE"""),"http://www.ms.ro/2020/08/04/buletin-informativ-04-08-2020/")</f>
        <v>http://www.ms.ro/2020/08/04/buletin-informativ-04-08-2020/</v>
      </c>
      <c r="U1043" s="5"/>
      <c r="V1043" s="5"/>
      <c r="W1043" s="5"/>
      <c r="X1043" s="5"/>
      <c r="Y1043" s="5"/>
      <c r="Z1043" s="5"/>
      <c r="AA1043" s="5"/>
      <c r="AB1043" s="5"/>
      <c r="AC1043" s="5"/>
    </row>
    <row r="1044" spans="1:29" ht="12.5">
      <c r="A1044" s="5">
        <f ca="1">IFERROR(__xludf.DUMMYFUNCTION("""COMPUTED_VALUE"""),54209)</f>
        <v>54209</v>
      </c>
      <c r="B1044" s="5"/>
      <c r="C1044" s="5" t="str">
        <f ca="1">IFERROR(__xludf.DUMMYFUNCTION("""COMPUTED_VALUE"""),"Bihor")</f>
        <v>Bihor</v>
      </c>
      <c r="D1044" s="13">
        <f ca="1">IFERROR(__xludf.DUMMYFUNCTION("""COMPUTED_VALUE"""),44047)</f>
        <v>44047</v>
      </c>
      <c r="E1044" s="5" t="str">
        <f ca="1">IFERROR(__xludf.DUMMYFUNCTION("""COMPUTED_VALUE"""),"Nu")</f>
        <v>Nu</v>
      </c>
      <c r="F1044" s="5"/>
      <c r="G1044" s="5"/>
      <c r="H1044" s="6"/>
      <c r="I1044" s="5"/>
      <c r="J1044" s="5"/>
      <c r="K1044" s="7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1044" s="5"/>
      <c r="M1044" s="5"/>
      <c r="N1044" s="5"/>
      <c r="O1044" s="5"/>
      <c r="P1044" s="5"/>
      <c r="Q1044" s="5"/>
      <c r="R1044" s="5" t="str">
        <f ca="1">IFERROR(__xludf.DUMMYFUNCTION("""COMPUTED_VALUE"""),"România")</f>
        <v>România</v>
      </c>
      <c r="S1044" s="5" t="str">
        <f ca="1">IFERROR(__xludf.DUMMYFUNCTION("""COMPUTED_VALUE"""),"Octavian")</f>
        <v>Octavian</v>
      </c>
      <c r="T1044" s="7" t="str">
        <f ca="1">IFERROR(__xludf.DUMMYFUNCTION("""COMPUTED_VALUE"""),"http://www.ms.ro/2020/08/04/buletin-informativ-04-08-2020/")</f>
        <v>http://www.ms.ro/2020/08/04/buletin-informativ-04-08-2020/</v>
      </c>
      <c r="U1044" s="5"/>
      <c r="V1044" s="5"/>
      <c r="W1044" s="5"/>
      <c r="X1044" s="5"/>
      <c r="Y1044" s="5"/>
      <c r="Z1044" s="5"/>
      <c r="AA1044" s="5"/>
      <c r="AB1044" s="5"/>
      <c r="AC1044" s="5"/>
    </row>
    <row r="1045" spans="1:29" ht="12.5">
      <c r="A1045" s="5">
        <f ca="1">IFERROR(__xludf.DUMMYFUNCTION("""COMPUTED_VALUE"""),55441)</f>
        <v>55441</v>
      </c>
      <c r="B1045" s="5"/>
      <c r="C1045" s="5" t="str">
        <f ca="1">IFERROR(__xludf.DUMMYFUNCTION("""COMPUTED_VALUE"""),"Bihor")</f>
        <v>Bihor</v>
      </c>
      <c r="D1045" s="13">
        <f ca="1">IFERROR(__xludf.DUMMYFUNCTION("""COMPUTED_VALUE"""),44048)</f>
        <v>44048</v>
      </c>
      <c r="E1045" s="5" t="str">
        <f ca="1">IFERROR(__xludf.DUMMYFUNCTION("""COMPUTED_VALUE"""),"Nu")</f>
        <v>Nu</v>
      </c>
      <c r="F1045" s="5"/>
      <c r="G1045" s="5"/>
      <c r="H1045" s="6"/>
      <c r="I1045" s="5" t="str">
        <f ca="1">IFERROR(__xludf.DUMMYFUNCTION("""COMPUTED_VALUE"""),"Masculin")</f>
        <v>Masculin</v>
      </c>
      <c r="J1045" s="5"/>
      <c r="K1045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45" s="5"/>
      <c r="M1045" s="5" t="str">
        <f ca="1">IFERROR(__xludf.DUMMYFUNCTION("""COMPUTED_VALUE"""),"Beiuș")</f>
        <v>Beiuș</v>
      </c>
      <c r="N1045" s="5"/>
      <c r="O1045" s="5"/>
      <c r="P1045" s="5" t="str">
        <f ca="1">IFERROR(__xludf.DUMMYFUNCTION("""COMPUTED_VALUE"""),"Poliția Beiuș, polițist.")</f>
        <v>Poliția Beiuș, polițist.</v>
      </c>
      <c r="Q1045" s="5"/>
      <c r="R1045" s="5" t="str">
        <f ca="1">IFERROR(__xludf.DUMMYFUNCTION("""COMPUTED_VALUE"""),"România")</f>
        <v>România</v>
      </c>
      <c r="S1045" s="5" t="str">
        <f ca="1">IFERROR(__xludf.DUMMYFUNCTION("""COMPUTED_VALUE"""),"Octavian")</f>
        <v>Octavian</v>
      </c>
      <c r="T1045" s="7" t="str">
        <f ca="1">IFERROR(__xludf.DUMMYFUNCTION("""COMPUTED_VALUE"""),"http://www.ms.ro/2020/08/05/buletin-informativ-05-08-2020/")</f>
        <v>http://www.ms.ro/2020/08/05/buletin-informativ-05-08-2020/</v>
      </c>
      <c r="U1045" s="5"/>
      <c r="V1045" s="5"/>
      <c r="W1045" s="5"/>
      <c r="X1045" s="5"/>
      <c r="Y1045" s="5"/>
      <c r="Z1045" s="5"/>
      <c r="AA1045" s="5"/>
      <c r="AB1045" s="5"/>
      <c r="AC1045" s="5"/>
    </row>
    <row r="1046" spans="1:29" ht="12.5">
      <c r="A1046" s="5">
        <f ca="1">IFERROR(__xludf.DUMMYFUNCTION("""COMPUTED_VALUE"""),55442)</f>
        <v>55442</v>
      </c>
      <c r="B1046" s="5"/>
      <c r="C1046" s="5" t="str">
        <f ca="1">IFERROR(__xludf.DUMMYFUNCTION("""COMPUTED_VALUE"""),"Bihor")</f>
        <v>Bihor</v>
      </c>
      <c r="D1046" s="13">
        <f ca="1">IFERROR(__xludf.DUMMYFUNCTION("""COMPUTED_VALUE"""),44048)</f>
        <v>44048</v>
      </c>
      <c r="E1046" s="5" t="str">
        <f ca="1">IFERROR(__xludf.DUMMYFUNCTION("""COMPUTED_VALUE"""),"Nu")</f>
        <v>Nu</v>
      </c>
      <c r="F1046" s="5"/>
      <c r="G1046" s="5"/>
      <c r="H1046" s="6"/>
      <c r="I1046" s="5" t="str">
        <f ca="1">IFERROR(__xludf.DUMMYFUNCTION("""COMPUTED_VALUE"""),"Masculin")</f>
        <v>Masculin</v>
      </c>
      <c r="J1046" s="5"/>
      <c r="K1046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46" s="5"/>
      <c r="M1046" s="5" t="str">
        <f ca="1">IFERROR(__xludf.DUMMYFUNCTION("""COMPUTED_VALUE"""),"Beiuș")</f>
        <v>Beiuș</v>
      </c>
      <c r="N1046" s="5"/>
      <c r="O1046" s="5"/>
      <c r="P1046" s="5" t="str">
        <f ca="1">IFERROR(__xludf.DUMMYFUNCTION("""COMPUTED_VALUE"""),"Poliția Beiuș, polițist.")</f>
        <v>Poliția Beiuș, polițist.</v>
      </c>
      <c r="Q1046" s="5"/>
      <c r="R1046" s="5" t="str">
        <f ca="1">IFERROR(__xludf.DUMMYFUNCTION("""COMPUTED_VALUE"""),"România")</f>
        <v>România</v>
      </c>
      <c r="S1046" s="5" t="str">
        <f ca="1">IFERROR(__xludf.DUMMYFUNCTION("""COMPUTED_VALUE"""),"Octavian")</f>
        <v>Octavian</v>
      </c>
      <c r="T1046" s="7" t="str">
        <f ca="1">IFERROR(__xludf.DUMMYFUNCTION("""COMPUTED_VALUE"""),"http://www.ms.ro/2020/08/05/buletin-informativ-05-08-2020/")</f>
        <v>http://www.ms.ro/2020/08/05/buletin-informativ-05-08-2020/</v>
      </c>
      <c r="U1046" s="5"/>
      <c r="V1046" s="5"/>
      <c r="W1046" s="5"/>
      <c r="X1046" s="5"/>
      <c r="Y1046" s="5"/>
      <c r="Z1046" s="5"/>
      <c r="AA1046" s="5"/>
      <c r="AB1046" s="5"/>
      <c r="AC1046" s="5"/>
    </row>
    <row r="1047" spans="1:29" ht="12.5">
      <c r="A1047" s="5">
        <f ca="1">IFERROR(__xludf.DUMMYFUNCTION("""COMPUTED_VALUE"""),55443)</f>
        <v>55443</v>
      </c>
      <c r="B1047" s="5"/>
      <c r="C1047" s="5" t="str">
        <f ca="1">IFERROR(__xludf.DUMMYFUNCTION("""COMPUTED_VALUE"""),"Bihor")</f>
        <v>Bihor</v>
      </c>
      <c r="D1047" s="13">
        <f ca="1">IFERROR(__xludf.DUMMYFUNCTION("""COMPUTED_VALUE"""),44048)</f>
        <v>44048</v>
      </c>
      <c r="E1047" s="5" t="str">
        <f ca="1">IFERROR(__xludf.DUMMYFUNCTION("""COMPUTED_VALUE"""),"Nu")</f>
        <v>Nu</v>
      </c>
      <c r="F1047" s="5"/>
      <c r="G1047" s="5"/>
      <c r="H1047" s="6"/>
      <c r="I1047" s="5" t="str">
        <f ca="1">IFERROR(__xludf.DUMMYFUNCTION("""COMPUTED_VALUE"""),"Masculin")</f>
        <v>Masculin</v>
      </c>
      <c r="J1047" s="5"/>
      <c r="K1047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47" s="5"/>
      <c r="M1047" s="5" t="str">
        <f ca="1">IFERROR(__xludf.DUMMYFUNCTION("""COMPUTED_VALUE"""),"Beiuș")</f>
        <v>Beiuș</v>
      </c>
      <c r="N1047" s="5"/>
      <c r="O1047" s="5"/>
      <c r="P1047" s="5" t="str">
        <f ca="1">IFERROR(__xludf.DUMMYFUNCTION("""COMPUTED_VALUE"""),"Poliția Beiuș, polițist.")</f>
        <v>Poliția Beiuș, polițist.</v>
      </c>
      <c r="Q1047" s="5"/>
      <c r="R1047" s="5" t="str">
        <f ca="1">IFERROR(__xludf.DUMMYFUNCTION("""COMPUTED_VALUE"""),"România")</f>
        <v>România</v>
      </c>
      <c r="S1047" s="5" t="str">
        <f ca="1">IFERROR(__xludf.DUMMYFUNCTION("""COMPUTED_VALUE"""),"Octavian")</f>
        <v>Octavian</v>
      </c>
      <c r="T1047" s="7" t="str">
        <f ca="1">IFERROR(__xludf.DUMMYFUNCTION("""COMPUTED_VALUE"""),"http://www.ms.ro/2020/08/05/buletin-informativ-05-08-2020/")</f>
        <v>http://www.ms.ro/2020/08/05/buletin-informativ-05-08-2020/</v>
      </c>
      <c r="U1047" s="5"/>
      <c r="V1047" s="5"/>
      <c r="W1047" s="5"/>
      <c r="X1047" s="5"/>
      <c r="Y1047" s="5"/>
      <c r="Z1047" s="5"/>
      <c r="AA1047" s="5"/>
      <c r="AB1047" s="5"/>
      <c r="AC1047" s="5"/>
    </row>
    <row r="1048" spans="1:29" ht="12.5">
      <c r="A1048" s="5">
        <f ca="1">IFERROR(__xludf.DUMMYFUNCTION("""COMPUTED_VALUE"""),55444)</f>
        <v>55444</v>
      </c>
      <c r="B1048" s="5"/>
      <c r="C1048" s="5" t="str">
        <f ca="1">IFERROR(__xludf.DUMMYFUNCTION("""COMPUTED_VALUE"""),"Bihor")</f>
        <v>Bihor</v>
      </c>
      <c r="D1048" s="13">
        <f ca="1">IFERROR(__xludf.DUMMYFUNCTION("""COMPUTED_VALUE"""),44048)</f>
        <v>44048</v>
      </c>
      <c r="E1048" s="5" t="str">
        <f ca="1">IFERROR(__xludf.DUMMYFUNCTION("""COMPUTED_VALUE"""),"Nu")</f>
        <v>Nu</v>
      </c>
      <c r="F1048" s="5"/>
      <c r="G1048" s="5"/>
      <c r="H1048" s="6"/>
      <c r="I1048" s="5"/>
      <c r="J1048" s="5"/>
      <c r="K1048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48" s="5"/>
      <c r="M1048" s="5" t="str">
        <f ca="1">IFERROR(__xludf.DUMMYFUNCTION("""COMPUTED_VALUE"""),"Beiuș")</f>
        <v>Beiuș</v>
      </c>
      <c r="N1048" s="5"/>
      <c r="O1048" s="5"/>
      <c r="P1048" s="5"/>
      <c r="Q1048" s="5"/>
      <c r="R1048" s="5" t="str">
        <f ca="1">IFERROR(__xludf.DUMMYFUNCTION("""COMPUTED_VALUE"""),"România")</f>
        <v>România</v>
      </c>
      <c r="S1048" s="5" t="str">
        <f ca="1">IFERROR(__xludf.DUMMYFUNCTION("""COMPUTED_VALUE"""),"Octavian")</f>
        <v>Octavian</v>
      </c>
      <c r="T1048" s="7" t="str">
        <f ca="1">IFERROR(__xludf.DUMMYFUNCTION("""COMPUTED_VALUE"""),"http://www.ms.ro/2020/08/05/buletin-informativ-05-08-2020/")</f>
        <v>http://www.ms.ro/2020/08/05/buletin-informativ-05-08-2020/</v>
      </c>
      <c r="U1048" s="5"/>
      <c r="V1048" s="5"/>
      <c r="W1048" s="5"/>
      <c r="X1048" s="5"/>
      <c r="Y1048" s="5"/>
      <c r="Z1048" s="5"/>
      <c r="AA1048" s="5"/>
      <c r="AB1048" s="5"/>
      <c r="AC1048" s="5"/>
    </row>
    <row r="1049" spans="1:29" ht="12.5">
      <c r="A1049" s="5">
        <f ca="1">IFERROR(__xludf.DUMMYFUNCTION("""COMPUTED_VALUE"""),55445)</f>
        <v>55445</v>
      </c>
      <c r="B1049" s="5"/>
      <c r="C1049" s="5" t="str">
        <f ca="1">IFERROR(__xludf.DUMMYFUNCTION("""COMPUTED_VALUE"""),"Bihor")</f>
        <v>Bihor</v>
      </c>
      <c r="D1049" s="13">
        <f ca="1">IFERROR(__xludf.DUMMYFUNCTION("""COMPUTED_VALUE"""),44048)</f>
        <v>44048</v>
      </c>
      <c r="E1049" s="5" t="str">
        <f ca="1">IFERROR(__xludf.DUMMYFUNCTION("""COMPUTED_VALUE"""),"Nu")</f>
        <v>Nu</v>
      </c>
      <c r="F1049" s="5"/>
      <c r="G1049" s="5"/>
      <c r="H1049" s="6"/>
      <c r="I1049" s="5"/>
      <c r="J1049" s="5"/>
      <c r="K1049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49" s="5"/>
      <c r="M1049" s="5" t="str">
        <f ca="1">IFERROR(__xludf.DUMMYFUNCTION("""COMPUTED_VALUE"""),"Salonta")</f>
        <v>Salonta</v>
      </c>
      <c r="N1049" s="5"/>
      <c r="O1049" s="5"/>
      <c r="P1049" s="5" t="str">
        <f ca="1">IFERROR(__xludf.DUMMYFUNCTION("""COMPUTED_VALUE"""),"Spital Salonta, pacient.")</f>
        <v>Spital Salonta, pacient.</v>
      </c>
      <c r="Q1049" s="5" t="str">
        <f ca="1">IFERROR(__xludf.DUMMYFUNCTION("""COMPUTED_VALUE"""),"Medical")</f>
        <v>Medical</v>
      </c>
      <c r="R1049" s="5" t="str">
        <f ca="1">IFERROR(__xludf.DUMMYFUNCTION("""COMPUTED_VALUE"""),"România")</f>
        <v>România</v>
      </c>
      <c r="S1049" s="5" t="str">
        <f ca="1">IFERROR(__xludf.DUMMYFUNCTION("""COMPUTED_VALUE"""),"Octavian")</f>
        <v>Octavian</v>
      </c>
      <c r="T1049" s="7" t="str">
        <f ca="1">IFERROR(__xludf.DUMMYFUNCTION("""COMPUTED_VALUE"""),"http://www.ms.ro/2020/08/05/buletin-informativ-05-08-2020/")</f>
        <v>http://www.ms.ro/2020/08/05/buletin-informativ-05-08-2020/</v>
      </c>
      <c r="U1049" s="5"/>
      <c r="V1049" s="5"/>
      <c r="W1049" s="5"/>
      <c r="X1049" s="5"/>
      <c r="Y1049" s="5"/>
      <c r="Z1049" s="5"/>
      <c r="AA1049" s="5"/>
      <c r="AB1049" s="5"/>
      <c r="AC1049" s="5"/>
    </row>
    <row r="1050" spans="1:29" ht="12.5">
      <c r="A1050" s="5">
        <f ca="1">IFERROR(__xludf.DUMMYFUNCTION("""COMPUTED_VALUE"""),55446)</f>
        <v>55446</v>
      </c>
      <c r="B1050" s="5"/>
      <c r="C1050" s="5" t="str">
        <f ca="1">IFERROR(__xludf.DUMMYFUNCTION("""COMPUTED_VALUE"""),"Bihor")</f>
        <v>Bihor</v>
      </c>
      <c r="D1050" s="13">
        <f ca="1">IFERROR(__xludf.DUMMYFUNCTION("""COMPUTED_VALUE"""),44048)</f>
        <v>44048</v>
      </c>
      <c r="E1050" s="5" t="str">
        <f ca="1">IFERROR(__xludf.DUMMYFUNCTION("""COMPUTED_VALUE"""),"Nu")</f>
        <v>Nu</v>
      </c>
      <c r="F1050" s="5"/>
      <c r="G1050" s="5"/>
      <c r="H1050" s="6"/>
      <c r="I1050" s="5"/>
      <c r="J1050" s="5"/>
      <c r="K1050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50" s="5"/>
      <c r="M1050" s="5" t="str">
        <f ca="1">IFERROR(__xludf.DUMMYFUNCTION("""COMPUTED_VALUE"""),"Oșorhei")</f>
        <v>Oșorhei</v>
      </c>
      <c r="N1050" s="5"/>
      <c r="O1050" s="5"/>
      <c r="P1050" s="5"/>
      <c r="Q1050" s="5"/>
      <c r="R1050" s="5" t="str">
        <f ca="1">IFERROR(__xludf.DUMMYFUNCTION("""COMPUTED_VALUE"""),"România")</f>
        <v>România</v>
      </c>
      <c r="S1050" s="5" t="str">
        <f ca="1">IFERROR(__xludf.DUMMYFUNCTION("""COMPUTED_VALUE"""),"Octavian")</f>
        <v>Octavian</v>
      </c>
      <c r="T1050" s="7" t="str">
        <f ca="1">IFERROR(__xludf.DUMMYFUNCTION("""COMPUTED_VALUE"""),"http://www.ms.ro/2020/08/05/buletin-informativ-05-08-2020/")</f>
        <v>http://www.ms.ro/2020/08/05/buletin-informativ-05-08-2020/</v>
      </c>
      <c r="U1050" s="5"/>
      <c r="V1050" s="5"/>
      <c r="W1050" s="5"/>
      <c r="X1050" s="5"/>
      <c r="Y1050" s="5"/>
      <c r="Z1050" s="5"/>
      <c r="AA1050" s="5"/>
      <c r="AB1050" s="5"/>
      <c r="AC1050" s="5"/>
    </row>
    <row r="1051" spans="1:29" ht="12.5">
      <c r="A1051" s="5">
        <f ca="1">IFERROR(__xludf.DUMMYFUNCTION("""COMPUTED_VALUE"""),55447)</f>
        <v>55447</v>
      </c>
      <c r="B1051" s="5"/>
      <c r="C1051" s="5" t="str">
        <f ca="1">IFERROR(__xludf.DUMMYFUNCTION("""COMPUTED_VALUE"""),"Bihor")</f>
        <v>Bihor</v>
      </c>
      <c r="D1051" s="13">
        <f ca="1">IFERROR(__xludf.DUMMYFUNCTION("""COMPUTED_VALUE"""),44048)</f>
        <v>44048</v>
      </c>
      <c r="E1051" s="5" t="str">
        <f ca="1">IFERROR(__xludf.DUMMYFUNCTION("""COMPUTED_VALUE"""),"Nu")</f>
        <v>Nu</v>
      </c>
      <c r="F1051" s="5"/>
      <c r="G1051" s="5"/>
      <c r="H1051" s="6"/>
      <c r="I1051" s="5"/>
      <c r="J1051" s="5"/>
      <c r="K1051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51" s="5"/>
      <c r="M1051" s="5" t="str">
        <f ca="1">IFERROR(__xludf.DUMMYFUNCTION("""COMPUTED_VALUE"""),"Țețchea")</f>
        <v>Țețchea</v>
      </c>
      <c r="N1051" s="5"/>
      <c r="O1051" s="5"/>
      <c r="P1051" s="5"/>
      <c r="Q1051" s="5"/>
      <c r="R1051" s="5" t="str">
        <f ca="1">IFERROR(__xludf.DUMMYFUNCTION("""COMPUTED_VALUE"""),"România")</f>
        <v>România</v>
      </c>
      <c r="S1051" s="5" t="str">
        <f ca="1">IFERROR(__xludf.DUMMYFUNCTION("""COMPUTED_VALUE"""),"Octavian")</f>
        <v>Octavian</v>
      </c>
      <c r="T1051" s="7" t="str">
        <f ca="1">IFERROR(__xludf.DUMMYFUNCTION("""COMPUTED_VALUE"""),"http://www.ms.ro/2020/08/05/buletin-informativ-05-08-2020/")</f>
        <v>http://www.ms.ro/2020/08/05/buletin-informativ-05-08-2020/</v>
      </c>
      <c r="U1051" s="5"/>
      <c r="V1051" s="5"/>
      <c r="W1051" s="5"/>
      <c r="X1051" s="5"/>
      <c r="Y1051" s="5"/>
      <c r="Z1051" s="5"/>
      <c r="AA1051" s="5"/>
      <c r="AB1051" s="5"/>
      <c r="AC1051" s="5"/>
    </row>
    <row r="1052" spans="1:29" ht="12.5">
      <c r="A1052" s="5">
        <f ca="1">IFERROR(__xludf.DUMMYFUNCTION("""COMPUTED_VALUE"""),55448)</f>
        <v>55448</v>
      </c>
      <c r="B1052" s="5"/>
      <c r="C1052" s="5" t="str">
        <f ca="1">IFERROR(__xludf.DUMMYFUNCTION("""COMPUTED_VALUE"""),"Bihor")</f>
        <v>Bihor</v>
      </c>
      <c r="D1052" s="13">
        <f ca="1">IFERROR(__xludf.DUMMYFUNCTION("""COMPUTED_VALUE"""),44048)</f>
        <v>44048</v>
      </c>
      <c r="E1052" s="5" t="str">
        <f ca="1">IFERROR(__xludf.DUMMYFUNCTION("""COMPUTED_VALUE"""),"Nu")</f>
        <v>Nu</v>
      </c>
      <c r="F1052" s="5"/>
      <c r="G1052" s="5"/>
      <c r="H1052" s="6"/>
      <c r="I1052" s="5" t="str">
        <f ca="1">IFERROR(__xludf.DUMMYFUNCTION("""COMPUTED_VALUE"""),"Feminin")</f>
        <v>Feminin</v>
      </c>
      <c r="J1052" s="5"/>
      <c r="K1052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52" s="5"/>
      <c r="M1052" s="5" t="str">
        <f ca="1">IFERROR(__xludf.DUMMYFUNCTION("""COMPUTED_VALUE"""),"Oradea")</f>
        <v>Oradea</v>
      </c>
      <c r="N1052" s="5"/>
      <c r="O1052" s="5"/>
      <c r="P1052" s="5" t="str">
        <f ca="1">IFERROR(__xludf.DUMMYFUNCTION("""COMPUTED_VALUE"""),"Asistentă SM-SBI.")</f>
        <v>Asistentă SM-SBI.</v>
      </c>
      <c r="Q1052" s="5" t="str">
        <f ca="1">IFERROR(__xludf.DUMMYFUNCTION("""COMPUTED_VALUE"""),"Medical")</f>
        <v>Medical</v>
      </c>
      <c r="R1052" s="5" t="str">
        <f ca="1">IFERROR(__xludf.DUMMYFUNCTION("""COMPUTED_VALUE"""),"România")</f>
        <v>România</v>
      </c>
      <c r="S1052" s="5" t="str">
        <f ca="1">IFERROR(__xludf.DUMMYFUNCTION("""COMPUTED_VALUE"""),"Octavian")</f>
        <v>Octavian</v>
      </c>
      <c r="T1052" s="7" t="str">
        <f ca="1">IFERROR(__xludf.DUMMYFUNCTION("""COMPUTED_VALUE"""),"http://www.ms.ro/2020/08/05/buletin-informativ-05-08-2020/")</f>
        <v>http://www.ms.ro/2020/08/05/buletin-informativ-05-08-2020/</v>
      </c>
      <c r="U1052" s="5"/>
      <c r="V1052" s="5"/>
      <c r="W1052" s="5"/>
      <c r="X1052" s="5"/>
      <c r="Y1052" s="5"/>
      <c r="Z1052" s="5"/>
      <c r="AA1052" s="5"/>
      <c r="AB1052" s="5"/>
      <c r="AC1052" s="5"/>
    </row>
    <row r="1053" spans="1:29" ht="12.5">
      <c r="A1053" s="5">
        <f ca="1">IFERROR(__xludf.DUMMYFUNCTION("""COMPUTED_VALUE"""),55449)</f>
        <v>55449</v>
      </c>
      <c r="B1053" s="5"/>
      <c r="C1053" s="5" t="str">
        <f ca="1">IFERROR(__xludf.DUMMYFUNCTION("""COMPUTED_VALUE"""),"Bihor")</f>
        <v>Bihor</v>
      </c>
      <c r="D1053" s="13">
        <f ca="1">IFERROR(__xludf.DUMMYFUNCTION("""COMPUTED_VALUE"""),44048)</f>
        <v>44048</v>
      </c>
      <c r="E1053" s="5" t="str">
        <f ca="1">IFERROR(__xludf.DUMMYFUNCTION("""COMPUTED_VALUE"""),"Nu")</f>
        <v>Nu</v>
      </c>
      <c r="F1053" s="5"/>
      <c r="G1053" s="5"/>
      <c r="H1053" s="6"/>
      <c r="I1053" s="5"/>
      <c r="J1053" s="5"/>
      <c r="K1053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53" s="5"/>
      <c r="M1053" s="5" t="str">
        <f ca="1">IFERROR(__xludf.DUMMYFUNCTION("""COMPUTED_VALUE"""),"Dobrești")</f>
        <v>Dobrești</v>
      </c>
      <c r="N1053" s="5"/>
      <c r="O1053" s="5"/>
      <c r="P1053" s="5"/>
      <c r="Q1053" s="5"/>
      <c r="R1053" s="5" t="str">
        <f ca="1">IFERROR(__xludf.DUMMYFUNCTION("""COMPUTED_VALUE"""),"România")</f>
        <v>România</v>
      </c>
      <c r="S1053" s="5" t="str">
        <f ca="1">IFERROR(__xludf.DUMMYFUNCTION("""COMPUTED_VALUE"""),"Octavian")</f>
        <v>Octavian</v>
      </c>
      <c r="T1053" s="7" t="str">
        <f ca="1">IFERROR(__xludf.DUMMYFUNCTION("""COMPUTED_VALUE"""),"http://www.ms.ro/2020/08/05/buletin-informativ-05-08-2020/")</f>
        <v>http://www.ms.ro/2020/08/05/buletin-informativ-05-08-2020/</v>
      </c>
      <c r="U1053" s="5"/>
      <c r="V1053" s="5"/>
      <c r="W1053" s="5"/>
      <c r="X1053" s="5"/>
      <c r="Y1053" s="5"/>
      <c r="Z1053" s="5"/>
      <c r="AA1053" s="5"/>
      <c r="AB1053" s="5"/>
      <c r="AC1053" s="5"/>
    </row>
    <row r="1054" spans="1:29" ht="12.5">
      <c r="A1054" s="5">
        <f ca="1">IFERROR(__xludf.DUMMYFUNCTION("""COMPUTED_VALUE"""),55450)</f>
        <v>55450</v>
      </c>
      <c r="B1054" s="5"/>
      <c r="C1054" s="5" t="str">
        <f ca="1">IFERROR(__xludf.DUMMYFUNCTION("""COMPUTED_VALUE"""),"Bihor")</f>
        <v>Bihor</v>
      </c>
      <c r="D1054" s="13">
        <f ca="1">IFERROR(__xludf.DUMMYFUNCTION("""COMPUTED_VALUE"""),44048)</f>
        <v>44048</v>
      </c>
      <c r="E1054" s="5" t="str">
        <f ca="1">IFERROR(__xludf.DUMMYFUNCTION("""COMPUTED_VALUE"""),"Nu")</f>
        <v>Nu</v>
      </c>
      <c r="F1054" s="5"/>
      <c r="G1054" s="5"/>
      <c r="H1054" s="6"/>
      <c r="I1054" s="5"/>
      <c r="J1054" s="5"/>
      <c r="K1054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54" s="5"/>
      <c r="M1054" s="5" t="str">
        <f ca="1">IFERROR(__xludf.DUMMYFUNCTION("""COMPUTED_VALUE"""),"Ineu")</f>
        <v>Ineu</v>
      </c>
      <c r="N1054" s="5"/>
      <c r="O1054" s="5"/>
      <c r="P1054" s="5"/>
      <c r="Q1054" s="5"/>
      <c r="R1054" s="5" t="str">
        <f ca="1">IFERROR(__xludf.DUMMYFUNCTION("""COMPUTED_VALUE"""),"România")</f>
        <v>România</v>
      </c>
      <c r="S1054" s="5" t="str">
        <f ca="1">IFERROR(__xludf.DUMMYFUNCTION("""COMPUTED_VALUE"""),"Octavian")</f>
        <v>Octavian</v>
      </c>
      <c r="T1054" s="7" t="str">
        <f ca="1">IFERROR(__xludf.DUMMYFUNCTION("""COMPUTED_VALUE"""),"http://www.ms.ro/2020/08/05/buletin-informativ-05-08-2020/")</f>
        <v>http://www.ms.ro/2020/08/05/buletin-informativ-05-08-2020/</v>
      </c>
      <c r="U1054" s="5"/>
      <c r="V1054" s="5"/>
      <c r="W1054" s="5"/>
      <c r="X1054" s="5"/>
      <c r="Y1054" s="5"/>
      <c r="Z1054" s="5"/>
      <c r="AA1054" s="5"/>
      <c r="AB1054" s="5"/>
      <c r="AC1054" s="5"/>
    </row>
    <row r="1055" spans="1:29" ht="12.5">
      <c r="A1055" s="5">
        <f ca="1">IFERROR(__xludf.DUMMYFUNCTION("""COMPUTED_VALUE"""),55451)</f>
        <v>55451</v>
      </c>
      <c r="B1055" s="5"/>
      <c r="C1055" s="5" t="str">
        <f ca="1">IFERROR(__xludf.DUMMYFUNCTION("""COMPUTED_VALUE"""),"Bihor")</f>
        <v>Bihor</v>
      </c>
      <c r="D1055" s="13">
        <f ca="1">IFERROR(__xludf.DUMMYFUNCTION("""COMPUTED_VALUE"""),44048)</f>
        <v>44048</v>
      </c>
      <c r="E1055" s="5" t="str">
        <f ca="1">IFERROR(__xludf.DUMMYFUNCTION("""COMPUTED_VALUE"""),"Nu")</f>
        <v>Nu</v>
      </c>
      <c r="F1055" s="5"/>
      <c r="G1055" s="5"/>
      <c r="H1055" s="6"/>
      <c r="I1055" s="5"/>
      <c r="J1055" s="5"/>
      <c r="K1055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55" s="5"/>
      <c r="M1055" s="5" t="str">
        <f ca="1">IFERROR(__xludf.DUMMYFUNCTION("""COMPUTED_VALUE"""),"Nojorod")</f>
        <v>Nojorod</v>
      </c>
      <c r="N1055" s="5"/>
      <c r="O1055" s="5"/>
      <c r="P1055" s="5"/>
      <c r="Q1055" s="5"/>
      <c r="R1055" s="5" t="str">
        <f ca="1">IFERROR(__xludf.DUMMYFUNCTION("""COMPUTED_VALUE"""),"România")</f>
        <v>România</v>
      </c>
      <c r="S1055" s="5" t="str">
        <f ca="1">IFERROR(__xludf.DUMMYFUNCTION("""COMPUTED_VALUE"""),"Octavian")</f>
        <v>Octavian</v>
      </c>
      <c r="T1055" s="7" t="str">
        <f ca="1">IFERROR(__xludf.DUMMYFUNCTION("""COMPUTED_VALUE"""),"http://www.ms.ro/2020/08/05/buletin-informativ-05-08-2020/")</f>
        <v>http://www.ms.ro/2020/08/05/buletin-informativ-05-08-2020/</v>
      </c>
      <c r="U1055" s="5"/>
      <c r="V1055" s="5"/>
      <c r="W1055" s="5"/>
      <c r="X1055" s="5"/>
      <c r="Y1055" s="5"/>
      <c r="Z1055" s="5"/>
      <c r="AA1055" s="5"/>
      <c r="AB1055" s="5"/>
      <c r="AC1055" s="5"/>
    </row>
    <row r="1056" spans="1:29" ht="12.5">
      <c r="A1056" s="5">
        <f ca="1">IFERROR(__xludf.DUMMYFUNCTION("""COMPUTED_VALUE"""),55452)</f>
        <v>55452</v>
      </c>
      <c r="B1056" s="5"/>
      <c r="C1056" s="5" t="str">
        <f ca="1">IFERROR(__xludf.DUMMYFUNCTION("""COMPUTED_VALUE"""),"Bihor")</f>
        <v>Bihor</v>
      </c>
      <c r="D1056" s="13">
        <f ca="1">IFERROR(__xludf.DUMMYFUNCTION("""COMPUTED_VALUE"""),44048)</f>
        <v>44048</v>
      </c>
      <c r="E1056" s="5" t="str">
        <f ca="1">IFERROR(__xludf.DUMMYFUNCTION("""COMPUTED_VALUE"""),"Nu")</f>
        <v>Nu</v>
      </c>
      <c r="F1056" s="5"/>
      <c r="G1056" s="5"/>
      <c r="H1056" s="6"/>
      <c r="I1056" s="5"/>
      <c r="J1056" s="5"/>
      <c r="K1056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56" s="5"/>
      <c r="M1056" s="5" t="str">
        <f ca="1">IFERROR(__xludf.DUMMYFUNCTION("""COMPUTED_VALUE"""),"Sântandrei")</f>
        <v>Sântandrei</v>
      </c>
      <c r="N1056" s="5"/>
      <c r="O1056" s="5"/>
      <c r="P1056" s="5"/>
      <c r="Q1056" s="5"/>
      <c r="R1056" s="5" t="str">
        <f ca="1">IFERROR(__xludf.DUMMYFUNCTION("""COMPUTED_VALUE"""),"România")</f>
        <v>România</v>
      </c>
      <c r="S1056" s="5" t="str">
        <f ca="1">IFERROR(__xludf.DUMMYFUNCTION("""COMPUTED_VALUE"""),"Octavian")</f>
        <v>Octavian</v>
      </c>
      <c r="T1056" s="7" t="str">
        <f ca="1">IFERROR(__xludf.DUMMYFUNCTION("""COMPUTED_VALUE"""),"http://www.ms.ro/2020/08/05/buletin-informativ-05-08-2020/")</f>
        <v>http://www.ms.ro/2020/08/05/buletin-informativ-05-08-2020/</v>
      </c>
      <c r="U1056" s="5"/>
      <c r="V1056" s="5"/>
      <c r="W1056" s="5"/>
      <c r="X1056" s="5"/>
      <c r="Y1056" s="5"/>
      <c r="Z1056" s="5"/>
      <c r="AA1056" s="5"/>
      <c r="AB1056" s="5"/>
      <c r="AC1056" s="5"/>
    </row>
    <row r="1057" spans="1:29" ht="12.5">
      <c r="A1057" s="5">
        <f ca="1">IFERROR(__xludf.DUMMYFUNCTION("""COMPUTED_VALUE"""),55453)</f>
        <v>55453</v>
      </c>
      <c r="B1057" s="5"/>
      <c r="C1057" s="5" t="str">
        <f ca="1">IFERROR(__xludf.DUMMYFUNCTION("""COMPUTED_VALUE"""),"Bihor")</f>
        <v>Bihor</v>
      </c>
      <c r="D1057" s="13">
        <f ca="1">IFERROR(__xludf.DUMMYFUNCTION("""COMPUTED_VALUE"""),44048)</f>
        <v>44048</v>
      </c>
      <c r="E1057" s="5" t="str">
        <f ca="1">IFERROR(__xludf.DUMMYFUNCTION("""COMPUTED_VALUE"""),"Nu")</f>
        <v>Nu</v>
      </c>
      <c r="F1057" s="5"/>
      <c r="G1057" s="5"/>
      <c r="H1057" s="6"/>
      <c r="I1057" s="5"/>
      <c r="J1057" s="5"/>
      <c r="K1057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57" s="5"/>
      <c r="M1057" s="5" t="str">
        <f ca="1">IFERROR(__xludf.DUMMYFUNCTION("""COMPUTED_VALUE"""),"Răbăgani")</f>
        <v>Răbăgani</v>
      </c>
      <c r="N1057" s="5"/>
      <c r="O1057" s="5"/>
      <c r="P1057" s="5"/>
      <c r="Q1057" s="5"/>
      <c r="R1057" s="5" t="str">
        <f ca="1">IFERROR(__xludf.DUMMYFUNCTION("""COMPUTED_VALUE"""),"România")</f>
        <v>România</v>
      </c>
      <c r="S1057" s="5" t="str">
        <f ca="1">IFERROR(__xludf.DUMMYFUNCTION("""COMPUTED_VALUE"""),"Octavian")</f>
        <v>Octavian</v>
      </c>
      <c r="T1057" s="7" t="str">
        <f ca="1">IFERROR(__xludf.DUMMYFUNCTION("""COMPUTED_VALUE"""),"http://www.ms.ro/2020/08/05/buletin-informativ-05-08-2020/")</f>
        <v>http://www.ms.ro/2020/08/05/buletin-informativ-05-08-2020/</v>
      </c>
      <c r="U1057" s="5"/>
      <c r="V1057" s="5"/>
      <c r="W1057" s="5"/>
      <c r="X1057" s="5"/>
      <c r="Y1057" s="5"/>
      <c r="Z1057" s="5"/>
      <c r="AA1057" s="5"/>
      <c r="AB1057" s="5"/>
      <c r="AC1057" s="5"/>
    </row>
    <row r="1058" spans="1:29" ht="12.5">
      <c r="A1058" s="5">
        <f ca="1">IFERROR(__xludf.DUMMYFUNCTION("""COMPUTED_VALUE"""),55454)</f>
        <v>55454</v>
      </c>
      <c r="B1058" s="5"/>
      <c r="C1058" s="5" t="str">
        <f ca="1">IFERROR(__xludf.DUMMYFUNCTION("""COMPUTED_VALUE"""),"Bihor")</f>
        <v>Bihor</v>
      </c>
      <c r="D1058" s="13">
        <f ca="1">IFERROR(__xludf.DUMMYFUNCTION("""COMPUTED_VALUE"""),44048)</f>
        <v>44048</v>
      </c>
      <c r="E1058" s="5" t="str">
        <f ca="1">IFERROR(__xludf.DUMMYFUNCTION("""COMPUTED_VALUE"""),"Nu")</f>
        <v>Nu</v>
      </c>
      <c r="F1058" s="5"/>
      <c r="G1058" s="5"/>
      <c r="H1058" s="6"/>
      <c r="I1058" s="5"/>
      <c r="J1058" s="5"/>
      <c r="K1058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58" s="5"/>
      <c r="M1058" s="5" t="str">
        <f ca="1">IFERROR(__xludf.DUMMYFUNCTION("""COMPUTED_VALUE"""),"Diosig")</f>
        <v>Diosig</v>
      </c>
      <c r="N1058" s="5"/>
      <c r="O1058" s="5"/>
      <c r="P1058" s="5"/>
      <c r="Q1058" s="5"/>
      <c r="R1058" s="5" t="str">
        <f ca="1">IFERROR(__xludf.DUMMYFUNCTION("""COMPUTED_VALUE"""),"România")</f>
        <v>România</v>
      </c>
      <c r="S1058" s="5" t="str">
        <f ca="1">IFERROR(__xludf.DUMMYFUNCTION("""COMPUTED_VALUE"""),"Octavian")</f>
        <v>Octavian</v>
      </c>
      <c r="T1058" s="7" t="str">
        <f ca="1">IFERROR(__xludf.DUMMYFUNCTION("""COMPUTED_VALUE"""),"http://www.ms.ro/2020/08/05/buletin-informativ-05-08-2020/")</f>
        <v>http://www.ms.ro/2020/08/05/buletin-informativ-05-08-2020/</v>
      </c>
      <c r="U1058" s="5"/>
      <c r="V1058" s="5"/>
      <c r="W1058" s="5"/>
      <c r="X1058" s="5"/>
      <c r="Y1058" s="5"/>
      <c r="Z1058" s="5"/>
      <c r="AA1058" s="5"/>
      <c r="AB1058" s="5"/>
      <c r="AC1058" s="5"/>
    </row>
    <row r="1059" spans="1:29" ht="12.5">
      <c r="A1059" s="5">
        <f ca="1">IFERROR(__xludf.DUMMYFUNCTION("""COMPUTED_VALUE"""),55455)</f>
        <v>55455</v>
      </c>
      <c r="B1059" s="5"/>
      <c r="C1059" s="5" t="str">
        <f ca="1">IFERROR(__xludf.DUMMYFUNCTION("""COMPUTED_VALUE"""),"Bihor")</f>
        <v>Bihor</v>
      </c>
      <c r="D1059" s="13">
        <f ca="1">IFERROR(__xludf.DUMMYFUNCTION("""COMPUTED_VALUE"""),44048)</f>
        <v>44048</v>
      </c>
      <c r="E1059" s="5" t="str">
        <f ca="1">IFERROR(__xludf.DUMMYFUNCTION("""COMPUTED_VALUE"""),"Nu")</f>
        <v>Nu</v>
      </c>
      <c r="F1059" s="5"/>
      <c r="G1059" s="5"/>
      <c r="H1059" s="6"/>
      <c r="I1059" s="5"/>
      <c r="J1059" s="5"/>
      <c r="K1059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59" s="5"/>
      <c r="M1059" s="5" t="str">
        <f ca="1">IFERROR(__xludf.DUMMYFUNCTION("""COMPUTED_VALUE"""),"Săcădat")</f>
        <v>Săcădat</v>
      </c>
      <c r="N1059" s="5"/>
      <c r="O1059" s="5"/>
      <c r="P1059" s="5"/>
      <c r="Q1059" s="5"/>
      <c r="R1059" s="5" t="str">
        <f ca="1">IFERROR(__xludf.DUMMYFUNCTION("""COMPUTED_VALUE"""),"România")</f>
        <v>România</v>
      </c>
      <c r="S1059" s="5" t="str">
        <f ca="1">IFERROR(__xludf.DUMMYFUNCTION("""COMPUTED_VALUE"""),"Octavian")</f>
        <v>Octavian</v>
      </c>
      <c r="T1059" s="7" t="str">
        <f ca="1">IFERROR(__xludf.DUMMYFUNCTION("""COMPUTED_VALUE"""),"http://www.ms.ro/2020/08/05/buletin-informativ-05-08-2020/")</f>
        <v>http://www.ms.ro/2020/08/05/buletin-informativ-05-08-2020/</v>
      </c>
      <c r="U1059" s="5"/>
      <c r="V1059" s="5"/>
      <c r="W1059" s="5"/>
      <c r="X1059" s="5"/>
      <c r="Y1059" s="5"/>
      <c r="Z1059" s="5"/>
      <c r="AA1059" s="5"/>
      <c r="AB1059" s="5"/>
      <c r="AC1059" s="5"/>
    </row>
    <row r="1060" spans="1:29" ht="12.5">
      <c r="A1060" s="5">
        <f ca="1">IFERROR(__xludf.DUMMYFUNCTION("""COMPUTED_VALUE"""),55456)</f>
        <v>55456</v>
      </c>
      <c r="B1060" s="5"/>
      <c r="C1060" s="5" t="str">
        <f ca="1">IFERROR(__xludf.DUMMYFUNCTION("""COMPUTED_VALUE"""),"Bihor")</f>
        <v>Bihor</v>
      </c>
      <c r="D1060" s="13">
        <f ca="1">IFERROR(__xludf.DUMMYFUNCTION("""COMPUTED_VALUE"""),44048)</f>
        <v>44048</v>
      </c>
      <c r="E1060" s="5" t="str">
        <f ca="1">IFERROR(__xludf.DUMMYFUNCTION("""COMPUTED_VALUE"""),"Nu")</f>
        <v>Nu</v>
      </c>
      <c r="F1060" s="5"/>
      <c r="G1060" s="5"/>
      <c r="H1060" s="6"/>
      <c r="I1060" s="5"/>
      <c r="J1060" s="5"/>
      <c r="K1060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60" s="5"/>
      <c r="M1060" s="5" t="str">
        <f ca="1">IFERROR(__xludf.DUMMYFUNCTION("""COMPUTED_VALUE"""),"Vârciorog")</f>
        <v>Vârciorog</v>
      </c>
      <c r="N1060" s="5"/>
      <c r="O1060" s="5"/>
      <c r="P1060" s="5"/>
      <c r="Q1060" s="5"/>
      <c r="R1060" s="5" t="str">
        <f ca="1">IFERROR(__xludf.DUMMYFUNCTION("""COMPUTED_VALUE"""),"România")</f>
        <v>România</v>
      </c>
      <c r="S1060" s="5" t="str">
        <f ca="1">IFERROR(__xludf.DUMMYFUNCTION("""COMPUTED_VALUE"""),"Octavian")</f>
        <v>Octavian</v>
      </c>
      <c r="T1060" s="7" t="str">
        <f ca="1">IFERROR(__xludf.DUMMYFUNCTION("""COMPUTED_VALUE"""),"http://www.ms.ro/2020/08/05/buletin-informativ-05-08-2020/")</f>
        <v>http://www.ms.ro/2020/08/05/buletin-informativ-05-08-2020/</v>
      </c>
      <c r="U1060" s="5"/>
      <c r="V1060" s="5"/>
      <c r="W1060" s="5"/>
      <c r="X1060" s="5"/>
      <c r="Y1060" s="5"/>
      <c r="Z1060" s="5"/>
      <c r="AA1060" s="5"/>
      <c r="AB1060" s="5"/>
      <c r="AC1060" s="5"/>
    </row>
    <row r="1061" spans="1:29" ht="12.5">
      <c r="A1061" s="5">
        <f ca="1">IFERROR(__xludf.DUMMYFUNCTION("""COMPUTED_VALUE"""),55457)</f>
        <v>55457</v>
      </c>
      <c r="B1061" s="5"/>
      <c r="C1061" s="5" t="str">
        <f ca="1">IFERROR(__xludf.DUMMYFUNCTION("""COMPUTED_VALUE"""),"Bihor")</f>
        <v>Bihor</v>
      </c>
      <c r="D1061" s="13">
        <f ca="1">IFERROR(__xludf.DUMMYFUNCTION("""COMPUTED_VALUE"""),44048)</f>
        <v>44048</v>
      </c>
      <c r="E1061" s="5" t="str">
        <f ca="1">IFERROR(__xludf.DUMMYFUNCTION("""COMPUTED_VALUE"""),"Nu")</f>
        <v>Nu</v>
      </c>
      <c r="F1061" s="5"/>
      <c r="G1061" s="5"/>
      <c r="H1061" s="6"/>
      <c r="I1061" s="5"/>
      <c r="J1061" s="5"/>
      <c r="K1061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61" s="5"/>
      <c r="M1061" s="5" t="str">
        <f ca="1">IFERROR(__xludf.DUMMYFUNCTION("""COMPUTED_VALUE"""),"Brusturi")</f>
        <v>Brusturi</v>
      </c>
      <c r="N1061" s="5"/>
      <c r="O1061" s="5"/>
      <c r="P1061" s="5"/>
      <c r="Q1061" s="5"/>
      <c r="R1061" s="5" t="str">
        <f ca="1">IFERROR(__xludf.DUMMYFUNCTION("""COMPUTED_VALUE"""),"România")</f>
        <v>România</v>
      </c>
      <c r="S1061" s="5" t="str">
        <f ca="1">IFERROR(__xludf.DUMMYFUNCTION("""COMPUTED_VALUE"""),"Octavian")</f>
        <v>Octavian</v>
      </c>
      <c r="T1061" s="7" t="str">
        <f ca="1">IFERROR(__xludf.DUMMYFUNCTION("""COMPUTED_VALUE"""),"http://www.ms.ro/2020/08/05/buletin-informativ-05-08-2020/")</f>
        <v>http://www.ms.ro/2020/08/05/buletin-informativ-05-08-2020/</v>
      </c>
      <c r="U1061" s="5"/>
      <c r="V1061" s="5"/>
      <c r="W1061" s="5"/>
      <c r="X1061" s="5"/>
      <c r="Y1061" s="5"/>
      <c r="Z1061" s="5"/>
      <c r="AA1061" s="5"/>
      <c r="AB1061" s="5"/>
      <c r="AC1061" s="5"/>
    </row>
    <row r="1062" spans="1:29" ht="12.5">
      <c r="A1062" s="5">
        <f ca="1">IFERROR(__xludf.DUMMYFUNCTION("""COMPUTED_VALUE"""),55458)</f>
        <v>55458</v>
      </c>
      <c r="B1062" s="5"/>
      <c r="C1062" s="5" t="str">
        <f ca="1">IFERROR(__xludf.DUMMYFUNCTION("""COMPUTED_VALUE"""),"Bihor")</f>
        <v>Bihor</v>
      </c>
      <c r="D1062" s="13">
        <f ca="1">IFERROR(__xludf.DUMMYFUNCTION("""COMPUTED_VALUE"""),44048)</f>
        <v>44048</v>
      </c>
      <c r="E1062" s="5" t="str">
        <f ca="1">IFERROR(__xludf.DUMMYFUNCTION("""COMPUTED_VALUE"""),"Nu")</f>
        <v>Nu</v>
      </c>
      <c r="F1062" s="5"/>
      <c r="G1062" s="5"/>
      <c r="H1062" s="6"/>
      <c r="I1062" s="5"/>
      <c r="J1062" s="5"/>
      <c r="K1062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62" s="5"/>
      <c r="M1062" s="5" t="str">
        <f ca="1">IFERROR(__xludf.DUMMYFUNCTION("""COMPUTED_VALUE"""),"Rieni")</f>
        <v>Rieni</v>
      </c>
      <c r="N1062" s="5"/>
      <c r="O1062" s="5"/>
      <c r="P1062" s="5"/>
      <c r="Q1062" s="5"/>
      <c r="R1062" s="5" t="str">
        <f ca="1">IFERROR(__xludf.DUMMYFUNCTION("""COMPUTED_VALUE"""),"România")</f>
        <v>România</v>
      </c>
      <c r="S1062" s="5" t="str">
        <f ca="1">IFERROR(__xludf.DUMMYFUNCTION("""COMPUTED_VALUE"""),"Octavian")</f>
        <v>Octavian</v>
      </c>
      <c r="T1062" s="7" t="str">
        <f ca="1">IFERROR(__xludf.DUMMYFUNCTION("""COMPUTED_VALUE"""),"http://www.ms.ro/2020/08/05/buletin-informativ-05-08-2020/")</f>
        <v>http://www.ms.ro/2020/08/05/buletin-informativ-05-08-2020/</v>
      </c>
      <c r="U1062" s="5"/>
      <c r="V1062" s="5"/>
      <c r="W1062" s="5"/>
      <c r="X1062" s="5"/>
      <c r="Y1062" s="5"/>
      <c r="Z1062" s="5"/>
      <c r="AA1062" s="5"/>
      <c r="AB1062" s="5"/>
      <c r="AC1062" s="5"/>
    </row>
    <row r="1063" spans="1:29" ht="12.5">
      <c r="A1063" s="5">
        <f ca="1">IFERROR(__xludf.DUMMYFUNCTION("""COMPUTED_VALUE"""),55459)</f>
        <v>55459</v>
      </c>
      <c r="B1063" s="5"/>
      <c r="C1063" s="5" t="str">
        <f ca="1">IFERROR(__xludf.DUMMYFUNCTION("""COMPUTED_VALUE"""),"Bihor")</f>
        <v>Bihor</v>
      </c>
      <c r="D1063" s="13">
        <f ca="1">IFERROR(__xludf.DUMMYFUNCTION("""COMPUTED_VALUE"""),44048)</f>
        <v>44048</v>
      </c>
      <c r="E1063" s="5" t="str">
        <f ca="1">IFERROR(__xludf.DUMMYFUNCTION("""COMPUTED_VALUE"""),"Nu")</f>
        <v>Nu</v>
      </c>
      <c r="F1063" s="5"/>
      <c r="G1063" s="5"/>
      <c r="H1063" s="6"/>
      <c r="I1063" s="5"/>
      <c r="J1063" s="5"/>
      <c r="K1063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63" s="5"/>
      <c r="M1063" s="5" t="str">
        <f ca="1">IFERROR(__xludf.DUMMYFUNCTION("""COMPUTED_VALUE"""),"Pomezeu")</f>
        <v>Pomezeu</v>
      </c>
      <c r="N1063" s="5"/>
      <c r="O1063" s="5"/>
      <c r="P1063" s="5"/>
      <c r="Q1063" s="5"/>
      <c r="R1063" s="5" t="str">
        <f ca="1">IFERROR(__xludf.DUMMYFUNCTION("""COMPUTED_VALUE"""),"România")</f>
        <v>România</v>
      </c>
      <c r="S1063" s="5" t="str">
        <f ca="1">IFERROR(__xludf.DUMMYFUNCTION("""COMPUTED_VALUE"""),"Octavian")</f>
        <v>Octavian</v>
      </c>
      <c r="T1063" s="7" t="str">
        <f ca="1">IFERROR(__xludf.DUMMYFUNCTION("""COMPUTED_VALUE"""),"http://www.ms.ro/2020/08/05/buletin-informativ-05-08-2020/")</f>
        <v>http://www.ms.ro/2020/08/05/buletin-informativ-05-08-2020/</v>
      </c>
      <c r="U1063" s="5"/>
      <c r="V1063" s="5"/>
      <c r="W1063" s="5"/>
      <c r="X1063" s="5"/>
      <c r="Y1063" s="5"/>
      <c r="Z1063" s="5"/>
      <c r="AA1063" s="5"/>
      <c r="AB1063" s="5"/>
      <c r="AC1063" s="5"/>
    </row>
    <row r="1064" spans="1:29" ht="12.5">
      <c r="A1064" s="5">
        <f ca="1">IFERROR(__xludf.DUMMYFUNCTION("""COMPUTED_VALUE"""),55460)</f>
        <v>55460</v>
      </c>
      <c r="B1064" s="5"/>
      <c r="C1064" s="5" t="str">
        <f ca="1">IFERROR(__xludf.DUMMYFUNCTION("""COMPUTED_VALUE"""),"Bihor")</f>
        <v>Bihor</v>
      </c>
      <c r="D1064" s="13">
        <f ca="1">IFERROR(__xludf.DUMMYFUNCTION("""COMPUTED_VALUE"""),44048)</f>
        <v>44048</v>
      </c>
      <c r="E1064" s="5" t="str">
        <f ca="1">IFERROR(__xludf.DUMMYFUNCTION("""COMPUTED_VALUE"""),"Nu")</f>
        <v>Nu</v>
      </c>
      <c r="F1064" s="5"/>
      <c r="G1064" s="5"/>
      <c r="H1064" s="6"/>
      <c r="I1064" s="5"/>
      <c r="J1064" s="5"/>
      <c r="K1064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64" s="5"/>
      <c r="M1064" s="5" t="str">
        <f ca="1">IFERROR(__xludf.DUMMYFUNCTION("""COMPUTED_VALUE"""),"Nucet")</f>
        <v>Nucet</v>
      </c>
      <c r="N1064" s="5"/>
      <c r="O1064" s="5"/>
      <c r="P1064" s="5"/>
      <c r="Q1064" s="5"/>
      <c r="R1064" s="5" t="str">
        <f ca="1">IFERROR(__xludf.DUMMYFUNCTION("""COMPUTED_VALUE"""),"România")</f>
        <v>România</v>
      </c>
      <c r="S1064" s="5" t="str">
        <f ca="1">IFERROR(__xludf.DUMMYFUNCTION("""COMPUTED_VALUE"""),"Octavian")</f>
        <v>Octavian</v>
      </c>
      <c r="T1064" s="7" t="str">
        <f ca="1">IFERROR(__xludf.DUMMYFUNCTION("""COMPUTED_VALUE"""),"http://www.ms.ro/2020/08/05/buletin-informativ-05-08-2020/")</f>
        <v>http://www.ms.ro/2020/08/05/buletin-informativ-05-08-2020/</v>
      </c>
      <c r="U1064" s="5"/>
      <c r="V1064" s="5"/>
      <c r="W1064" s="5"/>
      <c r="X1064" s="5"/>
      <c r="Y1064" s="5"/>
      <c r="Z1064" s="5"/>
      <c r="AA1064" s="5"/>
      <c r="AB1064" s="5"/>
      <c r="AC1064" s="5"/>
    </row>
    <row r="1065" spans="1:29" ht="12.5">
      <c r="A1065" s="5">
        <f ca="1">IFERROR(__xludf.DUMMYFUNCTION("""COMPUTED_VALUE"""),55461)</f>
        <v>55461</v>
      </c>
      <c r="B1065" s="5"/>
      <c r="C1065" s="5" t="str">
        <f ca="1">IFERROR(__xludf.DUMMYFUNCTION("""COMPUTED_VALUE"""),"Bihor")</f>
        <v>Bihor</v>
      </c>
      <c r="D1065" s="13">
        <f ca="1">IFERROR(__xludf.DUMMYFUNCTION("""COMPUTED_VALUE"""),44048)</f>
        <v>44048</v>
      </c>
      <c r="E1065" s="5" t="str">
        <f ca="1">IFERROR(__xludf.DUMMYFUNCTION("""COMPUTED_VALUE"""),"Nu")</f>
        <v>Nu</v>
      </c>
      <c r="F1065" s="5"/>
      <c r="G1065" s="5"/>
      <c r="H1065" s="6"/>
      <c r="I1065" s="5"/>
      <c r="J1065" s="5"/>
      <c r="K1065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65" s="5"/>
      <c r="M1065" s="5" t="str">
        <f ca="1">IFERROR(__xludf.DUMMYFUNCTION("""COMPUTED_VALUE"""),"Drăgești")</f>
        <v>Drăgești</v>
      </c>
      <c r="N1065" s="5"/>
      <c r="O1065" s="5"/>
      <c r="P1065" s="5"/>
      <c r="Q1065" s="5"/>
      <c r="R1065" s="5" t="str">
        <f ca="1">IFERROR(__xludf.DUMMYFUNCTION("""COMPUTED_VALUE"""),"România")</f>
        <v>România</v>
      </c>
      <c r="S1065" s="5" t="str">
        <f ca="1">IFERROR(__xludf.DUMMYFUNCTION("""COMPUTED_VALUE"""),"Octavian")</f>
        <v>Octavian</v>
      </c>
      <c r="T1065" s="7" t="str">
        <f ca="1">IFERROR(__xludf.DUMMYFUNCTION("""COMPUTED_VALUE"""),"http://www.ms.ro/2020/08/05/buletin-informativ-05-08-2020/")</f>
        <v>http://www.ms.ro/2020/08/05/buletin-informativ-05-08-2020/</v>
      </c>
      <c r="U1065" s="5"/>
      <c r="V1065" s="5"/>
      <c r="W1065" s="5"/>
      <c r="X1065" s="5"/>
      <c r="Y1065" s="5"/>
      <c r="Z1065" s="5"/>
      <c r="AA1065" s="5"/>
      <c r="AB1065" s="5"/>
      <c r="AC1065" s="5"/>
    </row>
    <row r="1066" spans="1:29" ht="12.5">
      <c r="A1066" s="5">
        <f ca="1">IFERROR(__xludf.DUMMYFUNCTION("""COMPUTED_VALUE"""),55462)</f>
        <v>55462</v>
      </c>
      <c r="B1066" s="5"/>
      <c r="C1066" s="5" t="str">
        <f ca="1">IFERROR(__xludf.DUMMYFUNCTION("""COMPUTED_VALUE"""),"Bihor")</f>
        <v>Bihor</v>
      </c>
      <c r="D1066" s="13">
        <f ca="1">IFERROR(__xludf.DUMMYFUNCTION("""COMPUTED_VALUE"""),44048)</f>
        <v>44048</v>
      </c>
      <c r="E1066" s="5" t="str">
        <f ca="1">IFERROR(__xludf.DUMMYFUNCTION("""COMPUTED_VALUE"""),"Nu")</f>
        <v>Nu</v>
      </c>
      <c r="F1066" s="5"/>
      <c r="G1066" s="5"/>
      <c r="H1066" s="6"/>
      <c r="I1066" s="5"/>
      <c r="J1066" s="5"/>
      <c r="K1066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66" s="5"/>
      <c r="M1066" s="5" t="str">
        <f ca="1">IFERROR(__xludf.DUMMYFUNCTION("""COMPUTED_VALUE"""),"Vașcău")</f>
        <v>Vașcău</v>
      </c>
      <c r="N1066" s="5"/>
      <c r="O1066" s="5"/>
      <c r="P1066" s="5"/>
      <c r="Q1066" s="5"/>
      <c r="R1066" s="5" t="str">
        <f ca="1">IFERROR(__xludf.DUMMYFUNCTION("""COMPUTED_VALUE"""),"România")</f>
        <v>România</v>
      </c>
      <c r="S1066" s="5" t="str">
        <f ca="1">IFERROR(__xludf.DUMMYFUNCTION("""COMPUTED_VALUE"""),"Octavian")</f>
        <v>Octavian</v>
      </c>
      <c r="T1066" s="7" t="str">
        <f ca="1">IFERROR(__xludf.DUMMYFUNCTION("""COMPUTED_VALUE"""),"http://www.ms.ro/2020/08/05/buletin-informativ-05-08-2020/")</f>
        <v>http://www.ms.ro/2020/08/05/buletin-informativ-05-08-2020/</v>
      </c>
      <c r="U1066" s="5"/>
      <c r="V1066" s="5"/>
      <c r="W1066" s="5"/>
      <c r="X1066" s="5"/>
      <c r="Y1066" s="5"/>
      <c r="Z1066" s="5"/>
      <c r="AA1066" s="5"/>
      <c r="AB1066" s="5"/>
      <c r="AC1066" s="5"/>
    </row>
    <row r="1067" spans="1:29" ht="12.5">
      <c r="A1067" s="5">
        <f ca="1">IFERROR(__xludf.DUMMYFUNCTION("""COMPUTED_VALUE"""),55463)</f>
        <v>55463</v>
      </c>
      <c r="B1067" s="5"/>
      <c r="C1067" s="5" t="str">
        <f ca="1">IFERROR(__xludf.DUMMYFUNCTION("""COMPUTED_VALUE"""),"Bihor")</f>
        <v>Bihor</v>
      </c>
      <c r="D1067" s="13">
        <f ca="1">IFERROR(__xludf.DUMMYFUNCTION("""COMPUTED_VALUE"""),44048)</f>
        <v>44048</v>
      </c>
      <c r="E1067" s="5" t="str">
        <f ca="1">IFERROR(__xludf.DUMMYFUNCTION("""COMPUTED_VALUE"""),"Nu")</f>
        <v>Nu</v>
      </c>
      <c r="F1067" s="5"/>
      <c r="G1067" s="5"/>
      <c r="H1067" s="6"/>
      <c r="I1067" s="5"/>
      <c r="J1067" s="5"/>
      <c r="K1067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67" s="5"/>
      <c r="M1067" s="5" t="str">
        <f ca="1">IFERROR(__xludf.DUMMYFUNCTION("""COMPUTED_VALUE"""),"Câmpani")</f>
        <v>Câmpani</v>
      </c>
      <c r="N1067" s="5"/>
      <c r="O1067" s="5"/>
      <c r="P1067" s="5"/>
      <c r="Q1067" s="5"/>
      <c r="R1067" s="5" t="str">
        <f ca="1">IFERROR(__xludf.DUMMYFUNCTION("""COMPUTED_VALUE"""),"România")</f>
        <v>România</v>
      </c>
      <c r="S1067" s="5" t="str">
        <f ca="1">IFERROR(__xludf.DUMMYFUNCTION("""COMPUTED_VALUE"""),"Octavian")</f>
        <v>Octavian</v>
      </c>
      <c r="T1067" s="7" t="str">
        <f ca="1">IFERROR(__xludf.DUMMYFUNCTION("""COMPUTED_VALUE"""),"http://www.ms.ro/2020/08/05/buletin-informativ-05-08-2020/")</f>
        <v>http://www.ms.ro/2020/08/05/buletin-informativ-05-08-2020/</v>
      </c>
      <c r="U1067" s="5"/>
      <c r="V1067" s="5"/>
      <c r="W1067" s="5"/>
      <c r="X1067" s="5"/>
      <c r="Y1067" s="5"/>
      <c r="Z1067" s="5"/>
      <c r="AA1067" s="5"/>
      <c r="AB1067" s="5"/>
      <c r="AC1067" s="5"/>
    </row>
    <row r="1068" spans="1:29" ht="12.5">
      <c r="A1068" s="5">
        <f ca="1">IFERROR(__xludf.DUMMYFUNCTION("""COMPUTED_VALUE"""),55464)</f>
        <v>55464</v>
      </c>
      <c r="B1068" s="5"/>
      <c r="C1068" s="5" t="str">
        <f ca="1">IFERROR(__xludf.DUMMYFUNCTION("""COMPUTED_VALUE"""),"Bihor")</f>
        <v>Bihor</v>
      </c>
      <c r="D1068" s="13">
        <f ca="1">IFERROR(__xludf.DUMMYFUNCTION("""COMPUTED_VALUE"""),44048)</f>
        <v>44048</v>
      </c>
      <c r="E1068" s="5" t="str">
        <f ca="1">IFERROR(__xludf.DUMMYFUNCTION("""COMPUTED_VALUE"""),"Nu")</f>
        <v>Nu</v>
      </c>
      <c r="F1068" s="5"/>
      <c r="G1068" s="5"/>
      <c r="H1068" s="6"/>
      <c r="I1068" s="5"/>
      <c r="J1068" s="5"/>
      <c r="K1068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68" s="5"/>
      <c r="M1068" s="5" t="str">
        <f ca="1">IFERROR(__xludf.DUMMYFUNCTION("""COMPUTED_VALUE"""),"Buntești")</f>
        <v>Buntești</v>
      </c>
      <c r="N1068" s="5"/>
      <c r="O1068" s="5"/>
      <c r="P1068" s="5"/>
      <c r="Q1068" s="5"/>
      <c r="R1068" s="5" t="str">
        <f ca="1">IFERROR(__xludf.DUMMYFUNCTION("""COMPUTED_VALUE"""),"România")</f>
        <v>România</v>
      </c>
      <c r="S1068" s="5" t="str">
        <f ca="1">IFERROR(__xludf.DUMMYFUNCTION("""COMPUTED_VALUE"""),"Octavian")</f>
        <v>Octavian</v>
      </c>
      <c r="T1068" s="7" t="str">
        <f ca="1">IFERROR(__xludf.DUMMYFUNCTION("""COMPUTED_VALUE"""),"http://www.ms.ro/2020/08/05/buletin-informativ-05-08-2020/")</f>
        <v>http://www.ms.ro/2020/08/05/buletin-informativ-05-08-2020/</v>
      </c>
      <c r="U1068" s="5"/>
      <c r="V1068" s="5"/>
      <c r="W1068" s="5"/>
      <c r="X1068" s="5"/>
      <c r="Y1068" s="5"/>
      <c r="Z1068" s="5"/>
      <c r="AA1068" s="5"/>
      <c r="AB1068" s="5"/>
      <c r="AC1068" s="5"/>
    </row>
    <row r="1069" spans="1:29" ht="12.5">
      <c r="A1069" s="5">
        <f ca="1">IFERROR(__xludf.DUMMYFUNCTION("""COMPUTED_VALUE"""),55465)</f>
        <v>55465</v>
      </c>
      <c r="B1069" s="5"/>
      <c r="C1069" s="5" t="str">
        <f ca="1">IFERROR(__xludf.DUMMYFUNCTION("""COMPUTED_VALUE"""),"Bihor")</f>
        <v>Bihor</v>
      </c>
      <c r="D1069" s="13">
        <f ca="1">IFERROR(__xludf.DUMMYFUNCTION("""COMPUTED_VALUE"""),44048)</f>
        <v>44048</v>
      </c>
      <c r="E1069" s="5" t="str">
        <f ca="1">IFERROR(__xludf.DUMMYFUNCTION("""COMPUTED_VALUE"""),"Nu")</f>
        <v>Nu</v>
      </c>
      <c r="F1069" s="5"/>
      <c r="G1069" s="5"/>
      <c r="H1069" s="6"/>
      <c r="I1069" s="5"/>
      <c r="J1069" s="5"/>
      <c r="K1069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69" s="5"/>
      <c r="M1069" s="5" t="str">
        <f ca="1">IFERROR(__xludf.DUMMYFUNCTION("""COMPUTED_VALUE"""),"Tăuteu")</f>
        <v>Tăuteu</v>
      </c>
      <c r="N1069" s="5"/>
      <c r="O1069" s="5"/>
      <c r="P1069" s="5"/>
      <c r="Q1069" s="5"/>
      <c r="R1069" s="5" t="str">
        <f ca="1">IFERROR(__xludf.DUMMYFUNCTION("""COMPUTED_VALUE"""),"România")</f>
        <v>România</v>
      </c>
      <c r="S1069" s="5" t="str">
        <f ca="1">IFERROR(__xludf.DUMMYFUNCTION("""COMPUTED_VALUE"""),"Octavian")</f>
        <v>Octavian</v>
      </c>
      <c r="T1069" s="7" t="str">
        <f ca="1">IFERROR(__xludf.DUMMYFUNCTION("""COMPUTED_VALUE"""),"http://www.ms.ro/2020/08/05/buletin-informativ-05-08-2020/")</f>
        <v>http://www.ms.ro/2020/08/05/buletin-informativ-05-08-2020/</v>
      </c>
      <c r="U1069" s="5"/>
      <c r="V1069" s="5"/>
      <c r="W1069" s="5"/>
      <c r="X1069" s="5"/>
      <c r="Y1069" s="5"/>
      <c r="Z1069" s="5"/>
      <c r="AA1069" s="5"/>
      <c r="AB1069" s="5"/>
      <c r="AC1069" s="5"/>
    </row>
    <row r="1070" spans="1:29" ht="12.5">
      <c r="A1070" s="5">
        <f ca="1">IFERROR(__xludf.DUMMYFUNCTION("""COMPUTED_VALUE"""),55466)</f>
        <v>55466</v>
      </c>
      <c r="B1070" s="5">
        <f ca="1">IFERROR(__xludf.DUMMYFUNCTION("""COMPUTED_VALUE"""),55448)</f>
        <v>55448</v>
      </c>
      <c r="C1070" s="5" t="str">
        <f ca="1">IFERROR(__xludf.DUMMYFUNCTION("""COMPUTED_VALUE"""),"Bihor")</f>
        <v>Bihor</v>
      </c>
      <c r="D1070" s="13">
        <f ca="1">IFERROR(__xludf.DUMMYFUNCTION("""COMPUTED_VALUE"""),44048)</f>
        <v>44048</v>
      </c>
      <c r="E1070" s="5" t="str">
        <f ca="1">IFERROR(__xludf.DUMMYFUNCTION("""COMPUTED_VALUE"""),"Nu")</f>
        <v>Nu</v>
      </c>
      <c r="F1070" s="5"/>
      <c r="G1070" s="5"/>
      <c r="H1070" s="6"/>
      <c r="I1070" s="5" t="str">
        <f ca="1">IFERROR(__xludf.DUMMYFUNCTION("""COMPUTED_VALUE"""),"Feminin")</f>
        <v>Feminin</v>
      </c>
      <c r="J1070" s="5"/>
      <c r="K1070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70" s="5"/>
      <c r="M1070" s="5" t="str">
        <f ca="1">IFERROR(__xludf.DUMMYFUNCTION("""COMPUTED_VALUE"""),"Oradea")</f>
        <v>Oradea</v>
      </c>
      <c r="N1070" s="5"/>
      <c r="O1070" s="5"/>
      <c r="P1070" s="5" t="str">
        <f ca="1">IFERROR(__xludf.DUMMYFUNCTION("""COMPUTED_VALUE"""),"Telefonistă SM.")</f>
        <v>Telefonistă SM.</v>
      </c>
      <c r="Q1070" s="5" t="str">
        <f ca="1">IFERROR(__xludf.DUMMYFUNCTION("""COMPUTED_VALUE"""),"Medical")</f>
        <v>Medical</v>
      </c>
      <c r="R1070" s="5" t="str">
        <f ca="1">IFERROR(__xludf.DUMMYFUNCTION("""COMPUTED_VALUE"""),"România")</f>
        <v>România</v>
      </c>
      <c r="S1070" s="5" t="str">
        <f ca="1">IFERROR(__xludf.DUMMYFUNCTION("""COMPUTED_VALUE"""),"Octavian")</f>
        <v>Octavian</v>
      </c>
      <c r="T1070" s="7" t="str">
        <f ca="1">IFERROR(__xludf.DUMMYFUNCTION("""COMPUTED_VALUE"""),"http://www.ms.ro/2020/08/05/buletin-informativ-05-08-2020/")</f>
        <v>http://www.ms.ro/2020/08/05/buletin-informativ-05-08-2020/</v>
      </c>
      <c r="U1070" s="5"/>
      <c r="V1070" s="5"/>
      <c r="W1070" s="5"/>
      <c r="X1070" s="5"/>
      <c r="Y1070" s="5"/>
      <c r="Z1070" s="5"/>
      <c r="AA1070" s="5"/>
      <c r="AB1070" s="5"/>
      <c r="AC1070" s="5"/>
    </row>
    <row r="1071" spans="1:29" ht="12.5">
      <c r="A1071" s="5">
        <f ca="1">IFERROR(__xludf.DUMMYFUNCTION("""COMPUTED_VALUE"""),55467)</f>
        <v>55467</v>
      </c>
      <c r="B1071" s="5">
        <f ca="1">IFERROR(__xludf.DUMMYFUNCTION("""COMPUTED_VALUE"""),55448)</f>
        <v>55448</v>
      </c>
      <c r="C1071" s="5" t="str">
        <f ca="1">IFERROR(__xludf.DUMMYFUNCTION("""COMPUTED_VALUE"""),"Bihor")</f>
        <v>Bihor</v>
      </c>
      <c r="D1071" s="13">
        <f ca="1">IFERROR(__xludf.DUMMYFUNCTION("""COMPUTED_VALUE"""),44048)</f>
        <v>44048</v>
      </c>
      <c r="E1071" s="5" t="str">
        <f ca="1">IFERROR(__xludf.DUMMYFUNCTION("""COMPUTED_VALUE"""),"Nu")</f>
        <v>Nu</v>
      </c>
      <c r="F1071" s="5"/>
      <c r="G1071" s="5"/>
      <c r="H1071" s="6"/>
      <c r="I1071" s="5"/>
      <c r="J1071" s="5"/>
      <c r="K1071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71" s="5"/>
      <c r="M1071" s="5" t="str">
        <f ca="1">IFERROR(__xludf.DUMMYFUNCTION("""COMPUTED_VALUE"""),"Oradea")</f>
        <v>Oradea</v>
      </c>
      <c r="N1071" s="5"/>
      <c r="O1071" s="5"/>
      <c r="P1071" s="5" t="str">
        <f ca="1">IFERROR(__xludf.DUMMYFUNCTION("""COMPUTED_VALUE"""),"SM, pacient.")</f>
        <v>SM, pacient.</v>
      </c>
      <c r="Q1071" s="5" t="str">
        <f ca="1">IFERROR(__xludf.DUMMYFUNCTION("""COMPUTED_VALUE"""),"Medical")</f>
        <v>Medical</v>
      </c>
      <c r="R1071" s="5" t="str">
        <f ca="1">IFERROR(__xludf.DUMMYFUNCTION("""COMPUTED_VALUE"""),"România")</f>
        <v>România</v>
      </c>
      <c r="S1071" s="5" t="str">
        <f ca="1">IFERROR(__xludf.DUMMYFUNCTION("""COMPUTED_VALUE"""),"Octavian")</f>
        <v>Octavian</v>
      </c>
      <c r="T1071" s="7" t="str">
        <f ca="1">IFERROR(__xludf.DUMMYFUNCTION("""COMPUTED_VALUE"""),"http://www.ms.ro/2020/08/05/buletin-informativ-05-08-2020/")</f>
        <v>http://www.ms.ro/2020/08/05/buletin-informativ-05-08-2020/</v>
      </c>
      <c r="U1071" s="5"/>
      <c r="V1071" s="5"/>
      <c r="W1071" s="5"/>
      <c r="X1071" s="5"/>
      <c r="Y1071" s="5"/>
      <c r="Z1071" s="5"/>
      <c r="AA1071" s="5"/>
      <c r="AB1071" s="5"/>
      <c r="AC1071" s="5"/>
    </row>
    <row r="1072" spans="1:29" ht="12.5">
      <c r="A1072" s="5">
        <f ca="1">IFERROR(__xludf.DUMMYFUNCTION("""COMPUTED_VALUE"""),55468)</f>
        <v>55468</v>
      </c>
      <c r="B1072" s="5">
        <f ca="1">IFERROR(__xludf.DUMMYFUNCTION("""COMPUTED_VALUE"""),55448)</f>
        <v>55448</v>
      </c>
      <c r="C1072" s="5" t="str">
        <f ca="1">IFERROR(__xludf.DUMMYFUNCTION("""COMPUTED_VALUE"""),"Bihor")</f>
        <v>Bihor</v>
      </c>
      <c r="D1072" s="13">
        <f ca="1">IFERROR(__xludf.DUMMYFUNCTION("""COMPUTED_VALUE"""),44048)</f>
        <v>44048</v>
      </c>
      <c r="E1072" s="5" t="str">
        <f ca="1">IFERROR(__xludf.DUMMYFUNCTION("""COMPUTED_VALUE"""),"Nu")</f>
        <v>Nu</v>
      </c>
      <c r="F1072" s="5"/>
      <c r="G1072" s="5"/>
      <c r="H1072" s="6"/>
      <c r="I1072" s="5"/>
      <c r="J1072" s="5"/>
      <c r="K1072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72" s="5"/>
      <c r="M1072" s="5" t="str">
        <f ca="1">IFERROR(__xludf.DUMMYFUNCTION("""COMPUTED_VALUE"""),"Oradea")</f>
        <v>Oradea</v>
      </c>
      <c r="N1072" s="5"/>
      <c r="O1072" s="5"/>
      <c r="P1072" s="5" t="str">
        <f ca="1">IFERROR(__xludf.DUMMYFUNCTION("""COMPUTED_VALUE"""),"SM, pacient.")</f>
        <v>SM, pacient.</v>
      </c>
      <c r="Q1072" s="5" t="str">
        <f ca="1">IFERROR(__xludf.DUMMYFUNCTION("""COMPUTED_VALUE"""),"Medical")</f>
        <v>Medical</v>
      </c>
      <c r="R1072" s="5" t="str">
        <f ca="1">IFERROR(__xludf.DUMMYFUNCTION("""COMPUTED_VALUE"""),"România")</f>
        <v>România</v>
      </c>
      <c r="S1072" s="5" t="str">
        <f ca="1">IFERROR(__xludf.DUMMYFUNCTION("""COMPUTED_VALUE"""),"Octavian")</f>
        <v>Octavian</v>
      </c>
      <c r="T1072" s="7" t="str">
        <f ca="1">IFERROR(__xludf.DUMMYFUNCTION("""COMPUTED_VALUE"""),"http://www.ms.ro/2020/08/05/buletin-informativ-05-08-2020/")</f>
        <v>http://www.ms.ro/2020/08/05/buletin-informativ-05-08-2020/</v>
      </c>
      <c r="U1072" s="5"/>
      <c r="V1072" s="5"/>
      <c r="W1072" s="5"/>
      <c r="X1072" s="5"/>
      <c r="Y1072" s="5"/>
      <c r="Z1072" s="5"/>
      <c r="AA1072" s="5"/>
      <c r="AB1072" s="5"/>
      <c r="AC1072" s="5"/>
    </row>
    <row r="1073" spans="1:29" ht="12.5">
      <c r="A1073" s="5">
        <f ca="1">IFERROR(__xludf.DUMMYFUNCTION("""COMPUTED_VALUE"""),55469)</f>
        <v>55469</v>
      </c>
      <c r="B1073" s="5">
        <f ca="1">IFERROR(__xludf.DUMMYFUNCTION("""COMPUTED_VALUE"""),55448)</f>
        <v>55448</v>
      </c>
      <c r="C1073" s="5" t="str">
        <f ca="1">IFERROR(__xludf.DUMMYFUNCTION("""COMPUTED_VALUE"""),"Bihor")</f>
        <v>Bihor</v>
      </c>
      <c r="D1073" s="13">
        <f ca="1">IFERROR(__xludf.DUMMYFUNCTION("""COMPUTED_VALUE"""),44048)</f>
        <v>44048</v>
      </c>
      <c r="E1073" s="5" t="str">
        <f ca="1">IFERROR(__xludf.DUMMYFUNCTION("""COMPUTED_VALUE"""),"Nu")</f>
        <v>Nu</v>
      </c>
      <c r="F1073" s="5"/>
      <c r="G1073" s="5"/>
      <c r="H1073" s="6"/>
      <c r="I1073" s="5"/>
      <c r="J1073" s="5"/>
      <c r="K1073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73" s="5"/>
      <c r="M1073" s="5" t="str">
        <f ca="1">IFERROR(__xludf.DUMMYFUNCTION("""COMPUTED_VALUE"""),"Oradea")</f>
        <v>Oradea</v>
      </c>
      <c r="N1073" s="5"/>
      <c r="O1073" s="5"/>
      <c r="P1073" s="5" t="str">
        <f ca="1">IFERROR(__xludf.DUMMYFUNCTION("""COMPUTED_VALUE"""),"SM, pacient.")</f>
        <v>SM, pacient.</v>
      </c>
      <c r="Q1073" s="5" t="str">
        <f ca="1">IFERROR(__xludf.DUMMYFUNCTION("""COMPUTED_VALUE"""),"Medical")</f>
        <v>Medical</v>
      </c>
      <c r="R1073" s="5" t="str">
        <f ca="1">IFERROR(__xludf.DUMMYFUNCTION("""COMPUTED_VALUE"""),"România")</f>
        <v>România</v>
      </c>
      <c r="S1073" s="5" t="str">
        <f ca="1">IFERROR(__xludf.DUMMYFUNCTION("""COMPUTED_VALUE"""),"Octavian")</f>
        <v>Octavian</v>
      </c>
      <c r="T1073" s="7" t="str">
        <f ca="1">IFERROR(__xludf.DUMMYFUNCTION("""COMPUTED_VALUE"""),"http://www.ms.ro/2020/08/05/buletin-informativ-05-08-2020/")</f>
        <v>http://www.ms.ro/2020/08/05/buletin-informativ-05-08-2020/</v>
      </c>
      <c r="U1073" s="5"/>
      <c r="V1073" s="5"/>
      <c r="W1073" s="5"/>
      <c r="X1073" s="5"/>
      <c r="Y1073" s="5"/>
      <c r="Z1073" s="5"/>
      <c r="AA1073" s="5"/>
      <c r="AB1073" s="5"/>
      <c r="AC1073" s="5"/>
    </row>
    <row r="1074" spans="1:29" ht="12.5">
      <c r="A1074" s="5">
        <f ca="1">IFERROR(__xludf.DUMMYFUNCTION("""COMPUTED_VALUE"""),55470)</f>
        <v>55470</v>
      </c>
      <c r="B1074" s="5">
        <f ca="1">IFERROR(__xludf.DUMMYFUNCTION("""COMPUTED_VALUE"""),55448)</f>
        <v>55448</v>
      </c>
      <c r="C1074" s="5" t="str">
        <f ca="1">IFERROR(__xludf.DUMMYFUNCTION("""COMPUTED_VALUE"""),"Bihor")</f>
        <v>Bihor</v>
      </c>
      <c r="D1074" s="13">
        <f ca="1">IFERROR(__xludf.DUMMYFUNCTION("""COMPUTED_VALUE"""),44048)</f>
        <v>44048</v>
      </c>
      <c r="E1074" s="5" t="str">
        <f ca="1">IFERROR(__xludf.DUMMYFUNCTION("""COMPUTED_VALUE"""),"Nu")</f>
        <v>Nu</v>
      </c>
      <c r="F1074" s="5"/>
      <c r="G1074" s="5"/>
      <c r="H1074" s="6"/>
      <c r="I1074" s="5"/>
      <c r="J1074" s="5"/>
      <c r="K1074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74" s="5"/>
      <c r="M1074" s="5" t="str">
        <f ca="1">IFERROR(__xludf.DUMMYFUNCTION("""COMPUTED_VALUE"""),"Oradea")</f>
        <v>Oradea</v>
      </c>
      <c r="N1074" s="5"/>
      <c r="O1074" s="5"/>
      <c r="P1074" s="5" t="str">
        <f ca="1">IFERROR(__xludf.DUMMYFUNCTION("""COMPUTED_VALUE"""),"SM, pacient.")</f>
        <v>SM, pacient.</v>
      </c>
      <c r="Q1074" s="5" t="str">
        <f ca="1">IFERROR(__xludf.DUMMYFUNCTION("""COMPUTED_VALUE"""),"Medical")</f>
        <v>Medical</v>
      </c>
      <c r="R1074" s="5" t="str">
        <f ca="1">IFERROR(__xludf.DUMMYFUNCTION("""COMPUTED_VALUE"""),"România")</f>
        <v>România</v>
      </c>
      <c r="S1074" s="5" t="str">
        <f ca="1">IFERROR(__xludf.DUMMYFUNCTION("""COMPUTED_VALUE"""),"Octavian")</f>
        <v>Octavian</v>
      </c>
      <c r="T1074" s="7" t="str">
        <f ca="1">IFERROR(__xludf.DUMMYFUNCTION("""COMPUTED_VALUE"""),"http://www.ms.ro/2020/08/05/buletin-informativ-05-08-2020/")</f>
        <v>http://www.ms.ro/2020/08/05/buletin-informativ-05-08-2020/</v>
      </c>
      <c r="U1074" s="5"/>
      <c r="V1074" s="5"/>
      <c r="W1074" s="5"/>
      <c r="X1074" s="5"/>
      <c r="Y1074" s="5"/>
      <c r="Z1074" s="5"/>
      <c r="AA1074" s="5"/>
      <c r="AB1074" s="5"/>
      <c r="AC1074" s="5"/>
    </row>
    <row r="1075" spans="1:29" ht="12.5">
      <c r="A1075" s="5">
        <f ca="1">IFERROR(__xludf.DUMMYFUNCTION("""COMPUTED_VALUE"""),55471)</f>
        <v>55471</v>
      </c>
      <c r="B1075" s="5">
        <f ca="1">IFERROR(__xludf.DUMMYFUNCTION("""COMPUTED_VALUE"""),55448)</f>
        <v>55448</v>
      </c>
      <c r="C1075" s="5" t="str">
        <f ca="1">IFERROR(__xludf.DUMMYFUNCTION("""COMPUTED_VALUE"""),"Bihor")</f>
        <v>Bihor</v>
      </c>
      <c r="D1075" s="13">
        <f ca="1">IFERROR(__xludf.DUMMYFUNCTION("""COMPUTED_VALUE"""),44048)</f>
        <v>44048</v>
      </c>
      <c r="E1075" s="5" t="str">
        <f ca="1">IFERROR(__xludf.DUMMYFUNCTION("""COMPUTED_VALUE"""),"Nu")</f>
        <v>Nu</v>
      </c>
      <c r="F1075" s="5"/>
      <c r="G1075" s="5"/>
      <c r="H1075" s="6"/>
      <c r="I1075" s="5"/>
      <c r="J1075" s="5"/>
      <c r="K1075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75" s="5"/>
      <c r="M1075" s="5" t="str">
        <f ca="1">IFERROR(__xludf.DUMMYFUNCTION("""COMPUTED_VALUE"""),"Oradea")</f>
        <v>Oradea</v>
      </c>
      <c r="N1075" s="5"/>
      <c r="O1075" s="5"/>
      <c r="P1075" s="5" t="str">
        <f ca="1">IFERROR(__xludf.DUMMYFUNCTION("""COMPUTED_VALUE"""),"SM, pacient.")</f>
        <v>SM, pacient.</v>
      </c>
      <c r="Q1075" s="5" t="str">
        <f ca="1">IFERROR(__xludf.DUMMYFUNCTION("""COMPUTED_VALUE"""),"Medical")</f>
        <v>Medical</v>
      </c>
      <c r="R1075" s="5" t="str">
        <f ca="1">IFERROR(__xludf.DUMMYFUNCTION("""COMPUTED_VALUE"""),"România")</f>
        <v>România</v>
      </c>
      <c r="S1075" s="5" t="str">
        <f ca="1">IFERROR(__xludf.DUMMYFUNCTION("""COMPUTED_VALUE"""),"Octavian")</f>
        <v>Octavian</v>
      </c>
      <c r="T1075" s="7" t="str">
        <f ca="1">IFERROR(__xludf.DUMMYFUNCTION("""COMPUTED_VALUE"""),"http://www.ms.ro/2020/08/05/buletin-informativ-05-08-2020/")</f>
        <v>http://www.ms.ro/2020/08/05/buletin-informativ-05-08-2020/</v>
      </c>
      <c r="U1075" s="5"/>
      <c r="V1075" s="5"/>
      <c r="W1075" s="5"/>
      <c r="X1075" s="5"/>
      <c r="Y1075" s="5"/>
      <c r="Z1075" s="5"/>
      <c r="AA1075" s="5"/>
      <c r="AB1075" s="5"/>
      <c r="AC1075" s="5"/>
    </row>
    <row r="1076" spans="1:29" ht="12.5">
      <c r="A1076" s="5">
        <f ca="1">IFERROR(__xludf.DUMMYFUNCTION("""COMPUTED_VALUE"""),55472)</f>
        <v>55472</v>
      </c>
      <c r="B1076" s="5">
        <f ca="1">IFERROR(__xludf.DUMMYFUNCTION("""COMPUTED_VALUE"""),55448)</f>
        <v>55448</v>
      </c>
      <c r="C1076" s="5" t="str">
        <f ca="1">IFERROR(__xludf.DUMMYFUNCTION("""COMPUTED_VALUE"""),"Bihor")</f>
        <v>Bihor</v>
      </c>
      <c r="D1076" s="13">
        <f ca="1">IFERROR(__xludf.DUMMYFUNCTION("""COMPUTED_VALUE"""),44048)</f>
        <v>44048</v>
      </c>
      <c r="E1076" s="5" t="str">
        <f ca="1">IFERROR(__xludf.DUMMYFUNCTION("""COMPUTED_VALUE"""),"Nu")</f>
        <v>Nu</v>
      </c>
      <c r="F1076" s="5"/>
      <c r="G1076" s="5"/>
      <c r="H1076" s="6"/>
      <c r="I1076" s="5"/>
      <c r="J1076" s="5"/>
      <c r="K1076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76" s="5"/>
      <c r="M1076" s="5" t="str">
        <f ca="1">IFERROR(__xludf.DUMMYFUNCTION("""COMPUTED_VALUE"""),"Oradea")</f>
        <v>Oradea</v>
      </c>
      <c r="N1076" s="5"/>
      <c r="O1076" s="5"/>
      <c r="P1076" s="5" t="str">
        <f ca="1">IFERROR(__xludf.DUMMYFUNCTION("""COMPUTED_VALUE"""),"SM, pacient.")</f>
        <v>SM, pacient.</v>
      </c>
      <c r="Q1076" s="5" t="str">
        <f ca="1">IFERROR(__xludf.DUMMYFUNCTION("""COMPUTED_VALUE"""),"Medical")</f>
        <v>Medical</v>
      </c>
      <c r="R1076" s="5" t="str">
        <f ca="1">IFERROR(__xludf.DUMMYFUNCTION("""COMPUTED_VALUE"""),"România")</f>
        <v>România</v>
      </c>
      <c r="S1076" s="5" t="str">
        <f ca="1">IFERROR(__xludf.DUMMYFUNCTION("""COMPUTED_VALUE"""),"Octavian")</f>
        <v>Octavian</v>
      </c>
      <c r="T1076" s="7" t="str">
        <f ca="1">IFERROR(__xludf.DUMMYFUNCTION("""COMPUTED_VALUE"""),"http://www.ms.ro/2020/08/05/buletin-informativ-05-08-2020/")</f>
        <v>http://www.ms.ro/2020/08/05/buletin-informativ-05-08-2020/</v>
      </c>
      <c r="U1076" s="5"/>
      <c r="V1076" s="5"/>
      <c r="W1076" s="5"/>
      <c r="X1076" s="5"/>
      <c r="Y1076" s="5"/>
      <c r="Z1076" s="5"/>
      <c r="AA1076" s="5"/>
      <c r="AB1076" s="5"/>
      <c r="AC1076" s="5"/>
    </row>
    <row r="1077" spans="1:29" ht="12.5">
      <c r="A1077" s="5">
        <f ca="1">IFERROR(__xludf.DUMMYFUNCTION("""COMPUTED_VALUE"""),55473)</f>
        <v>55473</v>
      </c>
      <c r="B1077" s="5">
        <f ca="1">IFERROR(__xludf.DUMMYFUNCTION("""COMPUTED_VALUE"""),55448)</f>
        <v>55448</v>
      </c>
      <c r="C1077" s="5" t="str">
        <f ca="1">IFERROR(__xludf.DUMMYFUNCTION("""COMPUTED_VALUE"""),"Bihor")</f>
        <v>Bihor</v>
      </c>
      <c r="D1077" s="13">
        <f ca="1">IFERROR(__xludf.DUMMYFUNCTION("""COMPUTED_VALUE"""),44048)</f>
        <v>44048</v>
      </c>
      <c r="E1077" s="5" t="str">
        <f ca="1">IFERROR(__xludf.DUMMYFUNCTION("""COMPUTED_VALUE"""),"Nu")</f>
        <v>Nu</v>
      </c>
      <c r="F1077" s="5"/>
      <c r="G1077" s="5"/>
      <c r="H1077" s="6"/>
      <c r="I1077" s="5"/>
      <c r="J1077" s="5"/>
      <c r="K1077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77" s="5"/>
      <c r="M1077" s="5" t="str">
        <f ca="1">IFERROR(__xludf.DUMMYFUNCTION("""COMPUTED_VALUE"""),"Oradea")</f>
        <v>Oradea</v>
      </c>
      <c r="N1077" s="5"/>
      <c r="O1077" s="5"/>
      <c r="P1077" s="5" t="str">
        <f ca="1">IFERROR(__xludf.DUMMYFUNCTION("""COMPUTED_VALUE"""),"SM, pacient.")</f>
        <v>SM, pacient.</v>
      </c>
      <c r="Q1077" s="5" t="str">
        <f ca="1">IFERROR(__xludf.DUMMYFUNCTION("""COMPUTED_VALUE"""),"Medical")</f>
        <v>Medical</v>
      </c>
      <c r="R1077" s="5" t="str">
        <f ca="1">IFERROR(__xludf.DUMMYFUNCTION("""COMPUTED_VALUE"""),"România")</f>
        <v>România</v>
      </c>
      <c r="S1077" s="5" t="str">
        <f ca="1">IFERROR(__xludf.DUMMYFUNCTION("""COMPUTED_VALUE"""),"Octavian")</f>
        <v>Octavian</v>
      </c>
      <c r="T1077" s="7" t="str">
        <f ca="1">IFERROR(__xludf.DUMMYFUNCTION("""COMPUTED_VALUE"""),"http://www.ms.ro/2020/08/05/buletin-informativ-05-08-2020/")</f>
        <v>http://www.ms.ro/2020/08/05/buletin-informativ-05-08-2020/</v>
      </c>
      <c r="U1077" s="5"/>
      <c r="V1077" s="5"/>
      <c r="W1077" s="5"/>
      <c r="X1077" s="5"/>
      <c r="Y1077" s="5"/>
      <c r="Z1077" s="5"/>
      <c r="AA1077" s="5"/>
      <c r="AB1077" s="5"/>
      <c r="AC1077" s="5"/>
    </row>
    <row r="1078" spans="1:29" ht="12.5">
      <c r="A1078" s="5">
        <f ca="1">IFERROR(__xludf.DUMMYFUNCTION("""COMPUTED_VALUE"""),55474)</f>
        <v>55474</v>
      </c>
      <c r="B1078" s="5">
        <f ca="1">IFERROR(__xludf.DUMMYFUNCTION("""COMPUTED_VALUE"""),55448)</f>
        <v>55448</v>
      </c>
      <c r="C1078" s="5" t="str">
        <f ca="1">IFERROR(__xludf.DUMMYFUNCTION("""COMPUTED_VALUE"""),"Bihor")</f>
        <v>Bihor</v>
      </c>
      <c r="D1078" s="13">
        <f ca="1">IFERROR(__xludf.DUMMYFUNCTION("""COMPUTED_VALUE"""),44048)</f>
        <v>44048</v>
      </c>
      <c r="E1078" s="5" t="str">
        <f ca="1">IFERROR(__xludf.DUMMYFUNCTION("""COMPUTED_VALUE"""),"Nu")</f>
        <v>Nu</v>
      </c>
      <c r="F1078" s="5"/>
      <c r="G1078" s="5"/>
      <c r="H1078" s="6"/>
      <c r="I1078" s="5"/>
      <c r="J1078" s="5"/>
      <c r="K1078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78" s="5"/>
      <c r="M1078" s="5" t="str">
        <f ca="1">IFERROR(__xludf.DUMMYFUNCTION("""COMPUTED_VALUE"""),"Oradea")</f>
        <v>Oradea</v>
      </c>
      <c r="N1078" s="5"/>
      <c r="O1078" s="5"/>
      <c r="P1078" s="5" t="str">
        <f ca="1">IFERROR(__xludf.DUMMYFUNCTION("""COMPUTED_VALUE"""),"SM, pacient.")</f>
        <v>SM, pacient.</v>
      </c>
      <c r="Q1078" s="5" t="str">
        <f ca="1">IFERROR(__xludf.DUMMYFUNCTION("""COMPUTED_VALUE"""),"Medical")</f>
        <v>Medical</v>
      </c>
      <c r="R1078" s="5" t="str">
        <f ca="1">IFERROR(__xludf.DUMMYFUNCTION("""COMPUTED_VALUE"""),"România")</f>
        <v>România</v>
      </c>
      <c r="S1078" s="5" t="str">
        <f ca="1">IFERROR(__xludf.DUMMYFUNCTION("""COMPUTED_VALUE"""),"Octavian")</f>
        <v>Octavian</v>
      </c>
      <c r="T1078" s="7" t="str">
        <f ca="1">IFERROR(__xludf.DUMMYFUNCTION("""COMPUTED_VALUE"""),"http://www.ms.ro/2020/08/05/buletin-informativ-05-08-2020/")</f>
        <v>http://www.ms.ro/2020/08/05/buletin-informativ-05-08-2020/</v>
      </c>
      <c r="U1078" s="5"/>
      <c r="V1078" s="5"/>
      <c r="W1078" s="5"/>
      <c r="X1078" s="5"/>
      <c r="Y1078" s="5"/>
      <c r="Z1078" s="5"/>
      <c r="AA1078" s="5"/>
      <c r="AB1078" s="5"/>
      <c r="AC1078" s="5"/>
    </row>
    <row r="1079" spans="1:29" ht="12.5">
      <c r="A1079" s="5">
        <f ca="1">IFERROR(__xludf.DUMMYFUNCTION("""COMPUTED_VALUE"""),55475)</f>
        <v>55475</v>
      </c>
      <c r="B1079" s="5">
        <f ca="1">IFERROR(__xludf.DUMMYFUNCTION("""COMPUTED_VALUE"""),55448)</f>
        <v>55448</v>
      </c>
      <c r="C1079" s="5" t="str">
        <f ca="1">IFERROR(__xludf.DUMMYFUNCTION("""COMPUTED_VALUE"""),"Bihor")</f>
        <v>Bihor</v>
      </c>
      <c r="D1079" s="13">
        <f ca="1">IFERROR(__xludf.DUMMYFUNCTION("""COMPUTED_VALUE"""),44048)</f>
        <v>44048</v>
      </c>
      <c r="E1079" s="5" t="str">
        <f ca="1">IFERROR(__xludf.DUMMYFUNCTION("""COMPUTED_VALUE"""),"Nu")</f>
        <v>Nu</v>
      </c>
      <c r="F1079" s="5"/>
      <c r="G1079" s="5"/>
      <c r="H1079" s="6"/>
      <c r="I1079" s="5"/>
      <c r="J1079" s="5"/>
      <c r="K1079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79" s="5"/>
      <c r="M1079" s="5" t="str">
        <f ca="1">IFERROR(__xludf.DUMMYFUNCTION("""COMPUTED_VALUE"""),"Oradea")</f>
        <v>Oradea</v>
      </c>
      <c r="N1079" s="5"/>
      <c r="O1079" s="5"/>
      <c r="P1079" s="5" t="str">
        <f ca="1">IFERROR(__xludf.DUMMYFUNCTION("""COMPUTED_VALUE"""),"SM, pacient.")</f>
        <v>SM, pacient.</v>
      </c>
      <c r="Q1079" s="5" t="str">
        <f ca="1">IFERROR(__xludf.DUMMYFUNCTION("""COMPUTED_VALUE"""),"Medical")</f>
        <v>Medical</v>
      </c>
      <c r="R1079" s="5" t="str">
        <f ca="1">IFERROR(__xludf.DUMMYFUNCTION("""COMPUTED_VALUE"""),"România")</f>
        <v>România</v>
      </c>
      <c r="S1079" s="5" t="str">
        <f ca="1">IFERROR(__xludf.DUMMYFUNCTION("""COMPUTED_VALUE"""),"Octavian")</f>
        <v>Octavian</v>
      </c>
      <c r="T1079" s="7" t="str">
        <f ca="1">IFERROR(__xludf.DUMMYFUNCTION("""COMPUTED_VALUE"""),"http://www.ms.ro/2020/08/05/buletin-informativ-05-08-2020/")</f>
        <v>http://www.ms.ro/2020/08/05/buletin-informativ-05-08-2020/</v>
      </c>
      <c r="U1079" s="5"/>
      <c r="V1079" s="5"/>
      <c r="W1079" s="5"/>
      <c r="X1079" s="5"/>
      <c r="Y1079" s="5"/>
      <c r="Z1079" s="5"/>
      <c r="AA1079" s="5"/>
      <c r="AB1079" s="5"/>
      <c r="AC1079" s="5"/>
    </row>
    <row r="1080" spans="1:29" ht="12.5">
      <c r="A1080" s="5">
        <f ca="1">IFERROR(__xludf.DUMMYFUNCTION("""COMPUTED_VALUE"""),55476)</f>
        <v>55476</v>
      </c>
      <c r="B1080" s="5">
        <f ca="1">IFERROR(__xludf.DUMMYFUNCTION("""COMPUTED_VALUE"""),55448)</f>
        <v>55448</v>
      </c>
      <c r="C1080" s="5" t="str">
        <f ca="1">IFERROR(__xludf.DUMMYFUNCTION("""COMPUTED_VALUE"""),"Bihor")</f>
        <v>Bihor</v>
      </c>
      <c r="D1080" s="13">
        <f ca="1">IFERROR(__xludf.DUMMYFUNCTION("""COMPUTED_VALUE"""),44048)</f>
        <v>44048</v>
      </c>
      <c r="E1080" s="5" t="str">
        <f ca="1">IFERROR(__xludf.DUMMYFUNCTION("""COMPUTED_VALUE"""),"Nu")</f>
        <v>Nu</v>
      </c>
      <c r="F1080" s="5"/>
      <c r="G1080" s="5"/>
      <c r="H1080" s="6"/>
      <c r="I1080" s="5"/>
      <c r="J1080" s="5"/>
      <c r="K1080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80" s="5"/>
      <c r="M1080" s="5" t="str">
        <f ca="1">IFERROR(__xludf.DUMMYFUNCTION("""COMPUTED_VALUE"""),"Oradea")</f>
        <v>Oradea</v>
      </c>
      <c r="N1080" s="5"/>
      <c r="O1080" s="5"/>
      <c r="P1080" s="5" t="str">
        <f ca="1">IFERROR(__xludf.DUMMYFUNCTION("""COMPUTED_VALUE"""),"SM, pacient.")</f>
        <v>SM, pacient.</v>
      </c>
      <c r="Q1080" s="5" t="str">
        <f ca="1">IFERROR(__xludf.DUMMYFUNCTION("""COMPUTED_VALUE"""),"Medical")</f>
        <v>Medical</v>
      </c>
      <c r="R1080" s="5" t="str">
        <f ca="1">IFERROR(__xludf.DUMMYFUNCTION("""COMPUTED_VALUE"""),"România")</f>
        <v>România</v>
      </c>
      <c r="S1080" s="5" t="str">
        <f ca="1">IFERROR(__xludf.DUMMYFUNCTION("""COMPUTED_VALUE"""),"Octavian")</f>
        <v>Octavian</v>
      </c>
      <c r="T1080" s="7" t="str">
        <f ca="1">IFERROR(__xludf.DUMMYFUNCTION("""COMPUTED_VALUE"""),"http://www.ms.ro/2020/08/05/buletin-informativ-05-08-2020/")</f>
        <v>http://www.ms.ro/2020/08/05/buletin-informativ-05-08-2020/</v>
      </c>
      <c r="U1080" s="5"/>
      <c r="V1080" s="5"/>
      <c r="W1080" s="5"/>
      <c r="X1080" s="5"/>
      <c r="Y1080" s="5"/>
      <c r="Z1080" s="5"/>
      <c r="AA1080" s="5"/>
      <c r="AB1080" s="5"/>
      <c r="AC1080" s="5"/>
    </row>
    <row r="1081" spans="1:29" ht="12.5">
      <c r="A1081" s="5">
        <f ca="1">IFERROR(__xludf.DUMMYFUNCTION("""COMPUTED_VALUE"""),55477)</f>
        <v>55477</v>
      </c>
      <c r="B1081" s="5">
        <f ca="1">IFERROR(__xludf.DUMMYFUNCTION("""COMPUTED_VALUE"""),55448)</f>
        <v>55448</v>
      </c>
      <c r="C1081" s="5" t="str">
        <f ca="1">IFERROR(__xludf.DUMMYFUNCTION("""COMPUTED_VALUE"""),"Bihor")</f>
        <v>Bihor</v>
      </c>
      <c r="D1081" s="13">
        <f ca="1">IFERROR(__xludf.DUMMYFUNCTION("""COMPUTED_VALUE"""),44048)</f>
        <v>44048</v>
      </c>
      <c r="E1081" s="5" t="str">
        <f ca="1">IFERROR(__xludf.DUMMYFUNCTION("""COMPUTED_VALUE"""),"Nu")</f>
        <v>Nu</v>
      </c>
      <c r="F1081" s="5"/>
      <c r="G1081" s="5"/>
      <c r="H1081" s="6"/>
      <c r="I1081" s="5"/>
      <c r="J1081" s="5"/>
      <c r="K1081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81" s="5"/>
      <c r="M1081" s="5" t="str">
        <f ca="1">IFERROR(__xludf.DUMMYFUNCTION("""COMPUTED_VALUE"""),"Oradea")</f>
        <v>Oradea</v>
      </c>
      <c r="N1081" s="5"/>
      <c r="O1081" s="5"/>
      <c r="P1081" s="5" t="str">
        <f ca="1">IFERROR(__xludf.DUMMYFUNCTION("""COMPUTED_VALUE"""),"SM, pacient.")</f>
        <v>SM, pacient.</v>
      </c>
      <c r="Q1081" s="5" t="str">
        <f ca="1">IFERROR(__xludf.DUMMYFUNCTION("""COMPUTED_VALUE"""),"Medical")</f>
        <v>Medical</v>
      </c>
      <c r="R1081" s="5" t="str">
        <f ca="1">IFERROR(__xludf.DUMMYFUNCTION("""COMPUTED_VALUE"""),"România")</f>
        <v>România</v>
      </c>
      <c r="S1081" s="5" t="str">
        <f ca="1">IFERROR(__xludf.DUMMYFUNCTION("""COMPUTED_VALUE"""),"Octavian")</f>
        <v>Octavian</v>
      </c>
      <c r="T1081" s="7" t="str">
        <f ca="1">IFERROR(__xludf.DUMMYFUNCTION("""COMPUTED_VALUE"""),"http://www.ms.ro/2020/08/05/buletin-informativ-05-08-2020/")</f>
        <v>http://www.ms.ro/2020/08/05/buletin-informativ-05-08-2020/</v>
      </c>
      <c r="U1081" s="5"/>
      <c r="V1081" s="5"/>
      <c r="W1081" s="5"/>
      <c r="X1081" s="5"/>
      <c r="Y1081" s="5"/>
      <c r="Z1081" s="5"/>
      <c r="AA1081" s="5"/>
      <c r="AB1081" s="5"/>
      <c r="AC1081" s="5"/>
    </row>
    <row r="1082" spans="1:29" ht="12.5">
      <c r="A1082" s="5">
        <f ca="1">IFERROR(__xludf.DUMMYFUNCTION("""COMPUTED_VALUE"""),55478)</f>
        <v>55478</v>
      </c>
      <c r="B1082" s="5">
        <f ca="1">IFERROR(__xludf.DUMMYFUNCTION("""COMPUTED_VALUE"""),55448)</f>
        <v>55448</v>
      </c>
      <c r="C1082" s="5" t="str">
        <f ca="1">IFERROR(__xludf.DUMMYFUNCTION("""COMPUTED_VALUE"""),"Bihor")</f>
        <v>Bihor</v>
      </c>
      <c r="D1082" s="13">
        <f ca="1">IFERROR(__xludf.DUMMYFUNCTION("""COMPUTED_VALUE"""),44048)</f>
        <v>44048</v>
      </c>
      <c r="E1082" s="5" t="str">
        <f ca="1">IFERROR(__xludf.DUMMYFUNCTION("""COMPUTED_VALUE"""),"Nu")</f>
        <v>Nu</v>
      </c>
      <c r="F1082" s="5"/>
      <c r="G1082" s="5"/>
      <c r="H1082" s="6"/>
      <c r="I1082" s="5"/>
      <c r="J1082" s="5"/>
      <c r="K1082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82" s="5"/>
      <c r="M1082" s="5" t="str">
        <f ca="1">IFERROR(__xludf.DUMMYFUNCTION("""COMPUTED_VALUE"""),"Oradea")</f>
        <v>Oradea</v>
      </c>
      <c r="N1082" s="5"/>
      <c r="O1082" s="5"/>
      <c r="P1082" s="5" t="str">
        <f ca="1">IFERROR(__xludf.DUMMYFUNCTION("""COMPUTED_VALUE"""),"SM, pacient.")</f>
        <v>SM, pacient.</v>
      </c>
      <c r="Q1082" s="5" t="str">
        <f ca="1">IFERROR(__xludf.DUMMYFUNCTION("""COMPUTED_VALUE"""),"Medical")</f>
        <v>Medical</v>
      </c>
      <c r="R1082" s="5" t="str">
        <f ca="1">IFERROR(__xludf.DUMMYFUNCTION("""COMPUTED_VALUE"""),"România")</f>
        <v>România</v>
      </c>
      <c r="S1082" s="5" t="str">
        <f ca="1">IFERROR(__xludf.DUMMYFUNCTION("""COMPUTED_VALUE"""),"Octavian")</f>
        <v>Octavian</v>
      </c>
      <c r="T1082" s="7" t="str">
        <f ca="1">IFERROR(__xludf.DUMMYFUNCTION("""COMPUTED_VALUE"""),"http://www.ms.ro/2020/08/05/buletin-informativ-05-08-2020/")</f>
        <v>http://www.ms.ro/2020/08/05/buletin-informativ-05-08-2020/</v>
      </c>
      <c r="U1082" s="5"/>
      <c r="V1082" s="5"/>
      <c r="W1082" s="5"/>
      <c r="X1082" s="5"/>
      <c r="Y1082" s="5"/>
      <c r="Z1082" s="5"/>
      <c r="AA1082" s="5"/>
      <c r="AB1082" s="5"/>
      <c r="AC1082" s="5"/>
    </row>
    <row r="1083" spans="1:29" ht="12.5">
      <c r="A1083" s="5">
        <f ca="1">IFERROR(__xludf.DUMMYFUNCTION("""COMPUTED_VALUE"""),55479)</f>
        <v>55479</v>
      </c>
      <c r="B1083" s="5">
        <f ca="1">IFERROR(__xludf.DUMMYFUNCTION("""COMPUTED_VALUE"""),55448)</f>
        <v>55448</v>
      </c>
      <c r="C1083" s="5" t="str">
        <f ca="1">IFERROR(__xludf.DUMMYFUNCTION("""COMPUTED_VALUE"""),"Bihor")</f>
        <v>Bihor</v>
      </c>
      <c r="D1083" s="13">
        <f ca="1">IFERROR(__xludf.DUMMYFUNCTION("""COMPUTED_VALUE"""),44048)</f>
        <v>44048</v>
      </c>
      <c r="E1083" s="5" t="str">
        <f ca="1">IFERROR(__xludf.DUMMYFUNCTION("""COMPUTED_VALUE"""),"Nu")</f>
        <v>Nu</v>
      </c>
      <c r="F1083" s="5"/>
      <c r="G1083" s="5"/>
      <c r="H1083" s="6"/>
      <c r="I1083" s="5"/>
      <c r="J1083" s="5"/>
      <c r="K1083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83" s="5"/>
      <c r="M1083" s="5" t="str">
        <f ca="1">IFERROR(__xludf.DUMMYFUNCTION("""COMPUTED_VALUE"""),"Oradea")</f>
        <v>Oradea</v>
      </c>
      <c r="N1083" s="5"/>
      <c r="O1083" s="5"/>
      <c r="P1083" s="5" t="str">
        <f ca="1">IFERROR(__xludf.DUMMYFUNCTION("""COMPUTED_VALUE"""),"SM, pacient.")</f>
        <v>SM, pacient.</v>
      </c>
      <c r="Q1083" s="5" t="str">
        <f ca="1">IFERROR(__xludf.DUMMYFUNCTION("""COMPUTED_VALUE"""),"Medical")</f>
        <v>Medical</v>
      </c>
      <c r="R1083" s="5" t="str">
        <f ca="1">IFERROR(__xludf.DUMMYFUNCTION("""COMPUTED_VALUE"""),"România")</f>
        <v>România</v>
      </c>
      <c r="S1083" s="5" t="str">
        <f ca="1">IFERROR(__xludf.DUMMYFUNCTION("""COMPUTED_VALUE"""),"Octavian")</f>
        <v>Octavian</v>
      </c>
      <c r="T1083" s="7" t="str">
        <f ca="1">IFERROR(__xludf.DUMMYFUNCTION("""COMPUTED_VALUE"""),"http://www.ms.ro/2020/08/05/buletin-informativ-05-08-2020/")</f>
        <v>http://www.ms.ro/2020/08/05/buletin-informativ-05-08-2020/</v>
      </c>
      <c r="U1083" s="5"/>
      <c r="V1083" s="5"/>
      <c r="W1083" s="5"/>
      <c r="X1083" s="5"/>
      <c r="Y1083" s="5"/>
      <c r="Z1083" s="5"/>
      <c r="AA1083" s="5"/>
      <c r="AB1083" s="5"/>
      <c r="AC1083" s="5"/>
    </row>
    <row r="1084" spans="1:29" ht="12.5">
      <c r="A1084" s="5">
        <f ca="1">IFERROR(__xludf.DUMMYFUNCTION("""COMPUTED_VALUE"""),55480)</f>
        <v>55480</v>
      </c>
      <c r="B1084" s="5">
        <f ca="1">IFERROR(__xludf.DUMMYFUNCTION("""COMPUTED_VALUE"""),55448)</f>
        <v>55448</v>
      </c>
      <c r="C1084" s="5" t="str">
        <f ca="1">IFERROR(__xludf.DUMMYFUNCTION("""COMPUTED_VALUE"""),"Bihor")</f>
        <v>Bihor</v>
      </c>
      <c r="D1084" s="13">
        <f ca="1">IFERROR(__xludf.DUMMYFUNCTION("""COMPUTED_VALUE"""),44048)</f>
        <v>44048</v>
      </c>
      <c r="E1084" s="5" t="str">
        <f ca="1">IFERROR(__xludf.DUMMYFUNCTION("""COMPUTED_VALUE"""),"Nu")</f>
        <v>Nu</v>
      </c>
      <c r="F1084" s="5"/>
      <c r="G1084" s="5"/>
      <c r="H1084" s="6"/>
      <c r="I1084" s="5"/>
      <c r="J1084" s="5"/>
      <c r="K1084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84" s="5"/>
      <c r="M1084" s="5" t="str">
        <f ca="1">IFERROR(__xludf.DUMMYFUNCTION("""COMPUTED_VALUE"""),"Oradea")</f>
        <v>Oradea</v>
      </c>
      <c r="N1084" s="5"/>
      <c r="O1084" s="5"/>
      <c r="P1084" s="5" t="str">
        <f ca="1">IFERROR(__xludf.DUMMYFUNCTION("""COMPUTED_VALUE"""),"SM, pacient.")</f>
        <v>SM, pacient.</v>
      </c>
      <c r="Q1084" s="5" t="str">
        <f ca="1">IFERROR(__xludf.DUMMYFUNCTION("""COMPUTED_VALUE"""),"Medical")</f>
        <v>Medical</v>
      </c>
      <c r="R1084" s="5" t="str">
        <f ca="1">IFERROR(__xludf.DUMMYFUNCTION("""COMPUTED_VALUE"""),"România")</f>
        <v>România</v>
      </c>
      <c r="S1084" s="5" t="str">
        <f ca="1">IFERROR(__xludf.DUMMYFUNCTION("""COMPUTED_VALUE"""),"Octavian")</f>
        <v>Octavian</v>
      </c>
      <c r="T1084" s="7" t="str">
        <f ca="1">IFERROR(__xludf.DUMMYFUNCTION("""COMPUTED_VALUE"""),"http://www.ms.ro/2020/08/05/buletin-informativ-05-08-2020/")</f>
        <v>http://www.ms.ro/2020/08/05/buletin-informativ-05-08-2020/</v>
      </c>
      <c r="U1084" s="5"/>
      <c r="V1084" s="5"/>
      <c r="W1084" s="5"/>
      <c r="X1084" s="5"/>
      <c r="Y1084" s="5"/>
      <c r="Z1084" s="5"/>
      <c r="AA1084" s="5"/>
      <c r="AB1084" s="5"/>
      <c r="AC1084" s="5"/>
    </row>
    <row r="1085" spans="1:29" ht="12.5">
      <c r="A1085" s="5">
        <f ca="1">IFERROR(__xludf.DUMMYFUNCTION("""COMPUTED_VALUE"""),55481)</f>
        <v>55481</v>
      </c>
      <c r="B1085" s="5">
        <f ca="1">IFERROR(__xludf.DUMMYFUNCTION("""COMPUTED_VALUE"""),55448)</f>
        <v>55448</v>
      </c>
      <c r="C1085" s="5" t="str">
        <f ca="1">IFERROR(__xludf.DUMMYFUNCTION("""COMPUTED_VALUE"""),"Bihor")</f>
        <v>Bihor</v>
      </c>
      <c r="D1085" s="13">
        <f ca="1">IFERROR(__xludf.DUMMYFUNCTION("""COMPUTED_VALUE"""),44048)</f>
        <v>44048</v>
      </c>
      <c r="E1085" s="5" t="str">
        <f ca="1">IFERROR(__xludf.DUMMYFUNCTION("""COMPUTED_VALUE"""),"Nu")</f>
        <v>Nu</v>
      </c>
      <c r="F1085" s="5"/>
      <c r="G1085" s="5"/>
      <c r="H1085" s="6"/>
      <c r="I1085" s="5"/>
      <c r="J1085" s="5"/>
      <c r="K1085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85" s="5"/>
      <c r="M1085" s="5" t="str">
        <f ca="1">IFERROR(__xludf.DUMMYFUNCTION("""COMPUTED_VALUE"""),"Oradea")</f>
        <v>Oradea</v>
      </c>
      <c r="N1085" s="5"/>
      <c r="O1085" s="5"/>
      <c r="P1085" s="5" t="str">
        <f ca="1">IFERROR(__xludf.DUMMYFUNCTION("""COMPUTED_VALUE"""),"SM, pacient.")</f>
        <v>SM, pacient.</v>
      </c>
      <c r="Q1085" s="5" t="str">
        <f ca="1">IFERROR(__xludf.DUMMYFUNCTION("""COMPUTED_VALUE"""),"Medical")</f>
        <v>Medical</v>
      </c>
      <c r="R1085" s="5" t="str">
        <f ca="1">IFERROR(__xludf.DUMMYFUNCTION("""COMPUTED_VALUE"""),"România")</f>
        <v>România</v>
      </c>
      <c r="S1085" s="5" t="str">
        <f ca="1">IFERROR(__xludf.DUMMYFUNCTION("""COMPUTED_VALUE"""),"Octavian")</f>
        <v>Octavian</v>
      </c>
      <c r="T1085" s="7" t="str">
        <f ca="1">IFERROR(__xludf.DUMMYFUNCTION("""COMPUTED_VALUE"""),"http://www.ms.ro/2020/08/05/buletin-informativ-05-08-2020/")</f>
        <v>http://www.ms.ro/2020/08/05/buletin-informativ-05-08-2020/</v>
      </c>
      <c r="U1085" s="5"/>
      <c r="V1085" s="5"/>
      <c r="W1085" s="5"/>
      <c r="X1085" s="5"/>
      <c r="Y1085" s="5"/>
      <c r="Z1085" s="5"/>
      <c r="AA1085" s="5"/>
      <c r="AB1085" s="5"/>
      <c r="AC1085" s="5"/>
    </row>
    <row r="1086" spans="1:29" ht="12.5">
      <c r="A1086" s="5">
        <f ca="1">IFERROR(__xludf.DUMMYFUNCTION("""COMPUTED_VALUE"""),55482)</f>
        <v>55482</v>
      </c>
      <c r="B1086" s="5"/>
      <c r="C1086" s="5" t="str">
        <f ca="1">IFERROR(__xludf.DUMMYFUNCTION("""COMPUTED_VALUE"""),"Bihor")</f>
        <v>Bihor</v>
      </c>
      <c r="D1086" s="13">
        <f ca="1">IFERROR(__xludf.DUMMYFUNCTION("""COMPUTED_VALUE"""),44048)</f>
        <v>44048</v>
      </c>
      <c r="E1086" s="5" t="str">
        <f ca="1">IFERROR(__xludf.DUMMYFUNCTION("""COMPUTED_VALUE"""),"Nu")</f>
        <v>Nu</v>
      </c>
      <c r="F1086" s="5"/>
      <c r="G1086" s="5"/>
      <c r="H1086" s="6"/>
      <c r="I1086" s="5"/>
      <c r="J1086" s="5"/>
      <c r="K1086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86" s="5"/>
      <c r="M1086" s="5"/>
      <c r="N1086" s="5"/>
      <c r="O1086" s="5"/>
      <c r="P1086" s="5" t="str">
        <f ca="1">IFERROR(__xludf.DUMMYFUNCTION("""COMPUTED_VALUE"""),"Spital Beiuș, pacient.")</f>
        <v>Spital Beiuș, pacient.</v>
      </c>
      <c r="Q1086" s="5" t="str">
        <f ca="1">IFERROR(__xludf.DUMMYFUNCTION("""COMPUTED_VALUE"""),"Medical")</f>
        <v>Medical</v>
      </c>
      <c r="R1086" s="5" t="str">
        <f ca="1">IFERROR(__xludf.DUMMYFUNCTION("""COMPUTED_VALUE"""),"România")</f>
        <v>România</v>
      </c>
      <c r="S1086" s="5" t="str">
        <f ca="1">IFERROR(__xludf.DUMMYFUNCTION("""COMPUTED_VALUE"""),"Octavian")</f>
        <v>Octavian</v>
      </c>
      <c r="T1086" s="7" t="str">
        <f ca="1">IFERROR(__xludf.DUMMYFUNCTION("""COMPUTED_VALUE"""),"http://www.ms.ro/2020/08/05/buletin-informativ-05-08-2020/")</f>
        <v>http://www.ms.ro/2020/08/05/buletin-informativ-05-08-2020/</v>
      </c>
      <c r="U1086" s="5"/>
      <c r="V1086" s="5"/>
      <c r="W1086" s="5"/>
      <c r="X1086" s="5"/>
      <c r="Y1086" s="5"/>
      <c r="Z1086" s="5"/>
      <c r="AA1086" s="5"/>
      <c r="AB1086" s="5"/>
      <c r="AC1086" s="5"/>
    </row>
    <row r="1087" spans="1:29" ht="12.5">
      <c r="A1087" s="5">
        <f ca="1">IFERROR(__xludf.DUMMYFUNCTION("""COMPUTED_VALUE"""),55483)</f>
        <v>55483</v>
      </c>
      <c r="B1087" s="5">
        <f ca="1">IFERROR(__xludf.DUMMYFUNCTION("""COMPUTED_VALUE"""),55482)</f>
        <v>55482</v>
      </c>
      <c r="C1087" s="5" t="str">
        <f ca="1">IFERROR(__xludf.DUMMYFUNCTION("""COMPUTED_VALUE"""),"Bihor")</f>
        <v>Bihor</v>
      </c>
      <c r="D1087" s="13">
        <f ca="1">IFERROR(__xludf.DUMMYFUNCTION("""COMPUTED_VALUE"""),44048)</f>
        <v>44048</v>
      </c>
      <c r="E1087" s="5" t="str">
        <f ca="1">IFERROR(__xludf.DUMMYFUNCTION("""COMPUTED_VALUE"""),"Nu")</f>
        <v>Nu</v>
      </c>
      <c r="F1087" s="5"/>
      <c r="G1087" s="5"/>
      <c r="H1087" s="6"/>
      <c r="I1087" s="5"/>
      <c r="J1087" s="5"/>
      <c r="K1087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87" s="5"/>
      <c r="M1087" s="5"/>
      <c r="N1087" s="5"/>
      <c r="O1087" s="5"/>
      <c r="P1087" s="5" t="str">
        <f ca="1">IFERROR(__xludf.DUMMYFUNCTION("""COMPUTED_VALUE"""),"Spital Beiuș, pacient.")</f>
        <v>Spital Beiuș, pacient.</v>
      </c>
      <c r="Q1087" s="5" t="str">
        <f ca="1">IFERROR(__xludf.DUMMYFUNCTION("""COMPUTED_VALUE"""),"Medical")</f>
        <v>Medical</v>
      </c>
      <c r="R1087" s="5" t="str">
        <f ca="1">IFERROR(__xludf.DUMMYFUNCTION("""COMPUTED_VALUE"""),"România")</f>
        <v>România</v>
      </c>
      <c r="S1087" s="5" t="str">
        <f ca="1">IFERROR(__xludf.DUMMYFUNCTION("""COMPUTED_VALUE"""),"Octavian")</f>
        <v>Octavian</v>
      </c>
      <c r="T1087" s="7" t="str">
        <f ca="1">IFERROR(__xludf.DUMMYFUNCTION("""COMPUTED_VALUE"""),"http://www.ms.ro/2020/08/05/buletin-informativ-05-08-2020/")</f>
        <v>http://www.ms.ro/2020/08/05/buletin-informativ-05-08-2020/</v>
      </c>
      <c r="U1087" s="5"/>
      <c r="V1087" s="5"/>
      <c r="W1087" s="5"/>
      <c r="X1087" s="5"/>
      <c r="Y1087" s="5"/>
      <c r="Z1087" s="5"/>
      <c r="AA1087" s="5"/>
      <c r="AB1087" s="5"/>
      <c r="AC1087" s="5"/>
    </row>
    <row r="1088" spans="1:29" ht="12.5">
      <c r="A1088" s="5">
        <f ca="1">IFERROR(__xludf.DUMMYFUNCTION("""COMPUTED_VALUE"""),55484)</f>
        <v>55484</v>
      </c>
      <c r="B1088" s="5"/>
      <c r="C1088" s="5" t="str">
        <f ca="1">IFERROR(__xludf.DUMMYFUNCTION("""COMPUTED_VALUE"""),"Bihor")</f>
        <v>Bihor</v>
      </c>
      <c r="D1088" s="13">
        <f ca="1">IFERROR(__xludf.DUMMYFUNCTION("""COMPUTED_VALUE"""),44048)</f>
        <v>44048</v>
      </c>
      <c r="E1088" s="5" t="str">
        <f ca="1">IFERROR(__xludf.DUMMYFUNCTION("""COMPUTED_VALUE"""),"Nu")</f>
        <v>Nu</v>
      </c>
      <c r="F1088" s="5"/>
      <c r="G1088" s="5"/>
      <c r="H1088" s="6"/>
      <c r="I1088" s="5"/>
      <c r="J1088" s="5"/>
      <c r="K1088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88" s="5"/>
      <c r="M1088" s="5"/>
      <c r="N1088" s="5"/>
      <c r="O1088" s="5"/>
      <c r="P1088" s="5" t="str">
        <f ca="1">IFERROR(__xludf.DUMMYFUNCTION("""COMPUTED_VALUE"""),"Spital Aleșd, pacient.")</f>
        <v>Spital Aleșd, pacient.</v>
      </c>
      <c r="Q1088" s="5" t="str">
        <f ca="1">IFERROR(__xludf.DUMMYFUNCTION("""COMPUTED_VALUE"""),"Medical")</f>
        <v>Medical</v>
      </c>
      <c r="R1088" s="5" t="str">
        <f ca="1">IFERROR(__xludf.DUMMYFUNCTION("""COMPUTED_VALUE"""),"România")</f>
        <v>România</v>
      </c>
      <c r="S1088" s="5" t="str">
        <f ca="1">IFERROR(__xludf.DUMMYFUNCTION("""COMPUTED_VALUE"""),"Octavian")</f>
        <v>Octavian</v>
      </c>
      <c r="T1088" s="7" t="str">
        <f ca="1">IFERROR(__xludf.DUMMYFUNCTION("""COMPUTED_VALUE"""),"http://www.ms.ro/2020/08/05/buletin-informativ-05-08-2020/")</f>
        <v>http://www.ms.ro/2020/08/05/buletin-informativ-05-08-2020/</v>
      </c>
      <c r="U1088" s="5"/>
      <c r="V1088" s="5"/>
      <c r="W1088" s="5"/>
      <c r="X1088" s="5"/>
      <c r="Y1088" s="5"/>
      <c r="Z1088" s="5"/>
      <c r="AA1088" s="5"/>
      <c r="AB1088" s="5"/>
      <c r="AC1088" s="5"/>
    </row>
    <row r="1089" spans="1:29" ht="12.5">
      <c r="A1089" s="5">
        <f ca="1">IFERROR(__xludf.DUMMYFUNCTION("""COMPUTED_VALUE"""),55485)</f>
        <v>55485</v>
      </c>
      <c r="B1089" s="5">
        <f ca="1">IFERROR(__xludf.DUMMYFUNCTION("""COMPUTED_VALUE"""),55484)</f>
        <v>55484</v>
      </c>
      <c r="C1089" s="5" t="str">
        <f ca="1">IFERROR(__xludf.DUMMYFUNCTION("""COMPUTED_VALUE"""),"Bihor")</f>
        <v>Bihor</v>
      </c>
      <c r="D1089" s="13">
        <f ca="1">IFERROR(__xludf.DUMMYFUNCTION("""COMPUTED_VALUE"""),44048)</f>
        <v>44048</v>
      </c>
      <c r="E1089" s="5" t="str">
        <f ca="1">IFERROR(__xludf.DUMMYFUNCTION("""COMPUTED_VALUE"""),"Nu")</f>
        <v>Nu</v>
      </c>
      <c r="F1089" s="5"/>
      <c r="G1089" s="5"/>
      <c r="H1089" s="6"/>
      <c r="I1089" s="5"/>
      <c r="J1089" s="5"/>
      <c r="K1089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89" s="5"/>
      <c r="M1089" s="5"/>
      <c r="N1089" s="5"/>
      <c r="O1089" s="5"/>
      <c r="P1089" s="5" t="str">
        <f ca="1">IFERROR(__xludf.DUMMYFUNCTION("""COMPUTED_VALUE"""),"Spital Aleșd, pacient.")</f>
        <v>Spital Aleșd, pacient.</v>
      </c>
      <c r="Q1089" s="5" t="str">
        <f ca="1">IFERROR(__xludf.DUMMYFUNCTION("""COMPUTED_VALUE"""),"Medical")</f>
        <v>Medical</v>
      </c>
      <c r="R1089" s="5" t="str">
        <f ca="1">IFERROR(__xludf.DUMMYFUNCTION("""COMPUTED_VALUE"""),"România")</f>
        <v>România</v>
      </c>
      <c r="S1089" s="5" t="str">
        <f ca="1">IFERROR(__xludf.DUMMYFUNCTION("""COMPUTED_VALUE"""),"Octavian")</f>
        <v>Octavian</v>
      </c>
      <c r="T1089" s="7" t="str">
        <f ca="1">IFERROR(__xludf.DUMMYFUNCTION("""COMPUTED_VALUE"""),"http://www.ms.ro/2020/08/05/buletin-informativ-05-08-2020/")</f>
        <v>http://www.ms.ro/2020/08/05/buletin-informativ-05-08-2020/</v>
      </c>
      <c r="U1089" s="5"/>
      <c r="V1089" s="5"/>
      <c r="W1089" s="5"/>
      <c r="X1089" s="5"/>
      <c r="Y1089" s="5"/>
      <c r="Z1089" s="5"/>
      <c r="AA1089" s="5"/>
      <c r="AB1089" s="5"/>
      <c r="AC1089" s="5"/>
    </row>
    <row r="1090" spans="1:29" ht="12.5">
      <c r="A1090" s="5">
        <f ca="1">IFERROR(__xludf.DUMMYFUNCTION("""COMPUTED_VALUE"""),55486)</f>
        <v>55486</v>
      </c>
      <c r="B1090" s="5"/>
      <c r="C1090" s="5" t="str">
        <f ca="1">IFERROR(__xludf.DUMMYFUNCTION("""COMPUTED_VALUE"""),"Bihor")</f>
        <v>Bihor</v>
      </c>
      <c r="D1090" s="13">
        <f ca="1">IFERROR(__xludf.DUMMYFUNCTION("""COMPUTED_VALUE"""),44048)</f>
        <v>44048</v>
      </c>
      <c r="E1090" s="5" t="str">
        <f ca="1">IFERROR(__xludf.DUMMYFUNCTION("""COMPUTED_VALUE"""),"Nu")</f>
        <v>Nu</v>
      </c>
      <c r="F1090" s="5"/>
      <c r="G1090" s="5"/>
      <c r="H1090" s="6"/>
      <c r="I1090" s="5"/>
      <c r="J1090" s="5"/>
      <c r="K1090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90" s="5"/>
      <c r="M1090" s="5"/>
      <c r="N1090" s="5"/>
      <c r="O1090" s="5"/>
      <c r="P1090" s="5"/>
      <c r="Q1090" s="5"/>
      <c r="R1090" s="5" t="str">
        <f ca="1">IFERROR(__xludf.DUMMYFUNCTION("""COMPUTED_VALUE"""),"România")</f>
        <v>România</v>
      </c>
      <c r="S1090" s="5" t="str">
        <f ca="1">IFERROR(__xludf.DUMMYFUNCTION("""COMPUTED_VALUE"""),"Octavian")</f>
        <v>Octavian</v>
      </c>
      <c r="T1090" s="7" t="str">
        <f ca="1">IFERROR(__xludf.DUMMYFUNCTION("""COMPUTED_VALUE"""),"http://www.ms.ro/2020/08/05/buletin-informativ-05-08-2020/")</f>
        <v>http://www.ms.ro/2020/08/05/buletin-informativ-05-08-2020/</v>
      </c>
      <c r="U1090" s="5"/>
      <c r="V1090" s="5"/>
      <c r="W1090" s="5"/>
      <c r="X1090" s="5"/>
      <c r="Y1090" s="5"/>
      <c r="Z1090" s="5"/>
      <c r="AA1090" s="5"/>
      <c r="AB1090" s="5"/>
      <c r="AC1090" s="5"/>
    </row>
    <row r="1091" spans="1:29" ht="12.5">
      <c r="A1091" s="5">
        <f ca="1">IFERROR(__xludf.DUMMYFUNCTION("""COMPUTED_VALUE"""),55487)</f>
        <v>55487</v>
      </c>
      <c r="B1091" s="5"/>
      <c r="C1091" s="5" t="str">
        <f ca="1">IFERROR(__xludf.DUMMYFUNCTION("""COMPUTED_VALUE"""),"Bihor")</f>
        <v>Bihor</v>
      </c>
      <c r="D1091" s="13">
        <f ca="1">IFERROR(__xludf.DUMMYFUNCTION("""COMPUTED_VALUE"""),44048)</f>
        <v>44048</v>
      </c>
      <c r="E1091" s="5" t="str">
        <f ca="1">IFERROR(__xludf.DUMMYFUNCTION("""COMPUTED_VALUE"""),"Nu")</f>
        <v>Nu</v>
      </c>
      <c r="F1091" s="5"/>
      <c r="G1091" s="5"/>
      <c r="H1091" s="6"/>
      <c r="I1091" s="5"/>
      <c r="J1091" s="5"/>
      <c r="K1091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91" s="5"/>
      <c r="M1091" s="5"/>
      <c r="N1091" s="5"/>
      <c r="O1091" s="5"/>
      <c r="P1091" s="5"/>
      <c r="Q1091" s="5"/>
      <c r="R1091" s="5" t="str">
        <f ca="1">IFERROR(__xludf.DUMMYFUNCTION("""COMPUTED_VALUE"""),"România")</f>
        <v>România</v>
      </c>
      <c r="S1091" s="5" t="str">
        <f ca="1">IFERROR(__xludf.DUMMYFUNCTION("""COMPUTED_VALUE"""),"Octavian")</f>
        <v>Octavian</v>
      </c>
      <c r="T1091" s="7" t="str">
        <f ca="1">IFERROR(__xludf.DUMMYFUNCTION("""COMPUTED_VALUE"""),"http://www.ms.ro/2020/08/05/buletin-informativ-05-08-2020/")</f>
        <v>http://www.ms.ro/2020/08/05/buletin-informativ-05-08-2020/</v>
      </c>
      <c r="U1091" s="5"/>
      <c r="V1091" s="5"/>
      <c r="W1091" s="5"/>
      <c r="X1091" s="5"/>
      <c r="Y1091" s="5"/>
      <c r="Z1091" s="5"/>
      <c r="AA1091" s="5"/>
      <c r="AB1091" s="5"/>
      <c r="AC1091" s="5"/>
    </row>
    <row r="1092" spans="1:29" ht="12.5">
      <c r="A1092" s="5">
        <f ca="1">IFERROR(__xludf.DUMMYFUNCTION("""COMPUTED_VALUE"""),55488)</f>
        <v>55488</v>
      </c>
      <c r="B1092" s="5"/>
      <c r="C1092" s="5" t="str">
        <f ca="1">IFERROR(__xludf.DUMMYFUNCTION("""COMPUTED_VALUE"""),"Bihor")</f>
        <v>Bihor</v>
      </c>
      <c r="D1092" s="13">
        <f ca="1">IFERROR(__xludf.DUMMYFUNCTION("""COMPUTED_VALUE"""),44048)</f>
        <v>44048</v>
      </c>
      <c r="E1092" s="5" t="str">
        <f ca="1">IFERROR(__xludf.DUMMYFUNCTION("""COMPUTED_VALUE"""),"Nu")</f>
        <v>Nu</v>
      </c>
      <c r="F1092" s="5"/>
      <c r="G1092" s="5"/>
      <c r="H1092" s="6"/>
      <c r="I1092" s="5"/>
      <c r="J1092" s="5"/>
      <c r="K1092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92" s="5"/>
      <c r="M1092" s="5"/>
      <c r="N1092" s="5"/>
      <c r="O1092" s="5"/>
      <c r="P1092" s="5"/>
      <c r="Q1092" s="5"/>
      <c r="R1092" s="5" t="str">
        <f ca="1">IFERROR(__xludf.DUMMYFUNCTION("""COMPUTED_VALUE"""),"România")</f>
        <v>România</v>
      </c>
      <c r="S1092" s="5" t="str">
        <f ca="1">IFERROR(__xludf.DUMMYFUNCTION("""COMPUTED_VALUE"""),"Octavian")</f>
        <v>Octavian</v>
      </c>
      <c r="T1092" s="7" t="str">
        <f ca="1">IFERROR(__xludf.DUMMYFUNCTION("""COMPUTED_VALUE"""),"http://www.ms.ro/2020/08/05/buletin-informativ-05-08-2020/")</f>
        <v>http://www.ms.ro/2020/08/05/buletin-informativ-05-08-2020/</v>
      </c>
      <c r="U1092" s="5"/>
      <c r="V1092" s="5"/>
      <c r="W1092" s="5"/>
      <c r="X1092" s="5"/>
      <c r="Y1092" s="5"/>
      <c r="Z1092" s="5"/>
      <c r="AA1092" s="5"/>
      <c r="AB1092" s="5"/>
      <c r="AC1092" s="5"/>
    </row>
    <row r="1093" spans="1:29" ht="12.5">
      <c r="A1093" s="5">
        <f ca="1">IFERROR(__xludf.DUMMYFUNCTION("""COMPUTED_VALUE"""),55489)</f>
        <v>55489</v>
      </c>
      <c r="B1093" s="5"/>
      <c r="C1093" s="5" t="str">
        <f ca="1">IFERROR(__xludf.DUMMYFUNCTION("""COMPUTED_VALUE"""),"Bihor")</f>
        <v>Bihor</v>
      </c>
      <c r="D1093" s="13">
        <f ca="1">IFERROR(__xludf.DUMMYFUNCTION("""COMPUTED_VALUE"""),44048)</f>
        <v>44048</v>
      </c>
      <c r="E1093" s="5" t="str">
        <f ca="1">IFERROR(__xludf.DUMMYFUNCTION("""COMPUTED_VALUE"""),"Nu")</f>
        <v>Nu</v>
      </c>
      <c r="F1093" s="5"/>
      <c r="G1093" s="5"/>
      <c r="H1093" s="6"/>
      <c r="I1093" s="5"/>
      <c r="J1093" s="5"/>
      <c r="K1093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93" s="5"/>
      <c r="M1093" s="5"/>
      <c r="N1093" s="5"/>
      <c r="O1093" s="5"/>
      <c r="P1093" s="5"/>
      <c r="Q1093" s="5"/>
      <c r="R1093" s="5" t="str">
        <f ca="1">IFERROR(__xludf.DUMMYFUNCTION("""COMPUTED_VALUE"""),"România")</f>
        <v>România</v>
      </c>
      <c r="S1093" s="5" t="str">
        <f ca="1">IFERROR(__xludf.DUMMYFUNCTION("""COMPUTED_VALUE"""),"Octavian")</f>
        <v>Octavian</v>
      </c>
      <c r="T1093" s="7" t="str">
        <f ca="1">IFERROR(__xludf.DUMMYFUNCTION("""COMPUTED_VALUE"""),"http://www.ms.ro/2020/08/05/buletin-informativ-05-08-2020/")</f>
        <v>http://www.ms.ro/2020/08/05/buletin-informativ-05-08-2020/</v>
      </c>
      <c r="U1093" s="5"/>
      <c r="V1093" s="5"/>
      <c r="W1093" s="5"/>
      <c r="X1093" s="5"/>
      <c r="Y1093" s="5"/>
      <c r="Z1093" s="5"/>
      <c r="AA1093" s="5"/>
      <c r="AB1093" s="5"/>
      <c r="AC1093" s="5"/>
    </row>
    <row r="1094" spans="1:29" ht="12.5">
      <c r="A1094" s="5">
        <f ca="1">IFERROR(__xludf.DUMMYFUNCTION("""COMPUTED_VALUE"""),55490)</f>
        <v>55490</v>
      </c>
      <c r="B1094" s="5"/>
      <c r="C1094" s="5" t="str">
        <f ca="1">IFERROR(__xludf.DUMMYFUNCTION("""COMPUTED_VALUE"""),"Bihor")</f>
        <v>Bihor</v>
      </c>
      <c r="D1094" s="13">
        <f ca="1">IFERROR(__xludf.DUMMYFUNCTION("""COMPUTED_VALUE"""),44048)</f>
        <v>44048</v>
      </c>
      <c r="E1094" s="5" t="str">
        <f ca="1">IFERROR(__xludf.DUMMYFUNCTION("""COMPUTED_VALUE"""),"Nu")</f>
        <v>Nu</v>
      </c>
      <c r="F1094" s="5"/>
      <c r="G1094" s="5"/>
      <c r="H1094" s="6"/>
      <c r="I1094" s="5"/>
      <c r="J1094" s="5"/>
      <c r="K1094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94" s="5"/>
      <c r="M1094" s="5"/>
      <c r="N1094" s="5"/>
      <c r="O1094" s="5"/>
      <c r="P1094" s="5"/>
      <c r="Q1094" s="5"/>
      <c r="R1094" s="5" t="str">
        <f ca="1">IFERROR(__xludf.DUMMYFUNCTION("""COMPUTED_VALUE"""),"România")</f>
        <v>România</v>
      </c>
      <c r="S1094" s="5" t="str">
        <f ca="1">IFERROR(__xludf.DUMMYFUNCTION("""COMPUTED_VALUE"""),"Octavian")</f>
        <v>Octavian</v>
      </c>
      <c r="T1094" s="7" t="str">
        <f ca="1">IFERROR(__xludf.DUMMYFUNCTION("""COMPUTED_VALUE"""),"http://www.ms.ro/2020/08/05/buletin-informativ-05-08-2020/")</f>
        <v>http://www.ms.ro/2020/08/05/buletin-informativ-05-08-2020/</v>
      </c>
      <c r="U1094" s="5"/>
      <c r="V1094" s="5"/>
      <c r="W1094" s="5"/>
      <c r="X1094" s="5"/>
      <c r="Y1094" s="5"/>
      <c r="Z1094" s="5"/>
      <c r="AA1094" s="5"/>
      <c r="AB1094" s="5"/>
      <c r="AC1094" s="5"/>
    </row>
    <row r="1095" spans="1:29" ht="12.5">
      <c r="A1095" s="5">
        <f ca="1">IFERROR(__xludf.DUMMYFUNCTION("""COMPUTED_VALUE"""),55491)</f>
        <v>55491</v>
      </c>
      <c r="B1095" s="5"/>
      <c r="C1095" s="5" t="str">
        <f ca="1">IFERROR(__xludf.DUMMYFUNCTION("""COMPUTED_VALUE"""),"Bihor")</f>
        <v>Bihor</v>
      </c>
      <c r="D1095" s="13">
        <f ca="1">IFERROR(__xludf.DUMMYFUNCTION("""COMPUTED_VALUE"""),44048)</f>
        <v>44048</v>
      </c>
      <c r="E1095" s="5" t="str">
        <f ca="1">IFERROR(__xludf.DUMMYFUNCTION("""COMPUTED_VALUE"""),"Nu")</f>
        <v>Nu</v>
      </c>
      <c r="F1095" s="5"/>
      <c r="G1095" s="5"/>
      <c r="H1095" s="6"/>
      <c r="I1095" s="5"/>
      <c r="J1095" s="5"/>
      <c r="K1095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95" s="5"/>
      <c r="M1095" s="5"/>
      <c r="N1095" s="5"/>
      <c r="O1095" s="5"/>
      <c r="P1095" s="5"/>
      <c r="Q1095" s="5"/>
      <c r="R1095" s="5" t="str">
        <f ca="1">IFERROR(__xludf.DUMMYFUNCTION("""COMPUTED_VALUE"""),"România")</f>
        <v>România</v>
      </c>
      <c r="S1095" s="5" t="str">
        <f ca="1">IFERROR(__xludf.DUMMYFUNCTION("""COMPUTED_VALUE"""),"Octavian")</f>
        <v>Octavian</v>
      </c>
      <c r="T1095" s="7" t="str">
        <f ca="1">IFERROR(__xludf.DUMMYFUNCTION("""COMPUTED_VALUE"""),"http://www.ms.ro/2020/08/05/buletin-informativ-05-08-2020/")</f>
        <v>http://www.ms.ro/2020/08/05/buletin-informativ-05-08-2020/</v>
      </c>
      <c r="U1095" s="5"/>
      <c r="V1095" s="5"/>
      <c r="W1095" s="5"/>
      <c r="X1095" s="5"/>
      <c r="Y1095" s="5"/>
      <c r="Z1095" s="5"/>
      <c r="AA1095" s="5"/>
      <c r="AB1095" s="5"/>
      <c r="AC1095" s="5"/>
    </row>
    <row r="1096" spans="1:29" ht="12.5">
      <c r="A1096" s="5">
        <f ca="1">IFERROR(__xludf.DUMMYFUNCTION("""COMPUTED_VALUE"""),55492)</f>
        <v>55492</v>
      </c>
      <c r="B1096" s="5"/>
      <c r="C1096" s="5" t="str">
        <f ca="1">IFERROR(__xludf.DUMMYFUNCTION("""COMPUTED_VALUE"""),"Bihor")</f>
        <v>Bihor</v>
      </c>
      <c r="D1096" s="13">
        <f ca="1">IFERROR(__xludf.DUMMYFUNCTION("""COMPUTED_VALUE"""),44048)</f>
        <v>44048</v>
      </c>
      <c r="E1096" s="5" t="str">
        <f ca="1">IFERROR(__xludf.DUMMYFUNCTION("""COMPUTED_VALUE"""),"Nu")</f>
        <v>Nu</v>
      </c>
      <c r="F1096" s="5"/>
      <c r="G1096" s="5"/>
      <c r="H1096" s="6"/>
      <c r="I1096" s="5"/>
      <c r="J1096" s="5"/>
      <c r="K1096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96" s="5"/>
      <c r="M1096" s="5"/>
      <c r="N1096" s="5"/>
      <c r="O1096" s="5"/>
      <c r="P1096" s="5"/>
      <c r="Q1096" s="5"/>
      <c r="R1096" s="5" t="str">
        <f ca="1">IFERROR(__xludf.DUMMYFUNCTION("""COMPUTED_VALUE"""),"România")</f>
        <v>România</v>
      </c>
      <c r="S1096" s="5" t="str">
        <f ca="1">IFERROR(__xludf.DUMMYFUNCTION("""COMPUTED_VALUE"""),"Octavian")</f>
        <v>Octavian</v>
      </c>
      <c r="T1096" s="7" t="str">
        <f ca="1">IFERROR(__xludf.DUMMYFUNCTION("""COMPUTED_VALUE"""),"http://www.ms.ro/2020/08/05/buletin-informativ-05-08-2020/")</f>
        <v>http://www.ms.ro/2020/08/05/buletin-informativ-05-08-2020/</v>
      </c>
      <c r="U1096" s="5"/>
      <c r="V1096" s="5"/>
      <c r="W1096" s="5"/>
      <c r="X1096" s="5"/>
      <c r="Y1096" s="5"/>
      <c r="Z1096" s="5"/>
      <c r="AA1096" s="5"/>
      <c r="AB1096" s="5"/>
      <c r="AC1096" s="5"/>
    </row>
    <row r="1097" spans="1:29" ht="12.5">
      <c r="A1097" s="5">
        <f ca="1">IFERROR(__xludf.DUMMYFUNCTION("""COMPUTED_VALUE"""),55493)</f>
        <v>55493</v>
      </c>
      <c r="B1097" s="5"/>
      <c r="C1097" s="5" t="str">
        <f ca="1">IFERROR(__xludf.DUMMYFUNCTION("""COMPUTED_VALUE"""),"Bihor")</f>
        <v>Bihor</v>
      </c>
      <c r="D1097" s="13">
        <f ca="1">IFERROR(__xludf.DUMMYFUNCTION("""COMPUTED_VALUE"""),44048)</f>
        <v>44048</v>
      </c>
      <c r="E1097" s="5" t="str">
        <f ca="1">IFERROR(__xludf.DUMMYFUNCTION("""COMPUTED_VALUE"""),"Nu")</f>
        <v>Nu</v>
      </c>
      <c r="F1097" s="5"/>
      <c r="G1097" s="5"/>
      <c r="H1097" s="6"/>
      <c r="I1097" s="5"/>
      <c r="J1097" s="5"/>
      <c r="K1097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97" s="5"/>
      <c r="M1097" s="5"/>
      <c r="N1097" s="5"/>
      <c r="O1097" s="5"/>
      <c r="P1097" s="5"/>
      <c r="Q1097" s="5"/>
      <c r="R1097" s="5" t="str">
        <f ca="1">IFERROR(__xludf.DUMMYFUNCTION("""COMPUTED_VALUE"""),"România")</f>
        <v>România</v>
      </c>
      <c r="S1097" s="5" t="str">
        <f ca="1">IFERROR(__xludf.DUMMYFUNCTION("""COMPUTED_VALUE"""),"Octavian")</f>
        <v>Octavian</v>
      </c>
      <c r="T1097" s="7" t="str">
        <f ca="1">IFERROR(__xludf.DUMMYFUNCTION("""COMPUTED_VALUE"""),"http://www.ms.ro/2020/08/05/buletin-informativ-05-08-2020/")</f>
        <v>http://www.ms.ro/2020/08/05/buletin-informativ-05-08-2020/</v>
      </c>
      <c r="U1097" s="5"/>
      <c r="V1097" s="5"/>
      <c r="W1097" s="5"/>
      <c r="X1097" s="5"/>
      <c r="Y1097" s="5"/>
      <c r="Z1097" s="5"/>
      <c r="AA1097" s="5"/>
      <c r="AB1097" s="5"/>
      <c r="AC1097" s="5"/>
    </row>
    <row r="1098" spans="1:29" ht="12.5">
      <c r="A1098" s="5">
        <f ca="1">IFERROR(__xludf.DUMMYFUNCTION("""COMPUTED_VALUE"""),55494)</f>
        <v>55494</v>
      </c>
      <c r="B1098" s="5"/>
      <c r="C1098" s="5" t="str">
        <f ca="1">IFERROR(__xludf.DUMMYFUNCTION("""COMPUTED_VALUE"""),"Bihor")</f>
        <v>Bihor</v>
      </c>
      <c r="D1098" s="13">
        <f ca="1">IFERROR(__xludf.DUMMYFUNCTION("""COMPUTED_VALUE"""),44048)</f>
        <v>44048</v>
      </c>
      <c r="E1098" s="5" t="str">
        <f ca="1">IFERROR(__xludf.DUMMYFUNCTION("""COMPUTED_VALUE"""),"Nu")</f>
        <v>Nu</v>
      </c>
      <c r="F1098" s="5"/>
      <c r="G1098" s="5"/>
      <c r="H1098" s="6"/>
      <c r="I1098" s="5"/>
      <c r="J1098" s="5"/>
      <c r="K1098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98" s="5"/>
      <c r="M1098" s="5"/>
      <c r="N1098" s="5"/>
      <c r="O1098" s="5"/>
      <c r="P1098" s="5"/>
      <c r="Q1098" s="5"/>
      <c r="R1098" s="5" t="str">
        <f ca="1">IFERROR(__xludf.DUMMYFUNCTION("""COMPUTED_VALUE"""),"România")</f>
        <v>România</v>
      </c>
      <c r="S1098" s="5" t="str">
        <f ca="1">IFERROR(__xludf.DUMMYFUNCTION("""COMPUTED_VALUE"""),"Octavian")</f>
        <v>Octavian</v>
      </c>
      <c r="T1098" s="7" t="str">
        <f ca="1">IFERROR(__xludf.DUMMYFUNCTION("""COMPUTED_VALUE"""),"http://www.ms.ro/2020/08/05/buletin-informativ-05-08-2020/")</f>
        <v>http://www.ms.ro/2020/08/05/buletin-informativ-05-08-2020/</v>
      </c>
      <c r="U1098" s="5"/>
      <c r="V1098" s="5"/>
      <c r="W1098" s="5"/>
      <c r="X1098" s="5"/>
      <c r="Y1098" s="5"/>
      <c r="Z1098" s="5"/>
      <c r="AA1098" s="5"/>
      <c r="AB1098" s="5"/>
      <c r="AC1098" s="5"/>
    </row>
    <row r="1099" spans="1:29" ht="12.5">
      <c r="A1099" s="5">
        <f ca="1">IFERROR(__xludf.DUMMYFUNCTION("""COMPUTED_VALUE"""),55495)</f>
        <v>55495</v>
      </c>
      <c r="B1099" s="5"/>
      <c r="C1099" s="5" t="str">
        <f ca="1">IFERROR(__xludf.DUMMYFUNCTION("""COMPUTED_VALUE"""),"Bihor")</f>
        <v>Bihor</v>
      </c>
      <c r="D1099" s="13">
        <f ca="1">IFERROR(__xludf.DUMMYFUNCTION("""COMPUTED_VALUE"""),44048)</f>
        <v>44048</v>
      </c>
      <c r="E1099" s="5" t="str">
        <f ca="1">IFERROR(__xludf.DUMMYFUNCTION("""COMPUTED_VALUE"""),"Nu")</f>
        <v>Nu</v>
      </c>
      <c r="F1099" s="5"/>
      <c r="G1099" s="5"/>
      <c r="H1099" s="6"/>
      <c r="I1099" s="5"/>
      <c r="J1099" s="5"/>
      <c r="K1099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099" s="5"/>
      <c r="M1099" s="5"/>
      <c r="N1099" s="5"/>
      <c r="O1099" s="5"/>
      <c r="P1099" s="5"/>
      <c r="Q1099" s="5"/>
      <c r="R1099" s="5" t="str">
        <f ca="1">IFERROR(__xludf.DUMMYFUNCTION("""COMPUTED_VALUE"""),"România")</f>
        <v>România</v>
      </c>
      <c r="S1099" s="5" t="str">
        <f ca="1">IFERROR(__xludf.DUMMYFUNCTION("""COMPUTED_VALUE"""),"Octavian")</f>
        <v>Octavian</v>
      </c>
      <c r="T1099" s="7" t="str">
        <f ca="1">IFERROR(__xludf.DUMMYFUNCTION("""COMPUTED_VALUE"""),"http://www.ms.ro/2020/08/05/buletin-informativ-05-08-2020/")</f>
        <v>http://www.ms.ro/2020/08/05/buletin-informativ-05-08-2020/</v>
      </c>
      <c r="U1099" s="5"/>
      <c r="V1099" s="5"/>
      <c r="W1099" s="5"/>
      <c r="X1099" s="5"/>
      <c r="Y1099" s="5"/>
      <c r="Z1099" s="5"/>
      <c r="AA1099" s="5"/>
      <c r="AB1099" s="5"/>
      <c r="AC1099" s="5"/>
    </row>
    <row r="1100" spans="1:29" ht="12.5">
      <c r="A1100" s="5">
        <f ca="1">IFERROR(__xludf.DUMMYFUNCTION("""COMPUTED_VALUE"""),55496)</f>
        <v>55496</v>
      </c>
      <c r="B1100" s="5"/>
      <c r="C1100" s="5" t="str">
        <f ca="1">IFERROR(__xludf.DUMMYFUNCTION("""COMPUTED_VALUE"""),"Bihor")</f>
        <v>Bihor</v>
      </c>
      <c r="D1100" s="13">
        <f ca="1">IFERROR(__xludf.DUMMYFUNCTION("""COMPUTED_VALUE"""),44048)</f>
        <v>44048</v>
      </c>
      <c r="E1100" s="5" t="str">
        <f ca="1">IFERROR(__xludf.DUMMYFUNCTION("""COMPUTED_VALUE"""),"Nu")</f>
        <v>Nu</v>
      </c>
      <c r="F1100" s="5"/>
      <c r="G1100" s="5"/>
      <c r="H1100" s="6"/>
      <c r="I1100" s="5"/>
      <c r="J1100" s="5"/>
      <c r="K1100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100" s="5"/>
      <c r="M1100" s="5"/>
      <c r="N1100" s="5"/>
      <c r="O1100" s="5"/>
      <c r="P1100" s="5"/>
      <c r="Q1100" s="5"/>
      <c r="R1100" s="5" t="str">
        <f ca="1">IFERROR(__xludf.DUMMYFUNCTION("""COMPUTED_VALUE"""),"România")</f>
        <v>România</v>
      </c>
      <c r="S1100" s="5" t="str">
        <f ca="1">IFERROR(__xludf.DUMMYFUNCTION("""COMPUTED_VALUE"""),"Octavian")</f>
        <v>Octavian</v>
      </c>
      <c r="T1100" s="7" t="str">
        <f ca="1">IFERROR(__xludf.DUMMYFUNCTION("""COMPUTED_VALUE"""),"http://www.ms.ro/2020/08/05/buletin-informativ-05-08-2020/")</f>
        <v>http://www.ms.ro/2020/08/05/buletin-informativ-05-08-2020/</v>
      </c>
      <c r="U1100" s="5"/>
      <c r="V1100" s="5"/>
      <c r="W1100" s="5"/>
      <c r="X1100" s="5"/>
      <c r="Y1100" s="5"/>
      <c r="Z1100" s="5"/>
      <c r="AA1100" s="5"/>
      <c r="AB1100" s="5"/>
      <c r="AC1100" s="5"/>
    </row>
    <row r="1101" spans="1:29" ht="12.5">
      <c r="A1101" s="5">
        <f ca="1">IFERROR(__xludf.DUMMYFUNCTION("""COMPUTED_VALUE"""),55497)</f>
        <v>55497</v>
      </c>
      <c r="B1101" s="5"/>
      <c r="C1101" s="5" t="str">
        <f ca="1">IFERROR(__xludf.DUMMYFUNCTION("""COMPUTED_VALUE"""),"Bihor")</f>
        <v>Bihor</v>
      </c>
      <c r="D1101" s="13">
        <f ca="1">IFERROR(__xludf.DUMMYFUNCTION("""COMPUTED_VALUE"""),44048)</f>
        <v>44048</v>
      </c>
      <c r="E1101" s="5" t="str">
        <f ca="1">IFERROR(__xludf.DUMMYFUNCTION("""COMPUTED_VALUE"""),"Nu")</f>
        <v>Nu</v>
      </c>
      <c r="F1101" s="5"/>
      <c r="G1101" s="5"/>
      <c r="H1101" s="6"/>
      <c r="I1101" s="5"/>
      <c r="J1101" s="5"/>
      <c r="K1101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101" s="5"/>
      <c r="M1101" s="5"/>
      <c r="N1101" s="5"/>
      <c r="O1101" s="5"/>
      <c r="P1101" s="5"/>
      <c r="Q1101" s="5"/>
      <c r="R1101" s="5" t="str">
        <f ca="1">IFERROR(__xludf.DUMMYFUNCTION("""COMPUTED_VALUE"""),"România")</f>
        <v>România</v>
      </c>
      <c r="S1101" s="5" t="str">
        <f ca="1">IFERROR(__xludf.DUMMYFUNCTION("""COMPUTED_VALUE"""),"Octavian")</f>
        <v>Octavian</v>
      </c>
      <c r="T1101" s="7" t="str">
        <f ca="1">IFERROR(__xludf.DUMMYFUNCTION("""COMPUTED_VALUE"""),"http://www.ms.ro/2020/08/05/buletin-informativ-05-08-2020/")</f>
        <v>http://www.ms.ro/2020/08/05/buletin-informativ-05-08-2020/</v>
      </c>
      <c r="U1101" s="5"/>
      <c r="V1101" s="5"/>
      <c r="W1101" s="5"/>
      <c r="X1101" s="5"/>
      <c r="Y1101" s="5"/>
      <c r="Z1101" s="5"/>
      <c r="AA1101" s="5"/>
      <c r="AB1101" s="5"/>
      <c r="AC1101" s="5"/>
    </row>
    <row r="1102" spans="1:29" ht="12.5">
      <c r="A1102" s="5">
        <f ca="1">IFERROR(__xludf.DUMMYFUNCTION("""COMPUTED_VALUE"""),55498)</f>
        <v>55498</v>
      </c>
      <c r="B1102" s="5"/>
      <c r="C1102" s="5" t="str">
        <f ca="1">IFERROR(__xludf.DUMMYFUNCTION("""COMPUTED_VALUE"""),"Bihor")</f>
        <v>Bihor</v>
      </c>
      <c r="D1102" s="13">
        <f ca="1">IFERROR(__xludf.DUMMYFUNCTION("""COMPUTED_VALUE"""),44048)</f>
        <v>44048</v>
      </c>
      <c r="E1102" s="5" t="str">
        <f ca="1">IFERROR(__xludf.DUMMYFUNCTION("""COMPUTED_VALUE"""),"Nu")</f>
        <v>Nu</v>
      </c>
      <c r="F1102" s="5"/>
      <c r="G1102" s="5"/>
      <c r="H1102" s="6"/>
      <c r="I1102" s="5"/>
      <c r="J1102" s="5"/>
      <c r="K1102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102" s="5"/>
      <c r="M1102" s="5"/>
      <c r="N1102" s="5"/>
      <c r="O1102" s="5"/>
      <c r="P1102" s="5"/>
      <c r="Q1102" s="5"/>
      <c r="R1102" s="5" t="str">
        <f ca="1">IFERROR(__xludf.DUMMYFUNCTION("""COMPUTED_VALUE"""),"România")</f>
        <v>România</v>
      </c>
      <c r="S1102" s="5" t="str">
        <f ca="1">IFERROR(__xludf.DUMMYFUNCTION("""COMPUTED_VALUE"""),"Octavian")</f>
        <v>Octavian</v>
      </c>
      <c r="T1102" s="7" t="str">
        <f ca="1">IFERROR(__xludf.DUMMYFUNCTION("""COMPUTED_VALUE"""),"http://www.ms.ro/2020/08/05/buletin-informativ-05-08-2020/")</f>
        <v>http://www.ms.ro/2020/08/05/buletin-informativ-05-08-2020/</v>
      </c>
      <c r="U1102" s="5"/>
      <c r="V1102" s="5"/>
      <c r="W1102" s="5"/>
      <c r="X1102" s="5"/>
      <c r="Y1102" s="5"/>
      <c r="Z1102" s="5"/>
      <c r="AA1102" s="5"/>
      <c r="AB1102" s="5"/>
      <c r="AC1102" s="5"/>
    </row>
    <row r="1103" spans="1:29" ht="12.5">
      <c r="A1103" s="5">
        <f ca="1">IFERROR(__xludf.DUMMYFUNCTION("""COMPUTED_VALUE"""),55499)</f>
        <v>55499</v>
      </c>
      <c r="B1103" s="5"/>
      <c r="C1103" s="5" t="str">
        <f ca="1">IFERROR(__xludf.DUMMYFUNCTION("""COMPUTED_VALUE"""),"Bihor")</f>
        <v>Bihor</v>
      </c>
      <c r="D1103" s="13">
        <f ca="1">IFERROR(__xludf.DUMMYFUNCTION("""COMPUTED_VALUE"""),44048)</f>
        <v>44048</v>
      </c>
      <c r="E1103" s="5" t="str">
        <f ca="1">IFERROR(__xludf.DUMMYFUNCTION("""COMPUTED_VALUE"""),"Nu")</f>
        <v>Nu</v>
      </c>
      <c r="F1103" s="5"/>
      <c r="G1103" s="5"/>
      <c r="H1103" s="6"/>
      <c r="I1103" s="5"/>
      <c r="J1103" s="5"/>
      <c r="K1103" s="7" t="str">
        <f ca="1">IFERROR(__xludf.DUMMYFUNCTION("""COMPUTED_VALUE"""),"https://www.ebihoreanul.ro/stiri/record-dupa-record-in-bihor-intr-o-singura-zi-3-morti-si-59-noi-imbolnaviri-cu-covid-158047.html")</f>
        <v>https://www.ebihoreanul.ro/stiri/record-dupa-record-in-bihor-intr-o-singura-zi-3-morti-si-59-noi-imbolnaviri-cu-covid-158047.html</v>
      </c>
      <c r="L1103" s="5"/>
      <c r="M1103" s="5"/>
      <c r="N1103" s="5"/>
      <c r="O1103" s="5"/>
      <c r="P1103" s="5"/>
      <c r="Q1103" s="5"/>
      <c r="R1103" s="5" t="str">
        <f ca="1">IFERROR(__xludf.DUMMYFUNCTION("""COMPUTED_VALUE"""),"România")</f>
        <v>România</v>
      </c>
      <c r="S1103" s="5" t="str">
        <f ca="1">IFERROR(__xludf.DUMMYFUNCTION("""COMPUTED_VALUE"""),"Octavian")</f>
        <v>Octavian</v>
      </c>
      <c r="T1103" s="7" t="str">
        <f ca="1">IFERROR(__xludf.DUMMYFUNCTION("""COMPUTED_VALUE"""),"http://www.ms.ro/2020/08/05/buletin-informativ-05-08-2020/")</f>
        <v>http://www.ms.ro/2020/08/05/buletin-informativ-05-08-2020/</v>
      </c>
      <c r="U1103" s="5"/>
      <c r="V1103" s="5"/>
      <c r="W1103" s="5"/>
      <c r="X1103" s="5"/>
      <c r="Y1103" s="5"/>
      <c r="Z1103" s="5"/>
      <c r="AA1103" s="5"/>
      <c r="AB1103" s="5"/>
      <c r="AC1103" s="5"/>
    </row>
    <row r="1104" spans="1:29" ht="12.5">
      <c r="A1104" s="5">
        <f ca="1">IFERROR(__xludf.DUMMYFUNCTION("""COMPUTED_VALUE"""),56711)</f>
        <v>56711</v>
      </c>
      <c r="B1104" s="5"/>
      <c r="C1104" s="5" t="str">
        <f ca="1">IFERROR(__xludf.DUMMYFUNCTION("""COMPUTED_VALUE"""),"Bihor")</f>
        <v>Bihor</v>
      </c>
      <c r="D1104" s="13">
        <f ca="1">IFERROR(__xludf.DUMMYFUNCTION("""COMPUTED_VALUE"""),44049)</f>
        <v>44049</v>
      </c>
      <c r="E1104" s="5" t="str">
        <f ca="1">IFERROR(__xludf.DUMMYFUNCTION("""COMPUTED_VALUE"""),"Nu")</f>
        <v>Nu</v>
      </c>
      <c r="F1104" s="5"/>
      <c r="G1104" s="5"/>
      <c r="H1104" s="6"/>
      <c r="I1104" s="5" t="str">
        <f ca="1">IFERROR(__xludf.DUMMYFUNCTION("""COMPUTED_VALUE"""),"Masculin")</f>
        <v>Masculin</v>
      </c>
      <c r="J1104" s="5"/>
      <c r="K1104" s="7" t="str">
        <f ca="1">IFERROR(__xludf.DUMMYFUNCTION("""COMPUTED_VALUE"""),"https://www.ebihoreanul.ro/stiri/institutii-si-firme-din-bihor-inchise-dupa-depistarea-unor-angajati-cu-covid-la-electrica-oradea-toata-conducerea-este-in-izolare-158052.html")</f>
        <v>https://www.ebihoreanul.ro/stiri/institutii-si-firme-din-bihor-inchise-dupa-depistarea-unor-angajati-cu-covid-la-electrica-oradea-toata-conducerea-este-in-izolare-158052.html</v>
      </c>
      <c r="L1104" s="5"/>
      <c r="M1104" s="5" t="str">
        <f ca="1">IFERROR(__xludf.DUMMYFUNCTION("""COMPUTED_VALUE"""),"Oradea")</f>
        <v>Oradea</v>
      </c>
      <c r="N1104" s="5" t="str">
        <f ca="1">IFERROR(__xludf.DUMMYFUNCTION("""COMPUTED_VALUE"""),"Da")</f>
        <v>Da</v>
      </c>
      <c r="O1104" s="5"/>
      <c r="P1104" s="5" t="str">
        <f ca="1">IFERROR(__xludf.DUMMYFUNCTION("""COMPUTED_VALUE"""),"Electrica, dir. gen. Ionel Boja")</f>
        <v>Electrica, dir. gen. Ionel Boja</v>
      </c>
      <c r="Q1104" s="5"/>
      <c r="R1104" s="5" t="str">
        <f ca="1">IFERROR(__xludf.DUMMYFUNCTION("""COMPUTED_VALUE"""),"România")</f>
        <v>România</v>
      </c>
      <c r="S1104" s="5" t="str">
        <f ca="1">IFERROR(__xludf.DUMMYFUNCTION("""COMPUTED_VALUE"""),"Octavian")</f>
        <v>Octavian</v>
      </c>
      <c r="T1104" s="7" t="str">
        <f ca="1">IFERROR(__xludf.DUMMYFUNCTION("""COMPUTED_VALUE"""),"http://www.ms.ro/2020/08/06/buletin-informativ-06-08-2020/")</f>
        <v>http://www.ms.ro/2020/08/06/buletin-informativ-06-08-2020/</v>
      </c>
      <c r="U1104" s="5"/>
      <c r="V1104" s="5"/>
      <c r="W1104" s="5"/>
      <c r="X1104" s="5"/>
      <c r="Y1104" s="5"/>
      <c r="Z1104" s="5"/>
      <c r="AA1104" s="5"/>
      <c r="AB1104" s="5"/>
      <c r="AC1104" s="5"/>
    </row>
    <row r="1105" spans="1:29" ht="12.5">
      <c r="A1105" s="5">
        <f ca="1">IFERROR(__xludf.DUMMYFUNCTION("""COMPUTED_VALUE"""),56712)</f>
        <v>56712</v>
      </c>
      <c r="B1105" s="5"/>
      <c r="C1105" s="5" t="str">
        <f ca="1">IFERROR(__xludf.DUMMYFUNCTION("""COMPUTED_VALUE"""),"Bihor")</f>
        <v>Bihor</v>
      </c>
      <c r="D1105" s="13">
        <f ca="1">IFERROR(__xludf.DUMMYFUNCTION("""COMPUTED_VALUE"""),44049)</f>
        <v>44049</v>
      </c>
      <c r="E1105" s="5" t="str">
        <f ca="1">IFERROR(__xludf.DUMMYFUNCTION("""COMPUTED_VALUE"""),"Nu")</f>
        <v>Nu</v>
      </c>
      <c r="F1105" s="5"/>
      <c r="G1105" s="5"/>
      <c r="H1105" s="6"/>
      <c r="I1105" s="5" t="str">
        <f ca="1">IFERROR(__xludf.DUMMYFUNCTION("""COMPUTED_VALUE"""),"Feminin")</f>
        <v>Feminin</v>
      </c>
      <c r="J1105" s="5"/>
      <c r="K1105" s="7" t="str">
        <f ca="1">IFERROR(__xludf.DUMMYFUNCTION("""COMPUTED_VALUE"""),"https://www.ebihoreanul.ro/stiri/a-treia-zi-consecutiva-cu-decese-covid-in-bihor-si-inca-35-noi-imbolnaviri-raportate-oficial-pentru-ultimele-24-de-ore-158069.html")</f>
        <v>https://www.ebihoreanul.ro/stiri/a-treia-zi-consecutiva-cu-decese-covid-in-bihor-si-inca-35-noi-imbolnaviri-raportate-oficial-pentru-ultimele-24-de-ore-158069.html</v>
      </c>
      <c r="L1105" s="5"/>
      <c r="M1105" s="5" t="str">
        <f ca="1">IFERROR(__xludf.DUMMYFUNCTION("""COMPUTED_VALUE"""),"Oradea")</f>
        <v>Oradea</v>
      </c>
      <c r="N1105" s="5"/>
      <c r="O1105" s="5"/>
      <c r="P1105" s="5" t="str">
        <f ca="1">IFERROR(__xludf.DUMMYFUNCTION("""COMPUTED_VALUE"""),"SM Oradea, asistentă secție pneumologie.")</f>
        <v>SM Oradea, asistentă secție pneumologie.</v>
      </c>
      <c r="Q1105" s="5" t="str">
        <f ca="1">IFERROR(__xludf.DUMMYFUNCTION("""COMPUTED_VALUE"""),"Medical")</f>
        <v>Medical</v>
      </c>
      <c r="R1105" s="5" t="str">
        <f ca="1">IFERROR(__xludf.DUMMYFUNCTION("""COMPUTED_VALUE"""),"România")</f>
        <v>România</v>
      </c>
      <c r="S1105" s="5" t="str">
        <f ca="1">IFERROR(__xludf.DUMMYFUNCTION("""COMPUTED_VALUE"""),"Octavian")</f>
        <v>Octavian</v>
      </c>
      <c r="T1105" s="7" t="str">
        <f ca="1">IFERROR(__xludf.DUMMYFUNCTION("""COMPUTED_VALUE"""),"http://www.ms.ro/2020/08/06/buletin-informativ-06-08-2020/")</f>
        <v>http://www.ms.ro/2020/08/06/buletin-informativ-06-08-2020/</v>
      </c>
      <c r="U1105" s="5"/>
      <c r="V1105" s="5"/>
      <c r="W1105" s="5"/>
      <c r="X1105" s="5"/>
      <c r="Y1105" s="5"/>
      <c r="Z1105" s="5"/>
      <c r="AA1105" s="5"/>
      <c r="AB1105" s="5"/>
      <c r="AC1105" s="5"/>
    </row>
    <row r="1106" spans="1:29" ht="12.5">
      <c r="A1106" s="5">
        <f ca="1">IFERROR(__xludf.DUMMYFUNCTION("""COMPUTED_VALUE"""),56713)</f>
        <v>56713</v>
      </c>
      <c r="B1106" s="5"/>
      <c r="C1106" s="5" t="str">
        <f ca="1">IFERROR(__xludf.DUMMYFUNCTION("""COMPUTED_VALUE"""),"Bihor")</f>
        <v>Bihor</v>
      </c>
      <c r="D1106" s="13">
        <f ca="1">IFERROR(__xludf.DUMMYFUNCTION("""COMPUTED_VALUE"""),44049)</f>
        <v>44049</v>
      </c>
      <c r="E1106" s="5" t="str">
        <f ca="1">IFERROR(__xludf.DUMMYFUNCTION("""COMPUTED_VALUE"""),"Nu")</f>
        <v>Nu</v>
      </c>
      <c r="F1106" s="5"/>
      <c r="G1106" s="5"/>
      <c r="H1106" s="6"/>
      <c r="I1106" s="5"/>
      <c r="J1106" s="5"/>
      <c r="K1106" s="7" t="str">
        <f ca="1">IFERROR(__xludf.DUMMYFUNCTION("""COMPUTED_VALUE"""),"https://www.ebihoreanul.ro/stiri/a-treia-zi-consecutiva-cu-decese-covid-in-bihor-si-inca-35-noi-imbolnaviri-raportate-oficial-pentru-ultimele-24-de-ore-158069.html")</f>
        <v>https://www.ebihoreanul.ro/stiri/a-treia-zi-consecutiva-cu-decese-covid-in-bihor-si-inca-35-noi-imbolnaviri-raportate-oficial-pentru-ultimele-24-de-ore-158069.html</v>
      </c>
      <c r="L1106" s="5"/>
      <c r="M1106" s="5" t="str">
        <f ca="1">IFERROR(__xludf.DUMMYFUNCTION("""COMPUTED_VALUE"""),"Beiuș")</f>
        <v>Beiuș</v>
      </c>
      <c r="N1106" s="5"/>
      <c r="O1106" s="5"/>
      <c r="P1106" s="5"/>
      <c r="Q1106" s="5"/>
      <c r="R1106" s="5" t="str">
        <f ca="1">IFERROR(__xludf.DUMMYFUNCTION("""COMPUTED_VALUE"""),"România")</f>
        <v>România</v>
      </c>
      <c r="S1106" s="5" t="str">
        <f ca="1">IFERROR(__xludf.DUMMYFUNCTION("""COMPUTED_VALUE"""),"Octavian")</f>
        <v>Octavian</v>
      </c>
      <c r="T1106" s="7" t="str">
        <f ca="1">IFERROR(__xludf.DUMMYFUNCTION("""COMPUTED_VALUE"""),"http://www.ms.ro/2020/08/06/buletin-informativ-06-08-2020/")</f>
        <v>http://www.ms.ro/2020/08/06/buletin-informativ-06-08-2020/</v>
      </c>
      <c r="U1106" s="5"/>
      <c r="V1106" s="5"/>
      <c r="W1106" s="5"/>
      <c r="X1106" s="5"/>
      <c r="Y1106" s="5"/>
      <c r="Z1106" s="5"/>
      <c r="AA1106" s="5"/>
      <c r="AB1106" s="5"/>
      <c r="AC1106" s="5"/>
    </row>
    <row r="1107" spans="1:29" ht="12.5">
      <c r="A1107" s="5">
        <f ca="1">IFERROR(__xludf.DUMMYFUNCTION("""COMPUTED_VALUE"""),56714)</f>
        <v>56714</v>
      </c>
      <c r="B1107" s="5"/>
      <c r="C1107" s="5" t="str">
        <f ca="1">IFERROR(__xludf.DUMMYFUNCTION("""COMPUTED_VALUE"""),"Bihor")</f>
        <v>Bihor</v>
      </c>
      <c r="D1107" s="13">
        <f ca="1">IFERROR(__xludf.DUMMYFUNCTION("""COMPUTED_VALUE"""),44049)</f>
        <v>44049</v>
      </c>
      <c r="E1107" s="5" t="str">
        <f ca="1">IFERROR(__xludf.DUMMYFUNCTION("""COMPUTED_VALUE"""),"Nu")</f>
        <v>Nu</v>
      </c>
      <c r="F1107" s="5"/>
      <c r="G1107" s="5"/>
      <c r="H1107" s="6"/>
      <c r="I1107" s="5"/>
      <c r="J1107" s="5"/>
      <c r="K1107" s="7" t="str">
        <f ca="1">IFERROR(__xludf.DUMMYFUNCTION("""COMPUTED_VALUE"""),"https://www.ebihoreanul.ro/stiri/a-treia-zi-consecutiva-cu-decese-covid-in-bihor-si-inca-35-noi-imbolnaviri-raportate-oficial-pentru-ultimele-24-de-ore-158069.html")</f>
        <v>https://www.ebihoreanul.ro/stiri/a-treia-zi-consecutiva-cu-decese-covid-in-bihor-si-inca-35-noi-imbolnaviri-raportate-oficial-pentru-ultimele-24-de-ore-158069.html</v>
      </c>
      <c r="L1107" s="5"/>
      <c r="M1107" s="5" t="str">
        <f ca="1">IFERROR(__xludf.DUMMYFUNCTION("""COMPUTED_VALUE"""),"Țețchea")</f>
        <v>Țețchea</v>
      </c>
      <c r="N1107" s="5"/>
      <c r="O1107" s="5"/>
      <c r="P1107" s="5"/>
      <c r="Q1107" s="5"/>
      <c r="R1107" s="5" t="str">
        <f ca="1">IFERROR(__xludf.DUMMYFUNCTION("""COMPUTED_VALUE"""),"România")</f>
        <v>România</v>
      </c>
      <c r="S1107" s="5" t="str">
        <f ca="1">IFERROR(__xludf.DUMMYFUNCTION("""COMPUTED_VALUE"""),"Octavian")</f>
        <v>Octavian</v>
      </c>
      <c r="T1107" s="7" t="str">
        <f ca="1">IFERROR(__xludf.DUMMYFUNCTION("""COMPUTED_VALUE"""),"http://www.ms.ro/2020/08/06/buletin-informativ-06-08-2020/")</f>
        <v>http://www.ms.ro/2020/08/06/buletin-informativ-06-08-2020/</v>
      </c>
      <c r="U1107" s="5"/>
      <c r="V1107" s="5"/>
      <c r="W1107" s="5"/>
      <c r="X1107" s="5"/>
      <c r="Y1107" s="5"/>
      <c r="Z1107" s="5"/>
      <c r="AA1107" s="5"/>
      <c r="AB1107" s="5"/>
      <c r="AC1107" s="5"/>
    </row>
    <row r="1108" spans="1:29" ht="12.5">
      <c r="A1108" s="5">
        <f ca="1">IFERROR(__xludf.DUMMYFUNCTION("""COMPUTED_VALUE"""),56715)</f>
        <v>56715</v>
      </c>
      <c r="B1108" s="5"/>
      <c r="C1108" s="5" t="str">
        <f ca="1">IFERROR(__xludf.DUMMYFUNCTION("""COMPUTED_VALUE"""),"Bihor")</f>
        <v>Bihor</v>
      </c>
      <c r="D1108" s="13">
        <f ca="1">IFERROR(__xludf.DUMMYFUNCTION("""COMPUTED_VALUE"""),44049)</f>
        <v>44049</v>
      </c>
      <c r="E1108" s="5" t="str">
        <f ca="1">IFERROR(__xludf.DUMMYFUNCTION("""COMPUTED_VALUE"""),"Nu")</f>
        <v>Nu</v>
      </c>
      <c r="F1108" s="5"/>
      <c r="G1108" s="5"/>
      <c r="H1108" s="6"/>
      <c r="I1108" s="5"/>
      <c r="J1108" s="5"/>
      <c r="K1108" s="7" t="str">
        <f ca="1">IFERROR(__xludf.DUMMYFUNCTION("""COMPUTED_VALUE"""),"https://www.ebihoreanul.ro/stiri/a-treia-zi-consecutiva-cu-decese-covid-in-bihor-si-inca-35-noi-imbolnaviri-raportate-oficial-pentru-ultimele-24-de-ore-158069.html")</f>
        <v>https://www.ebihoreanul.ro/stiri/a-treia-zi-consecutiva-cu-decese-covid-in-bihor-si-inca-35-noi-imbolnaviri-raportate-oficial-pentru-ultimele-24-de-ore-158069.html</v>
      </c>
      <c r="L1108" s="5"/>
      <c r="M1108" s="5" t="str">
        <f ca="1">IFERROR(__xludf.DUMMYFUNCTION("""COMPUTED_VALUE"""),"Oșorhei")</f>
        <v>Oșorhei</v>
      </c>
      <c r="N1108" s="5"/>
      <c r="O1108" s="5"/>
      <c r="P1108" s="5"/>
      <c r="Q1108" s="5"/>
      <c r="R1108" s="5" t="str">
        <f ca="1">IFERROR(__xludf.DUMMYFUNCTION("""COMPUTED_VALUE"""),"România")</f>
        <v>România</v>
      </c>
      <c r="S1108" s="5" t="str">
        <f ca="1">IFERROR(__xludf.DUMMYFUNCTION("""COMPUTED_VALUE"""),"Octavian")</f>
        <v>Octavian</v>
      </c>
      <c r="T1108" s="7" t="str">
        <f ca="1">IFERROR(__xludf.DUMMYFUNCTION("""COMPUTED_VALUE"""),"http://www.ms.ro/2020/08/06/buletin-informativ-06-08-2020/")</f>
        <v>http://www.ms.ro/2020/08/06/buletin-informativ-06-08-2020/</v>
      </c>
      <c r="U1108" s="5"/>
      <c r="V1108" s="5"/>
      <c r="W1108" s="5"/>
      <c r="X1108" s="5"/>
      <c r="Y1108" s="5"/>
      <c r="Z1108" s="5"/>
      <c r="AA1108" s="5"/>
      <c r="AB1108" s="5"/>
      <c r="AC1108" s="5"/>
    </row>
    <row r="1109" spans="1:29" ht="12.5">
      <c r="A1109" s="5">
        <f ca="1">IFERROR(__xludf.DUMMYFUNCTION("""COMPUTED_VALUE"""),56716)</f>
        <v>56716</v>
      </c>
      <c r="B1109" s="5"/>
      <c r="C1109" s="5" t="str">
        <f ca="1">IFERROR(__xludf.DUMMYFUNCTION("""COMPUTED_VALUE"""),"Bihor")</f>
        <v>Bihor</v>
      </c>
      <c r="D1109" s="13">
        <f ca="1">IFERROR(__xludf.DUMMYFUNCTION("""COMPUTED_VALUE"""),44049)</f>
        <v>44049</v>
      </c>
      <c r="E1109" s="5" t="str">
        <f ca="1">IFERROR(__xludf.DUMMYFUNCTION("""COMPUTED_VALUE"""),"Nu")</f>
        <v>Nu</v>
      </c>
      <c r="F1109" s="5"/>
      <c r="G1109" s="5"/>
      <c r="H1109" s="6"/>
      <c r="I1109" s="5"/>
      <c r="J1109" s="5"/>
      <c r="K1109" s="7" t="str">
        <f ca="1">IFERROR(__xludf.DUMMYFUNCTION("""COMPUTED_VALUE"""),"https://www.ebihoreanul.ro/stiri/a-treia-zi-consecutiva-cu-decese-covid-in-bihor-si-inca-35-noi-imbolnaviri-raportate-oficial-pentru-ultimele-24-de-ore-158069.html")</f>
        <v>https://www.ebihoreanul.ro/stiri/a-treia-zi-consecutiva-cu-decese-covid-in-bihor-si-inca-35-noi-imbolnaviri-raportate-oficial-pentru-ultimele-24-de-ore-158069.html</v>
      </c>
      <c r="L1109" s="5"/>
      <c r="M1109" s="5" t="str">
        <f ca="1">IFERROR(__xludf.DUMMYFUNCTION("""COMPUTED_VALUE"""),"Budureasa")</f>
        <v>Budureasa</v>
      </c>
      <c r="N1109" s="5"/>
      <c r="O1109" s="5"/>
      <c r="P1109" s="5"/>
      <c r="Q1109" s="5"/>
      <c r="R1109" s="5" t="str">
        <f ca="1">IFERROR(__xludf.DUMMYFUNCTION("""COMPUTED_VALUE"""),"România")</f>
        <v>România</v>
      </c>
      <c r="S1109" s="5" t="str">
        <f ca="1">IFERROR(__xludf.DUMMYFUNCTION("""COMPUTED_VALUE"""),"Octavian")</f>
        <v>Octavian</v>
      </c>
      <c r="T1109" s="7" t="str">
        <f ca="1">IFERROR(__xludf.DUMMYFUNCTION("""COMPUTED_VALUE"""),"http://www.ms.ro/2020/08/06/buletin-informativ-06-08-2020/")</f>
        <v>http://www.ms.ro/2020/08/06/buletin-informativ-06-08-2020/</v>
      </c>
      <c r="U1109" s="5"/>
      <c r="V1109" s="5"/>
      <c r="W1109" s="5"/>
      <c r="X1109" s="5"/>
      <c r="Y1109" s="5"/>
      <c r="Z1109" s="5"/>
      <c r="AA1109" s="5"/>
      <c r="AB1109" s="5"/>
      <c r="AC1109" s="5"/>
    </row>
    <row r="1110" spans="1:29" ht="12.5">
      <c r="A1110" s="5">
        <f ca="1">IFERROR(__xludf.DUMMYFUNCTION("""COMPUTED_VALUE"""),56717)</f>
        <v>56717</v>
      </c>
      <c r="B1110" s="5"/>
      <c r="C1110" s="5" t="str">
        <f ca="1">IFERROR(__xludf.DUMMYFUNCTION("""COMPUTED_VALUE"""),"Bihor")</f>
        <v>Bihor</v>
      </c>
      <c r="D1110" s="13">
        <f ca="1">IFERROR(__xludf.DUMMYFUNCTION("""COMPUTED_VALUE"""),44049)</f>
        <v>44049</v>
      </c>
      <c r="E1110" s="5" t="str">
        <f ca="1">IFERROR(__xludf.DUMMYFUNCTION("""COMPUTED_VALUE"""),"Nu")</f>
        <v>Nu</v>
      </c>
      <c r="F1110" s="5"/>
      <c r="G1110" s="5"/>
      <c r="H1110" s="6"/>
      <c r="I1110" s="5"/>
      <c r="J1110" s="5"/>
      <c r="K1110" s="7" t="str">
        <f ca="1">IFERROR(__xludf.DUMMYFUNCTION("""COMPUTED_VALUE"""),"https://www.ebihoreanul.ro/stiri/a-treia-zi-consecutiva-cu-decese-covid-in-bihor-si-inca-35-noi-imbolnaviri-raportate-oficial-pentru-ultimele-24-de-ore-158069.html")</f>
        <v>https://www.ebihoreanul.ro/stiri/a-treia-zi-consecutiva-cu-decese-covid-in-bihor-si-inca-35-noi-imbolnaviri-raportate-oficial-pentru-ultimele-24-de-ore-158069.html</v>
      </c>
      <c r="L1110" s="5"/>
      <c r="M1110" s="5" t="str">
        <f ca="1">IFERROR(__xludf.DUMMYFUNCTION("""COMPUTED_VALUE"""),"Brusturi")</f>
        <v>Brusturi</v>
      </c>
      <c r="N1110" s="5"/>
      <c r="O1110" s="5"/>
      <c r="P1110" s="5"/>
      <c r="Q1110" s="5"/>
      <c r="R1110" s="5" t="str">
        <f ca="1">IFERROR(__xludf.DUMMYFUNCTION("""COMPUTED_VALUE"""),"România")</f>
        <v>România</v>
      </c>
      <c r="S1110" s="5" t="str">
        <f ca="1">IFERROR(__xludf.DUMMYFUNCTION("""COMPUTED_VALUE"""),"Octavian")</f>
        <v>Octavian</v>
      </c>
      <c r="T1110" s="7" t="str">
        <f ca="1">IFERROR(__xludf.DUMMYFUNCTION("""COMPUTED_VALUE"""),"http://www.ms.ro/2020/08/06/buletin-informativ-06-08-2020/")</f>
        <v>http://www.ms.ro/2020/08/06/buletin-informativ-06-08-2020/</v>
      </c>
      <c r="U1110" s="5"/>
      <c r="V1110" s="5"/>
      <c r="W1110" s="5"/>
      <c r="X1110" s="5"/>
      <c r="Y1110" s="5"/>
      <c r="Z1110" s="5"/>
      <c r="AA1110" s="5"/>
      <c r="AB1110" s="5"/>
      <c r="AC1110" s="5"/>
    </row>
    <row r="1111" spans="1:29" ht="12.5">
      <c r="A1111" s="5">
        <f ca="1">IFERROR(__xludf.DUMMYFUNCTION("""COMPUTED_VALUE"""),56718)</f>
        <v>56718</v>
      </c>
      <c r="B1111" s="5"/>
      <c r="C1111" s="5" t="str">
        <f ca="1">IFERROR(__xludf.DUMMYFUNCTION("""COMPUTED_VALUE"""),"Bihor")</f>
        <v>Bihor</v>
      </c>
      <c r="D1111" s="13">
        <f ca="1">IFERROR(__xludf.DUMMYFUNCTION("""COMPUTED_VALUE"""),44049)</f>
        <v>44049</v>
      </c>
      <c r="E1111" s="5" t="str">
        <f ca="1">IFERROR(__xludf.DUMMYFUNCTION("""COMPUTED_VALUE"""),"Nu")</f>
        <v>Nu</v>
      </c>
      <c r="F1111" s="5"/>
      <c r="G1111" s="5"/>
      <c r="H1111" s="6"/>
      <c r="I1111" s="5"/>
      <c r="J1111" s="5"/>
      <c r="K1111" s="7" t="str">
        <f ca="1">IFERROR(__xludf.DUMMYFUNCTION("""COMPUTED_VALUE"""),"https://www.ebihoreanul.ro/stiri/a-treia-zi-consecutiva-cu-decese-covid-in-bihor-si-inca-35-noi-imbolnaviri-raportate-oficial-pentru-ultimele-24-de-ore-158069.html")</f>
        <v>https://www.ebihoreanul.ro/stiri/a-treia-zi-consecutiva-cu-decese-covid-in-bihor-si-inca-35-noi-imbolnaviri-raportate-oficial-pentru-ultimele-24-de-ore-158069.html</v>
      </c>
      <c r="L1111" s="5"/>
      <c r="M1111" s="5" t="str">
        <f ca="1">IFERROR(__xludf.DUMMYFUNCTION("""COMPUTED_VALUE"""),"Pietroasa")</f>
        <v>Pietroasa</v>
      </c>
      <c r="N1111" s="5"/>
      <c r="O1111" s="5"/>
      <c r="P1111" s="5"/>
      <c r="Q1111" s="5"/>
      <c r="R1111" s="5" t="str">
        <f ca="1">IFERROR(__xludf.DUMMYFUNCTION("""COMPUTED_VALUE"""),"România")</f>
        <v>România</v>
      </c>
      <c r="S1111" s="5" t="str">
        <f ca="1">IFERROR(__xludf.DUMMYFUNCTION("""COMPUTED_VALUE"""),"Octavian")</f>
        <v>Octavian</v>
      </c>
      <c r="T1111" s="7" t="str">
        <f ca="1">IFERROR(__xludf.DUMMYFUNCTION("""COMPUTED_VALUE"""),"http://www.ms.ro/2020/08/06/buletin-informativ-06-08-2020/")</f>
        <v>http://www.ms.ro/2020/08/06/buletin-informativ-06-08-2020/</v>
      </c>
      <c r="U1111" s="5"/>
      <c r="V1111" s="5"/>
      <c r="W1111" s="5"/>
      <c r="X1111" s="5"/>
      <c r="Y1111" s="5"/>
      <c r="Z1111" s="5"/>
      <c r="AA1111" s="5"/>
      <c r="AB1111" s="5"/>
      <c r="AC1111" s="5"/>
    </row>
    <row r="1112" spans="1:29" ht="12.5">
      <c r="A1112" s="5">
        <f ca="1">IFERROR(__xludf.DUMMYFUNCTION("""COMPUTED_VALUE"""),56719)</f>
        <v>56719</v>
      </c>
      <c r="B1112" s="5"/>
      <c r="C1112" s="5" t="str">
        <f ca="1">IFERROR(__xludf.DUMMYFUNCTION("""COMPUTED_VALUE"""),"Bihor")</f>
        <v>Bihor</v>
      </c>
      <c r="D1112" s="13">
        <f ca="1">IFERROR(__xludf.DUMMYFUNCTION("""COMPUTED_VALUE"""),44049)</f>
        <v>44049</v>
      </c>
      <c r="E1112" s="5" t="str">
        <f ca="1">IFERROR(__xludf.DUMMYFUNCTION("""COMPUTED_VALUE"""),"Nu")</f>
        <v>Nu</v>
      </c>
      <c r="F1112" s="5"/>
      <c r="G1112" s="5"/>
      <c r="H1112" s="6"/>
      <c r="I1112" s="5"/>
      <c r="J1112" s="5"/>
      <c r="K1112" s="7" t="str">
        <f ca="1">IFERROR(__xludf.DUMMYFUNCTION("""COMPUTED_VALUE"""),"https://www.ebihoreanul.ro/stiri/a-treia-zi-consecutiva-cu-decese-covid-in-bihor-si-inca-35-noi-imbolnaviri-raportate-oficial-pentru-ultimele-24-de-ore-158069.html")</f>
        <v>https://www.ebihoreanul.ro/stiri/a-treia-zi-consecutiva-cu-decese-covid-in-bihor-si-inca-35-noi-imbolnaviri-raportate-oficial-pentru-ultimele-24-de-ore-158069.html</v>
      </c>
      <c r="L1112" s="5"/>
      <c r="M1112" s="5" t="str">
        <f ca="1">IFERROR(__xludf.DUMMYFUNCTION("""COMPUTED_VALUE"""),"Sântandrei")</f>
        <v>Sântandrei</v>
      </c>
      <c r="N1112" s="5"/>
      <c r="O1112" s="5"/>
      <c r="P1112" s="5"/>
      <c r="Q1112" s="5"/>
      <c r="R1112" s="5" t="str">
        <f ca="1">IFERROR(__xludf.DUMMYFUNCTION("""COMPUTED_VALUE"""),"România")</f>
        <v>România</v>
      </c>
      <c r="S1112" s="5" t="str">
        <f ca="1">IFERROR(__xludf.DUMMYFUNCTION("""COMPUTED_VALUE"""),"Octavian")</f>
        <v>Octavian</v>
      </c>
      <c r="T1112" s="7" t="str">
        <f ca="1">IFERROR(__xludf.DUMMYFUNCTION("""COMPUTED_VALUE"""),"http://www.ms.ro/2020/08/06/buletin-informativ-06-08-2020/")</f>
        <v>http://www.ms.ro/2020/08/06/buletin-informativ-06-08-2020/</v>
      </c>
      <c r="U1112" s="5"/>
      <c r="V1112" s="5"/>
      <c r="W1112" s="5"/>
      <c r="X1112" s="5"/>
      <c r="Y1112" s="5"/>
      <c r="Z1112" s="5"/>
      <c r="AA1112" s="5"/>
      <c r="AB1112" s="5"/>
      <c r="AC1112" s="5"/>
    </row>
    <row r="1113" spans="1:29" ht="12.5">
      <c r="A1113" s="5">
        <f ca="1">IFERROR(__xludf.DUMMYFUNCTION("""COMPUTED_VALUE"""),56720)</f>
        <v>56720</v>
      </c>
      <c r="B1113" s="5"/>
      <c r="C1113" s="5" t="str">
        <f ca="1">IFERROR(__xludf.DUMMYFUNCTION("""COMPUTED_VALUE"""),"Bihor")</f>
        <v>Bihor</v>
      </c>
      <c r="D1113" s="13">
        <f ca="1">IFERROR(__xludf.DUMMYFUNCTION("""COMPUTED_VALUE"""),44049)</f>
        <v>44049</v>
      </c>
      <c r="E1113" s="5" t="str">
        <f ca="1">IFERROR(__xludf.DUMMYFUNCTION("""COMPUTED_VALUE"""),"Nu")</f>
        <v>Nu</v>
      </c>
      <c r="F1113" s="5"/>
      <c r="G1113" s="5"/>
      <c r="H1113" s="6"/>
      <c r="I1113" s="5"/>
      <c r="J1113" s="5"/>
      <c r="K1113" s="7" t="str">
        <f ca="1">IFERROR(__xludf.DUMMYFUNCTION("""COMPUTED_VALUE"""),"https://www.ebihoreanul.ro/stiri/a-treia-zi-consecutiva-cu-decese-covid-in-bihor-si-inca-35-noi-imbolnaviri-raportate-oficial-pentru-ultimele-24-de-ore-158069.html")</f>
        <v>https://www.ebihoreanul.ro/stiri/a-treia-zi-consecutiva-cu-decese-covid-in-bihor-si-inca-35-noi-imbolnaviri-raportate-oficial-pentru-ultimele-24-de-ore-158069.html</v>
      </c>
      <c r="L1113" s="5"/>
      <c r="M1113" s="5" t="str">
        <f ca="1">IFERROR(__xludf.DUMMYFUNCTION("""COMPUTED_VALUE"""),"Copăcel")</f>
        <v>Copăcel</v>
      </c>
      <c r="N1113" s="5"/>
      <c r="O1113" s="5"/>
      <c r="P1113" s="5"/>
      <c r="Q1113" s="5"/>
      <c r="R1113" s="5" t="str">
        <f ca="1">IFERROR(__xludf.DUMMYFUNCTION("""COMPUTED_VALUE"""),"România")</f>
        <v>România</v>
      </c>
      <c r="S1113" s="5" t="str">
        <f ca="1">IFERROR(__xludf.DUMMYFUNCTION("""COMPUTED_VALUE"""),"Octavian")</f>
        <v>Octavian</v>
      </c>
      <c r="T1113" s="7" t="str">
        <f ca="1">IFERROR(__xludf.DUMMYFUNCTION("""COMPUTED_VALUE"""),"http://www.ms.ro/2020/08/06/buletin-informativ-06-08-2020/")</f>
        <v>http://www.ms.ro/2020/08/06/buletin-informativ-06-08-2020/</v>
      </c>
      <c r="U1113" s="5"/>
      <c r="V1113" s="5"/>
      <c r="W1113" s="5"/>
      <c r="X1113" s="5"/>
      <c r="Y1113" s="5"/>
      <c r="Z1113" s="5"/>
      <c r="AA1113" s="5"/>
      <c r="AB1113" s="5"/>
      <c r="AC1113" s="5"/>
    </row>
    <row r="1114" spans="1:29" ht="12.5">
      <c r="A1114" s="5">
        <f ca="1">IFERROR(__xludf.DUMMYFUNCTION("""COMPUTED_VALUE"""),56721)</f>
        <v>56721</v>
      </c>
      <c r="B1114" s="5"/>
      <c r="C1114" s="5" t="str">
        <f ca="1">IFERROR(__xludf.DUMMYFUNCTION("""COMPUTED_VALUE"""),"Bihor")</f>
        <v>Bihor</v>
      </c>
      <c r="D1114" s="13">
        <f ca="1">IFERROR(__xludf.DUMMYFUNCTION("""COMPUTED_VALUE"""),44049)</f>
        <v>44049</v>
      </c>
      <c r="E1114" s="5" t="str">
        <f ca="1">IFERROR(__xludf.DUMMYFUNCTION("""COMPUTED_VALUE"""),"Nu")</f>
        <v>Nu</v>
      </c>
      <c r="F1114" s="5"/>
      <c r="G1114" s="5"/>
      <c r="H1114" s="6"/>
      <c r="I1114" s="5"/>
      <c r="J1114" s="5"/>
      <c r="K1114" s="7" t="str">
        <f ca="1">IFERROR(__xludf.DUMMYFUNCTION("""COMPUTED_VALUE"""),"https://www.ebihoreanul.ro/stiri/a-treia-zi-consecutiva-cu-decese-covid-in-bihor-si-inca-35-noi-imbolnaviri-raportate-oficial-pentru-ultimele-24-de-ore-158069.html")</f>
        <v>https://www.ebihoreanul.ro/stiri/a-treia-zi-consecutiva-cu-decese-covid-in-bihor-si-inca-35-noi-imbolnaviri-raportate-oficial-pentru-ultimele-24-de-ore-158069.html</v>
      </c>
      <c r="L1114" s="5"/>
      <c r="M1114" s="5" t="str">
        <f ca="1">IFERROR(__xludf.DUMMYFUNCTION("""COMPUTED_VALUE"""),"Săcuieni")</f>
        <v>Săcuieni</v>
      </c>
      <c r="N1114" s="5"/>
      <c r="O1114" s="5"/>
      <c r="P1114" s="5"/>
      <c r="Q1114" s="5"/>
      <c r="R1114" s="5" t="str">
        <f ca="1">IFERROR(__xludf.DUMMYFUNCTION("""COMPUTED_VALUE"""),"România")</f>
        <v>România</v>
      </c>
      <c r="S1114" s="5" t="str">
        <f ca="1">IFERROR(__xludf.DUMMYFUNCTION("""COMPUTED_VALUE"""),"Octavian")</f>
        <v>Octavian</v>
      </c>
      <c r="T1114" s="7" t="str">
        <f ca="1">IFERROR(__xludf.DUMMYFUNCTION("""COMPUTED_VALUE"""),"http://www.ms.ro/2020/08/06/buletin-informativ-06-08-2020/")</f>
        <v>http://www.ms.ro/2020/08/06/buletin-informativ-06-08-2020/</v>
      </c>
      <c r="U1114" s="5"/>
      <c r="V1114" s="5"/>
      <c r="W1114" s="5"/>
      <c r="X1114" s="5"/>
      <c r="Y1114" s="5"/>
      <c r="Z1114" s="5"/>
      <c r="AA1114" s="5"/>
      <c r="AB1114" s="5"/>
      <c r="AC1114" s="5"/>
    </row>
    <row r="1115" spans="1:29" ht="12.5">
      <c r="A1115" s="5">
        <f ca="1">IFERROR(__xludf.DUMMYFUNCTION("""COMPUTED_VALUE"""),56722)</f>
        <v>56722</v>
      </c>
      <c r="B1115" s="5"/>
      <c r="C1115" s="5" t="str">
        <f ca="1">IFERROR(__xludf.DUMMYFUNCTION("""COMPUTED_VALUE"""),"Bihor")</f>
        <v>Bihor</v>
      </c>
      <c r="D1115" s="13">
        <f ca="1">IFERROR(__xludf.DUMMYFUNCTION("""COMPUTED_VALUE"""),44049)</f>
        <v>44049</v>
      </c>
      <c r="E1115" s="5" t="str">
        <f ca="1">IFERROR(__xludf.DUMMYFUNCTION("""COMPUTED_VALUE"""),"Nu")</f>
        <v>Nu</v>
      </c>
      <c r="F1115" s="5"/>
      <c r="G1115" s="5"/>
      <c r="H1115" s="6"/>
      <c r="I1115" s="5"/>
      <c r="J1115" s="5"/>
      <c r="K1115" s="7" t="str">
        <f ca="1">IFERROR(__xludf.DUMMYFUNCTION("""COMPUTED_VALUE"""),"https://www.ebihoreanul.ro/stiri/a-treia-zi-consecutiva-cu-decese-covid-in-bihor-si-inca-35-noi-imbolnaviri-raportate-oficial-pentru-ultimele-24-de-ore-158069.html")</f>
        <v>https://www.ebihoreanul.ro/stiri/a-treia-zi-consecutiva-cu-decese-covid-in-bihor-si-inca-35-noi-imbolnaviri-raportate-oficial-pentru-ultimele-24-de-ore-158069.html</v>
      </c>
      <c r="L1115" s="5"/>
      <c r="M1115" s="5" t="str">
        <f ca="1">IFERROR(__xludf.DUMMYFUNCTION("""COMPUTED_VALUE"""),"Dobrești")</f>
        <v>Dobrești</v>
      </c>
      <c r="N1115" s="5"/>
      <c r="O1115" s="5"/>
      <c r="P1115" s="5"/>
      <c r="Q1115" s="5"/>
      <c r="R1115" s="5" t="str">
        <f ca="1">IFERROR(__xludf.DUMMYFUNCTION("""COMPUTED_VALUE"""),"România")</f>
        <v>România</v>
      </c>
      <c r="S1115" s="5" t="str">
        <f ca="1">IFERROR(__xludf.DUMMYFUNCTION("""COMPUTED_VALUE"""),"Octavian")</f>
        <v>Octavian</v>
      </c>
      <c r="T1115" s="7" t="str">
        <f ca="1">IFERROR(__xludf.DUMMYFUNCTION("""COMPUTED_VALUE"""),"http://www.ms.ro/2020/08/06/buletin-informativ-06-08-2020/")</f>
        <v>http://www.ms.ro/2020/08/06/buletin-informativ-06-08-2020/</v>
      </c>
      <c r="U1115" s="5"/>
      <c r="V1115" s="5"/>
      <c r="W1115" s="5"/>
      <c r="X1115" s="5"/>
      <c r="Y1115" s="5"/>
      <c r="Z1115" s="5"/>
      <c r="AA1115" s="5"/>
      <c r="AB1115" s="5"/>
      <c r="AC1115" s="5"/>
    </row>
    <row r="1116" spans="1:29" ht="12.5">
      <c r="A1116" s="5">
        <f ca="1">IFERROR(__xludf.DUMMYFUNCTION("""COMPUTED_VALUE"""),56723)</f>
        <v>56723</v>
      </c>
      <c r="B1116" s="5"/>
      <c r="C1116" s="5" t="str">
        <f ca="1">IFERROR(__xludf.DUMMYFUNCTION("""COMPUTED_VALUE"""),"Bihor")</f>
        <v>Bihor</v>
      </c>
      <c r="D1116" s="13">
        <f ca="1">IFERROR(__xludf.DUMMYFUNCTION("""COMPUTED_VALUE"""),44049)</f>
        <v>44049</v>
      </c>
      <c r="E1116" s="5" t="str">
        <f ca="1">IFERROR(__xludf.DUMMYFUNCTION("""COMPUTED_VALUE"""),"Nu")</f>
        <v>Nu</v>
      </c>
      <c r="F1116" s="5"/>
      <c r="G1116" s="5"/>
      <c r="H1116" s="6"/>
      <c r="I1116" s="5"/>
      <c r="J1116" s="5"/>
      <c r="K1116" s="7" t="str">
        <f ca="1">IFERROR(__xludf.DUMMYFUNCTION("""COMPUTED_VALUE"""),"https://www.ebihoreanul.ro/stiri/a-treia-zi-consecutiva-cu-decese-covid-in-bihor-si-inca-35-noi-imbolnaviri-raportate-oficial-pentru-ultimele-24-de-ore-158069.html")</f>
        <v>https://www.ebihoreanul.ro/stiri/a-treia-zi-consecutiva-cu-decese-covid-in-bihor-si-inca-35-noi-imbolnaviri-raportate-oficial-pentru-ultimele-24-de-ore-158069.html</v>
      </c>
      <c r="L1116" s="5"/>
      <c r="M1116" s="5"/>
      <c r="N1116" s="5"/>
      <c r="O1116" s="5"/>
      <c r="P1116" s="5"/>
      <c r="Q1116" s="5"/>
      <c r="R1116" s="5" t="str">
        <f ca="1">IFERROR(__xludf.DUMMYFUNCTION("""COMPUTED_VALUE"""),"România")</f>
        <v>România</v>
      </c>
      <c r="S1116" s="5" t="str">
        <f ca="1">IFERROR(__xludf.DUMMYFUNCTION("""COMPUTED_VALUE"""),"Octavian")</f>
        <v>Octavian</v>
      </c>
      <c r="T1116" s="7" t="str">
        <f ca="1">IFERROR(__xludf.DUMMYFUNCTION("""COMPUTED_VALUE"""),"http://www.ms.ro/2020/08/06/buletin-informativ-06-08-2020/")</f>
        <v>http://www.ms.ro/2020/08/06/buletin-informativ-06-08-2020/</v>
      </c>
      <c r="U1116" s="5"/>
      <c r="V1116" s="5"/>
      <c r="W1116" s="5"/>
      <c r="X1116" s="5"/>
      <c r="Y1116" s="5"/>
      <c r="Z1116" s="5"/>
      <c r="AA1116" s="5"/>
      <c r="AB1116" s="5"/>
      <c r="AC1116" s="5"/>
    </row>
    <row r="1117" spans="1:29" ht="12.5">
      <c r="A1117" s="5">
        <f ca="1">IFERROR(__xludf.DUMMYFUNCTION("""COMPUTED_VALUE"""),56724)</f>
        <v>56724</v>
      </c>
      <c r="B1117" s="5"/>
      <c r="C1117" s="5" t="str">
        <f ca="1">IFERROR(__xludf.DUMMYFUNCTION("""COMPUTED_VALUE"""),"Bihor")</f>
        <v>Bihor</v>
      </c>
      <c r="D1117" s="13">
        <f ca="1">IFERROR(__xludf.DUMMYFUNCTION("""COMPUTED_VALUE"""),44049)</f>
        <v>44049</v>
      </c>
      <c r="E1117" s="5" t="str">
        <f ca="1">IFERROR(__xludf.DUMMYFUNCTION("""COMPUTED_VALUE"""),"Nu")</f>
        <v>Nu</v>
      </c>
      <c r="F1117" s="5"/>
      <c r="G1117" s="5"/>
      <c r="H1117" s="6"/>
      <c r="I1117" s="5"/>
      <c r="J1117" s="5"/>
      <c r="K1117" s="7" t="str">
        <f ca="1">IFERROR(__xludf.DUMMYFUNCTION("""COMPUTED_VALUE"""),"https://www.ebihoreanul.ro/stiri/a-treia-zi-consecutiva-cu-decese-covid-in-bihor-si-inca-35-noi-imbolnaviri-raportate-oficial-pentru-ultimele-24-de-ore-158069.html")</f>
        <v>https://www.ebihoreanul.ro/stiri/a-treia-zi-consecutiva-cu-decese-covid-in-bihor-si-inca-35-noi-imbolnaviri-raportate-oficial-pentru-ultimele-24-de-ore-158069.html</v>
      </c>
      <c r="L1117" s="5"/>
      <c r="M1117" s="5"/>
      <c r="N1117" s="5"/>
      <c r="O1117" s="5"/>
      <c r="P1117" s="5"/>
      <c r="Q1117" s="5"/>
      <c r="R1117" s="5" t="str">
        <f ca="1">IFERROR(__xludf.DUMMYFUNCTION("""COMPUTED_VALUE"""),"România")</f>
        <v>România</v>
      </c>
      <c r="S1117" s="5" t="str">
        <f ca="1">IFERROR(__xludf.DUMMYFUNCTION("""COMPUTED_VALUE"""),"Octavian")</f>
        <v>Octavian</v>
      </c>
      <c r="T1117" s="7" t="str">
        <f ca="1">IFERROR(__xludf.DUMMYFUNCTION("""COMPUTED_VALUE"""),"http://www.ms.ro/2020/08/06/buletin-informativ-06-08-2020/")</f>
        <v>http://www.ms.ro/2020/08/06/buletin-informativ-06-08-2020/</v>
      </c>
      <c r="U1117" s="5"/>
      <c r="V1117" s="5"/>
      <c r="W1117" s="5"/>
      <c r="X1117" s="5"/>
      <c r="Y1117" s="5"/>
      <c r="Z1117" s="5"/>
      <c r="AA1117" s="5"/>
      <c r="AB1117" s="5"/>
      <c r="AC1117" s="5"/>
    </row>
    <row r="1118" spans="1:29" ht="12.5">
      <c r="A1118" s="5">
        <f ca="1">IFERROR(__xludf.DUMMYFUNCTION("""COMPUTED_VALUE"""),56725)</f>
        <v>56725</v>
      </c>
      <c r="B1118" s="5"/>
      <c r="C1118" s="5" t="str">
        <f ca="1">IFERROR(__xludf.DUMMYFUNCTION("""COMPUTED_VALUE"""),"Bihor")</f>
        <v>Bihor</v>
      </c>
      <c r="D1118" s="13">
        <f ca="1">IFERROR(__xludf.DUMMYFUNCTION("""COMPUTED_VALUE"""),44049)</f>
        <v>44049</v>
      </c>
      <c r="E1118" s="5" t="str">
        <f ca="1">IFERROR(__xludf.DUMMYFUNCTION("""COMPUTED_VALUE"""),"Nu")</f>
        <v>Nu</v>
      </c>
      <c r="F1118" s="5"/>
      <c r="G1118" s="5"/>
      <c r="H1118" s="6"/>
      <c r="I1118" s="5"/>
      <c r="J1118" s="5"/>
      <c r="K1118" s="7" t="str">
        <f ca="1">IFERROR(__xludf.DUMMYFUNCTION("""COMPUTED_VALUE"""),"https://www.ebihoreanul.ro/stiri/a-treia-zi-consecutiva-cu-decese-covid-in-bihor-si-inca-35-noi-imbolnaviri-raportate-oficial-pentru-ultimele-24-de-ore-158069.html")</f>
        <v>https://www.ebihoreanul.ro/stiri/a-treia-zi-consecutiva-cu-decese-covid-in-bihor-si-inca-35-noi-imbolnaviri-raportate-oficial-pentru-ultimele-24-de-ore-158069.html</v>
      </c>
      <c r="L1118" s="5"/>
      <c r="M1118" s="5"/>
      <c r="N1118" s="5"/>
      <c r="O1118" s="5"/>
      <c r="P1118" s="5"/>
      <c r="Q1118" s="5"/>
      <c r="R1118" s="5" t="str">
        <f ca="1">IFERROR(__xludf.DUMMYFUNCTION("""COMPUTED_VALUE"""),"România")</f>
        <v>România</v>
      </c>
      <c r="S1118" s="5" t="str">
        <f ca="1">IFERROR(__xludf.DUMMYFUNCTION("""COMPUTED_VALUE"""),"Octavian")</f>
        <v>Octavian</v>
      </c>
      <c r="T1118" s="7" t="str">
        <f ca="1">IFERROR(__xludf.DUMMYFUNCTION("""COMPUTED_VALUE"""),"http://www.ms.ro/2020/08/06/buletin-informativ-06-08-2020/")</f>
        <v>http://www.ms.ro/2020/08/06/buletin-informativ-06-08-2020/</v>
      </c>
      <c r="U1118" s="5"/>
      <c r="V1118" s="5"/>
      <c r="W1118" s="5"/>
      <c r="X1118" s="5"/>
      <c r="Y1118" s="5"/>
      <c r="Z1118" s="5"/>
      <c r="AA1118" s="5"/>
      <c r="AB1118" s="5"/>
      <c r="AC1118" s="5"/>
    </row>
    <row r="1119" spans="1:29" ht="12.5">
      <c r="A1119" s="5">
        <f ca="1">IFERROR(__xludf.DUMMYFUNCTION("""COMPUTED_VALUE"""),56726)</f>
        <v>56726</v>
      </c>
      <c r="B1119" s="5"/>
      <c r="C1119" s="5" t="str">
        <f ca="1">IFERROR(__xludf.DUMMYFUNCTION("""COMPUTED_VALUE"""),"Bihor")</f>
        <v>Bihor</v>
      </c>
      <c r="D1119" s="13">
        <f ca="1">IFERROR(__xludf.DUMMYFUNCTION("""COMPUTED_VALUE"""),44049)</f>
        <v>44049</v>
      </c>
      <c r="E1119" s="5" t="str">
        <f ca="1">IFERROR(__xludf.DUMMYFUNCTION("""COMPUTED_VALUE"""),"Nu")</f>
        <v>Nu</v>
      </c>
      <c r="F1119" s="5"/>
      <c r="G1119" s="5"/>
      <c r="H1119" s="6"/>
      <c r="I1119" s="5"/>
      <c r="J1119" s="5"/>
      <c r="K1119" s="7" t="str">
        <f ca="1">IFERROR(__xludf.DUMMYFUNCTION("""COMPUTED_VALUE"""),"https://www.ebihoreanul.ro/stiri/a-treia-zi-consecutiva-cu-decese-covid-in-bihor-si-inca-35-noi-imbolnaviri-raportate-oficial-pentru-ultimele-24-de-ore-158069.html")</f>
        <v>https://www.ebihoreanul.ro/stiri/a-treia-zi-consecutiva-cu-decese-covid-in-bihor-si-inca-35-noi-imbolnaviri-raportate-oficial-pentru-ultimele-24-de-ore-158069.html</v>
      </c>
      <c r="L1119" s="5"/>
      <c r="M1119" s="5"/>
      <c r="N1119" s="5"/>
      <c r="O1119" s="5"/>
      <c r="P1119" s="5"/>
      <c r="Q1119" s="5"/>
      <c r="R1119" s="5" t="str">
        <f ca="1">IFERROR(__xludf.DUMMYFUNCTION("""COMPUTED_VALUE"""),"România")</f>
        <v>România</v>
      </c>
      <c r="S1119" s="5" t="str">
        <f ca="1">IFERROR(__xludf.DUMMYFUNCTION("""COMPUTED_VALUE"""),"Octavian")</f>
        <v>Octavian</v>
      </c>
      <c r="T1119" s="7" t="str">
        <f ca="1">IFERROR(__xludf.DUMMYFUNCTION("""COMPUTED_VALUE"""),"http://www.ms.ro/2020/08/06/buletin-informativ-06-08-2020/")</f>
        <v>http://www.ms.ro/2020/08/06/buletin-informativ-06-08-2020/</v>
      </c>
      <c r="U1119" s="5"/>
      <c r="V1119" s="5"/>
      <c r="W1119" s="5"/>
      <c r="X1119" s="5"/>
      <c r="Y1119" s="5"/>
      <c r="Z1119" s="5"/>
      <c r="AA1119" s="5"/>
      <c r="AB1119" s="5"/>
      <c r="AC1119" s="5"/>
    </row>
    <row r="1120" spans="1:29" ht="12.5">
      <c r="A1120" s="5">
        <f ca="1">IFERROR(__xludf.DUMMYFUNCTION("""COMPUTED_VALUE"""),56727)</f>
        <v>56727</v>
      </c>
      <c r="B1120" s="5"/>
      <c r="C1120" s="5" t="str">
        <f ca="1">IFERROR(__xludf.DUMMYFUNCTION("""COMPUTED_VALUE"""),"Bihor")</f>
        <v>Bihor</v>
      </c>
      <c r="D1120" s="13">
        <f ca="1">IFERROR(__xludf.DUMMYFUNCTION("""COMPUTED_VALUE"""),44049)</f>
        <v>44049</v>
      </c>
      <c r="E1120" s="5" t="str">
        <f ca="1">IFERROR(__xludf.DUMMYFUNCTION("""COMPUTED_VALUE"""),"Nu")</f>
        <v>Nu</v>
      </c>
      <c r="F1120" s="5"/>
      <c r="G1120" s="5"/>
      <c r="H1120" s="6"/>
      <c r="I1120" s="5"/>
      <c r="J1120" s="5"/>
      <c r="K1120" s="7" t="str">
        <f ca="1">IFERROR(__xludf.DUMMYFUNCTION("""COMPUTED_VALUE"""),"https://www.ebihoreanul.ro/stiri/a-treia-zi-consecutiva-cu-decese-covid-in-bihor-si-inca-35-noi-imbolnaviri-raportate-oficial-pentru-ultimele-24-de-ore-158069.html")</f>
        <v>https://www.ebihoreanul.ro/stiri/a-treia-zi-consecutiva-cu-decese-covid-in-bihor-si-inca-35-noi-imbolnaviri-raportate-oficial-pentru-ultimele-24-de-ore-158069.html</v>
      </c>
      <c r="L1120" s="5"/>
      <c r="M1120" s="5"/>
      <c r="N1120" s="5"/>
      <c r="O1120" s="5"/>
      <c r="P1120" s="5"/>
      <c r="Q1120" s="5"/>
      <c r="R1120" s="5" t="str">
        <f ca="1">IFERROR(__xludf.DUMMYFUNCTION("""COMPUTED_VALUE"""),"România")</f>
        <v>România</v>
      </c>
      <c r="S1120" s="5" t="str">
        <f ca="1">IFERROR(__xludf.DUMMYFUNCTION("""COMPUTED_VALUE"""),"Octavian")</f>
        <v>Octavian</v>
      </c>
      <c r="T1120" s="7" t="str">
        <f ca="1">IFERROR(__xludf.DUMMYFUNCTION("""COMPUTED_VALUE"""),"http://www.ms.ro/2020/08/06/buletin-informativ-06-08-2020/")</f>
        <v>http://www.ms.ro/2020/08/06/buletin-informativ-06-08-2020/</v>
      </c>
      <c r="U1120" s="5"/>
      <c r="V1120" s="5"/>
      <c r="W1120" s="5"/>
      <c r="X1120" s="5"/>
      <c r="Y1120" s="5"/>
      <c r="Z1120" s="5"/>
      <c r="AA1120" s="5"/>
      <c r="AB1120" s="5"/>
      <c r="AC1120" s="5"/>
    </row>
    <row r="1121" spans="1:29" ht="12.5">
      <c r="A1121" s="5">
        <f ca="1">IFERROR(__xludf.DUMMYFUNCTION("""COMPUTED_VALUE"""),56728)</f>
        <v>56728</v>
      </c>
      <c r="B1121" s="5"/>
      <c r="C1121" s="5" t="str">
        <f ca="1">IFERROR(__xludf.DUMMYFUNCTION("""COMPUTED_VALUE"""),"Bihor")</f>
        <v>Bihor</v>
      </c>
      <c r="D1121" s="13">
        <f ca="1">IFERROR(__xludf.DUMMYFUNCTION("""COMPUTED_VALUE"""),44049)</f>
        <v>44049</v>
      </c>
      <c r="E1121" s="5" t="str">
        <f ca="1">IFERROR(__xludf.DUMMYFUNCTION("""COMPUTED_VALUE"""),"Nu")</f>
        <v>Nu</v>
      </c>
      <c r="F1121" s="5"/>
      <c r="G1121" s="5"/>
      <c r="H1121" s="6"/>
      <c r="I1121" s="5"/>
      <c r="J1121" s="5"/>
      <c r="K1121" s="7" t="str">
        <f ca="1">IFERROR(__xludf.DUMMYFUNCTION("""COMPUTED_VALUE"""),"https://www.ebihoreanul.ro/stiri/a-treia-zi-consecutiva-cu-decese-covid-in-bihor-si-inca-35-noi-imbolnaviri-raportate-oficial-pentru-ultimele-24-de-ore-158069.html")</f>
        <v>https://www.ebihoreanul.ro/stiri/a-treia-zi-consecutiva-cu-decese-covid-in-bihor-si-inca-35-noi-imbolnaviri-raportate-oficial-pentru-ultimele-24-de-ore-158069.html</v>
      </c>
      <c r="L1121" s="5"/>
      <c r="M1121" s="5"/>
      <c r="N1121" s="5"/>
      <c r="O1121" s="5"/>
      <c r="P1121" s="5"/>
      <c r="Q1121" s="5"/>
      <c r="R1121" s="5" t="str">
        <f ca="1">IFERROR(__xludf.DUMMYFUNCTION("""COMPUTED_VALUE"""),"România")</f>
        <v>România</v>
      </c>
      <c r="S1121" s="5" t="str">
        <f ca="1">IFERROR(__xludf.DUMMYFUNCTION("""COMPUTED_VALUE"""),"Octavian")</f>
        <v>Octavian</v>
      </c>
      <c r="T1121" s="7" t="str">
        <f ca="1">IFERROR(__xludf.DUMMYFUNCTION("""COMPUTED_VALUE"""),"http://www.ms.ro/2020/08/06/buletin-informativ-06-08-2020/")</f>
        <v>http://www.ms.ro/2020/08/06/buletin-informativ-06-08-2020/</v>
      </c>
      <c r="U1121" s="5"/>
      <c r="V1121" s="5"/>
      <c r="W1121" s="5"/>
      <c r="X1121" s="5"/>
      <c r="Y1121" s="5"/>
      <c r="Z1121" s="5"/>
      <c r="AA1121" s="5"/>
      <c r="AB1121" s="5"/>
      <c r="AC1121" s="5"/>
    </row>
    <row r="1122" spans="1:29" ht="12.5">
      <c r="A1122" s="5">
        <f ca="1">IFERROR(__xludf.DUMMYFUNCTION("""COMPUTED_VALUE"""),56729)</f>
        <v>56729</v>
      </c>
      <c r="B1122" s="5"/>
      <c r="C1122" s="5" t="str">
        <f ca="1">IFERROR(__xludf.DUMMYFUNCTION("""COMPUTED_VALUE"""),"Bihor")</f>
        <v>Bihor</v>
      </c>
      <c r="D1122" s="13">
        <f ca="1">IFERROR(__xludf.DUMMYFUNCTION("""COMPUTED_VALUE"""),44049)</f>
        <v>44049</v>
      </c>
      <c r="E1122" s="5" t="str">
        <f ca="1">IFERROR(__xludf.DUMMYFUNCTION("""COMPUTED_VALUE"""),"Nu")</f>
        <v>Nu</v>
      </c>
      <c r="F1122" s="5"/>
      <c r="G1122" s="5"/>
      <c r="H1122" s="6"/>
      <c r="I1122" s="5"/>
      <c r="J1122" s="5"/>
      <c r="K1122" s="7" t="str">
        <f ca="1">IFERROR(__xludf.DUMMYFUNCTION("""COMPUTED_VALUE"""),"https://www.ebihoreanul.ro/stiri/a-treia-zi-consecutiva-cu-decese-covid-in-bihor-si-inca-35-noi-imbolnaviri-raportate-oficial-pentru-ultimele-24-de-ore-158069.html")</f>
        <v>https://www.ebihoreanul.ro/stiri/a-treia-zi-consecutiva-cu-decese-covid-in-bihor-si-inca-35-noi-imbolnaviri-raportate-oficial-pentru-ultimele-24-de-ore-158069.html</v>
      </c>
      <c r="L1122" s="5"/>
      <c r="M1122" s="5"/>
      <c r="N1122" s="5"/>
      <c r="O1122" s="5"/>
      <c r="P1122" s="5"/>
      <c r="Q1122" s="5"/>
      <c r="R1122" s="5" t="str">
        <f ca="1">IFERROR(__xludf.DUMMYFUNCTION("""COMPUTED_VALUE"""),"România")</f>
        <v>România</v>
      </c>
      <c r="S1122" s="5" t="str">
        <f ca="1">IFERROR(__xludf.DUMMYFUNCTION("""COMPUTED_VALUE"""),"Octavian")</f>
        <v>Octavian</v>
      </c>
      <c r="T1122" s="7" t="str">
        <f ca="1">IFERROR(__xludf.DUMMYFUNCTION("""COMPUTED_VALUE"""),"http://www.ms.ro/2020/08/06/buletin-informativ-06-08-2020/")</f>
        <v>http://www.ms.ro/2020/08/06/buletin-informativ-06-08-2020/</v>
      </c>
      <c r="U1122" s="5"/>
      <c r="V1122" s="5"/>
      <c r="W1122" s="5"/>
      <c r="X1122" s="5"/>
      <c r="Y1122" s="5"/>
      <c r="Z1122" s="5"/>
      <c r="AA1122" s="5"/>
      <c r="AB1122" s="5"/>
      <c r="AC1122" s="5"/>
    </row>
    <row r="1123" spans="1:29" ht="12.5">
      <c r="A1123" s="5">
        <f ca="1">IFERROR(__xludf.DUMMYFUNCTION("""COMPUTED_VALUE"""),56730)</f>
        <v>56730</v>
      </c>
      <c r="B1123" s="5"/>
      <c r="C1123" s="5" t="str">
        <f ca="1">IFERROR(__xludf.DUMMYFUNCTION("""COMPUTED_VALUE"""),"Bihor")</f>
        <v>Bihor</v>
      </c>
      <c r="D1123" s="13">
        <f ca="1">IFERROR(__xludf.DUMMYFUNCTION("""COMPUTED_VALUE"""),44049)</f>
        <v>44049</v>
      </c>
      <c r="E1123" s="5" t="str">
        <f ca="1">IFERROR(__xludf.DUMMYFUNCTION("""COMPUTED_VALUE"""),"Nu")</f>
        <v>Nu</v>
      </c>
      <c r="F1123" s="5"/>
      <c r="G1123" s="5"/>
      <c r="H1123" s="6"/>
      <c r="I1123" s="5"/>
      <c r="J1123" s="5"/>
      <c r="K1123" s="7" t="str">
        <f ca="1">IFERROR(__xludf.DUMMYFUNCTION("""COMPUTED_VALUE"""),"https://www.ebihoreanul.ro/stiri/a-treia-zi-consecutiva-cu-decese-covid-in-bihor-si-inca-35-noi-imbolnaviri-raportate-oficial-pentru-ultimele-24-de-ore-158069.html")</f>
        <v>https://www.ebihoreanul.ro/stiri/a-treia-zi-consecutiva-cu-decese-covid-in-bihor-si-inca-35-noi-imbolnaviri-raportate-oficial-pentru-ultimele-24-de-ore-158069.html</v>
      </c>
      <c r="L1123" s="5"/>
      <c r="M1123" s="5"/>
      <c r="N1123" s="5"/>
      <c r="O1123" s="5"/>
      <c r="P1123" s="5"/>
      <c r="Q1123" s="5"/>
      <c r="R1123" s="5" t="str">
        <f ca="1">IFERROR(__xludf.DUMMYFUNCTION("""COMPUTED_VALUE"""),"România")</f>
        <v>România</v>
      </c>
      <c r="S1123" s="5" t="str">
        <f ca="1">IFERROR(__xludf.DUMMYFUNCTION("""COMPUTED_VALUE"""),"Octavian")</f>
        <v>Octavian</v>
      </c>
      <c r="T1123" s="7" t="str">
        <f ca="1">IFERROR(__xludf.DUMMYFUNCTION("""COMPUTED_VALUE"""),"http://www.ms.ro/2020/08/06/buletin-informativ-06-08-2020/")</f>
        <v>http://www.ms.ro/2020/08/06/buletin-informativ-06-08-2020/</v>
      </c>
      <c r="U1123" s="5"/>
      <c r="V1123" s="5"/>
      <c r="W1123" s="5"/>
      <c r="X1123" s="5"/>
      <c r="Y1123" s="5"/>
      <c r="Z1123" s="5"/>
      <c r="AA1123" s="5"/>
      <c r="AB1123" s="5"/>
      <c r="AC1123" s="5"/>
    </row>
    <row r="1124" spans="1:29" ht="12.5">
      <c r="A1124" s="5">
        <f ca="1">IFERROR(__xludf.DUMMYFUNCTION("""COMPUTED_VALUE"""),56731)</f>
        <v>56731</v>
      </c>
      <c r="B1124" s="5"/>
      <c r="C1124" s="5" t="str">
        <f ca="1">IFERROR(__xludf.DUMMYFUNCTION("""COMPUTED_VALUE"""),"Bihor")</f>
        <v>Bihor</v>
      </c>
      <c r="D1124" s="13">
        <f ca="1">IFERROR(__xludf.DUMMYFUNCTION("""COMPUTED_VALUE"""),44049)</f>
        <v>44049</v>
      </c>
      <c r="E1124" s="5" t="str">
        <f ca="1">IFERROR(__xludf.DUMMYFUNCTION("""COMPUTED_VALUE"""),"Nu")</f>
        <v>Nu</v>
      </c>
      <c r="F1124" s="5"/>
      <c r="G1124" s="5"/>
      <c r="H1124" s="6"/>
      <c r="I1124" s="5"/>
      <c r="J1124" s="5"/>
      <c r="K1124" s="7" t="str">
        <f ca="1">IFERROR(__xludf.DUMMYFUNCTION("""COMPUTED_VALUE"""),"https://www.ebihoreanul.ro/stiri/a-treia-zi-consecutiva-cu-decese-covid-in-bihor-si-inca-35-noi-imbolnaviri-raportate-oficial-pentru-ultimele-24-de-ore-158069.html")</f>
        <v>https://www.ebihoreanul.ro/stiri/a-treia-zi-consecutiva-cu-decese-covid-in-bihor-si-inca-35-noi-imbolnaviri-raportate-oficial-pentru-ultimele-24-de-ore-158069.html</v>
      </c>
      <c r="L1124" s="5"/>
      <c r="M1124" s="5"/>
      <c r="N1124" s="5"/>
      <c r="O1124" s="5"/>
      <c r="P1124" s="5"/>
      <c r="Q1124" s="5"/>
      <c r="R1124" s="5" t="str">
        <f ca="1">IFERROR(__xludf.DUMMYFUNCTION("""COMPUTED_VALUE"""),"România")</f>
        <v>România</v>
      </c>
      <c r="S1124" s="5" t="str">
        <f ca="1">IFERROR(__xludf.DUMMYFUNCTION("""COMPUTED_VALUE"""),"Octavian")</f>
        <v>Octavian</v>
      </c>
      <c r="T1124" s="7" t="str">
        <f ca="1">IFERROR(__xludf.DUMMYFUNCTION("""COMPUTED_VALUE"""),"http://www.ms.ro/2020/08/06/buletin-informativ-06-08-2020/")</f>
        <v>http://www.ms.ro/2020/08/06/buletin-informativ-06-08-2020/</v>
      </c>
      <c r="U1124" s="5"/>
      <c r="V1124" s="5"/>
      <c r="W1124" s="5"/>
      <c r="X1124" s="5"/>
      <c r="Y1124" s="5"/>
      <c r="Z1124" s="5"/>
      <c r="AA1124" s="5"/>
      <c r="AB1124" s="5"/>
      <c r="AC1124" s="5"/>
    </row>
    <row r="1125" spans="1:29" ht="12.5">
      <c r="A1125" s="5">
        <f ca="1">IFERROR(__xludf.DUMMYFUNCTION("""COMPUTED_VALUE"""),56732)</f>
        <v>56732</v>
      </c>
      <c r="B1125" s="5"/>
      <c r="C1125" s="5" t="str">
        <f ca="1">IFERROR(__xludf.DUMMYFUNCTION("""COMPUTED_VALUE"""),"Bihor")</f>
        <v>Bihor</v>
      </c>
      <c r="D1125" s="13">
        <f ca="1">IFERROR(__xludf.DUMMYFUNCTION("""COMPUTED_VALUE"""),44049)</f>
        <v>44049</v>
      </c>
      <c r="E1125" s="5" t="str">
        <f ca="1">IFERROR(__xludf.DUMMYFUNCTION("""COMPUTED_VALUE"""),"Nu")</f>
        <v>Nu</v>
      </c>
      <c r="F1125" s="5"/>
      <c r="G1125" s="5"/>
      <c r="H1125" s="6"/>
      <c r="I1125" s="5"/>
      <c r="J1125" s="5"/>
      <c r="K1125" s="7" t="str">
        <f ca="1">IFERROR(__xludf.DUMMYFUNCTION("""COMPUTED_VALUE"""),"https://www.ebihoreanul.ro/stiri/a-treia-zi-consecutiva-cu-decese-covid-in-bihor-si-inca-35-noi-imbolnaviri-raportate-oficial-pentru-ultimele-24-de-ore-158069.html")</f>
        <v>https://www.ebihoreanul.ro/stiri/a-treia-zi-consecutiva-cu-decese-covid-in-bihor-si-inca-35-noi-imbolnaviri-raportate-oficial-pentru-ultimele-24-de-ore-158069.html</v>
      </c>
      <c r="L1125" s="5"/>
      <c r="M1125" s="5"/>
      <c r="N1125" s="5"/>
      <c r="O1125" s="5"/>
      <c r="P1125" s="5"/>
      <c r="Q1125" s="5"/>
      <c r="R1125" s="5" t="str">
        <f ca="1">IFERROR(__xludf.DUMMYFUNCTION("""COMPUTED_VALUE"""),"România")</f>
        <v>România</v>
      </c>
      <c r="S1125" s="5" t="str">
        <f ca="1">IFERROR(__xludf.DUMMYFUNCTION("""COMPUTED_VALUE"""),"Octavian")</f>
        <v>Octavian</v>
      </c>
      <c r="T1125" s="7" t="str">
        <f ca="1">IFERROR(__xludf.DUMMYFUNCTION("""COMPUTED_VALUE"""),"http://www.ms.ro/2020/08/06/buletin-informativ-06-08-2020/")</f>
        <v>http://www.ms.ro/2020/08/06/buletin-informativ-06-08-2020/</v>
      </c>
      <c r="U1125" s="5"/>
      <c r="V1125" s="5"/>
      <c r="W1125" s="5"/>
      <c r="X1125" s="5"/>
      <c r="Y1125" s="5"/>
      <c r="Z1125" s="5"/>
      <c r="AA1125" s="5"/>
      <c r="AB1125" s="5"/>
      <c r="AC1125" s="5"/>
    </row>
    <row r="1126" spans="1:29" ht="12.5">
      <c r="A1126" s="5">
        <f ca="1">IFERROR(__xludf.DUMMYFUNCTION("""COMPUTED_VALUE"""),56733)</f>
        <v>56733</v>
      </c>
      <c r="B1126" s="5"/>
      <c r="C1126" s="5" t="str">
        <f ca="1">IFERROR(__xludf.DUMMYFUNCTION("""COMPUTED_VALUE"""),"Bihor")</f>
        <v>Bihor</v>
      </c>
      <c r="D1126" s="13">
        <f ca="1">IFERROR(__xludf.DUMMYFUNCTION("""COMPUTED_VALUE"""),44049)</f>
        <v>44049</v>
      </c>
      <c r="E1126" s="5" t="str">
        <f ca="1">IFERROR(__xludf.DUMMYFUNCTION("""COMPUTED_VALUE"""),"Nu")</f>
        <v>Nu</v>
      </c>
      <c r="F1126" s="5"/>
      <c r="G1126" s="5"/>
      <c r="H1126" s="6"/>
      <c r="I1126" s="5"/>
      <c r="J1126" s="5"/>
      <c r="K1126" s="7" t="str">
        <f ca="1">IFERROR(__xludf.DUMMYFUNCTION("""COMPUTED_VALUE"""),"https://www.ebihoreanul.ro/stiri/a-treia-zi-consecutiva-cu-decese-covid-in-bihor-si-inca-35-noi-imbolnaviri-raportate-oficial-pentru-ultimele-24-de-ore-158069.html")</f>
        <v>https://www.ebihoreanul.ro/stiri/a-treia-zi-consecutiva-cu-decese-covid-in-bihor-si-inca-35-noi-imbolnaviri-raportate-oficial-pentru-ultimele-24-de-ore-158069.html</v>
      </c>
      <c r="L1126" s="5"/>
      <c r="M1126" s="5"/>
      <c r="N1126" s="5"/>
      <c r="O1126" s="5"/>
      <c r="P1126" s="5"/>
      <c r="Q1126" s="5"/>
      <c r="R1126" s="5" t="str">
        <f ca="1">IFERROR(__xludf.DUMMYFUNCTION("""COMPUTED_VALUE"""),"România")</f>
        <v>România</v>
      </c>
      <c r="S1126" s="5" t="str">
        <f ca="1">IFERROR(__xludf.DUMMYFUNCTION("""COMPUTED_VALUE"""),"Octavian")</f>
        <v>Octavian</v>
      </c>
      <c r="T1126" s="7" t="str">
        <f ca="1">IFERROR(__xludf.DUMMYFUNCTION("""COMPUTED_VALUE"""),"http://www.ms.ro/2020/08/06/buletin-informativ-06-08-2020/")</f>
        <v>http://www.ms.ro/2020/08/06/buletin-informativ-06-08-2020/</v>
      </c>
      <c r="U1126" s="5"/>
      <c r="V1126" s="5"/>
      <c r="W1126" s="5"/>
      <c r="X1126" s="5"/>
      <c r="Y1126" s="5"/>
      <c r="Z1126" s="5"/>
      <c r="AA1126" s="5"/>
      <c r="AB1126" s="5"/>
      <c r="AC1126" s="5"/>
    </row>
    <row r="1127" spans="1:29" ht="12.5">
      <c r="A1127" s="5">
        <f ca="1">IFERROR(__xludf.DUMMYFUNCTION("""COMPUTED_VALUE"""),56734)</f>
        <v>56734</v>
      </c>
      <c r="B1127" s="5"/>
      <c r="C1127" s="5" t="str">
        <f ca="1">IFERROR(__xludf.DUMMYFUNCTION("""COMPUTED_VALUE"""),"Bihor")</f>
        <v>Bihor</v>
      </c>
      <c r="D1127" s="13">
        <f ca="1">IFERROR(__xludf.DUMMYFUNCTION("""COMPUTED_VALUE"""),44049)</f>
        <v>44049</v>
      </c>
      <c r="E1127" s="5" t="str">
        <f ca="1">IFERROR(__xludf.DUMMYFUNCTION("""COMPUTED_VALUE"""),"Nu")</f>
        <v>Nu</v>
      </c>
      <c r="F1127" s="5"/>
      <c r="G1127" s="5"/>
      <c r="H1127" s="6"/>
      <c r="I1127" s="5"/>
      <c r="J1127" s="5"/>
      <c r="K1127" s="7" t="str">
        <f ca="1">IFERROR(__xludf.DUMMYFUNCTION("""COMPUTED_VALUE"""),"https://www.ebihoreanul.ro/stiri/a-treia-zi-consecutiva-cu-decese-covid-in-bihor-si-inca-35-noi-imbolnaviri-raportate-oficial-pentru-ultimele-24-de-ore-158069.html")</f>
        <v>https://www.ebihoreanul.ro/stiri/a-treia-zi-consecutiva-cu-decese-covid-in-bihor-si-inca-35-noi-imbolnaviri-raportate-oficial-pentru-ultimele-24-de-ore-158069.html</v>
      </c>
      <c r="L1127" s="5"/>
      <c r="M1127" s="5"/>
      <c r="N1127" s="5"/>
      <c r="O1127" s="5"/>
      <c r="P1127" s="5"/>
      <c r="Q1127" s="5"/>
      <c r="R1127" s="5" t="str">
        <f ca="1">IFERROR(__xludf.DUMMYFUNCTION("""COMPUTED_VALUE"""),"România")</f>
        <v>România</v>
      </c>
      <c r="S1127" s="5" t="str">
        <f ca="1">IFERROR(__xludf.DUMMYFUNCTION("""COMPUTED_VALUE"""),"Octavian")</f>
        <v>Octavian</v>
      </c>
      <c r="T1127" s="7" t="str">
        <f ca="1">IFERROR(__xludf.DUMMYFUNCTION("""COMPUTED_VALUE"""),"http://www.ms.ro/2020/08/06/buletin-informativ-06-08-2020/")</f>
        <v>http://www.ms.ro/2020/08/06/buletin-informativ-06-08-2020/</v>
      </c>
      <c r="U1127" s="5"/>
      <c r="V1127" s="5"/>
      <c r="W1127" s="5"/>
      <c r="X1127" s="5"/>
      <c r="Y1127" s="5"/>
      <c r="Z1127" s="5"/>
      <c r="AA1127" s="5"/>
      <c r="AB1127" s="5"/>
      <c r="AC1127" s="5"/>
    </row>
    <row r="1128" spans="1:29" ht="12.5">
      <c r="A1128" s="5">
        <f ca="1">IFERROR(__xludf.DUMMYFUNCTION("""COMPUTED_VALUE"""),56735)</f>
        <v>56735</v>
      </c>
      <c r="B1128" s="5"/>
      <c r="C1128" s="5" t="str">
        <f ca="1">IFERROR(__xludf.DUMMYFUNCTION("""COMPUTED_VALUE"""),"Bihor")</f>
        <v>Bihor</v>
      </c>
      <c r="D1128" s="13">
        <f ca="1">IFERROR(__xludf.DUMMYFUNCTION("""COMPUTED_VALUE"""),44049)</f>
        <v>44049</v>
      </c>
      <c r="E1128" s="5" t="str">
        <f ca="1">IFERROR(__xludf.DUMMYFUNCTION("""COMPUTED_VALUE"""),"Nu")</f>
        <v>Nu</v>
      </c>
      <c r="F1128" s="5"/>
      <c r="G1128" s="5"/>
      <c r="H1128" s="6"/>
      <c r="I1128" s="5"/>
      <c r="J1128" s="5"/>
      <c r="K1128" s="7" t="str">
        <f ca="1">IFERROR(__xludf.DUMMYFUNCTION("""COMPUTED_VALUE"""),"https://www.ebihoreanul.ro/stiri/a-treia-zi-consecutiva-cu-decese-covid-in-bihor-si-inca-35-noi-imbolnaviri-raportate-oficial-pentru-ultimele-24-de-ore-158069.html")</f>
        <v>https://www.ebihoreanul.ro/stiri/a-treia-zi-consecutiva-cu-decese-covid-in-bihor-si-inca-35-noi-imbolnaviri-raportate-oficial-pentru-ultimele-24-de-ore-158069.html</v>
      </c>
      <c r="L1128" s="5"/>
      <c r="M1128" s="5"/>
      <c r="N1128" s="5"/>
      <c r="O1128" s="5"/>
      <c r="P1128" s="5"/>
      <c r="Q1128" s="5"/>
      <c r="R1128" s="5" t="str">
        <f ca="1">IFERROR(__xludf.DUMMYFUNCTION("""COMPUTED_VALUE"""),"România")</f>
        <v>România</v>
      </c>
      <c r="S1128" s="5" t="str">
        <f ca="1">IFERROR(__xludf.DUMMYFUNCTION("""COMPUTED_VALUE"""),"Octavian")</f>
        <v>Octavian</v>
      </c>
      <c r="T1128" s="7" t="str">
        <f ca="1">IFERROR(__xludf.DUMMYFUNCTION("""COMPUTED_VALUE"""),"http://www.ms.ro/2020/08/06/buletin-informativ-06-08-2020/")</f>
        <v>http://www.ms.ro/2020/08/06/buletin-informativ-06-08-2020/</v>
      </c>
      <c r="U1128" s="5"/>
      <c r="V1128" s="5"/>
      <c r="W1128" s="5"/>
      <c r="X1128" s="5"/>
      <c r="Y1128" s="5"/>
      <c r="Z1128" s="5"/>
      <c r="AA1128" s="5"/>
      <c r="AB1128" s="5"/>
      <c r="AC1128" s="5"/>
    </row>
    <row r="1129" spans="1:29" ht="12.5">
      <c r="A1129" s="5">
        <f ca="1">IFERROR(__xludf.DUMMYFUNCTION("""COMPUTED_VALUE"""),56736)</f>
        <v>56736</v>
      </c>
      <c r="B1129" s="5"/>
      <c r="C1129" s="5" t="str">
        <f ca="1">IFERROR(__xludf.DUMMYFUNCTION("""COMPUTED_VALUE"""),"Bihor")</f>
        <v>Bihor</v>
      </c>
      <c r="D1129" s="13">
        <f ca="1">IFERROR(__xludf.DUMMYFUNCTION("""COMPUTED_VALUE"""),44049)</f>
        <v>44049</v>
      </c>
      <c r="E1129" s="5" t="str">
        <f ca="1">IFERROR(__xludf.DUMMYFUNCTION("""COMPUTED_VALUE"""),"Nu")</f>
        <v>Nu</v>
      </c>
      <c r="F1129" s="5"/>
      <c r="G1129" s="5"/>
      <c r="H1129" s="6"/>
      <c r="I1129" s="5"/>
      <c r="J1129" s="5"/>
      <c r="K1129" s="7" t="str">
        <f ca="1">IFERROR(__xludf.DUMMYFUNCTION("""COMPUTED_VALUE"""),"https://www.ebihoreanul.ro/stiri/a-treia-zi-consecutiva-cu-decese-covid-in-bihor-si-inca-35-noi-imbolnaviri-raportate-oficial-pentru-ultimele-24-de-ore-158069.html")</f>
        <v>https://www.ebihoreanul.ro/stiri/a-treia-zi-consecutiva-cu-decese-covid-in-bihor-si-inca-35-noi-imbolnaviri-raportate-oficial-pentru-ultimele-24-de-ore-158069.html</v>
      </c>
      <c r="L1129" s="5"/>
      <c r="M1129" s="5"/>
      <c r="N1129" s="5"/>
      <c r="O1129" s="5"/>
      <c r="P1129" s="5"/>
      <c r="Q1129" s="5"/>
      <c r="R1129" s="5" t="str">
        <f ca="1">IFERROR(__xludf.DUMMYFUNCTION("""COMPUTED_VALUE"""),"România")</f>
        <v>România</v>
      </c>
      <c r="S1129" s="5" t="str">
        <f ca="1">IFERROR(__xludf.DUMMYFUNCTION("""COMPUTED_VALUE"""),"Octavian")</f>
        <v>Octavian</v>
      </c>
      <c r="T1129" s="7" t="str">
        <f ca="1">IFERROR(__xludf.DUMMYFUNCTION("""COMPUTED_VALUE"""),"http://www.ms.ro/2020/08/06/buletin-informativ-06-08-2020/")</f>
        <v>http://www.ms.ro/2020/08/06/buletin-informativ-06-08-2020/</v>
      </c>
      <c r="U1129" s="5"/>
      <c r="V1129" s="5"/>
      <c r="W1129" s="5"/>
      <c r="X1129" s="5"/>
      <c r="Y1129" s="5"/>
      <c r="Z1129" s="5"/>
      <c r="AA1129" s="5"/>
      <c r="AB1129" s="5"/>
      <c r="AC1129" s="5"/>
    </row>
    <row r="1130" spans="1:29" ht="12.5">
      <c r="A1130" s="5">
        <f ca="1">IFERROR(__xludf.DUMMYFUNCTION("""COMPUTED_VALUE"""),56737)</f>
        <v>56737</v>
      </c>
      <c r="B1130" s="5"/>
      <c r="C1130" s="5" t="str">
        <f ca="1">IFERROR(__xludf.DUMMYFUNCTION("""COMPUTED_VALUE"""),"Bihor")</f>
        <v>Bihor</v>
      </c>
      <c r="D1130" s="13">
        <f ca="1">IFERROR(__xludf.DUMMYFUNCTION("""COMPUTED_VALUE"""),44049)</f>
        <v>44049</v>
      </c>
      <c r="E1130" s="5" t="str">
        <f ca="1">IFERROR(__xludf.DUMMYFUNCTION("""COMPUTED_VALUE"""),"Nu")</f>
        <v>Nu</v>
      </c>
      <c r="F1130" s="5"/>
      <c r="G1130" s="5"/>
      <c r="H1130" s="6"/>
      <c r="I1130" s="5"/>
      <c r="J1130" s="5"/>
      <c r="K1130" s="7" t="str">
        <f ca="1">IFERROR(__xludf.DUMMYFUNCTION("""COMPUTED_VALUE"""),"https://www.ebihoreanul.ro/stiri/a-treia-zi-consecutiva-cu-decese-covid-in-bihor-si-inca-35-noi-imbolnaviri-raportate-oficial-pentru-ultimele-24-de-ore-158069.html")</f>
        <v>https://www.ebihoreanul.ro/stiri/a-treia-zi-consecutiva-cu-decese-covid-in-bihor-si-inca-35-noi-imbolnaviri-raportate-oficial-pentru-ultimele-24-de-ore-158069.html</v>
      </c>
      <c r="L1130" s="5"/>
      <c r="M1130" s="5"/>
      <c r="N1130" s="5"/>
      <c r="O1130" s="5"/>
      <c r="P1130" s="5"/>
      <c r="Q1130" s="5"/>
      <c r="R1130" s="5" t="str">
        <f ca="1">IFERROR(__xludf.DUMMYFUNCTION("""COMPUTED_VALUE"""),"România")</f>
        <v>România</v>
      </c>
      <c r="S1130" s="5" t="str">
        <f ca="1">IFERROR(__xludf.DUMMYFUNCTION("""COMPUTED_VALUE"""),"Octavian")</f>
        <v>Octavian</v>
      </c>
      <c r="T1130" s="7" t="str">
        <f ca="1">IFERROR(__xludf.DUMMYFUNCTION("""COMPUTED_VALUE"""),"http://www.ms.ro/2020/08/06/buletin-informativ-06-08-2020/")</f>
        <v>http://www.ms.ro/2020/08/06/buletin-informativ-06-08-2020/</v>
      </c>
      <c r="U1130" s="5"/>
      <c r="V1130" s="5"/>
      <c r="W1130" s="5"/>
      <c r="X1130" s="5"/>
      <c r="Y1130" s="5"/>
      <c r="Z1130" s="5"/>
      <c r="AA1130" s="5"/>
      <c r="AB1130" s="5"/>
      <c r="AC1130" s="5"/>
    </row>
    <row r="1131" spans="1:29" ht="12.5">
      <c r="A1131" s="5">
        <f ca="1">IFERROR(__xludf.DUMMYFUNCTION("""COMPUTED_VALUE"""),56738)</f>
        <v>56738</v>
      </c>
      <c r="B1131" s="5"/>
      <c r="C1131" s="5" t="str">
        <f ca="1">IFERROR(__xludf.DUMMYFUNCTION("""COMPUTED_VALUE"""),"Bihor")</f>
        <v>Bihor</v>
      </c>
      <c r="D1131" s="13">
        <f ca="1">IFERROR(__xludf.DUMMYFUNCTION("""COMPUTED_VALUE"""),44049)</f>
        <v>44049</v>
      </c>
      <c r="E1131" s="5" t="str">
        <f ca="1">IFERROR(__xludf.DUMMYFUNCTION("""COMPUTED_VALUE"""),"Nu")</f>
        <v>Nu</v>
      </c>
      <c r="F1131" s="5"/>
      <c r="G1131" s="5"/>
      <c r="H1131" s="6"/>
      <c r="I1131" s="5"/>
      <c r="J1131" s="5"/>
      <c r="K1131" s="7" t="str">
        <f ca="1">IFERROR(__xludf.DUMMYFUNCTION("""COMPUTED_VALUE"""),"https://www.ebihoreanul.ro/stiri/a-treia-zi-consecutiva-cu-decese-covid-in-bihor-si-inca-35-noi-imbolnaviri-raportate-oficial-pentru-ultimele-24-de-ore-158069.html")</f>
        <v>https://www.ebihoreanul.ro/stiri/a-treia-zi-consecutiva-cu-decese-covid-in-bihor-si-inca-35-noi-imbolnaviri-raportate-oficial-pentru-ultimele-24-de-ore-158069.html</v>
      </c>
      <c r="L1131" s="5"/>
      <c r="M1131" s="5"/>
      <c r="N1131" s="5"/>
      <c r="O1131" s="5"/>
      <c r="P1131" s="5"/>
      <c r="Q1131" s="5"/>
      <c r="R1131" s="5" t="str">
        <f ca="1">IFERROR(__xludf.DUMMYFUNCTION("""COMPUTED_VALUE"""),"România")</f>
        <v>România</v>
      </c>
      <c r="S1131" s="5" t="str">
        <f ca="1">IFERROR(__xludf.DUMMYFUNCTION("""COMPUTED_VALUE"""),"Octavian")</f>
        <v>Octavian</v>
      </c>
      <c r="T1131" s="7" t="str">
        <f ca="1">IFERROR(__xludf.DUMMYFUNCTION("""COMPUTED_VALUE"""),"http://www.ms.ro/2020/08/06/buletin-informativ-06-08-2020/")</f>
        <v>http://www.ms.ro/2020/08/06/buletin-informativ-06-08-2020/</v>
      </c>
      <c r="U1131" s="5"/>
      <c r="V1131" s="5"/>
      <c r="W1131" s="5"/>
      <c r="X1131" s="5"/>
      <c r="Y1131" s="5"/>
      <c r="Z1131" s="5"/>
      <c r="AA1131" s="5"/>
      <c r="AB1131" s="5"/>
      <c r="AC1131" s="5"/>
    </row>
    <row r="1132" spans="1:29" ht="12.5">
      <c r="A1132" s="5">
        <f ca="1">IFERROR(__xludf.DUMMYFUNCTION("""COMPUTED_VALUE"""),56739)</f>
        <v>56739</v>
      </c>
      <c r="B1132" s="5"/>
      <c r="C1132" s="5" t="str">
        <f ca="1">IFERROR(__xludf.DUMMYFUNCTION("""COMPUTED_VALUE"""),"Bihor")</f>
        <v>Bihor</v>
      </c>
      <c r="D1132" s="13">
        <f ca="1">IFERROR(__xludf.DUMMYFUNCTION("""COMPUTED_VALUE"""),44049)</f>
        <v>44049</v>
      </c>
      <c r="E1132" s="5" t="str">
        <f ca="1">IFERROR(__xludf.DUMMYFUNCTION("""COMPUTED_VALUE"""),"Nu")</f>
        <v>Nu</v>
      </c>
      <c r="F1132" s="5"/>
      <c r="G1132" s="5"/>
      <c r="H1132" s="6"/>
      <c r="I1132" s="5"/>
      <c r="J1132" s="5"/>
      <c r="K1132" s="7" t="str">
        <f ca="1">IFERROR(__xludf.DUMMYFUNCTION("""COMPUTED_VALUE"""),"https://www.ebihoreanul.ro/stiri/a-treia-zi-consecutiva-cu-decese-covid-in-bihor-si-inca-35-noi-imbolnaviri-raportate-oficial-pentru-ultimele-24-de-ore-158069.html")</f>
        <v>https://www.ebihoreanul.ro/stiri/a-treia-zi-consecutiva-cu-decese-covid-in-bihor-si-inca-35-noi-imbolnaviri-raportate-oficial-pentru-ultimele-24-de-ore-158069.html</v>
      </c>
      <c r="L1132" s="5"/>
      <c r="M1132" s="5"/>
      <c r="N1132" s="5"/>
      <c r="O1132" s="5"/>
      <c r="P1132" s="5"/>
      <c r="Q1132" s="5"/>
      <c r="R1132" s="5" t="str">
        <f ca="1">IFERROR(__xludf.DUMMYFUNCTION("""COMPUTED_VALUE"""),"România")</f>
        <v>România</v>
      </c>
      <c r="S1132" s="5" t="str">
        <f ca="1">IFERROR(__xludf.DUMMYFUNCTION("""COMPUTED_VALUE"""),"Octavian")</f>
        <v>Octavian</v>
      </c>
      <c r="T1132" s="7" t="str">
        <f ca="1">IFERROR(__xludf.DUMMYFUNCTION("""COMPUTED_VALUE"""),"http://www.ms.ro/2020/08/06/buletin-informativ-06-08-2020/")</f>
        <v>http://www.ms.ro/2020/08/06/buletin-informativ-06-08-2020/</v>
      </c>
      <c r="U1132" s="5"/>
      <c r="V1132" s="5"/>
      <c r="W1132" s="5"/>
      <c r="X1132" s="5"/>
      <c r="Y1132" s="5"/>
      <c r="Z1132" s="5"/>
      <c r="AA1132" s="5"/>
      <c r="AB1132" s="5"/>
      <c r="AC1132" s="5"/>
    </row>
    <row r="1133" spans="1:29" ht="12.5">
      <c r="A1133" s="5">
        <f ca="1">IFERROR(__xludf.DUMMYFUNCTION("""COMPUTED_VALUE"""),56740)</f>
        <v>56740</v>
      </c>
      <c r="B1133" s="5"/>
      <c r="C1133" s="5" t="str">
        <f ca="1">IFERROR(__xludf.DUMMYFUNCTION("""COMPUTED_VALUE"""),"Bihor")</f>
        <v>Bihor</v>
      </c>
      <c r="D1133" s="13">
        <f ca="1">IFERROR(__xludf.DUMMYFUNCTION("""COMPUTED_VALUE"""),44049)</f>
        <v>44049</v>
      </c>
      <c r="E1133" s="5" t="str">
        <f ca="1">IFERROR(__xludf.DUMMYFUNCTION("""COMPUTED_VALUE"""),"Nu")</f>
        <v>Nu</v>
      </c>
      <c r="F1133" s="5"/>
      <c r="G1133" s="5"/>
      <c r="H1133" s="6"/>
      <c r="I1133" s="5"/>
      <c r="J1133" s="5"/>
      <c r="K1133" s="7" t="str">
        <f ca="1">IFERROR(__xludf.DUMMYFUNCTION("""COMPUTED_VALUE"""),"https://www.ebihoreanul.ro/stiri/a-treia-zi-consecutiva-cu-decese-covid-in-bihor-si-inca-35-noi-imbolnaviri-raportate-oficial-pentru-ultimele-24-de-ore-158069.html")</f>
        <v>https://www.ebihoreanul.ro/stiri/a-treia-zi-consecutiva-cu-decese-covid-in-bihor-si-inca-35-noi-imbolnaviri-raportate-oficial-pentru-ultimele-24-de-ore-158069.html</v>
      </c>
      <c r="L1133" s="5"/>
      <c r="M1133" s="5"/>
      <c r="N1133" s="5"/>
      <c r="O1133" s="5"/>
      <c r="P1133" s="5"/>
      <c r="Q1133" s="5"/>
      <c r="R1133" s="5" t="str">
        <f ca="1">IFERROR(__xludf.DUMMYFUNCTION("""COMPUTED_VALUE"""),"România")</f>
        <v>România</v>
      </c>
      <c r="S1133" s="5" t="str">
        <f ca="1">IFERROR(__xludf.DUMMYFUNCTION("""COMPUTED_VALUE"""),"Octavian")</f>
        <v>Octavian</v>
      </c>
      <c r="T1133" s="7" t="str">
        <f ca="1">IFERROR(__xludf.DUMMYFUNCTION("""COMPUTED_VALUE"""),"http://www.ms.ro/2020/08/06/buletin-informativ-06-08-2020/")</f>
        <v>http://www.ms.ro/2020/08/06/buletin-informativ-06-08-2020/</v>
      </c>
      <c r="U1133" s="5"/>
      <c r="V1133" s="5"/>
      <c r="W1133" s="5"/>
      <c r="X1133" s="5"/>
      <c r="Y1133" s="5"/>
      <c r="Z1133" s="5"/>
      <c r="AA1133" s="5"/>
      <c r="AB1133" s="5"/>
      <c r="AC1133" s="5"/>
    </row>
    <row r="1134" spans="1:29" ht="12.5">
      <c r="A1134" s="5">
        <f ca="1">IFERROR(__xludf.DUMMYFUNCTION("""COMPUTED_VALUE"""),56741)</f>
        <v>56741</v>
      </c>
      <c r="B1134" s="5"/>
      <c r="C1134" s="5" t="str">
        <f ca="1">IFERROR(__xludf.DUMMYFUNCTION("""COMPUTED_VALUE"""),"Bihor")</f>
        <v>Bihor</v>
      </c>
      <c r="D1134" s="13">
        <f ca="1">IFERROR(__xludf.DUMMYFUNCTION("""COMPUTED_VALUE"""),44049)</f>
        <v>44049</v>
      </c>
      <c r="E1134" s="5" t="str">
        <f ca="1">IFERROR(__xludf.DUMMYFUNCTION("""COMPUTED_VALUE"""),"Nu")</f>
        <v>Nu</v>
      </c>
      <c r="F1134" s="5"/>
      <c r="G1134" s="5"/>
      <c r="H1134" s="6"/>
      <c r="I1134" s="5"/>
      <c r="J1134" s="5"/>
      <c r="K1134" s="7" t="str">
        <f ca="1">IFERROR(__xludf.DUMMYFUNCTION("""COMPUTED_VALUE"""),"https://www.ebihoreanul.ro/stiri/a-treia-zi-consecutiva-cu-decese-covid-in-bihor-si-inca-35-noi-imbolnaviri-raportate-oficial-pentru-ultimele-24-de-ore-158069.html")</f>
        <v>https://www.ebihoreanul.ro/stiri/a-treia-zi-consecutiva-cu-decese-covid-in-bihor-si-inca-35-noi-imbolnaviri-raportate-oficial-pentru-ultimele-24-de-ore-158069.html</v>
      </c>
      <c r="L1134" s="5"/>
      <c r="M1134" s="5"/>
      <c r="N1134" s="5"/>
      <c r="O1134" s="5"/>
      <c r="P1134" s="5"/>
      <c r="Q1134" s="5"/>
      <c r="R1134" s="5" t="str">
        <f ca="1">IFERROR(__xludf.DUMMYFUNCTION("""COMPUTED_VALUE"""),"România")</f>
        <v>România</v>
      </c>
      <c r="S1134" s="5" t="str">
        <f ca="1">IFERROR(__xludf.DUMMYFUNCTION("""COMPUTED_VALUE"""),"Octavian")</f>
        <v>Octavian</v>
      </c>
      <c r="T1134" s="7" t="str">
        <f ca="1">IFERROR(__xludf.DUMMYFUNCTION("""COMPUTED_VALUE"""),"http://www.ms.ro/2020/08/06/buletin-informativ-06-08-2020/")</f>
        <v>http://www.ms.ro/2020/08/06/buletin-informativ-06-08-2020/</v>
      </c>
      <c r="U1134" s="5"/>
      <c r="V1134" s="5"/>
      <c r="W1134" s="5"/>
      <c r="X1134" s="5"/>
      <c r="Y1134" s="5"/>
      <c r="Z1134" s="5"/>
      <c r="AA1134" s="5"/>
      <c r="AB1134" s="5"/>
      <c r="AC1134" s="5"/>
    </row>
    <row r="1135" spans="1:29" ht="12.5">
      <c r="A1135" s="5">
        <f ca="1">IFERROR(__xludf.DUMMYFUNCTION("""COMPUTED_VALUE"""),56742)</f>
        <v>56742</v>
      </c>
      <c r="B1135" s="5"/>
      <c r="C1135" s="5" t="str">
        <f ca="1">IFERROR(__xludf.DUMMYFUNCTION("""COMPUTED_VALUE"""),"Bihor")</f>
        <v>Bihor</v>
      </c>
      <c r="D1135" s="13">
        <f ca="1">IFERROR(__xludf.DUMMYFUNCTION("""COMPUTED_VALUE"""),44049)</f>
        <v>44049</v>
      </c>
      <c r="E1135" s="5" t="str">
        <f ca="1">IFERROR(__xludf.DUMMYFUNCTION("""COMPUTED_VALUE"""),"Nu")</f>
        <v>Nu</v>
      </c>
      <c r="F1135" s="5"/>
      <c r="G1135" s="5"/>
      <c r="H1135" s="6"/>
      <c r="I1135" s="5"/>
      <c r="J1135" s="5"/>
      <c r="K1135" s="7" t="str">
        <f ca="1">IFERROR(__xludf.DUMMYFUNCTION("""COMPUTED_VALUE"""),"https://www.ebihoreanul.ro/stiri/a-treia-zi-consecutiva-cu-decese-covid-in-bihor-si-inca-35-noi-imbolnaviri-raportate-oficial-pentru-ultimele-24-de-ore-158069.html")</f>
        <v>https://www.ebihoreanul.ro/stiri/a-treia-zi-consecutiva-cu-decese-covid-in-bihor-si-inca-35-noi-imbolnaviri-raportate-oficial-pentru-ultimele-24-de-ore-158069.html</v>
      </c>
      <c r="L1135" s="5"/>
      <c r="M1135" s="5"/>
      <c r="N1135" s="5"/>
      <c r="O1135" s="5"/>
      <c r="P1135" s="5"/>
      <c r="Q1135" s="5"/>
      <c r="R1135" s="5" t="str">
        <f ca="1">IFERROR(__xludf.DUMMYFUNCTION("""COMPUTED_VALUE"""),"România")</f>
        <v>România</v>
      </c>
      <c r="S1135" s="5" t="str">
        <f ca="1">IFERROR(__xludf.DUMMYFUNCTION("""COMPUTED_VALUE"""),"Octavian")</f>
        <v>Octavian</v>
      </c>
      <c r="T1135" s="7" t="str">
        <f ca="1">IFERROR(__xludf.DUMMYFUNCTION("""COMPUTED_VALUE"""),"http://www.ms.ro/2020/08/06/buletin-informativ-06-08-2020/")</f>
        <v>http://www.ms.ro/2020/08/06/buletin-informativ-06-08-2020/</v>
      </c>
      <c r="U1135" s="5"/>
      <c r="V1135" s="5"/>
      <c r="W1135" s="5"/>
      <c r="X1135" s="5"/>
      <c r="Y1135" s="5"/>
      <c r="Z1135" s="5"/>
      <c r="AA1135" s="5"/>
      <c r="AB1135" s="5"/>
      <c r="AC1135" s="5"/>
    </row>
    <row r="1136" spans="1:29" ht="12.5">
      <c r="A1136" s="5">
        <f ca="1">IFERROR(__xludf.DUMMYFUNCTION("""COMPUTED_VALUE"""),56743)</f>
        <v>56743</v>
      </c>
      <c r="B1136" s="5"/>
      <c r="C1136" s="5" t="str">
        <f ca="1">IFERROR(__xludf.DUMMYFUNCTION("""COMPUTED_VALUE"""),"Bihor")</f>
        <v>Bihor</v>
      </c>
      <c r="D1136" s="13">
        <f ca="1">IFERROR(__xludf.DUMMYFUNCTION("""COMPUTED_VALUE"""),44049)</f>
        <v>44049</v>
      </c>
      <c r="E1136" s="5" t="str">
        <f ca="1">IFERROR(__xludf.DUMMYFUNCTION("""COMPUTED_VALUE"""),"Nu")</f>
        <v>Nu</v>
      </c>
      <c r="F1136" s="5"/>
      <c r="G1136" s="5"/>
      <c r="H1136" s="6"/>
      <c r="I1136" s="5"/>
      <c r="J1136" s="5"/>
      <c r="K1136" s="7" t="str">
        <f ca="1">IFERROR(__xludf.DUMMYFUNCTION("""COMPUTED_VALUE"""),"https://www.ebihoreanul.ro/stiri/a-treia-zi-consecutiva-cu-decese-covid-in-bihor-si-inca-35-noi-imbolnaviri-raportate-oficial-pentru-ultimele-24-de-ore-158069.html")</f>
        <v>https://www.ebihoreanul.ro/stiri/a-treia-zi-consecutiva-cu-decese-covid-in-bihor-si-inca-35-noi-imbolnaviri-raportate-oficial-pentru-ultimele-24-de-ore-158069.html</v>
      </c>
      <c r="L1136" s="5"/>
      <c r="M1136" s="5"/>
      <c r="N1136" s="5"/>
      <c r="O1136" s="5"/>
      <c r="P1136" s="5"/>
      <c r="Q1136" s="5"/>
      <c r="R1136" s="5" t="str">
        <f ca="1">IFERROR(__xludf.DUMMYFUNCTION("""COMPUTED_VALUE"""),"România")</f>
        <v>România</v>
      </c>
      <c r="S1136" s="5" t="str">
        <f ca="1">IFERROR(__xludf.DUMMYFUNCTION("""COMPUTED_VALUE"""),"Octavian")</f>
        <v>Octavian</v>
      </c>
      <c r="T1136" s="7" t="str">
        <f ca="1">IFERROR(__xludf.DUMMYFUNCTION("""COMPUTED_VALUE"""),"http://www.ms.ro/2020/08/06/buletin-informativ-06-08-2020/")</f>
        <v>http://www.ms.ro/2020/08/06/buletin-informativ-06-08-2020/</v>
      </c>
      <c r="U1136" s="5"/>
      <c r="V1136" s="5"/>
      <c r="W1136" s="5"/>
      <c r="X1136" s="5"/>
      <c r="Y1136" s="5"/>
      <c r="Z1136" s="5"/>
      <c r="AA1136" s="5"/>
      <c r="AB1136" s="5"/>
      <c r="AC1136" s="5"/>
    </row>
    <row r="1137" spans="1:29" ht="12.5">
      <c r="A1137" s="5">
        <f ca="1">IFERROR(__xludf.DUMMYFUNCTION("""COMPUTED_VALUE"""),56744)</f>
        <v>56744</v>
      </c>
      <c r="B1137" s="5"/>
      <c r="C1137" s="5" t="str">
        <f ca="1">IFERROR(__xludf.DUMMYFUNCTION("""COMPUTED_VALUE"""),"Bihor")</f>
        <v>Bihor</v>
      </c>
      <c r="D1137" s="13">
        <f ca="1">IFERROR(__xludf.DUMMYFUNCTION("""COMPUTED_VALUE"""),44049)</f>
        <v>44049</v>
      </c>
      <c r="E1137" s="5" t="str">
        <f ca="1">IFERROR(__xludf.DUMMYFUNCTION("""COMPUTED_VALUE"""),"Nu")</f>
        <v>Nu</v>
      </c>
      <c r="F1137" s="5"/>
      <c r="G1137" s="5"/>
      <c r="H1137" s="6"/>
      <c r="I1137" s="5"/>
      <c r="J1137" s="5"/>
      <c r="K1137" s="7" t="str">
        <f ca="1">IFERROR(__xludf.DUMMYFUNCTION("""COMPUTED_VALUE"""),"https://www.ebihoreanul.ro/stiri/a-treia-zi-consecutiva-cu-decese-covid-in-bihor-si-inca-35-noi-imbolnaviri-raportate-oficial-pentru-ultimele-24-de-ore-158069.html")</f>
        <v>https://www.ebihoreanul.ro/stiri/a-treia-zi-consecutiva-cu-decese-covid-in-bihor-si-inca-35-noi-imbolnaviri-raportate-oficial-pentru-ultimele-24-de-ore-158069.html</v>
      </c>
      <c r="L1137" s="5"/>
      <c r="M1137" s="5"/>
      <c r="N1137" s="5"/>
      <c r="O1137" s="5"/>
      <c r="P1137" s="5"/>
      <c r="Q1137" s="5"/>
      <c r="R1137" s="5" t="str">
        <f ca="1">IFERROR(__xludf.DUMMYFUNCTION("""COMPUTED_VALUE"""),"România")</f>
        <v>România</v>
      </c>
      <c r="S1137" s="5" t="str">
        <f ca="1">IFERROR(__xludf.DUMMYFUNCTION("""COMPUTED_VALUE"""),"Octavian")</f>
        <v>Octavian</v>
      </c>
      <c r="T1137" s="7" t="str">
        <f ca="1">IFERROR(__xludf.DUMMYFUNCTION("""COMPUTED_VALUE"""),"http://www.ms.ro/2020/08/06/buletin-informativ-06-08-2020/")</f>
        <v>http://www.ms.ro/2020/08/06/buletin-informativ-06-08-2020/</v>
      </c>
      <c r="U1137" s="5"/>
      <c r="V1137" s="5"/>
      <c r="W1137" s="5"/>
      <c r="X1137" s="5"/>
      <c r="Y1137" s="5"/>
      <c r="Z1137" s="5"/>
      <c r="AA1137" s="5"/>
      <c r="AB1137" s="5"/>
      <c r="AC1137" s="5"/>
    </row>
    <row r="1138" spans="1:29" ht="12.5">
      <c r="A1138" s="5">
        <f ca="1">IFERROR(__xludf.DUMMYFUNCTION("""COMPUTED_VALUE"""),56745)</f>
        <v>56745</v>
      </c>
      <c r="B1138" s="5"/>
      <c r="C1138" s="5" t="str">
        <f ca="1">IFERROR(__xludf.DUMMYFUNCTION("""COMPUTED_VALUE"""),"Bihor")</f>
        <v>Bihor</v>
      </c>
      <c r="D1138" s="13">
        <f ca="1">IFERROR(__xludf.DUMMYFUNCTION("""COMPUTED_VALUE"""),44049)</f>
        <v>44049</v>
      </c>
      <c r="E1138" s="5" t="str">
        <f ca="1">IFERROR(__xludf.DUMMYFUNCTION("""COMPUTED_VALUE"""),"Nu")</f>
        <v>Nu</v>
      </c>
      <c r="F1138" s="5"/>
      <c r="G1138" s="5"/>
      <c r="H1138" s="6"/>
      <c r="I1138" s="5"/>
      <c r="J1138" s="5"/>
      <c r="K1138" s="7" t="str">
        <f ca="1">IFERROR(__xludf.DUMMYFUNCTION("""COMPUTED_VALUE"""),"https://www.ebihoreanul.ro/stiri/a-treia-zi-consecutiva-cu-decese-covid-in-bihor-si-inca-35-noi-imbolnaviri-raportate-oficial-pentru-ultimele-24-de-ore-158069.html")</f>
        <v>https://www.ebihoreanul.ro/stiri/a-treia-zi-consecutiva-cu-decese-covid-in-bihor-si-inca-35-noi-imbolnaviri-raportate-oficial-pentru-ultimele-24-de-ore-158069.html</v>
      </c>
      <c r="L1138" s="5"/>
      <c r="M1138" s="5"/>
      <c r="N1138" s="5"/>
      <c r="O1138" s="5"/>
      <c r="P1138" s="5"/>
      <c r="Q1138" s="5"/>
      <c r="R1138" s="5" t="str">
        <f ca="1">IFERROR(__xludf.DUMMYFUNCTION("""COMPUTED_VALUE"""),"România")</f>
        <v>România</v>
      </c>
      <c r="S1138" s="5" t="str">
        <f ca="1">IFERROR(__xludf.DUMMYFUNCTION("""COMPUTED_VALUE"""),"Octavian")</f>
        <v>Octavian</v>
      </c>
      <c r="T1138" s="7" t="str">
        <f ca="1">IFERROR(__xludf.DUMMYFUNCTION("""COMPUTED_VALUE"""),"http://www.ms.ro/2020/08/06/buletin-informativ-06-08-2020/")</f>
        <v>http://www.ms.ro/2020/08/06/buletin-informativ-06-08-2020/</v>
      </c>
      <c r="U1138" s="5"/>
      <c r="V1138" s="5"/>
      <c r="W1138" s="5"/>
      <c r="X1138" s="5"/>
      <c r="Y1138" s="5"/>
      <c r="Z1138" s="5"/>
      <c r="AA1138" s="5"/>
      <c r="AB1138" s="5"/>
      <c r="AC1138" s="5"/>
    </row>
    <row r="1139" spans="1:29" ht="12.5">
      <c r="A1139" s="5">
        <f ca="1">IFERROR(__xludf.DUMMYFUNCTION("""COMPUTED_VALUE"""),58087)</f>
        <v>58087</v>
      </c>
      <c r="B1139" s="5"/>
      <c r="C1139" s="5" t="str">
        <f ca="1">IFERROR(__xludf.DUMMYFUNCTION("""COMPUTED_VALUE"""),"Bihor")</f>
        <v>Bihor</v>
      </c>
      <c r="D1139" s="13">
        <f ca="1">IFERROR(__xludf.DUMMYFUNCTION("""COMPUTED_VALUE"""),44050)</f>
        <v>44050</v>
      </c>
      <c r="E1139" s="5" t="str">
        <f ca="1">IFERROR(__xludf.DUMMYFUNCTION("""COMPUTED_VALUE"""),"Nu")</f>
        <v>Nu</v>
      </c>
      <c r="F1139" s="5"/>
      <c r="G1139" s="5"/>
      <c r="H1139" s="6"/>
      <c r="I1139" s="5"/>
      <c r="J1139" s="5"/>
      <c r="K1139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39" s="5"/>
      <c r="M1139" s="5" t="str">
        <f ca="1">IFERROR(__xludf.DUMMYFUNCTION("""COMPUTED_VALUE"""),"Marghita")</f>
        <v>Marghita</v>
      </c>
      <c r="N1139" s="5"/>
      <c r="O1139" s="5"/>
      <c r="P1139" s="5"/>
      <c r="Q1139" s="5"/>
      <c r="R1139" s="5" t="str">
        <f ca="1">IFERROR(__xludf.DUMMYFUNCTION("""COMPUTED_VALUE"""),"România")</f>
        <v>România</v>
      </c>
      <c r="S1139" s="5" t="str">
        <f ca="1">IFERROR(__xludf.DUMMYFUNCTION("""COMPUTED_VALUE"""),"Octavian")</f>
        <v>Octavian</v>
      </c>
      <c r="T1139" s="7" t="str">
        <f ca="1">IFERROR(__xludf.DUMMYFUNCTION("""COMPUTED_VALUE"""),"http://www.ms.ro/2020/08/07/buletin-informativ-07-08-2020/")</f>
        <v>http://www.ms.ro/2020/08/07/buletin-informativ-07-08-2020/</v>
      </c>
      <c r="U1139" s="5"/>
      <c r="V1139" s="5"/>
      <c r="W1139" s="5"/>
      <c r="X1139" s="5"/>
      <c r="Y1139" s="5"/>
      <c r="Z1139" s="5"/>
      <c r="AA1139" s="5"/>
      <c r="AB1139" s="5"/>
      <c r="AC1139" s="5"/>
    </row>
    <row r="1140" spans="1:29" ht="12.5">
      <c r="A1140" s="5">
        <f ca="1">IFERROR(__xludf.DUMMYFUNCTION("""COMPUTED_VALUE"""),58088)</f>
        <v>58088</v>
      </c>
      <c r="B1140" s="5"/>
      <c r="C1140" s="5" t="str">
        <f ca="1">IFERROR(__xludf.DUMMYFUNCTION("""COMPUTED_VALUE"""),"Bihor")</f>
        <v>Bihor</v>
      </c>
      <c r="D1140" s="13">
        <f ca="1">IFERROR(__xludf.DUMMYFUNCTION("""COMPUTED_VALUE"""),44050)</f>
        <v>44050</v>
      </c>
      <c r="E1140" s="5" t="str">
        <f ca="1">IFERROR(__xludf.DUMMYFUNCTION("""COMPUTED_VALUE"""),"Nu")</f>
        <v>Nu</v>
      </c>
      <c r="F1140" s="5"/>
      <c r="G1140" s="5"/>
      <c r="H1140" s="6"/>
      <c r="I1140" s="5"/>
      <c r="J1140" s="5"/>
      <c r="K1140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40" s="5"/>
      <c r="M1140" s="5" t="str">
        <f ca="1">IFERROR(__xludf.DUMMYFUNCTION("""COMPUTED_VALUE"""),"Oradea")</f>
        <v>Oradea</v>
      </c>
      <c r="N1140" s="5"/>
      <c r="O1140" s="5"/>
      <c r="P1140" s="5"/>
      <c r="Q1140" s="5"/>
      <c r="R1140" s="5" t="str">
        <f ca="1">IFERROR(__xludf.DUMMYFUNCTION("""COMPUTED_VALUE"""),"România")</f>
        <v>România</v>
      </c>
      <c r="S1140" s="5" t="str">
        <f ca="1">IFERROR(__xludf.DUMMYFUNCTION("""COMPUTED_VALUE"""),"Octavian")</f>
        <v>Octavian</v>
      </c>
      <c r="T1140" s="7" t="str">
        <f ca="1">IFERROR(__xludf.DUMMYFUNCTION("""COMPUTED_VALUE"""),"http://www.ms.ro/2020/08/07/buletin-informativ-07-08-2020/")</f>
        <v>http://www.ms.ro/2020/08/07/buletin-informativ-07-08-2020/</v>
      </c>
      <c r="U1140" s="5"/>
      <c r="V1140" s="5"/>
      <c r="W1140" s="5"/>
      <c r="X1140" s="5"/>
      <c r="Y1140" s="5"/>
      <c r="Z1140" s="5"/>
      <c r="AA1140" s="5"/>
      <c r="AB1140" s="5"/>
      <c r="AC1140" s="5"/>
    </row>
    <row r="1141" spans="1:29" ht="12.5">
      <c r="A1141" s="5">
        <f ca="1">IFERROR(__xludf.DUMMYFUNCTION("""COMPUTED_VALUE"""),58089)</f>
        <v>58089</v>
      </c>
      <c r="B1141" s="5"/>
      <c r="C1141" s="5" t="str">
        <f ca="1">IFERROR(__xludf.DUMMYFUNCTION("""COMPUTED_VALUE"""),"Bihor")</f>
        <v>Bihor</v>
      </c>
      <c r="D1141" s="13">
        <f ca="1">IFERROR(__xludf.DUMMYFUNCTION("""COMPUTED_VALUE"""),44050)</f>
        <v>44050</v>
      </c>
      <c r="E1141" s="5" t="str">
        <f ca="1">IFERROR(__xludf.DUMMYFUNCTION("""COMPUTED_VALUE"""),"Nu")</f>
        <v>Nu</v>
      </c>
      <c r="F1141" s="5"/>
      <c r="G1141" s="5"/>
      <c r="H1141" s="6"/>
      <c r="I1141" s="5"/>
      <c r="J1141" s="5"/>
      <c r="K1141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41" s="5"/>
      <c r="M1141" s="5" t="str">
        <f ca="1">IFERROR(__xludf.DUMMYFUNCTION("""COMPUTED_VALUE"""),"Nojorid")</f>
        <v>Nojorid</v>
      </c>
      <c r="N1141" s="5"/>
      <c r="O1141" s="5"/>
      <c r="P1141" s="5"/>
      <c r="Q1141" s="5"/>
      <c r="R1141" s="5" t="str">
        <f ca="1">IFERROR(__xludf.DUMMYFUNCTION("""COMPUTED_VALUE"""),"România")</f>
        <v>România</v>
      </c>
      <c r="S1141" s="5" t="str">
        <f ca="1">IFERROR(__xludf.DUMMYFUNCTION("""COMPUTED_VALUE"""),"Octavian")</f>
        <v>Octavian</v>
      </c>
      <c r="T1141" s="7" t="str">
        <f ca="1">IFERROR(__xludf.DUMMYFUNCTION("""COMPUTED_VALUE"""),"http://www.ms.ro/2020/08/07/buletin-informativ-07-08-2020/")</f>
        <v>http://www.ms.ro/2020/08/07/buletin-informativ-07-08-2020/</v>
      </c>
      <c r="U1141" s="5"/>
      <c r="V1141" s="5"/>
      <c r="W1141" s="5"/>
      <c r="X1141" s="5"/>
      <c r="Y1141" s="5"/>
      <c r="Z1141" s="5"/>
      <c r="AA1141" s="5"/>
      <c r="AB1141" s="5"/>
      <c r="AC1141" s="5"/>
    </row>
    <row r="1142" spans="1:29" ht="12.5">
      <c r="A1142" s="5">
        <f ca="1">IFERROR(__xludf.DUMMYFUNCTION("""COMPUTED_VALUE"""),58090)</f>
        <v>58090</v>
      </c>
      <c r="B1142" s="5"/>
      <c r="C1142" s="5" t="str">
        <f ca="1">IFERROR(__xludf.DUMMYFUNCTION("""COMPUTED_VALUE"""),"Bihor")</f>
        <v>Bihor</v>
      </c>
      <c r="D1142" s="13">
        <f ca="1">IFERROR(__xludf.DUMMYFUNCTION("""COMPUTED_VALUE"""),44050)</f>
        <v>44050</v>
      </c>
      <c r="E1142" s="5" t="str">
        <f ca="1">IFERROR(__xludf.DUMMYFUNCTION("""COMPUTED_VALUE"""),"Nu")</f>
        <v>Nu</v>
      </c>
      <c r="F1142" s="5"/>
      <c r="G1142" s="5"/>
      <c r="H1142" s="6"/>
      <c r="I1142" s="5"/>
      <c r="J1142" s="5"/>
      <c r="K1142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42" s="5"/>
      <c r="M1142" s="5" t="str">
        <f ca="1">IFERROR(__xludf.DUMMYFUNCTION("""COMPUTED_VALUE"""),"Dobrești")</f>
        <v>Dobrești</v>
      </c>
      <c r="N1142" s="5"/>
      <c r="O1142" s="5"/>
      <c r="P1142" s="5"/>
      <c r="Q1142" s="5"/>
      <c r="R1142" s="5" t="str">
        <f ca="1">IFERROR(__xludf.DUMMYFUNCTION("""COMPUTED_VALUE"""),"România")</f>
        <v>România</v>
      </c>
      <c r="S1142" s="5" t="str">
        <f ca="1">IFERROR(__xludf.DUMMYFUNCTION("""COMPUTED_VALUE"""),"Octavian")</f>
        <v>Octavian</v>
      </c>
      <c r="T1142" s="7" t="str">
        <f ca="1">IFERROR(__xludf.DUMMYFUNCTION("""COMPUTED_VALUE"""),"http://www.ms.ro/2020/08/07/buletin-informativ-07-08-2020/")</f>
        <v>http://www.ms.ro/2020/08/07/buletin-informativ-07-08-2020/</v>
      </c>
      <c r="U1142" s="5"/>
      <c r="V1142" s="5"/>
      <c r="W1142" s="5"/>
      <c r="X1142" s="5"/>
      <c r="Y1142" s="5"/>
      <c r="Z1142" s="5"/>
      <c r="AA1142" s="5"/>
      <c r="AB1142" s="5"/>
      <c r="AC1142" s="5"/>
    </row>
    <row r="1143" spans="1:29" ht="12.5">
      <c r="A1143" s="5">
        <f ca="1">IFERROR(__xludf.DUMMYFUNCTION("""COMPUTED_VALUE"""),58091)</f>
        <v>58091</v>
      </c>
      <c r="B1143" s="5"/>
      <c r="C1143" s="5" t="str">
        <f ca="1">IFERROR(__xludf.DUMMYFUNCTION("""COMPUTED_VALUE"""),"Bihor")</f>
        <v>Bihor</v>
      </c>
      <c r="D1143" s="13">
        <f ca="1">IFERROR(__xludf.DUMMYFUNCTION("""COMPUTED_VALUE"""),44050)</f>
        <v>44050</v>
      </c>
      <c r="E1143" s="5" t="str">
        <f ca="1">IFERROR(__xludf.DUMMYFUNCTION("""COMPUTED_VALUE"""),"Nu")</f>
        <v>Nu</v>
      </c>
      <c r="F1143" s="5"/>
      <c r="G1143" s="5"/>
      <c r="H1143" s="6"/>
      <c r="I1143" s="5"/>
      <c r="J1143" s="5"/>
      <c r="K1143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43" s="5"/>
      <c r="M1143" s="5" t="str">
        <f ca="1">IFERROR(__xludf.DUMMYFUNCTION("""COMPUTED_VALUE"""),"Ceica")</f>
        <v>Ceica</v>
      </c>
      <c r="N1143" s="5"/>
      <c r="O1143" s="5"/>
      <c r="P1143" s="5"/>
      <c r="Q1143" s="5"/>
      <c r="R1143" s="5" t="str">
        <f ca="1">IFERROR(__xludf.DUMMYFUNCTION("""COMPUTED_VALUE"""),"România")</f>
        <v>România</v>
      </c>
      <c r="S1143" s="5" t="str">
        <f ca="1">IFERROR(__xludf.DUMMYFUNCTION("""COMPUTED_VALUE"""),"Octavian")</f>
        <v>Octavian</v>
      </c>
      <c r="T1143" s="7" t="str">
        <f ca="1">IFERROR(__xludf.DUMMYFUNCTION("""COMPUTED_VALUE"""),"http://www.ms.ro/2020/08/07/buletin-informativ-07-08-2020/")</f>
        <v>http://www.ms.ro/2020/08/07/buletin-informativ-07-08-2020/</v>
      </c>
      <c r="U1143" s="5"/>
      <c r="V1143" s="5"/>
      <c r="W1143" s="5"/>
      <c r="X1143" s="5"/>
      <c r="Y1143" s="5"/>
      <c r="Z1143" s="5"/>
      <c r="AA1143" s="5"/>
      <c r="AB1143" s="5"/>
      <c r="AC1143" s="5"/>
    </row>
    <row r="1144" spans="1:29" ht="12.5">
      <c r="A1144" s="5">
        <f ca="1">IFERROR(__xludf.DUMMYFUNCTION("""COMPUTED_VALUE"""),58092)</f>
        <v>58092</v>
      </c>
      <c r="B1144" s="5"/>
      <c r="C1144" s="5" t="str">
        <f ca="1">IFERROR(__xludf.DUMMYFUNCTION("""COMPUTED_VALUE"""),"Bihor")</f>
        <v>Bihor</v>
      </c>
      <c r="D1144" s="13">
        <f ca="1">IFERROR(__xludf.DUMMYFUNCTION("""COMPUTED_VALUE"""),44050)</f>
        <v>44050</v>
      </c>
      <c r="E1144" s="5" t="str">
        <f ca="1">IFERROR(__xludf.DUMMYFUNCTION("""COMPUTED_VALUE"""),"Nu")</f>
        <v>Nu</v>
      </c>
      <c r="F1144" s="5"/>
      <c r="G1144" s="5"/>
      <c r="H1144" s="6"/>
      <c r="I1144" s="5"/>
      <c r="J1144" s="5"/>
      <c r="K1144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44" s="5"/>
      <c r="M1144" s="5" t="str">
        <f ca="1">IFERROR(__xludf.DUMMYFUNCTION("""COMPUTED_VALUE"""),"Tileagd")</f>
        <v>Tileagd</v>
      </c>
      <c r="N1144" s="5"/>
      <c r="O1144" s="5"/>
      <c r="P1144" s="5"/>
      <c r="Q1144" s="5"/>
      <c r="R1144" s="5" t="str">
        <f ca="1">IFERROR(__xludf.DUMMYFUNCTION("""COMPUTED_VALUE"""),"România")</f>
        <v>România</v>
      </c>
      <c r="S1144" s="5" t="str">
        <f ca="1">IFERROR(__xludf.DUMMYFUNCTION("""COMPUTED_VALUE"""),"Octavian")</f>
        <v>Octavian</v>
      </c>
      <c r="T1144" s="7" t="str">
        <f ca="1">IFERROR(__xludf.DUMMYFUNCTION("""COMPUTED_VALUE"""),"http://www.ms.ro/2020/08/07/buletin-informativ-07-08-2020/")</f>
        <v>http://www.ms.ro/2020/08/07/buletin-informativ-07-08-2020/</v>
      </c>
      <c r="U1144" s="5"/>
      <c r="V1144" s="5"/>
      <c r="W1144" s="5"/>
      <c r="X1144" s="5"/>
      <c r="Y1144" s="5"/>
      <c r="Z1144" s="5"/>
      <c r="AA1144" s="5"/>
      <c r="AB1144" s="5"/>
      <c r="AC1144" s="5"/>
    </row>
    <row r="1145" spans="1:29" ht="12.5">
      <c r="A1145" s="5">
        <f ca="1">IFERROR(__xludf.DUMMYFUNCTION("""COMPUTED_VALUE"""),58093)</f>
        <v>58093</v>
      </c>
      <c r="B1145" s="5"/>
      <c r="C1145" s="5" t="str">
        <f ca="1">IFERROR(__xludf.DUMMYFUNCTION("""COMPUTED_VALUE"""),"Bihor")</f>
        <v>Bihor</v>
      </c>
      <c r="D1145" s="13">
        <f ca="1">IFERROR(__xludf.DUMMYFUNCTION("""COMPUTED_VALUE"""),44050)</f>
        <v>44050</v>
      </c>
      <c r="E1145" s="5" t="str">
        <f ca="1">IFERROR(__xludf.DUMMYFUNCTION("""COMPUTED_VALUE"""),"Nu")</f>
        <v>Nu</v>
      </c>
      <c r="F1145" s="5"/>
      <c r="G1145" s="5"/>
      <c r="H1145" s="6"/>
      <c r="I1145" s="5"/>
      <c r="J1145" s="5"/>
      <c r="K1145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45" s="5"/>
      <c r="M1145" s="5" t="str">
        <f ca="1">IFERROR(__xludf.DUMMYFUNCTION("""COMPUTED_VALUE"""),"Ineu")</f>
        <v>Ineu</v>
      </c>
      <c r="N1145" s="5"/>
      <c r="O1145" s="5"/>
      <c r="P1145" s="5"/>
      <c r="Q1145" s="5"/>
      <c r="R1145" s="5" t="str">
        <f ca="1">IFERROR(__xludf.DUMMYFUNCTION("""COMPUTED_VALUE"""),"România")</f>
        <v>România</v>
      </c>
      <c r="S1145" s="5" t="str">
        <f ca="1">IFERROR(__xludf.DUMMYFUNCTION("""COMPUTED_VALUE"""),"Octavian")</f>
        <v>Octavian</v>
      </c>
      <c r="T1145" s="7" t="str">
        <f ca="1">IFERROR(__xludf.DUMMYFUNCTION("""COMPUTED_VALUE"""),"http://www.ms.ro/2020/08/07/buletin-informativ-07-08-2020/")</f>
        <v>http://www.ms.ro/2020/08/07/buletin-informativ-07-08-2020/</v>
      </c>
      <c r="U1145" s="5"/>
      <c r="V1145" s="5"/>
      <c r="W1145" s="5"/>
      <c r="X1145" s="5"/>
      <c r="Y1145" s="5"/>
      <c r="Z1145" s="5"/>
      <c r="AA1145" s="5"/>
      <c r="AB1145" s="5"/>
      <c r="AC1145" s="5"/>
    </row>
    <row r="1146" spans="1:29" ht="12.5">
      <c r="A1146" s="5">
        <f ca="1">IFERROR(__xludf.DUMMYFUNCTION("""COMPUTED_VALUE"""),58094)</f>
        <v>58094</v>
      </c>
      <c r="B1146" s="5"/>
      <c r="C1146" s="5" t="str">
        <f ca="1">IFERROR(__xludf.DUMMYFUNCTION("""COMPUTED_VALUE"""),"Bihor")</f>
        <v>Bihor</v>
      </c>
      <c r="D1146" s="13">
        <f ca="1">IFERROR(__xludf.DUMMYFUNCTION("""COMPUTED_VALUE"""),44050)</f>
        <v>44050</v>
      </c>
      <c r="E1146" s="5" t="str">
        <f ca="1">IFERROR(__xludf.DUMMYFUNCTION("""COMPUTED_VALUE"""),"Nu")</f>
        <v>Nu</v>
      </c>
      <c r="F1146" s="5"/>
      <c r="G1146" s="5"/>
      <c r="H1146" s="6"/>
      <c r="I1146" s="5"/>
      <c r="J1146" s="5"/>
      <c r="K1146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46" s="5"/>
      <c r="M1146" s="5" t="str">
        <f ca="1">IFERROR(__xludf.DUMMYFUNCTION("""COMPUTED_VALUE"""),"Buntești")</f>
        <v>Buntești</v>
      </c>
      <c r="N1146" s="5"/>
      <c r="O1146" s="5"/>
      <c r="P1146" s="5"/>
      <c r="Q1146" s="5"/>
      <c r="R1146" s="5" t="str">
        <f ca="1">IFERROR(__xludf.DUMMYFUNCTION("""COMPUTED_VALUE"""),"România")</f>
        <v>România</v>
      </c>
      <c r="S1146" s="5" t="str">
        <f ca="1">IFERROR(__xludf.DUMMYFUNCTION("""COMPUTED_VALUE"""),"Octavian")</f>
        <v>Octavian</v>
      </c>
      <c r="T1146" s="7" t="str">
        <f ca="1">IFERROR(__xludf.DUMMYFUNCTION("""COMPUTED_VALUE"""),"http://www.ms.ro/2020/08/07/buletin-informativ-07-08-2020/")</f>
        <v>http://www.ms.ro/2020/08/07/buletin-informativ-07-08-2020/</v>
      </c>
      <c r="U1146" s="5"/>
      <c r="V1146" s="5"/>
      <c r="W1146" s="5"/>
      <c r="X1146" s="5"/>
      <c r="Y1146" s="5"/>
      <c r="Z1146" s="5"/>
      <c r="AA1146" s="5"/>
      <c r="AB1146" s="5"/>
      <c r="AC1146" s="5"/>
    </row>
    <row r="1147" spans="1:29" ht="12.5">
      <c r="A1147" s="5">
        <f ca="1">IFERROR(__xludf.DUMMYFUNCTION("""COMPUTED_VALUE"""),58095)</f>
        <v>58095</v>
      </c>
      <c r="B1147" s="5"/>
      <c r="C1147" s="5" t="str">
        <f ca="1">IFERROR(__xludf.DUMMYFUNCTION("""COMPUTED_VALUE"""),"Bihor")</f>
        <v>Bihor</v>
      </c>
      <c r="D1147" s="13">
        <f ca="1">IFERROR(__xludf.DUMMYFUNCTION("""COMPUTED_VALUE"""),44050)</f>
        <v>44050</v>
      </c>
      <c r="E1147" s="5" t="str">
        <f ca="1">IFERROR(__xludf.DUMMYFUNCTION("""COMPUTED_VALUE"""),"Nu")</f>
        <v>Nu</v>
      </c>
      <c r="F1147" s="5"/>
      <c r="G1147" s="5"/>
      <c r="H1147" s="6"/>
      <c r="I1147" s="5"/>
      <c r="J1147" s="5"/>
      <c r="K1147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47" s="5"/>
      <c r="M1147" s="5" t="str">
        <f ca="1">IFERROR(__xludf.DUMMYFUNCTION("""COMPUTED_VALUE"""),"Ciumeghiu")</f>
        <v>Ciumeghiu</v>
      </c>
      <c r="N1147" s="5"/>
      <c r="O1147" s="5"/>
      <c r="P1147" s="5"/>
      <c r="Q1147" s="5"/>
      <c r="R1147" s="5" t="str">
        <f ca="1">IFERROR(__xludf.DUMMYFUNCTION("""COMPUTED_VALUE"""),"România")</f>
        <v>România</v>
      </c>
      <c r="S1147" s="5" t="str">
        <f ca="1">IFERROR(__xludf.DUMMYFUNCTION("""COMPUTED_VALUE"""),"Octavian")</f>
        <v>Octavian</v>
      </c>
      <c r="T1147" s="7" t="str">
        <f ca="1">IFERROR(__xludf.DUMMYFUNCTION("""COMPUTED_VALUE"""),"http://www.ms.ro/2020/08/07/buletin-informativ-07-08-2020/")</f>
        <v>http://www.ms.ro/2020/08/07/buletin-informativ-07-08-2020/</v>
      </c>
      <c r="U1147" s="5"/>
      <c r="V1147" s="5"/>
      <c r="W1147" s="5"/>
      <c r="X1147" s="5"/>
      <c r="Y1147" s="5"/>
      <c r="Z1147" s="5"/>
      <c r="AA1147" s="5"/>
      <c r="AB1147" s="5"/>
      <c r="AC1147" s="5"/>
    </row>
    <row r="1148" spans="1:29" ht="12.5">
      <c r="A1148" s="5">
        <f ca="1">IFERROR(__xludf.DUMMYFUNCTION("""COMPUTED_VALUE"""),58096)</f>
        <v>58096</v>
      </c>
      <c r="B1148" s="5"/>
      <c r="C1148" s="5" t="str">
        <f ca="1">IFERROR(__xludf.DUMMYFUNCTION("""COMPUTED_VALUE"""),"Bihor")</f>
        <v>Bihor</v>
      </c>
      <c r="D1148" s="13">
        <f ca="1">IFERROR(__xludf.DUMMYFUNCTION("""COMPUTED_VALUE"""),44050)</f>
        <v>44050</v>
      </c>
      <c r="E1148" s="5" t="str">
        <f ca="1">IFERROR(__xludf.DUMMYFUNCTION("""COMPUTED_VALUE"""),"Nu")</f>
        <v>Nu</v>
      </c>
      <c r="F1148" s="5"/>
      <c r="G1148" s="5"/>
      <c r="H1148" s="6"/>
      <c r="I1148" s="5"/>
      <c r="J1148" s="5"/>
      <c r="K1148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48" s="5"/>
      <c r="M1148" s="5" t="str">
        <f ca="1">IFERROR(__xludf.DUMMYFUNCTION("""COMPUTED_VALUE"""),"Batăr")</f>
        <v>Batăr</v>
      </c>
      <c r="N1148" s="5"/>
      <c r="O1148" s="5"/>
      <c r="P1148" s="5"/>
      <c r="Q1148" s="5"/>
      <c r="R1148" s="5" t="str">
        <f ca="1">IFERROR(__xludf.DUMMYFUNCTION("""COMPUTED_VALUE"""),"România")</f>
        <v>România</v>
      </c>
      <c r="S1148" s="5" t="str">
        <f ca="1">IFERROR(__xludf.DUMMYFUNCTION("""COMPUTED_VALUE"""),"Octavian")</f>
        <v>Octavian</v>
      </c>
      <c r="T1148" s="7" t="str">
        <f ca="1">IFERROR(__xludf.DUMMYFUNCTION("""COMPUTED_VALUE"""),"http://www.ms.ro/2020/08/07/buletin-informativ-07-08-2020/")</f>
        <v>http://www.ms.ro/2020/08/07/buletin-informativ-07-08-2020/</v>
      </c>
      <c r="U1148" s="5"/>
      <c r="V1148" s="5"/>
      <c r="W1148" s="5"/>
      <c r="X1148" s="5"/>
      <c r="Y1148" s="5"/>
      <c r="Z1148" s="5"/>
      <c r="AA1148" s="5"/>
      <c r="AB1148" s="5"/>
      <c r="AC1148" s="5"/>
    </row>
    <row r="1149" spans="1:29" ht="12.5">
      <c r="A1149" s="5">
        <f ca="1">IFERROR(__xludf.DUMMYFUNCTION("""COMPUTED_VALUE"""),58097)</f>
        <v>58097</v>
      </c>
      <c r="B1149" s="5"/>
      <c r="C1149" s="5" t="str">
        <f ca="1">IFERROR(__xludf.DUMMYFUNCTION("""COMPUTED_VALUE"""),"Bihor")</f>
        <v>Bihor</v>
      </c>
      <c r="D1149" s="13">
        <f ca="1">IFERROR(__xludf.DUMMYFUNCTION("""COMPUTED_VALUE"""),44050)</f>
        <v>44050</v>
      </c>
      <c r="E1149" s="5" t="str">
        <f ca="1">IFERROR(__xludf.DUMMYFUNCTION("""COMPUTED_VALUE"""),"Nu")</f>
        <v>Nu</v>
      </c>
      <c r="F1149" s="5"/>
      <c r="G1149" s="5"/>
      <c r="H1149" s="6"/>
      <c r="I1149" s="5"/>
      <c r="J1149" s="5"/>
      <c r="K1149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49" s="5"/>
      <c r="M1149" s="5" t="str">
        <f ca="1">IFERROR(__xludf.DUMMYFUNCTION("""COMPUTED_VALUE"""),"Pomezeu")</f>
        <v>Pomezeu</v>
      </c>
      <c r="N1149" s="5"/>
      <c r="O1149" s="5"/>
      <c r="P1149" s="5"/>
      <c r="Q1149" s="5"/>
      <c r="R1149" s="5" t="str">
        <f ca="1">IFERROR(__xludf.DUMMYFUNCTION("""COMPUTED_VALUE"""),"România")</f>
        <v>România</v>
      </c>
      <c r="S1149" s="5" t="str">
        <f ca="1">IFERROR(__xludf.DUMMYFUNCTION("""COMPUTED_VALUE"""),"Octavian")</f>
        <v>Octavian</v>
      </c>
      <c r="T1149" s="7" t="str">
        <f ca="1">IFERROR(__xludf.DUMMYFUNCTION("""COMPUTED_VALUE"""),"http://www.ms.ro/2020/08/07/buletin-informativ-07-08-2020/")</f>
        <v>http://www.ms.ro/2020/08/07/buletin-informativ-07-08-2020/</v>
      </c>
      <c r="U1149" s="5"/>
      <c r="V1149" s="5"/>
      <c r="W1149" s="5"/>
      <c r="X1149" s="5"/>
      <c r="Y1149" s="5"/>
      <c r="Z1149" s="5"/>
      <c r="AA1149" s="5"/>
      <c r="AB1149" s="5"/>
      <c r="AC1149" s="5"/>
    </row>
    <row r="1150" spans="1:29" ht="12.5">
      <c r="A1150" s="5">
        <f ca="1">IFERROR(__xludf.DUMMYFUNCTION("""COMPUTED_VALUE"""),58098)</f>
        <v>58098</v>
      </c>
      <c r="B1150" s="5"/>
      <c r="C1150" s="5" t="str">
        <f ca="1">IFERROR(__xludf.DUMMYFUNCTION("""COMPUTED_VALUE"""),"Bihor")</f>
        <v>Bihor</v>
      </c>
      <c r="D1150" s="13">
        <f ca="1">IFERROR(__xludf.DUMMYFUNCTION("""COMPUTED_VALUE"""),44050)</f>
        <v>44050</v>
      </c>
      <c r="E1150" s="5" t="str">
        <f ca="1">IFERROR(__xludf.DUMMYFUNCTION("""COMPUTED_VALUE"""),"Nu")</f>
        <v>Nu</v>
      </c>
      <c r="F1150" s="5"/>
      <c r="G1150" s="5"/>
      <c r="H1150" s="6"/>
      <c r="I1150" s="5"/>
      <c r="J1150" s="5"/>
      <c r="K1150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50" s="5"/>
      <c r="M1150" s="5" t="str">
        <f ca="1">IFERROR(__xludf.DUMMYFUNCTION("""COMPUTED_VALUE"""),"Lăzăreni")</f>
        <v>Lăzăreni</v>
      </c>
      <c r="N1150" s="5"/>
      <c r="O1150" s="5"/>
      <c r="P1150" s="5"/>
      <c r="Q1150" s="5"/>
      <c r="R1150" s="5" t="str">
        <f ca="1">IFERROR(__xludf.DUMMYFUNCTION("""COMPUTED_VALUE"""),"România")</f>
        <v>România</v>
      </c>
      <c r="S1150" s="5" t="str">
        <f ca="1">IFERROR(__xludf.DUMMYFUNCTION("""COMPUTED_VALUE"""),"Octavian")</f>
        <v>Octavian</v>
      </c>
      <c r="T1150" s="7" t="str">
        <f ca="1">IFERROR(__xludf.DUMMYFUNCTION("""COMPUTED_VALUE"""),"http://www.ms.ro/2020/08/07/buletin-informativ-07-08-2020/")</f>
        <v>http://www.ms.ro/2020/08/07/buletin-informativ-07-08-2020/</v>
      </c>
      <c r="U1150" s="5"/>
      <c r="V1150" s="5"/>
      <c r="W1150" s="5"/>
      <c r="X1150" s="5"/>
      <c r="Y1150" s="5"/>
      <c r="Z1150" s="5"/>
      <c r="AA1150" s="5"/>
      <c r="AB1150" s="5"/>
      <c r="AC1150" s="5"/>
    </row>
    <row r="1151" spans="1:29" ht="12.5">
      <c r="A1151" s="5">
        <f ca="1">IFERROR(__xludf.DUMMYFUNCTION("""COMPUTED_VALUE"""),58099)</f>
        <v>58099</v>
      </c>
      <c r="B1151" s="5"/>
      <c r="C1151" s="5" t="str">
        <f ca="1">IFERROR(__xludf.DUMMYFUNCTION("""COMPUTED_VALUE"""),"Bihor")</f>
        <v>Bihor</v>
      </c>
      <c r="D1151" s="13">
        <f ca="1">IFERROR(__xludf.DUMMYFUNCTION("""COMPUTED_VALUE"""),44050)</f>
        <v>44050</v>
      </c>
      <c r="E1151" s="5" t="str">
        <f ca="1">IFERROR(__xludf.DUMMYFUNCTION("""COMPUTED_VALUE"""),"Nu")</f>
        <v>Nu</v>
      </c>
      <c r="F1151" s="5"/>
      <c r="G1151" s="5"/>
      <c r="H1151" s="6"/>
      <c r="I1151" s="5"/>
      <c r="J1151" s="5"/>
      <c r="K1151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51" s="5"/>
      <c r="M1151" s="5" t="str">
        <f ca="1">IFERROR(__xludf.DUMMYFUNCTION("""COMPUTED_VALUE"""),"Țețchea")</f>
        <v>Țețchea</v>
      </c>
      <c r="N1151" s="5"/>
      <c r="O1151" s="5"/>
      <c r="P1151" s="5"/>
      <c r="Q1151" s="5"/>
      <c r="R1151" s="5" t="str">
        <f ca="1">IFERROR(__xludf.DUMMYFUNCTION("""COMPUTED_VALUE"""),"România")</f>
        <v>România</v>
      </c>
      <c r="S1151" s="5" t="str">
        <f ca="1">IFERROR(__xludf.DUMMYFUNCTION("""COMPUTED_VALUE"""),"Octavian")</f>
        <v>Octavian</v>
      </c>
      <c r="T1151" s="7" t="str">
        <f ca="1">IFERROR(__xludf.DUMMYFUNCTION("""COMPUTED_VALUE"""),"http://www.ms.ro/2020/08/07/buletin-informativ-07-08-2020/")</f>
        <v>http://www.ms.ro/2020/08/07/buletin-informativ-07-08-2020/</v>
      </c>
      <c r="U1151" s="5"/>
      <c r="V1151" s="5"/>
      <c r="W1151" s="5"/>
      <c r="X1151" s="5"/>
      <c r="Y1151" s="5"/>
      <c r="Z1151" s="5"/>
      <c r="AA1151" s="5"/>
      <c r="AB1151" s="5"/>
      <c r="AC1151" s="5"/>
    </row>
    <row r="1152" spans="1:29" ht="12.5">
      <c r="A1152" s="5">
        <f ca="1">IFERROR(__xludf.DUMMYFUNCTION("""COMPUTED_VALUE"""),58100)</f>
        <v>58100</v>
      </c>
      <c r="B1152" s="5"/>
      <c r="C1152" s="5" t="str">
        <f ca="1">IFERROR(__xludf.DUMMYFUNCTION("""COMPUTED_VALUE"""),"Bihor")</f>
        <v>Bihor</v>
      </c>
      <c r="D1152" s="13">
        <f ca="1">IFERROR(__xludf.DUMMYFUNCTION("""COMPUTED_VALUE"""),44050)</f>
        <v>44050</v>
      </c>
      <c r="E1152" s="5" t="str">
        <f ca="1">IFERROR(__xludf.DUMMYFUNCTION("""COMPUTED_VALUE"""),"Nu")</f>
        <v>Nu</v>
      </c>
      <c r="F1152" s="5"/>
      <c r="G1152" s="5"/>
      <c r="H1152" s="6"/>
      <c r="I1152" s="5"/>
      <c r="J1152" s="5"/>
      <c r="K1152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52" s="5"/>
      <c r="M1152" s="5" t="str">
        <f ca="1">IFERROR(__xludf.DUMMYFUNCTION("""COMPUTED_VALUE"""),"Lugașu de Jos")</f>
        <v>Lugașu de Jos</v>
      </c>
      <c r="N1152" s="5"/>
      <c r="O1152" s="5"/>
      <c r="P1152" s="5"/>
      <c r="Q1152" s="5"/>
      <c r="R1152" s="5" t="str">
        <f ca="1">IFERROR(__xludf.DUMMYFUNCTION("""COMPUTED_VALUE"""),"România")</f>
        <v>România</v>
      </c>
      <c r="S1152" s="5" t="str">
        <f ca="1">IFERROR(__xludf.DUMMYFUNCTION("""COMPUTED_VALUE"""),"Octavian")</f>
        <v>Octavian</v>
      </c>
      <c r="T1152" s="7" t="str">
        <f ca="1">IFERROR(__xludf.DUMMYFUNCTION("""COMPUTED_VALUE"""),"http://www.ms.ro/2020/08/07/buletin-informativ-07-08-2020/")</f>
        <v>http://www.ms.ro/2020/08/07/buletin-informativ-07-08-2020/</v>
      </c>
      <c r="U1152" s="5"/>
      <c r="V1152" s="5"/>
      <c r="W1152" s="5"/>
      <c r="X1152" s="5"/>
      <c r="Y1152" s="5"/>
      <c r="Z1152" s="5"/>
      <c r="AA1152" s="5"/>
      <c r="AB1152" s="5"/>
      <c r="AC1152" s="5"/>
    </row>
    <row r="1153" spans="1:29" ht="12.5">
      <c r="A1153" s="5">
        <f ca="1">IFERROR(__xludf.DUMMYFUNCTION("""COMPUTED_VALUE"""),58101)</f>
        <v>58101</v>
      </c>
      <c r="B1153" s="5"/>
      <c r="C1153" s="5" t="str">
        <f ca="1">IFERROR(__xludf.DUMMYFUNCTION("""COMPUTED_VALUE"""),"Bihor")</f>
        <v>Bihor</v>
      </c>
      <c r="D1153" s="13">
        <f ca="1">IFERROR(__xludf.DUMMYFUNCTION("""COMPUTED_VALUE"""),44050)</f>
        <v>44050</v>
      </c>
      <c r="E1153" s="5" t="str">
        <f ca="1">IFERROR(__xludf.DUMMYFUNCTION("""COMPUTED_VALUE"""),"Nu")</f>
        <v>Nu</v>
      </c>
      <c r="F1153" s="5"/>
      <c r="G1153" s="5"/>
      <c r="H1153" s="6"/>
      <c r="I1153" s="5"/>
      <c r="J1153" s="5"/>
      <c r="K1153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53" s="5"/>
      <c r="M1153" s="5" t="str">
        <f ca="1">IFERROR(__xludf.DUMMYFUNCTION("""COMPUTED_VALUE"""),"Curățele")</f>
        <v>Curățele</v>
      </c>
      <c r="N1153" s="5"/>
      <c r="O1153" s="5"/>
      <c r="P1153" s="5"/>
      <c r="Q1153" s="5"/>
      <c r="R1153" s="5" t="str">
        <f ca="1">IFERROR(__xludf.DUMMYFUNCTION("""COMPUTED_VALUE"""),"România")</f>
        <v>România</v>
      </c>
      <c r="S1153" s="5" t="str">
        <f ca="1">IFERROR(__xludf.DUMMYFUNCTION("""COMPUTED_VALUE"""),"Octavian")</f>
        <v>Octavian</v>
      </c>
      <c r="T1153" s="7" t="str">
        <f ca="1">IFERROR(__xludf.DUMMYFUNCTION("""COMPUTED_VALUE"""),"http://www.ms.ro/2020/08/07/buletin-informativ-07-08-2020/")</f>
        <v>http://www.ms.ro/2020/08/07/buletin-informativ-07-08-2020/</v>
      </c>
      <c r="U1153" s="5"/>
      <c r="V1153" s="5"/>
      <c r="W1153" s="5"/>
      <c r="X1153" s="5"/>
      <c r="Y1153" s="5"/>
      <c r="Z1153" s="5"/>
      <c r="AA1153" s="5"/>
      <c r="AB1153" s="5"/>
      <c r="AC1153" s="5"/>
    </row>
    <row r="1154" spans="1:29" ht="12.5">
      <c r="A1154" s="5">
        <f ca="1">IFERROR(__xludf.DUMMYFUNCTION("""COMPUTED_VALUE"""),58102)</f>
        <v>58102</v>
      </c>
      <c r="B1154" s="5"/>
      <c r="C1154" s="5" t="str">
        <f ca="1">IFERROR(__xludf.DUMMYFUNCTION("""COMPUTED_VALUE"""),"Bihor")</f>
        <v>Bihor</v>
      </c>
      <c r="D1154" s="13">
        <f ca="1">IFERROR(__xludf.DUMMYFUNCTION("""COMPUTED_VALUE"""),44050)</f>
        <v>44050</v>
      </c>
      <c r="E1154" s="5" t="str">
        <f ca="1">IFERROR(__xludf.DUMMYFUNCTION("""COMPUTED_VALUE"""),"Nu")</f>
        <v>Nu</v>
      </c>
      <c r="F1154" s="5"/>
      <c r="G1154" s="5"/>
      <c r="H1154" s="6"/>
      <c r="I1154" s="5"/>
      <c r="J1154" s="5"/>
      <c r="K1154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54" s="5"/>
      <c r="M1154" s="5" t="str">
        <f ca="1">IFERROR(__xludf.DUMMYFUNCTION("""COMPUTED_VALUE"""),"Salonta")</f>
        <v>Salonta</v>
      </c>
      <c r="N1154" s="5"/>
      <c r="O1154" s="5"/>
      <c r="P1154" s="5"/>
      <c r="Q1154" s="5"/>
      <c r="R1154" s="5" t="str">
        <f ca="1">IFERROR(__xludf.DUMMYFUNCTION("""COMPUTED_VALUE"""),"România")</f>
        <v>România</v>
      </c>
      <c r="S1154" s="5" t="str">
        <f ca="1">IFERROR(__xludf.DUMMYFUNCTION("""COMPUTED_VALUE"""),"Octavian")</f>
        <v>Octavian</v>
      </c>
      <c r="T1154" s="7" t="str">
        <f ca="1">IFERROR(__xludf.DUMMYFUNCTION("""COMPUTED_VALUE"""),"http://www.ms.ro/2020/08/07/buletin-informativ-07-08-2020/")</f>
        <v>http://www.ms.ro/2020/08/07/buletin-informativ-07-08-2020/</v>
      </c>
      <c r="U1154" s="5"/>
      <c r="V1154" s="5"/>
      <c r="W1154" s="5"/>
      <c r="X1154" s="5"/>
      <c r="Y1154" s="5"/>
      <c r="Z1154" s="5"/>
      <c r="AA1154" s="5"/>
      <c r="AB1154" s="5"/>
      <c r="AC1154" s="5"/>
    </row>
    <row r="1155" spans="1:29" ht="12.5">
      <c r="A1155" s="5">
        <f ca="1">IFERROR(__xludf.DUMMYFUNCTION("""COMPUTED_VALUE"""),58103)</f>
        <v>58103</v>
      </c>
      <c r="B1155" s="5"/>
      <c r="C1155" s="5" t="str">
        <f ca="1">IFERROR(__xludf.DUMMYFUNCTION("""COMPUTED_VALUE"""),"Bihor")</f>
        <v>Bihor</v>
      </c>
      <c r="D1155" s="13">
        <f ca="1">IFERROR(__xludf.DUMMYFUNCTION("""COMPUTED_VALUE"""),44050)</f>
        <v>44050</v>
      </c>
      <c r="E1155" s="5" t="str">
        <f ca="1">IFERROR(__xludf.DUMMYFUNCTION("""COMPUTED_VALUE"""),"Nu")</f>
        <v>Nu</v>
      </c>
      <c r="F1155" s="5"/>
      <c r="G1155" s="5"/>
      <c r="H1155" s="6"/>
      <c r="I1155" s="5"/>
      <c r="J1155" s="5"/>
      <c r="K1155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55" s="5"/>
      <c r="M1155" s="5" t="str">
        <f ca="1">IFERROR(__xludf.DUMMYFUNCTION("""COMPUTED_VALUE"""),"Tămășeu")</f>
        <v>Tămășeu</v>
      </c>
      <c r="N1155" s="5"/>
      <c r="O1155" s="5"/>
      <c r="P1155" s="5"/>
      <c r="Q1155" s="5"/>
      <c r="R1155" s="5" t="str">
        <f ca="1">IFERROR(__xludf.DUMMYFUNCTION("""COMPUTED_VALUE"""),"România")</f>
        <v>România</v>
      </c>
      <c r="S1155" s="5" t="str">
        <f ca="1">IFERROR(__xludf.DUMMYFUNCTION("""COMPUTED_VALUE"""),"Octavian")</f>
        <v>Octavian</v>
      </c>
      <c r="T1155" s="7" t="str">
        <f ca="1">IFERROR(__xludf.DUMMYFUNCTION("""COMPUTED_VALUE"""),"http://www.ms.ro/2020/08/07/buletin-informativ-07-08-2020/")</f>
        <v>http://www.ms.ro/2020/08/07/buletin-informativ-07-08-2020/</v>
      </c>
      <c r="U1155" s="5"/>
      <c r="V1155" s="5"/>
      <c r="W1155" s="5"/>
      <c r="X1155" s="5"/>
      <c r="Y1155" s="5"/>
      <c r="Z1155" s="5"/>
      <c r="AA1155" s="5"/>
      <c r="AB1155" s="5"/>
      <c r="AC1155" s="5"/>
    </row>
    <row r="1156" spans="1:29" ht="12.5">
      <c r="A1156" s="5">
        <f ca="1">IFERROR(__xludf.DUMMYFUNCTION("""COMPUTED_VALUE"""),58104)</f>
        <v>58104</v>
      </c>
      <c r="B1156" s="5"/>
      <c r="C1156" s="5" t="str">
        <f ca="1">IFERROR(__xludf.DUMMYFUNCTION("""COMPUTED_VALUE"""),"Bihor")</f>
        <v>Bihor</v>
      </c>
      <c r="D1156" s="13">
        <f ca="1">IFERROR(__xludf.DUMMYFUNCTION("""COMPUTED_VALUE"""),44050)</f>
        <v>44050</v>
      </c>
      <c r="E1156" s="5" t="str">
        <f ca="1">IFERROR(__xludf.DUMMYFUNCTION("""COMPUTED_VALUE"""),"Nu")</f>
        <v>Nu</v>
      </c>
      <c r="F1156" s="5"/>
      <c r="G1156" s="5"/>
      <c r="H1156" s="6"/>
      <c r="I1156" s="5"/>
      <c r="J1156" s="5"/>
      <c r="K1156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56" s="5"/>
      <c r="M1156" s="5" t="str">
        <f ca="1">IFERROR(__xludf.DUMMYFUNCTION("""COMPUTED_VALUE"""),"Cărpinet")</f>
        <v>Cărpinet</v>
      </c>
      <c r="N1156" s="5"/>
      <c r="O1156" s="5"/>
      <c r="P1156" s="5"/>
      <c r="Q1156" s="5"/>
      <c r="R1156" s="5" t="str">
        <f ca="1">IFERROR(__xludf.DUMMYFUNCTION("""COMPUTED_VALUE"""),"România")</f>
        <v>România</v>
      </c>
      <c r="S1156" s="5" t="str">
        <f ca="1">IFERROR(__xludf.DUMMYFUNCTION("""COMPUTED_VALUE"""),"Octavian")</f>
        <v>Octavian</v>
      </c>
      <c r="T1156" s="7" t="str">
        <f ca="1">IFERROR(__xludf.DUMMYFUNCTION("""COMPUTED_VALUE"""),"http://www.ms.ro/2020/08/07/buletin-informativ-07-08-2020/")</f>
        <v>http://www.ms.ro/2020/08/07/buletin-informativ-07-08-2020/</v>
      </c>
      <c r="U1156" s="5"/>
      <c r="V1156" s="5"/>
      <c r="W1156" s="5"/>
      <c r="X1156" s="5"/>
      <c r="Y1156" s="5"/>
      <c r="Z1156" s="5"/>
      <c r="AA1156" s="5"/>
      <c r="AB1156" s="5"/>
      <c r="AC1156" s="5"/>
    </row>
    <row r="1157" spans="1:29" ht="12.5">
      <c r="A1157" s="5">
        <f ca="1">IFERROR(__xludf.DUMMYFUNCTION("""COMPUTED_VALUE"""),58105)</f>
        <v>58105</v>
      </c>
      <c r="B1157" s="5"/>
      <c r="C1157" s="5" t="str">
        <f ca="1">IFERROR(__xludf.DUMMYFUNCTION("""COMPUTED_VALUE"""),"Bihor")</f>
        <v>Bihor</v>
      </c>
      <c r="D1157" s="13">
        <f ca="1">IFERROR(__xludf.DUMMYFUNCTION("""COMPUTED_VALUE"""),44050)</f>
        <v>44050</v>
      </c>
      <c r="E1157" s="5" t="str">
        <f ca="1">IFERROR(__xludf.DUMMYFUNCTION("""COMPUTED_VALUE"""),"Nu")</f>
        <v>Nu</v>
      </c>
      <c r="F1157" s="5"/>
      <c r="G1157" s="5"/>
      <c r="H1157" s="6"/>
      <c r="I1157" s="5"/>
      <c r="J1157" s="5"/>
      <c r="K1157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57" s="5"/>
      <c r="M1157" s="5" t="str">
        <f ca="1">IFERROR(__xludf.DUMMYFUNCTION("""COMPUTED_VALUE"""),"Biharia")</f>
        <v>Biharia</v>
      </c>
      <c r="N1157" s="5"/>
      <c r="O1157" s="5"/>
      <c r="P1157" s="5"/>
      <c r="Q1157" s="5"/>
      <c r="R1157" s="5" t="str">
        <f ca="1">IFERROR(__xludf.DUMMYFUNCTION("""COMPUTED_VALUE"""),"România")</f>
        <v>România</v>
      </c>
      <c r="S1157" s="5" t="str">
        <f ca="1">IFERROR(__xludf.DUMMYFUNCTION("""COMPUTED_VALUE"""),"Octavian")</f>
        <v>Octavian</v>
      </c>
      <c r="T1157" s="7" t="str">
        <f ca="1">IFERROR(__xludf.DUMMYFUNCTION("""COMPUTED_VALUE"""),"http://www.ms.ro/2020/08/07/buletin-informativ-07-08-2020/")</f>
        <v>http://www.ms.ro/2020/08/07/buletin-informativ-07-08-2020/</v>
      </c>
      <c r="U1157" s="5"/>
      <c r="V1157" s="5"/>
      <c r="W1157" s="5"/>
      <c r="X1157" s="5"/>
      <c r="Y1157" s="5"/>
      <c r="Z1157" s="5"/>
      <c r="AA1157" s="5"/>
      <c r="AB1157" s="5"/>
      <c r="AC1157" s="5"/>
    </row>
    <row r="1158" spans="1:29" ht="12.5">
      <c r="A1158" s="5">
        <f ca="1">IFERROR(__xludf.DUMMYFUNCTION("""COMPUTED_VALUE"""),58106)</f>
        <v>58106</v>
      </c>
      <c r="B1158" s="5"/>
      <c r="C1158" s="5" t="str">
        <f ca="1">IFERROR(__xludf.DUMMYFUNCTION("""COMPUTED_VALUE"""),"Bihor")</f>
        <v>Bihor</v>
      </c>
      <c r="D1158" s="13">
        <f ca="1">IFERROR(__xludf.DUMMYFUNCTION("""COMPUTED_VALUE"""),44050)</f>
        <v>44050</v>
      </c>
      <c r="E1158" s="5" t="str">
        <f ca="1">IFERROR(__xludf.DUMMYFUNCTION("""COMPUTED_VALUE"""),"Nu")</f>
        <v>Nu</v>
      </c>
      <c r="F1158" s="5"/>
      <c r="G1158" s="5"/>
      <c r="H1158" s="6"/>
      <c r="I1158" s="5"/>
      <c r="J1158" s="5"/>
      <c r="K1158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58" s="5"/>
      <c r="M1158" s="5" t="str">
        <f ca="1">IFERROR(__xludf.DUMMYFUNCTION("""COMPUTED_VALUE"""),"Finiș")</f>
        <v>Finiș</v>
      </c>
      <c r="N1158" s="5"/>
      <c r="O1158" s="5"/>
      <c r="P1158" s="5"/>
      <c r="Q1158" s="5"/>
      <c r="R1158" s="5" t="str">
        <f ca="1">IFERROR(__xludf.DUMMYFUNCTION("""COMPUTED_VALUE"""),"România")</f>
        <v>România</v>
      </c>
      <c r="S1158" s="5" t="str">
        <f ca="1">IFERROR(__xludf.DUMMYFUNCTION("""COMPUTED_VALUE"""),"Octavian")</f>
        <v>Octavian</v>
      </c>
      <c r="T1158" s="7" t="str">
        <f ca="1">IFERROR(__xludf.DUMMYFUNCTION("""COMPUTED_VALUE"""),"http://www.ms.ro/2020/08/07/buletin-informativ-07-08-2020/")</f>
        <v>http://www.ms.ro/2020/08/07/buletin-informativ-07-08-2020/</v>
      </c>
      <c r="U1158" s="5"/>
      <c r="V1158" s="5"/>
      <c r="W1158" s="5"/>
      <c r="X1158" s="5"/>
      <c r="Y1158" s="5"/>
      <c r="Z1158" s="5"/>
      <c r="AA1158" s="5"/>
      <c r="AB1158" s="5"/>
      <c r="AC1158" s="5"/>
    </row>
    <row r="1159" spans="1:29" ht="12.5">
      <c r="A1159" s="5">
        <f ca="1">IFERROR(__xludf.DUMMYFUNCTION("""COMPUTED_VALUE"""),58107)</f>
        <v>58107</v>
      </c>
      <c r="B1159" s="5"/>
      <c r="C1159" s="5" t="str">
        <f ca="1">IFERROR(__xludf.DUMMYFUNCTION("""COMPUTED_VALUE"""),"Bihor")</f>
        <v>Bihor</v>
      </c>
      <c r="D1159" s="13">
        <f ca="1">IFERROR(__xludf.DUMMYFUNCTION("""COMPUTED_VALUE"""),44050)</f>
        <v>44050</v>
      </c>
      <c r="E1159" s="5" t="str">
        <f ca="1">IFERROR(__xludf.DUMMYFUNCTION("""COMPUTED_VALUE"""),"Nu")</f>
        <v>Nu</v>
      </c>
      <c r="F1159" s="5"/>
      <c r="G1159" s="5"/>
      <c r="H1159" s="6"/>
      <c r="I1159" s="5"/>
      <c r="J1159" s="5"/>
      <c r="K1159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59" s="5"/>
      <c r="M1159" s="5" t="str">
        <f ca="1">IFERROR(__xludf.DUMMYFUNCTION("""COMPUTED_VALUE"""),"Vârciorog")</f>
        <v>Vârciorog</v>
      </c>
      <c r="N1159" s="5"/>
      <c r="O1159" s="5"/>
      <c r="P1159" s="5"/>
      <c r="Q1159" s="5"/>
      <c r="R1159" s="5" t="str">
        <f ca="1">IFERROR(__xludf.DUMMYFUNCTION("""COMPUTED_VALUE"""),"România")</f>
        <v>România</v>
      </c>
      <c r="S1159" s="5" t="str">
        <f ca="1">IFERROR(__xludf.DUMMYFUNCTION("""COMPUTED_VALUE"""),"Octavian")</f>
        <v>Octavian</v>
      </c>
      <c r="T1159" s="7" t="str">
        <f ca="1">IFERROR(__xludf.DUMMYFUNCTION("""COMPUTED_VALUE"""),"http://www.ms.ro/2020/08/07/buletin-informativ-07-08-2020/")</f>
        <v>http://www.ms.ro/2020/08/07/buletin-informativ-07-08-2020/</v>
      </c>
      <c r="U1159" s="5"/>
      <c r="V1159" s="5"/>
      <c r="W1159" s="5"/>
      <c r="X1159" s="5"/>
      <c r="Y1159" s="5"/>
      <c r="Z1159" s="5"/>
      <c r="AA1159" s="5"/>
      <c r="AB1159" s="5"/>
      <c r="AC1159" s="5"/>
    </row>
    <row r="1160" spans="1:29" ht="12.5">
      <c r="A1160" s="5">
        <f ca="1">IFERROR(__xludf.DUMMYFUNCTION("""COMPUTED_VALUE"""),58108)</f>
        <v>58108</v>
      </c>
      <c r="B1160" s="5"/>
      <c r="C1160" s="5" t="str">
        <f ca="1">IFERROR(__xludf.DUMMYFUNCTION("""COMPUTED_VALUE"""),"Bihor")</f>
        <v>Bihor</v>
      </c>
      <c r="D1160" s="13">
        <f ca="1">IFERROR(__xludf.DUMMYFUNCTION("""COMPUTED_VALUE"""),44050)</f>
        <v>44050</v>
      </c>
      <c r="E1160" s="5" t="str">
        <f ca="1">IFERROR(__xludf.DUMMYFUNCTION("""COMPUTED_VALUE"""),"Nu")</f>
        <v>Nu</v>
      </c>
      <c r="F1160" s="5"/>
      <c r="G1160" s="5"/>
      <c r="H1160" s="6"/>
      <c r="I1160" s="5"/>
      <c r="J1160" s="5"/>
      <c r="K1160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60" s="5"/>
      <c r="M1160" s="5"/>
      <c r="N1160" s="5"/>
      <c r="O1160" s="5"/>
      <c r="P1160" s="5"/>
      <c r="Q1160" s="5"/>
      <c r="R1160" s="5" t="str">
        <f ca="1">IFERROR(__xludf.DUMMYFUNCTION("""COMPUTED_VALUE"""),"România")</f>
        <v>România</v>
      </c>
      <c r="S1160" s="5" t="str">
        <f ca="1">IFERROR(__xludf.DUMMYFUNCTION("""COMPUTED_VALUE"""),"Octavian")</f>
        <v>Octavian</v>
      </c>
      <c r="T1160" s="7" t="str">
        <f ca="1">IFERROR(__xludf.DUMMYFUNCTION("""COMPUTED_VALUE"""),"http://www.ms.ro/2020/08/07/buletin-informativ-07-08-2020/")</f>
        <v>http://www.ms.ro/2020/08/07/buletin-informativ-07-08-2020/</v>
      </c>
      <c r="U1160" s="5"/>
      <c r="V1160" s="5"/>
      <c r="W1160" s="5"/>
      <c r="X1160" s="5"/>
      <c r="Y1160" s="5"/>
      <c r="Z1160" s="5"/>
      <c r="AA1160" s="5"/>
      <c r="AB1160" s="5"/>
      <c r="AC1160" s="5"/>
    </row>
    <row r="1161" spans="1:29" ht="12.5">
      <c r="A1161" s="5">
        <f ca="1">IFERROR(__xludf.DUMMYFUNCTION("""COMPUTED_VALUE"""),58109)</f>
        <v>58109</v>
      </c>
      <c r="B1161" s="5"/>
      <c r="C1161" s="5" t="str">
        <f ca="1">IFERROR(__xludf.DUMMYFUNCTION("""COMPUTED_VALUE"""),"Bihor")</f>
        <v>Bihor</v>
      </c>
      <c r="D1161" s="13">
        <f ca="1">IFERROR(__xludf.DUMMYFUNCTION("""COMPUTED_VALUE"""),44050)</f>
        <v>44050</v>
      </c>
      <c r="E1161" s="5" t="str">
        <f ca="1">IFERROR(__xludf.DUMMYFUNCTION("""COMPUTED_VALUE"""),"Nu")</f>
        <v>Nu</v>
      </c>
      <c r="F1161" s="5"/>
      <c r="G1161" s="5"/>
      <c r="H1161" s="6"/>
      <c r="I1161" s="5"/>
      <c r="J1161" s="5"/>
      <c r="K1161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61" s="5"/>
      <c r="M1161" s="5"/>
      <c r="N1161" s="5"/>
      <c r="O1161" s="5"/>
      <c r="P1161" s="5"/>
      <c r="Q1161" s="5"/>
      <c r="R1161" s="5" t="str">
        <f ca="1">IFERROR(__xludf.DUMMYFUNCTION("""COMPUTED_VALUE"""),"România")</f>
        <v>România</v>
      </c>
      <c r="S1161" s="5" t="str">
        <f ca="1">IFERROR(__xludf.DUMMYFUNCTION("""COMPUTED_VALUE"""),"Octavian")</f>
        <v>Octavian</v>
      </c>
      <c r="T1161" s="7" t="str">
        <f ca="1">IFERROR(__xludf.DUMMYFUNCTION("""COMPUTED_VALUE"""),"http://www.ms.ro/2020/08/07/buletin-informativ-07-08-2020/")</f>
        <v>http://www.ms.ro/2020/08/07/buletin-informativ-07-08-2020/</v>
      </c>
      <c r="U1161" s="5"/>
      <c r="V1161" s="5"/>
      <c r="W1161" s="5"/>
      <c r="X1161" s="5"/>
      <c r="Y1161" s="5"/>
      <c r="Z1161" s="5"/>
      <c r="AA1161" s="5"/>
      <c r="AB1161" s="5"/>
      <c r="AC1161" s="5"/>
    </row>
    <row r="1162" spans="1:29" ht="12.5">
      <c r="A1162" s="5">
        <f ca="1">IFERROR(__xludf.DUMMYFUNCTION("""COMPUTED_VALUE"""),58110)</f>
        <v>58110</v>
      </c>
      <c r="B1162" s="5"/>
      <c r="C1162" s="5" t="str">
        <f ca="1">IFERROR(__xludf.DUMMYFUNCTION("""COMPUTED_VALUE"""),"Bihor")</f>
        <v>Bihor</v>
      </c>
      <c r="D1162" s="13">
        <f ca="1">IFERROR(__xludf.DUMMYFUNCTION("""COMPUTED_VALUE"""),44050)</f>
        <v>44050</v>
      </c>
      <c r="E1162" s="5" t="str">
        <f ca="1">IFERROR(__xludf.DUMMYFUNCTION("""COMPUTED_VALUE"""),"Nu")</f>
        <v>Nu</v>
      </c>
      <c r="F1162" s="5"/>
      <c r="G1162" s="5"/>
      <c r="H1162" s="6"/>
      <c r="I1162" s="5"/>
      <c r="J1162" s="5"/>
      <c r="K1162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62" s="5"/>
      <c r="M1162" s="5"/>
      <c r="N1162" s="5"/>
      <c r="O1162" s="5"/>
      <c r="P1162" s="5"/>
      <c r="Q1162" s="5"/>
      <c r="R1162" s="5" t="str">
        <f ca="1">IFERROR(__xludf.DUMMYFUNCTION("""COMPUTED_VALUE"""),"România")</f>
        <v>România</v>
      </c>
      <c r="S1162" s="5" t="str">
        <f ca="1">IFERROR(__xludf.DUMMYFUNCTION("""COMPUTED_VALUE"""),"Octavian")</f>
        <v>Octavian</v>
      </c>
      <c r="T1162" s="7" t="str">
        <f ca="1">IFERROR(__xludf.DUMMYFUNCTION("""COMPUTED_VALUE"""),"http://www.ms.ro/2020/08/07/buletin-informativ-07-08-2020/")</f>
        <v>http://www.ms.ro/2020/08/07/buletin-informativ-07-08-2020/</v>
      </c>
      <c r="U1162" s="5"/>
      <c r="V1162" s="5"/>
      <c r="W1162" s="5"/>
      <c r="X1162" s="5"/>
      <c r="Y1162" s="5"/>
      <c r="Z1162" s="5"/>
      <c r="AA1162" s="5"/>
      <c r="AB1162" s="5"/>
      <c r="AC1162" s="5"/>
    </row>
    <row r="1163" spans="1:29" ht="12.5">
      <c r="A1163" s="5">
        <f ca="1">IFERROR(__xludf.DUMMYFUNCTION("""COMPUTED_VALUE"""),58111)</f>
        <v>58111</v>
      </c>
      <c r="B1163" s="5"/>
      <c r="C1163" s="5" t="str">
        <f ca="1">IFERROR(__xludf.DUMMYFUNCTION("""COMPUTED_VALUE"""),"Bihor")</f>
        <v>Bihor</v>
      </c>
      <c r="D1163" s="13">
        <f ca="1">IFERROR(__xludf.DUMMYFUNCTION("""COMPUTED_VALUE"""),44050)</f>
        <v>44050</v>
      </c>
      <c r="E1163" s="5" t="str">
        <f ca="1">IFERROR(__xludf.DUMMYFUNCTION("""COMPUTED_VALUE"""),"Nu")</f>
        <v>Nu</v>
      </c>
      <c r="F1163" s="5"/>
      <c r="G1163" s="5"/>
      <c r="H1163" s="6"/>
      <c r="I1163" s="5"/>
      <c r="J1163" s="5"/>
      <c r="K1163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63" s="5"/>
      <c r="M1163" s="5"/>
      <c r="N1163" s="5"/>
      <c r="O1163" s="5"/>
      <c r="P1163" s="5"/>
      <c r="Q1163" s="5"/>
      <c r="R1163" s="5" t="str">
        <f ca="1">IFERROR(__xludf.DUMMYFUNCTION("""COMPUTED_VALUE"""),"România")</f>
        <v>România</v>
      </c>
      <c r="S1163" s="5" t="str">
        <f ca="1">IFERROR(__xludf.DUMMYFUNCTION("""COMPUTED_VALUE"""),"Octavian")</f>
        <v>Octavian</v>
      </c>
      <c r="T1163" s="7" t="str">
        <f ca="1">IFERROR(__xludf.DUMMYFUNCTION("""COMPUTED_VALUE"""),"http://www.ms.ro/2020/08/07/buletin-informativ-07-08-2020/")</f>
        <v>http://www.ms.ro/2020/08/07/buletin-informativ-07-08-2020/</v>
      </c>
      <c r="U1163" s="5"/>
      <c r="V1163" s="5"/>
      <c r="W1163" s="5"/>
      <c r="X1163" s="5"/>
      <c r="Y1163" s="5"/>
      <c r="Z1163" s="5"/>
      <c r="AA1163" s="5"/>
      <c r="AB1163" s="5"/>
      <c r="AC1163" s="5"/>
    </row>
    <row r="1164" spans="1:29" ht="12.5">
      <c r="A1164" s="5">
        <f ca="1">IFERROR(__xludf.DUMMYFUNCTION("""COMPUTED_VALUE"""),58112)</f>
        <v>58112</v>
      </c>
      <c r="B1164" s="5"/>
      <c r="C1164" s="5" t="str">
        <f ca="1">IFERROR(__xludf.DUMMYFUNCTION("""COMPUTED_VALUE"""),"Bihor")</f>
        <v>Bihor</v>
      </c>
      <c r="D1164" s="13">
        <f ca="1">IFERROR(__xludf.DUMMYFUNCTION("""COMPUTED_VALUE"""),44050)</f>
        <v>44050</v>
      </c>
      <c r="E1164" s="5" t="str">
        <f ca="1">IFERROR(__xludf.DUMMYFUNCTION("""COMPUTED_VALUE"""),"Nu")</f>
        <v>Nu</v>
      </c>
      <c r="F1164" s="5"/>
      <c r="G1164" s="5"/>
      <c r="H1164" s="6"/>
      <c r="I1164" s="5"/>
      <c r="J1164" s="5"/>
      <c r="K1164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64" s="5"/>
      <c r="M1164" s="5"/>
      <c r="N1164" s="5"/>
      <c r="O1164" s="5"/>
      <c r="P1164" s="5"/>
      <c r="Q1164" s="5"/>
      <c r="R1164" s="5" t="str">
        <f ca="1">IFERROR(__xludf.DUMMYFUNCTION("""COMPUTED_VALUE"""),"România")</f>
        <v>România</v>
      </c>
      <c r="S1164" s="5" t="str">
        <f ca="1">IFERROR(__xludf.DUMMYFUNCTION("""COMPUTED_VALUE"""),"Octavian")</f>
        <v>Octavian</v>
      </c>
      <c r="T1164" s="7" t="str">
        <f ca="1">IFERROR(__xludf.DUMMYFUNCTION("""COMPUTED_VALUE"""),"http://www.ms.ro/2020/08/07/buletin-informativ-07-08-2020/")</f>
        <v>http://www.ms.ro/2020/08/07/buletin-informativ-07-08-2020/</v>
      </c>
      <c r="U1164" s="5"/>
      <c r="V1164" s="5"/>
      <c r="W1164" s="5"/>
      <c r="X1164" s="5"/>
      <c r="Y1164" s="5"/>
      <c r="Z1164" s="5"/>
      <c r="AA1164" s="5"/>
      <c r="AB1164" s="5"/>
      <c r="AC1164" s="5"/>
    </row>
    <row r="1165" spans="1:29" ht="12.5">
      <c r="A1165" s="5">
        <f ca="1">IFERROR(__xludf.DUMMYFUNCTION("""COMPUTED_VALUE"""),58113)</f>
        <v>58113</v>
      </c>
      <c r="B1165" s="5"/>
      <c r="C1165" s="5" t="str">
        <f ca="1">IFERROR(__xludf.DUMMYFUNCTION("""COMPUTED_VALUE"""),"Bihor")</f>
        <v>Bihor</v>
      </c>
      <c r="D1165" s="13">
        <f ca="1">IFERROR(__xludf.DUMMYFUNCTION("""COMPUTED_VALUE"""),44050)</f>
        <v>44050</v>
      </c>
      <c r="E1165" s="5" t="str">
        <f ca="1">IFERROR(__xludf.DUMMYFUNCTION("""COMPUTED_VALUE"""),"Nu")</f>
        <v>Nu</v>
      </c>
      <c r="F1165" s="5"/>
      <c r="G1165" s="5"/>
      <c r="H1165" s="6"/>
      <c r="I1165" s="5"/>
      <c r="J1165" s="5"/>
      <c r="K1165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65" s="5"/>
      <c r="M1165" s="5"/>
      <c r="N1165" s="5"/>
      <c r="O1165" s="5"/>
      <c r="P1165" s="5"/>
      <c r="Q1165" s="5"/>
      <c r="R1165" s="5" t="str">
        <f ca="1">IFERROR(__xludf.DUMMYFUNCTION("""COMPUTED_VALUE"""),"România")</f>
        <v>România</v>
      </c>
      <c r="S1165" s="5" t="str">
        <f ca="1">IFERROR(__xludf.DUMMYFUNCTION("""COMPUTED_VALUE"""),"Octavian")</f>
        <v>Octavian</v>
      </c>
      <c r="T1165" s="7" t="str">
        <f ca="1">IFERROR(__xludf.DUMMYFUNCTION("""COMPUTED_VALUE"""),"http://www.ms.ro/2020/08/07/buletin-informativ-07-08-2020/")</f>
        <v>http://www.ms.ro/2020/08/07/buletin-informativ-07-08-2020/</v>
      </c>
      <c r="U1165" s="5"/>
      <c r="V1165" s="5"/>
      <c r="W1165" s="5"/>
      <c r="X1165" s="5"/>
      <c r="Y1165" s="5"/>
      <c r="Z1165" s="5"/>
      <c r="AA1165" s="5"/>
      <c r="AB1165" s="5"/>
      <c r="AC1165" s="5"/>
    </row>
    <row r="1166" spans="1:29" ht="12.5">
      <c r="A1166" s="5">
        <f ca="1">IFERROR(__xludf.DUMMYFUNCTION("""COMPUTED_VALUE"""),58114)</f>
        <v>58114</v>
      </c>
      <c r="B1166" s="5"/>
      <c r="C1166" s="5" t="str">
        <f ca="1">IFERROR(__xludf.DUMMYFUNCTION("""COMPUTED_VALUE"""),"Bihor")</f>
        <v>Bihor</v>
      </c>
      <c r="D1166" s="13">
        <f ca="1">IFERROR(__xludf.DUMMYFUNCTION("""COMPUTED_VALUE"""),44050)</f>
        <v>44050</v>
      </c>
      <c r="E1166" s="5" t="str">
        <f ca="1">IFERROR(__xludf.DUMMYFUNCTION("""COMPUTED_VALUE"""),"Nu")</f>
        <v>Nu</v>
      </c>
      <c r="F1166" s="5"/>
      <c r="G1166" s="5"/>
      <c r="H1166" s="6"/>
      <c r="I1166" s="5"/>
      <c r="J1166" s="5"/>
      <c r="K1166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66" s="5"/>
      <c r="M1166" s="5"/>
      <c r="N1166" s="5"/>
      <c r="O1166" s="5"/>
      <c r="P1166" s="5"/>
      <c r="Q1166" s="5"/>
      <c r="R1166" s="5" t="str">
        <f ca="1">IFERROR(__xludf.DUMMYFUNCTION("""COMPUTED_VALUE"""),"România")</f>
        <v>România</v>
      </c>
      <c r="S1166" s="5" t="str">
        <f ca="1">IFERROR(__xludf.DUMMYFUNCTION("""COMPUTED_VALUE"""),"Octavian")</f>
        <v>Octavian</v>
      </c>
      <c r="T1166" s="7" t="str">
        <f ca="1">IFERROR(__xludf.DUMMYFUNCTION("""COMPUTED_VALUE"""),"http://www.ms.ro/2020/08/07/buletin-informativ-07-08-2020/")</f>
        <v>http://www.ms.ro/2020/08/07/buletin-informativ-07-08-2020/</v>
      </c>
      <c r="U1166" s="5"/>
      <c r="V1166" s="5"/>
      <c r="W1166" s="5"/>
      <c r="X1166" s="5"/>
      <c r="Y1166" s="5"/>
      <c r="Z1166" s="5"/>
      <c r="AA1166" s="5"/>
      <c r="AB1166" s="5"/>
      <c r="AC1166" s="5"/>
    </row>
    <row r="1167" spans="1:29" ht="12.5">
      <c r="A1167" s="5">
        <f ca="1">IFERROR(__xludf.DUMMYFUNCTION("""COMPUTED_VALUE"""),58115)</f>
        <v>58115</v>
      </c>
      <c r="B1167" s="5"/>
      <c r="C1167" s="5" t="str">
        <f ca="1">IFERROR(__xludf.DUMMYFUNCTION("""COMPUTED_VALUE"""),"Bihor")</f>
        <v>Bihor</v>
      </c>
      <c r="D1167" s="13">
        <f ca="1">IFERROR(__xludf.DUMMYFUNCTION("""COMPUTED_VALUE"""),44050)</f>
        <v>44050</v>
      </c>
      <c r="E1167" s="5" t="str">
        <f ca="1">IFERROR(__xludf.DUMMYFUNCTION("""COMPUTED_VALUE"""),"Nu")</f>
        <v>Nu</v>
      </c>
      <c r="F1167" s="5"/>
      <c r="G1167" s="5"/>
      <c r="H1167" s="6"/>
      <c r="I1167" s="5"/>
      <c r="J1167" s="5"/>
      <c r="K1167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67" s="5"/>
      <c r="M1167" s="5"/>
      <c r="N1167" s="5"/>
      <c r="O1167" s="5"/>
      <c r="P1167" s="5"/>
      <c r="Q1167" s="5"/>
      <c r="R1167" s="5" t="str">
        <f ca="1">IFERROR(__xludf.DUMMYFUNCTION("""COMPUTED_VALUE"""),"România")</f>
        <v>România</v>
      </c>
      <c r="S1167" s="5" t="str">
        <f ca="1">IFERROR(__xludf.DUMMYFUNCTION("""COMPUTED_VALUE"""),"Octavian")</f>
        <v>Octavian</v>
      </c>
      <c r="T1167" s="7" t="str">
        <f ca="1">IFERROR(__xludf.DUMMYFUNCTION("""COMPUTED_VALUE"""),"http://www.ms.ro/2020/08/07/buletin-informativ-07-08-2020/")</f>
        <v>http://www.ms.ro/2020/08/07/buletin-informativ-07-08-2020/</v>
      </c>
      <c r="U1167" s="5"/>
      <c r="V1167" s="5"/>
      <c r="W1167" s="5"/>
      <c r="X1167" s="5"/>
      <c r="Y1167" s="5"/>
      <c r="Z1167" s="5"/>
      <c r="AA1167" s="5"/>
      <c r="AB1167" s="5"/>
      <c r="AC1167" s="5"/>
    </row>
    <row r="1168" spans="1:29" ht="12.5">
      <c r="A1168" s="5">
        <f ca="1">IFERROR(__xludf.DUMMYFUNCTION("""COMPUTED_VALUE"""),58116)</f>
        <v>58116</v>
      </c>
      <c r="B1168" s="5"/>
      <c r="C1168" s="5" t="str">
        <f ca="1">IFERROR(__xludf.DUMMYFUNCTION("""COMPUTED_VALUE"""),"Bihor")</f>
        <v>Bihor</v>
      </c>
      <c r="D1168" s="13">
        <f ca="1">IFERROR(__xludf.DUMMYFUNCTION("""COMPUTED_VALUE"""),44050)</f>
        <v>44050</v>
      </c>
      <c r="E1168" s="5" t="str">
        <f ca="1">IFERROR(__xludf.DUMMYFUNCTION("""COMPUTED_VALUE"""),"Nu")</f>
        <v>Nu</v>
      </c>
      <c r="F1168" s="5"/>
      <c r="G1168" s="5"/>
      <c r="H1168" s="6"/>
      <c r="I1168" s="5"/>
      <c r="J1168" s="5"/>
      <c r="K1168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68" s="5"/>
      <c r="M1168" s="5"/>
      <c r="N1168" s="5"/>
      <c r="O1168" s="5"/>
      <c r="P1168" s="5"/>
      <c r="Q1168" s="5"/>
      <c r="R1168" s="5" t="str">
        <f ca="1">IFERROR(__xludf.DUMMYFUNCTION("""COMPUTED_VALUE"""),"România")</f>
        <v>România</v>
      </c>
      <c r="S1168" s="5" t="str">
        <f ca="1">IFERROR(__xludf.DUMMYFUNCTION("""COMPUTED_VALUE"""),"Octavian")</f>
        <v>Octavian</v>
      </c>
      <c r="T1168" s="7" t="str">
        <f ca="1">IFERROR(__xludf.DUMMYFUNCTION("""COMPUTED_VALUE"""),"http://www.ms.ro/2020/08/07/buletin-informativ-07-08-2020/")</f>
        <v>http://www.ms.ro/2020/08/07/buletin-informativ-07-08-2020/</v>
      </c>
      <c r="U1168" s="5"/>
      <c r="V1168" s="5"/>
      <c r="W1168" s="5"/>
      <c r="X1168" s="5"/>
      <c r="Y1168" s="5"/>
      <c r="Z1168" s="5"/>
      <c r="AA1168" s="5"/>
      <c r="AB1168" s="5"/>
      <c r="AC1168" s="5"/>
    </row>
    <row r="1169" spans="1:29" ht="12.5">
      <c r="A1169" s="5">
        <f ca="1">IFERROR(__xludf.DUMMYFUNCTION("""COMPUTED_VALUE"""),58117)</f>
        <v>58117</v>
      </c>
      <c r="B1169" s="5"/>
      <c r="C1169" s="5" t="str">
        <f ca="1">IFERROR(__xludf.DUMMYFUNCTION("""COMPUTED_VALUE"""),"Bihor")</f>
        <v>Bihor</v>
      </c>
      <c r="D1169" s="13">
        <f ca="1">IFERROR(__xludf.DUMMYFUNCTION("""COMPUTED_VALUE"""),44050)</f>
        <v>44050</v>
      </c>
      <c r="E1169" s="5" t="str">
        <f ca="1">IFERROR(__xludf.DUMMYFUNCTION("""COMPUTED_VALUE"""),"Nu")</f>
        <v>Nu</v>
      </c>
      <c r="F1169" s="5"/>
      <c r="G1169" s="5"/>
      <c r="H1169" s="6"/>
      <c r="I1169" s="5"/>
      <c r="J1169" s="5"/>
      <c r="K1169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69" s="5"/>
      <c r="M1169" s="5"/>
      <c r="N1169" s="5"/>
      <c r="O1169" s="5"/>
      <c r="P1169" s="5"/>
      <c r="Q1169" s="5"/>
      <c r="R1169" s="5" t="str">
        <f ca="1">IFERROR(__xludf.DUMMYFUNCTION("""COMPUTED_VALUE"""),"România")</f>
        <v>România</v>
      </c>
      <c r="S1169" s="5" t="str">
        <f ca="1">IFERROR(__xludf.DUMMYFUNCTION("""COMPUTED_VALUE"""),"Octavian")</f>
        <v>Octavian</v>
      </c>
      <c r="T1169" s="7" t="str">
        <f ca="1">IFERROR(__xludf.DUMMYFUNCTION("""COMPUTED_VALUE"""),"http://www.ms.ro/2020/08/07/buletin-informativ-07-08-2020/")</f>
        <v>http://www.ms.ro/2020/08/07/buletin-informativ-07-08-2020/</v>
      </c>
      <c r="U1169" s="5"/>
      <c r="V1169" s="5"/>
      <c r="W1169" s="5"/>
      <c r="X1169" s="5"/>
      <c r="Y1169" s="5"/>
      <c r="Z1169" s="5"/>
      <c r="AA1169" s="5"/>
      <c r="AB1169" s="5"/>
      <c r="AC1169" s="5"/>
    </row>
    <row r="1170" spans="1:29" ht="12.5">
      <c r="A1170" s="5">
        <f ca="1">IFERROR(__xludf.DUMMYFUNCTION("""COMPUTED_VALUE"""),58118)</f>
        <v>58118</v>
      </c>
      <c r="B1170" s="5"/>
      <c r="C1170" s="5" t="str">
        <f ca="1">IFERROR(__xludf.DUMMYFUNCTION("""COMPUTED_VALUE"""),"Bihor")</f>
        <v>Bihor</v>
      </c>
      <c r="D1170" s="13">
        <f ca="1">IFERROR(__xludf.DUMMYFUNCTION("""COMPUTED_VALUE"""),44050)</f>
        <v>44050</v>
      </c>
      <c r="E1170" s="5" t="str">
        <f ca="1">IFERROR(__xludf.DUMMYFUNCTION("""COMPUTED_VALUE"""),"Nu")</f>
        <v>Nu</v>
      </c>
      <c r="F1170" s="5"/>
      <c r="G1170" s="5"/>
      <c r="H1170" s="6"/>
      <c r="I1170" s="5"/>
      <c r="J1170" s="5"/>
      <c r="K1170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70" s="5"/>
      <c r="M1170" s="5"/>
      <c r="N1170" s="5"/>
      <c r="O1170" s="5"/>
      <c r="P1170" s="5"/>
      <c r="Q1170" s="5"/>
      <c r="R1170" s="5" t="str">
        <f ca="1">IFERROR(__xludf.DUMMYFUNCTION("""COMPUTED_VALUE"""),"România")</f>
        <v>România</v>
      </c>
      <c r="S1170" s="5" t="str">
        <f ca="1">IFERROR(__xludf.DUMMYFUNCTION("""COMPUTED_VALUE"""),"Octavian")</f>
        <v>Octavian</v>
      </c>
      <c r="T1170" s="7" t="str">
        <f ca="1">IFERROR(__xludf.DUMMYFUNCTION("""COMPUTED_VALUE"""),"http://www.ms.ro/2020/08/07/buletin-informativ-07-08-2020/")</f>
        <v>http://www.ms.ro/2020/08/07/buletin-informativ-07-08-2020/</v>
      </c>
      <c r="U1170" s="5"/>
      <c r="V1170" s="5"/>
      <c r="W1170" s="5"/>
      <c r="X1170" s="5"/>
      <c r="Y1170" s="5"/>
      <c r="Z1170" s="5"/>
      <c r="AA1170" s="5"/>
      <c r="AB1170" s="5"/>
      <c r="AC1170" s="5"/>
    </row>
    <row r="1171" spans="1:29" ht="12.5">
      <c r="A1171" s="5">
        <f ca="1">IFERROR(__xludf.DUMMYFUNCTION("""COMPUTED_VALUE"""),58119)</f>
        <v>58119</v>
      </c>
      <c r="B1171" s="5"/>
      <c r="C1171" s="5" t="str">
        <f ca="1">IFERROR(__xludf.DUMMYFUNCTION("""COMPUTED_VALUE"""),"Bihor")</f>
        <v>Bihor</v>
      </c>
      <c r="D1171" s="13">
        <f ca="1">IFERROR(__xludf.DUMMYFUNCTION("""COMPUTED_VALUE"""),44050)</f>
        <v>44050</v>
      </c>
      <c r="E1171" s="5" t="str">
        <f ca="1">IFERROR(__xludf.DUMMYFUNCTION("""COMPUTED_VALUE"""),"Nu")</f>
        <v>Nu</v>
      </c>
      <c r="F1171" s="5"/>
      <c r="G1171" s="5"/>
      <c r="H1171" s="6"/>
      <c r="I1171" s="5"/>
      <c r="J1171" s="5"/>
      <c r="K1171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71" s="5"/>
      <c r="M1171" s="5"/>
      <c r="N1171" s="5"/>
      <c r="O1171" s="5"/>
      <c r="P1171" s="5"/>
      <c r="Q1171" s="5"/>
      <c r="R1171" s="5" t="str">
        <f ca="1">IFERROR(__xludf.DUMMYFUNCTION("""COMPUTED_VALUE"""),"România")</f>
        <v>România</v>
      </c>
      <c r="S1171" s="5" t="str">
        <f ca="1">IFERROR(__xludf.DUMMYFUNCTION("""COMPUTED_VALUE"""),"Octavian")</f>
        <v>Octavian</v>
      </c>
      <c r="T1171" s="7" t="str">
        <f ca="1">IFERROR(__xludf.DUMMYFUNCTION("""COMPUTED_VALUE"""),"http://www.ms.ro/2020/08/07/buletin-informativ-07-08-2020/")</f>
        <v>http://www.ms.ro/2020/08/07/buletin-informativ-07-08-2020/</v>
      </c>
      <c r="U1171" s="5"/>
      <c r="V1171" s="5"/>
      <c r="W1171" s="5"/>
      <c r="X1171" s="5"/>
      <c r="Y1171" s="5"/>
      <c r="Z1171" s="5"/>
      <c r="AA1171" s="5"/>
      <c r="AB1171" s="5"/>
      <c r="AC1171" s="5"/>
    </row>
    <row r="1172" spans="1:29" ht="12.5">
      <c r="A1172" s="5">
        <f ca="1">IFERROR(__xludf.DUMMYFUNCTION("""COMPUTED_VALUE"""),58120)</f>
        <v>58120</v>
      </c>
      <c r="B1172" s="5"/>
      <c r="C1172" s="5" t="str">
        <f ca="1">IFERROR(__xludf.DUMMYFUNCTION("""COMPUTED_VALUE"""),"Bihor")</f>
        <v>Bihor</v>
      </c>
      <c r="D1172" s="13">
        <f ca="1">IFERROR(__xludf.DUMMYFUNCTION("""COMPUTED_VALUE"""),44050)</f>
        <v>44050</v>
      </c>
      <c r="E1172" s="5" t="str">
        <f ca="1">IFERROR(__xludf.DUMMYFUNCTION("""COMPUTED_VALUE"""),"Nu")</f>
        <v>Nu</v>
      </c>
      <c r="F1172" s="5"/>
      <c r="G1172" s="5"/>
      <c r="H1172" s="6"/>
      <c r="I1172" s="5"/>
      <c r="J1172" s="5"/>
      <c r="K1172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72" s="5"/>
      <c r="M1172" s="5"/>
      <c r="N1172" s="5"/>
      <c r="O1172" s="5"/>
      <c r="P1172" s="5"/>
      <c r="Q1172" s="5"/>
      <c r="R1172" s="5" t="str">
        <f ca="1">IFERROR(__xludf.DUMMYFUNCTION("""COMPUTED_VALUE"""),"România")</f>
        <v>România</v>
      </c>
      <c r="S1172" s="5" t="str">
        <f ca="1">IFERROR(__xludf.DUMMYFUNCTION("""COMPUTED_VALUE"""),"Octavian")</f>
        <v>Octavian</v>
      </c>
      <c r="T1172" s="7" t="str">
        <f ca="1">IFERROR(__xludf.DUMMYFUNCTION("""COMPUTED_VALUE"""),"http://www.ms.ro/2020/08/07/buletin-informativ-07-08-2020/")</f>
        <v>http://www.ms.ro/2020/08/07/buletin-informativ-07-08-2020/</v>
      </c>
      <c r="U1172" s="5"/>
      <c r="V1172" s="5"/>
      <c r="W1172" s="5"/>
      <c r="X1172" s="5"/>
      <c r="Y1172" s="5"/>
      <c r="Z1172" s="5"/>
      <c r="AA1172" s="5"/>
      <c r="AB1172" s="5"/>
      <c r="AC1172" s="5"/>
    </row>
    <row r="1173" spans="1:29" ht="12.5">
      <c r="A1173" s="5">
        <f ca="1">IFERROR(__xludf.DUMMYFUNCTION("""COMPUTED_VALUE"""),58121)</f>
        <v>58121</v>
      </c>
      <c r="B1173" s="5"/>
      <c r="C1173" s="5" t="str">
        <f ca="1">IFERROR(__xludf.DUMMYFUNCTION("""COMPUTED_VALUE"""),"Bihor")</f>
        <v>Bihor</v>
      </c>
      <c r="D1173" s="13">
        <f ca="1">IFERROR(__xludf.DUMMYFUNCTION("""COMPUTED_VALUE"""),44050)</f>
        <v>44050</v>
      </c>
      <c r="E1173" s="5" t="str">
        <f ca="1">IFERROR(__xludf.DUMMYFUNCTION("""COMPUTED_VALUE"""),"Nu")</f>
        <v>Nu</v>
      </c>
      <c r="F1173" s="5"/>
      <c r="G1173" s="5"/>
      <c r="H1173" s="6"/>
      <c r="I1173" s="5"/>
      <c r="J1173" s="5"/>
      <c r="K1173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73" s="5"/>
      <c r="M1173" s="5"/>
      <c r="N1173" s="5"/>
      <c r="O1173" s="5"/>
      <c r="P1173" s="5"/>
      <c r="Q1173" s="5"/>
      <c r="R1173" s="5" t="str">
        <f ca="1">IFERROR(__xludf.DUMMYFUNCTION("""COMPUTED_VALUE"""),"România")</f>
        <v>România</v>
      </c>
      <c r="S1173" s="5" t="str">
        <f ca="1">IFERROR(__xludf.DUMMYFUNCTION("""COMPUTED_VALUE"""),"Octavian")</f>
        <v>Octavian</v>
      </c>
      <c r="T1173" s="7" t="str">
        <f ca="1">IFERROR(__xludf.DUMMYFUNCTION("""COMPUTED_VALUE"""),"http://www.ms.ro/2020/08/07/buletin-informativ-07-08-2020/")</f>
        <v>http://www.ms.ro/2020/08/07/buletin-informativ-07-08-2020/</v>
      </c>
      <c r="U1173" s="5"/>
      <c r="V1173" s="5"/>
      <c r="W1173" s="5"/>
      <c r="X1173" s="5"/>
      <c r="Y1173" s="5"/>
      <c r="Z1173" s="5"/>
      <c r="AA1173" s="5"/>
      <c r="AB1173" s="5"/>
      <c r="AC1173" s="5"/>
    </row>
    <row r="1174" spans="1:29" ht="12.5">
      <c r="A1174" s="5">
        <f ca="1">IFERROR(__xludf.DUMMYFUNCTION("""COMPUTED_VALUE"""),58122)</f>
        <v>58122</v>
      </c>
      <c r="B1174" s="5"/>
      <c r="C1174" s="5" t="str">
        <f ca="1">IFERROR(__xludf.DUMMYFUNCTION("""COMPUTED_VALUE"""),"Bihor")</f>
        <v>Bihor</v>
      </c>
      <c r="D1174" s="13">
        <f ca="1">IFERROR(__xludf.DUMMYFUNCTION("""COMPUTED_VALUE"""),44050)</f>
        <v>44050</v>
      </c>
      <c r="E1174" s="5" t="str">
        <f ca="1">IFERROR(__xludf.DUMMYFUNCTION("""COMPUTED_VALUE"""),"Nu")</f>
        <v>Nu</v>
      </c>
      <c r="F1174" s="5"/>
      <c r="G1174" s="5"/>
      <c r="H1174" s="6"/>
      <c r="I1174" s="5"/>
      <c r="J1174" s="5"/>
      <c r="K1174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74" s="5"/>
      <c r="M1174" s="5"/>
      <c r="N1174" s="5"/>
      <c r="O1174" s="5"/>
      <c r="P1174" s="5"/>
      <c r="Q1174" s="5"/>
      <c r="R1174" s="5" t="str">
        <f ca="1">IFERROR(__xludf.DUMMYFUNCTION("""COMPUTED_VALUE"""),"România")</f>
        <v>România</v>
      </c>
      <c r="S1174" s="5" t="str">
        <f ca="1">IFERROR(__xludf.DUMMYFUNCTION("""COMPUTED_VALUE"""),"Octavian")</f>
        <v>Octavian</v>
      </c>
      <c r="T1174" s="7" t="str">
        <f ca="1">IFERROR(__xludf.DUMMYFUNCTION("""COMPUTED_VALUE"""),"http://www.ms.ro/2020/08/07/buletin-informativ-07-08-2020/")</f>
        <v>http://www.ms.ro/2020/08/07/buletin-informativ-07-08-2020/</v>
      </c>
      <c r="U1174" s="5"/>
      <c r="V1174" s="5"/>
      <c r="W1174" s="5"/>
      <c r="X1174" s="5"/>
      <c r="Y1174" s="5"/>
      <c r="Z1174" s="5"/>
      <c r="AA1174" s="5"/>
      <c r="AB1174" s="5"/>
      <c r="AC1174" s="5"/>
    </row>
    <row r="1175" spans="1:29" ht="12.5">
      <c r="A1175" s="5">
        <f ca="1">IFERROR(__xludf.DUMMYFUNCTION("""COMPUTED_VALUE"""),58123)</f>
        <v>58123</v>
      </c>
      <c r="B1175" s="5"/>
      <c r="C1175" s="5" t="str">
        <f ca="1">IFERROR(__xludf.DUMMYFUNCTION("""COMPUTED_VALUE"""),"Bihor")</f>
        <v>Bihor</v>
      </c>
      <c r="D1175" s="13">
        <f ca="1">IFERROR(__xludf.DUMMYFUNCTION("""COMPUTED_VALUE"""),44050)</f>
        <v>44050</v>
      </c>
      <c r="E1175" s="5" t="str">
        <f ca="1">IFERROR(__xludf.DUMMYFUNCTION("""COMPUTED_VALUE"""),"Nu")</f>
        <v>Nu</v>
      </c>
      <c r="F1175" s="5"/>
      <c r="G1175" s="5"/>
      <c r="H1175" s="6"/>
      <c r="I1175" s="5"/>
      <c r="J1175" s="5"/>
      <c r="K1175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75" s="5"/>
      <c r="M1175" s="5"/>
      <c r="N1175" s="5"/>
      <c r="O1175" s="5"/>
      <c r="P1175" s="5"/>
      <c r="Q1175" s="5"/>
      <c r="R1175" s="5" t="str">
        <f ca="1">IFERROR(__xludf.DUMMYFUNCTION("""COMPUTED_VALUE"""),"România")</f>
        <v>România</v>
      </c>
      <c r="S1175" s="5" t="str">
        <f ca="1">IFERROR(__xludf.DUMMYFUNCTION("""COMPUTED_VALUE"""),"Octavian")</f>
        <v>Octavian</v>
      </c>
      <c r="T1175" s="7" t="str">
        <f ca="1">IFERROR(__xludf.DUMMYFUNCTION("""COMPUTED_VALUE"""),"http://www.ms.ro/2020/08/07/buletin-informativ-07-08-2020/")</f>
        <v>http://www.ms.ro/2020/08/07/buletin-informativ-07-08-2020/</v>
      </c>
      <c r="U1175" s="5"/>
      <c r="V1175" s="5"/>
      <c r="W1175" s="5"/>
      <c r="X1175" s="5"/>
      <c r="Y1175" s="5"/>
      <c r="Z1175" s="5"/>
      <c r="AA1175" s="5"/>
      <c r="AB1175" s="5"/>
      <c r="AC1175" s="5"/>
    </row>
    <row r="1176" spans="1:29" ht="12.5">
      <c r="A1176" s="5">
        <f ca="1">IFERROR(__xludf.DUMMYFUNCTION("""COMPUTED_VALUE"""),58124)</f>
        <v>58124</v>
      </c>
      <c r="B1176" s="5"/>
      <c r="C1176" s="5" t="str">
        <f ca="1">IFERROR(__xludf.DUMMYFUNCTION("""COMPUTED_VALUE"""),"Bihor")</f>
        <v>Bihor</v>
      </c>
      <c r="D1176" s="13">
        <f ca="1">IFERROR(__xludf.DUMMYFUNCTION("""COMPUTED_VALUE"""),44050)</f>
        <v>44050</v>
      </c>
      <c r="E1176" s="5" t="str">
        <f ca="1">IFERROR(__xludf.DUMMYFUNCTION("""COMPUTED_VALUE"""),"Nu")</f>
        <v>Nu</v>
      </c>
      <c r="F1176" s="5"/>
      <c r="G1176" s="5"/>
      <c r="H1176" s="6"/>
      <c r="I1176" s="5"/>
      <c r="J1176" s="5"/>
      <c r="K1176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76" s="5"/>
      <c r="M1176" s="5"/>
      <c r="N1176" s="5"/>
      <c r="O1176" s="5"/>
      <c r="P1176" s="5"/>
      <c r="Q1176" s="5"/>
      <c r="R1176" s="5" t="str">
        <f ca="1">IFERROR(__xludf.DUMMYFUNCTION("""COMPUTED_VALUE"""),"România")</f>
        <v>România</v>
      </c>
      <c r="S1176" s="5" t="str">
        <f ca="1">IFERROR(__xludf.DUMMYFUNCTION("""COMPUTED_VALUE"""),"Octavian")</f>
        <v>Octavian</v>
      </c>
      <c r="T1176" s="7" t="str">
        <f ca="1">IFERROR(__xludf.DUMMYFUNCTION("""COMPUTED_VALUE"""),"http://www.ms.ro/2020/08/07/buletin-informativ-07-08-2020/")</f>
        <v>http://www.ms.ro/2020/08/07/buletin-informativ-07-08-2020/</v>
      </c>
      <c r="U1176" s="5"/>
      <c r="V1176" s="5"/>
      <c r="W1176" s="5"/>
      <c r="X1176" s="5"/>
      <c r="Y1176" s="5"/>
      <c r="Z1176" s="5"/>
      <c r="AA1176" s="5"/>
      <c r="AB1176" s="5"/>
      <c r="AC1176" s="5"/>
    </row>
    <row r="1177" spans="1:29" ht="12.5">
      <c r="A1177" s="5">
        <f ca="1">IFERROR(__xludf.DUMMYFUNCTION("""COMPUTED_VALUE"""),58125)</f>
        <v>58125</v>
      </c>
      <c r="B1177" s="5"/>
      <c r="C1177" s="5" t="str">
        <f ca="1">IFERROR(__xludf.DUMMYFUNCTION("""COMPUTED_VALUE"""),"Bihor")</f>
        <v>Bihor</v>
      </c>
      <c r="D1177" s="13">
        <f ca="1">IFERROR(__xludf.DUMMYFUNCTION("""COMPUTED_VALUE"""),44050)</f>
        <v>44050</v>
      </c>
      <c r="E1177" s="5" t="str">
        <f ca="1">IFERROR(__xludf.DUMMYFUNCTION("""COMPUTED_VALUE"""),"Nu")</f>
        <v>Nu</v>
      </c>
      <c r="F1177" s="5"/>
      <c r="G1177" s="5"/>
      <c r="H1177" s="6"/>
      <c r="I1177" s="5"/>
      <c r="J1177" s="5"/>
      <c r="K1177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77" s="5"/>
      <c r="M1177" s="5"/>
      <c r="N1177" s="5"/>
      <c r="O1177" s="5"/>
      <c r="P1177" s="5"/>
      <c r="Q1177" s="5"/>
      <c r="R1177" s="5" t="str">
        <f ca="1">IFERROR(__xludf.DUMMYFUNCTION("""COMPUTED_VALUE"""),"România")</f>
        <v>România</v>
      </c>
      <c r="S1177" s="5" t="str">
        <f ca="1">IFERROR(__xludf.DUMMYFUNCTION("""COMPUTED_VALUE"""),"Octavian")</f>
        <v>Octavian</v>
      </c>
      <c r="T1177" s="7" t="str">
        <f ca="1">IFERROR(__xludf.DUMMYFUNCTION("""COMPUTED_VALUE"""),"http://www.ms.ro/2020/08/07/buletin-informativ-07-08-2020/")</f>
        <v>http://www.ms.ro/2020/08/07/buletin-informativ-07-08-2020/</v>
      </c>
      <c r="U1177" s="5"/>
      <c r="V1177" s="5"/>
      <c r="W1177" s="5"/>
      <c r="X1177" s="5"/>
      <c r="Y1177" s="5"/>
      <c r="Z1177" s="5"/>
      <c r="AA1177" s="5"/>
      <c r="AB1177" s="5"/>
      <c r="AC1177" s="5"/>
    </row>
    <row r="1178" spans="1:29" ht="12.5">
      <c r="A1178" s="5">
        <f ca="1">IFERROR(__xludf.DUMMYFUNCTION("""COMPUTED_VALUE"""),58126)</f>
        <v>58126</v>
      </c>
      <c r="B1178" s="5"/>
      <c r="C1178" s="5" t="str">
        <f ca="1">IFERROR(__xludf.DUMMYFUNCTION("""COMPUTED_VALUE"""),"Bihor")</f>
        <v>Bihor</v>
      </c>
      <c r="D1178" s="13">
        <f ca="1">IFERROR(__xludf.DUMMYFUNCTION("""COMPUTED_VALUE"""),44050)</f>
        <v>44050</v>
      </c>
      <c r="E1178" s="5" t="str">
        <f ca="1">IFERROR(__xludf.DUMMYFUNCTION("""COMPUTED_VALUE"""),"Nu")</f>
        <v>Nu</v>
      </c>
      <c r="F1178" s="5"/>
      <c r="G1178" s="5"/>
      <c r="H1178" s="6"/>
      <c r="I1178" s="5"/>
      <c r="J1178" s="5"/>
      <c r="K1178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78" s="5"/>
      <c r="M1178" s="5"/>
      <c r="N1178" s="5"/>
      <c r="O1178" s="5"/>
      <c r="P1178" s="5"/>
      <c r="Q1178" s="5"/>
      <c r="R1178" s="5" t="str">
        <f ca="1">IFERROR(__xludf.DUMMYFUNCTION("""COMPUTED_VALUE"""),"România")</f>
        <v>România</v>
      </c>
      <c r="S1178" s="5" t="str">
        <f ca="1">IFERROR(__xludf.DUMMYFUNCTION("""COMPUTED_VALUE"""),"Octavian")</f>
        <v>Octavian</v>
      </c>
      <c r="T1178" s="7" t="str">
        <f ca="1">IFERROR(__xludf.DUMMYFUNCTION("""COMPUTED_VALUE"""),"http://www.ms.ro/2020/08/07/buletin-informativ-07-08-2020/")</f>
        <v>http://www.ms.ro/2020/08/07/buletin-informativ-07-08-2020/</v>
      </c>
      <c r="U1178" s="5"/>
      <c r="V1178" s="5"/>
      <c r="W1178" s="5"/>
      <c r="X1178" s="5"/>
      <c r="Y1178" s="5"/>
      <c r="Z1178" s="5"/>
      <c r="AA1178" s="5"/>
      <c r="AB1178" s="5"/>
      <c r="AC1178" s="5"/>
    </row>
    <row r="1179" spans="1:29" ht="12.5">
      <c r="A1179" s="5">
        <f ca="1">IFERROR(__xludf.DUMMYFUNCTION("""COMPUTED_VALUE"""),58127)</f>
        <v>58127</v>
      </c>
      <c r="B1179" s="5"/>
      <c r="C1179" s="5" t="str">
        <f ca="1">IFERROR(__xludf.DUMMYFUNCTION("""COMPUTED_VALUE"""),"Bihor")</f>
        <v>Bihor</v>
      </c>
      <c r="D1179" s="13">
        <f ca="1">IFERROR(__xludf.DUMMYFUNCTION("""COMPUTED_VALUE"""),44050)</f>
        <v>44050</v>
      </c>
      <c r="E1179" s="5" t="str">
        <f ca="1">IFERROR(__xludf.DUMMYFUNCTION("""COMPUTED_VALUE"""),"Nu")</f>
        <v>Nu</v>
      </c>
      <c r="F1179" s="5"/>
      <c r="G1179" s="5"/>
      <c r="H1179" s="6"/>
      <c r="I1179" s="5"/>
      <c r="J1179" s="5"/>
      <c r="K1179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79" s="5"/>
      <c r="M1179" s="5"/>
      <c r="N1179" s="5"/>
      <c r="O1179" s="5"/>
      <c r="P1179" s="5"/>
      <c r="Q1179" s="5"/>
      <c r="R1179" s="5" t="str">
        <f ca="1">IFERROR(__xludf.DUMMYFUNCTION("""COMPUTED_VALUE"""),"România")</f>
        <v>România</v>
      </c>
      <c r="S1179" s="5" t="str">
        <f ca="1">IFERROR(__xludf.DUMMYFUNCTION("""COMPUTED_VALUE"""),"Octavian")</f>
        <v>Octavian</v>
      </c>
      <c r="T1179" s="7" t="str">
        <f ca="1">IFERROR(__xludf.DUMMYFUNCTION("""COMPUTED_VALUE"""),"http://www.ms.ro/2020/08/07/buletin-informativ-07-08-2020/")</f>
        <v>http://www.ms.ro/2020/08/07/buletin-informativ-07-08-2020/</v>
      </c>
      <c r="U1179" s="5"/>
      <c r="V1179" s="5"/>
      <c r="W1179" s="5"/>
      <c r="X1179" s="5"/>
      <c r="Y1179" s="5"/>
      <c r="Z1179" s="5"/>
      <c r="AA1179" s="5"/>
      <c r="AB1179" s="5"/>
      <c r="AC1179" s="5"/>
    </row>
    <row r="1180" spans="1:29" ht="12.5">
      <c r="A1180" s="5">
        <f ca="1">IFERROR(__xludf.DUMMYFUNCTION("""COMPUTED_VALUE"""),58128)</f>
        <v>58128</v>
      </c>
      <c r="B1180" s="5"/>
      <c r="C1180" s="5" t="str">
        <f ca="1">IFERROR(__xludf.DUMMYFUNCTION("""COMPUTED_VALUE"""),"Bihor")</f>
        <v>Bihor</v>
      </c>
      <c r="D1180" s="13">
        <f ca="1">IFERROR(__xludf.DUMMYFUNCTION("""COMPUTED_VALUE"""),44050)</f>
        <v>44050</v>
      </c>
      <c r="E1180" s="5" t="str">
        <f ca="1">IFERROR(__xludf.DUMMYFUNCTION("""COMPUTED_VALUE"""),"Nu")</f>
        <v>Nu</v>
      </c>
      <c r="F1180" s="5"/>
      <c r="G1180" s="5"/>
      <c r="H1180" s="6"/>
      <c r="I1180" s="5"/>
      <c r="J1180" s="5"/>
      <c r="K1180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80" s="5"/>
      <c r="M1180" s="5"/>
      <c r="N1180" s="5"/>
      <c r="O1180" s="5"/>
      <c r="P1180" s="5"/>
      <c r="Q1180" s="5"/>
      <c r="R1180" s="5" t="str">
        <f ca="1">IFERROR(__xludf.DUMMYFUNCTION("""COMPUTED_VALUE"""),"România")</f>
        <v>România</v>
      </c>
      <c r="S1180" s="5" t="str">
        <f ca="1">IFERROR(__xludf.DUMMYFUNCTION("""COMPUTED_VALUE"""),"Octavian")</f>
        <v>Octavian</v>
      </c>
      <c r="T1180" s="7" t="str">
        <f ca="1">IFERROR(__xludf.DUMMYFUNCTION("""COMPUTED_VALUE"""),"http://www.ms.ro/2020/08/07/buletin-informativ-07-08-2020/")</f>
        <v>http://www.ms.ro/2020/08/07/buletin-informativ-07-08-2020/</v>
      </c>
      <c r="U1180" s="5"/>
      <c r="V1180" s="5"/>
      <c r="W1180" s="5"/>
      <c r="X1180" s="5"/>
      <c r="Y1180" s="5"/>
      <c r="Z1180" s="5"/>
      <c r="AA1180" s="5"/>
      <c r="AB1180" s="5"/>
      <c r="AC1180" s="5"/>
    </row>
    <row r="1181" spans="1:29" ht="12.5">
      <c r="A1181" s="5">
        <f ca="1">IFERROR(__xludf.DUMMYFUNCTION("""COMPUTED_VALUE"""),58129)</f>
        <v>58129</v>
      </c>
      <c r="B1181" s="5"/>
      <c r="C1181" s="5" t="str">
        <f ca="1">IFERROR(__xludf.DUMMYFUNCTION("""COMPUTED_VALUE"""),"Bihor")</f>
        <v>Bihor</v>
      </c>
      <c r="D1181" s="13">
        <f ca="1">IFERROR(__xludf.DUMMYFUNCTION("""COMPUTED_VALUE"""),44050)</f>
        <v>44050</v>
      </c>
      <c r="E1181" s="5" t="str">
        <f ca="1">IFERROR(__xludf.DUMMYFUNCTION("""COMPUTED_VALUE"""),"Nu")</f>
        <v>Nu</v>
      </c>
      <c r="F1181" s="5"/>
      <c r="G1181" s="5"/>
      <c r="H1181" s="6"/>
      <c r="I1181" s="5"/>
      <c r="J1181" s="5"/>
      <c r="K1181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81" s="5"/>
      <c r="M1181" s="5"/>
      <c r="N1181" s="5"/>
      <c r="O1181" s="5"/>
      <c r="P1181" s="5"/>
      <c r="Q1181" s="5"/>
      <c r="R1181" s="5" t="str">
        <f ca="1">IFERROR(__xludf.DUMMYFUNCTION("""COMPUTED_VALUE"""),"România")</f>
        <v>România</v>
      </c>
      <c r="S1181" s="5" t="str">
        <f ca="1">IFERROR(__xludf.DUMMYFUNCTION("""COMPUTED_VALUE"""),"Octavian")</f>
        <v>Octavian</v>
      </c>
      <c r="T1181" s="7" t="str">
        <f ca="1">IFERROR(__xludf.DUMMYFUNCTION("""COMPUTED_VALUE"""),"http://www.ms.ro/2020/08/07/buletin-informativ-07-08-2020/")</f>
        <v>http://www.ms.ro/2020/08/07/buletin-informativ-07-08-2020/</v>
      </c>
      <c r="U1181" s="5"/>
      <c r="V1181" s="5"/>
      <c r="W1181" s="5"/>
      <c r="X1181" s="5"/>
      <c r="Y1181" s="5"/>
      <c r="Z1181" s="5"/>
      <c r="AA1181" s="5"/>
      <c r="AB1181" s="5"/>
      <c r="AC1181" s="5"/>
    </row>
    <row r="1182" spans="1:29" ht="12.5">
      <c r="A1182" s="5">
        <f ca="1">IFERROR(__xludf.DUMMYFUNCTION("""COMPUTED_VALUE"""),58130)</f>
        <v>58130</v>
      </c>
      <c r="B1182" s="5"/>
      <c r="C1182" s="5" t="str">
        <f ca="1">IFERROR(__xludf.DUMMYFUNCTION("""COMPUTED_VALUE"""),"Bihor")</f>
        <v>Bihor</v>
      </c>
      <c r="D1182" s="13">
        <f ca="1">IFERROR(__xludf.DUMMYFUNCTION("""COMPUTED_VALUE"""),44050)</f>
        <v>44050</v>
      </c>
      <c r="E1182" s="5" t="str">
        <f ca="1">IFERROR(__xludf.DUMMYFUNCTION("""COMPUTED_VALUE"""),"Nu")</f>
        <v>Nu</v>
      </c>
      <c r="F1182" s="5"/>
      <c r="G1182" s="5"/>
      <c r="H1182" s="6"/>
      <c r="I1182" s="5"/>
      <c r="J1182" s="5"/>
      <c r="K1182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82" s="5"/>
      <c r="M1182" s="5"/>
      <c r="N1182" s="5"/>
      <c r="O1182" s="5"/>
      <c r="P1182" s="5"/>
      <c r="Q1182" s="5"/>
      <c r="R1182" s="5" t="str">
        <f ca="1">IFERROR(__xludf.DUMMYFUNCTION("""COMPUTED_VALUE"""),"România")</f>
        <v>România</v>
      </c>
      <c r="S1182" s="5" t="str">
        <f ca="1">IFERROR(__xludf.DUMMYFUNCTION("""COMPUTED_VALUE"""),"Octavian")</f>
        <v>Octavian</v>
      </c>
      <c r="T1182" s="7" t="str">
        <f ca="1">IFERROR(__xludf.DUMMYFUNCTION("""COMPUTED_VALUE"""),"http://www.ms.ro/2020/08/07/buletin-informativ-07-08-2020/")</f>
        <v>http://www.ms.ro/2020/08/07/buletin-informativ-07-08-2020/</v>
      </c>
      <c r="U1182" s="5"/>
      <c r="V1182" s="5"/>
      <c r="W1182" s="5"/>
      <c r="X1182" s="5"/>
      <c r="Y1182" s="5"/>
      <c r="Z1182" s="5"/>
      <c r="AA1182" s="5"/>
      <c r="AB1182" s="5"/>
      <c r="AC1182" s="5"/>
    </row>
    <row r="1183" spans="1:29" ht="12.5">
      <c r="A1183" s="5">
        <f ca="1">IFERROR(__xludf.DUMMYFUNCTION("""COMPUTED_VALUE"""),58131)</f>
        <v>58131</v>
      </c>
      <c r="B1183" s="5"/>
      <c r="C1183" s="5" t="str">
        <f ca="1">IFERROR(__xludf.DUMMYFUNCTION("""COMPUTED_VALUE"""),"Bihor")</f>
        <v>Bihor</v>
      </c>
      <c r="D1183" s="13">
        <f ca="1">IFERROR(__xludf.DUMMYFUNCTION("""COMPUTED_VALUE"""),44050)</f>
        <v>44050</v>
      </c>
      <c r="E1183" s="5" t="str">
        <f ca="1">IFERROR(__xludf.DUMMYFUNCTION("""COMPUTED_VALUE"""),"Nu")</f>
        <v>Nu</v>
      </c>
      <c r="F1183" s="5"/>
      <c r="G1183" s="5"/>
      <c r="H1183" s="6"/>
      <c r="I1183" s="5"/>
      <c r="J1183" s="5"/>
      <c r="K1183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83" s="5"/>
      <c r="M1183" s="5"/>
      <c r="N1183" s="5"/>
      <c r="O1183" s="5"/>
      <c r="P1183" s="5"/>
      <c r="Q1183" s="5"/>
      <c r="R1183" s="5" t="str">
        <f ca="1">IFERROR(__xludf.DUMMYFUNCTION("""COMPUTED_VALUE"""),"România")</f>
        <v>România</v>
      </c>
      <c r="S1183" s="5" t="str">
        <f ca="1">IFERROR(__xludf.DUMMYFUNCTION("""COMPUTED_VALUE"""),"Octavian")</f>
        <v>Octavian</v>
      </c>
      <c r="T1183" s="7" t="str">
        <f ca="1">IFERROR(__xludf.DUMMYFUNCTION("""COMPUTED_VALUE"""),"http://www.ms.ro/2020/08/07/buletin-informativ-07-08-2020/")</f>
        <v>http://www.ms.ro/2020/08/07/buletin-informativ-07-08-2020/</v>
      </c>
      <c r="U1183" s="5"/>
      <c r="V1183" s="5"/>
      <c r="W1183" s="5"/>
      <c r="X1183" s="5"/>
      <c r="Y1183" s="5"/>
      <c r="Z1183" s="5"/>
      <c r="AA1183" s="5"/>
      <c r="AB1183" s="5"/>
      <c r="AC1183" s="5"/>
    </row>
    <row r="1184" spans="1:29" ht="12.5">
      <c r="A1184" s="5">
        <f ca="1">IFERROR(__xludf.DUMMYFUNCTION("""COMPUTED_VALUE"""),58132)</f>
        <v>58132</v>
      </c>
      <c r="B1184" s="5"/>
      <c r="C1184" s="5" t="str">
        <f ca="1">IFERROR(__xludf.DUMMYFUNCTION("""COMPUTED_VALUE"""),"Bihor")</f>
        <v>Bihor</v>
      </c>
      <c r="D1184" s="13">
        <f ca="1">IFERROR(__xludf.DUMMYFUNCTION("""COMPUTED_VALUE"""),44050)</f>
        <v>44050</v>
      </c>
      <c r="E1184" s="5" t="str">
        <f ca="1">IFERROR(__xludf.DUMMYFUNCTION("""COMPUTED_VALUE"""),"Nu")</f>
        <v>Nu</v>
      </c>
      <c r="F1184" s="5"/>
      <c r="G1184" s="5"/>
      <c r="H1184" s="6"/>
      <c r="I1184" s="5"/>
      <c r="J1184" s="5"/>
      <c r="K1184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84" s="5"/>
      <c r="M1184" s="5"/>
      <c r="N1184" s="5"/>
      <c r="O1184" s="5"/>
      <c r="P1184" s="5"/>
      <c r="Q1184" s="5"/>
      <c r="R1184" s="5" t="str">
        <f ca="1">IFERROR(__xludf.DUMMYFUNCTION("""COMPUTED_VALUE"""),"România")</f>
        <v>România</v>
      </c>
      <c r="S1184" s="5" t="str">
        <f ca="1">IFERROR(__xludf.DUMMYFUNCTION("""COMPUTED_VALUE"""),"Octavian")</f>
        <v>Octavian</v>
      </c>
      <c r="T1184" s="7" t="str">
        <f ca="1">IFERROR(__xludf.DUMMYFUNCTION("""COMPUTED_VALUE"""),"http://www.ms.ro/2020/08/07/buletin-informativ-07-08-2020/")</f>
        <v>http://www.ms.ro/2020/08/07/buletin-informativ-07-08-2020/</v>
      </c>
      <c r="U1184" s="5"/>
      <c r="V1184" s="5"/>
      <c r="W1184" s="5"/>
      <c r="X1184" s="5"/>
      <c r="Y1184" s="5"/>
      <c r="Z1184" s="5"/>
      <c r="AA1184" s="5"/>
      <c r="AB1184" s="5"/>
      <c r="AC1184" s="5"/>
    </row>
    <row r="1185" spans="1:29" ht="12.5">
      <c r="A1185" s="5">
        <f ca="1">IFERROR(__xludf.DUMMYFUNCTION("""COMPUTED_VALUE"""),58133)</f>
        <v>58133</v>
      </c>
      <c r="B1185" s="5"/>
      <c r="C1185" s="5" t="str">
        <f ca="1">IFERROR(__xludf.DUMMYFUNCTION("""COMPUTED_VALUE"""),"Bihor")</f>
        <v>Bihor</v>
      </c>
      <c r="D1185" s="13">
        <f ca="1">IFERROR(__xludf.DUMMYFUNCTION("""COMPUTED_VALUE"""),44050)</f>
        <v>44050</v>
      </c>
      <c r="E1185" s="5" t="str">
        <f ca="1">IFERROR(__xludf.DUMMYFUNCTION("""COMPUTED_VALUE"""),"Nu")</f>
        <v>Nu</v>
      </c>
      <c r="F1185" s="5"/>
      <c r="G1185" s="5"/>
      <c r="H1185" s="6"/>
      <c r="I1185" s="5"/>
      <c r="J1185" s="5"/>
      <c r="K1185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85" s="5"/>
      <c r="M1185" s="5"/>
      <c r="N1185" s="5"/>
      <c r="O1185" s="5"/>
      <c r="P1185" s="5"/>
      <c r="Q1185" s="5"/>
      <c r="R1185" s="5" t="str">
        <f ca="1">IFERROR(__xludf.DUMMYFUNCTION("""COMPUTED_VALUE"""),"România")</f>
        <v>România</v>
      </c>
      <c r="S1185" s="5" t="str">
        <f ca="1">IFERROR(__xludf.DUMMYFUNCTION("""COMPUTED_VALUE"""),"Octavian")</f>
        <v>Octavian</v>
      </c>
      <c r="T1185" s="7" t="str">
        <f ca="1">IFERROR(__xludf.DUMMYFUNCTION("""COMPUTED_VALUE"""),"http://www.ms.ro/2020/08/07/buletin-informativ-07-08-2020/")</f>
        <v>http://www.ms.ro/2020/08/07/buletin-informativ-07-08-2020/</v>
      </c>
      <c r="U1185" s="5"/>
      <c r="V1185" s="5"/>
      <c r="W1185" s="5"/>
      <c r="X1185" s="5"/>
      <c r="Y1185" s="5"/>
      <c r="Z1185" s="5"/>
      <c r="AA1185" s="5"/>
      <c r="AB1185" s="5"/>
      <c r="AC1185" s="5"/>
    </row>
    <row r="1186" spans="1:29" ht="12.5">
      <c r="A1186" s="5">
        <f ca="1">IFERROR(__xludf.DUMMYFUNCTION("""COMPUTED_VALUE"""),58134)</f>
        <v>58134</v>
      </c>
      <c r="B1186" s="5"/>
      <c r="C1186" s="5" t="str">
        <f ca="1">IFERROR(__xludf.DUMMYFUNCTION("""COMPUTED_VALUE"""),"Bihor")</f>
        <v>Bihor</v>
      </c>
      <c r="D1186" s="13">
        <f ca="1">IFERROR(__xludf.DUMMYFUNCTION("""COMPUTED_VALUE"""),44050)</f>
        <v>44050</v>
      </c>
      <c r="E1186" s="5" t="str">
        <f ca="1">IFERROR(__xludf.DUMMYFUNCTION("""COMPUTED_VALUE"""),"Nu")</f>
        <v>Nu</v>
      </c>
      <c r="F1186" s="5"/>
      <c r="G1186" s="5"/>
      <c r="H1186" s="6"/>
      <c r="I1186" s="5"/>
      <c r="J1186" s="5"/>
      <c r="K1186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86" s="5"/>
      <c r="M1186" s="5"/>
      <c r="N1186" s="5"/>
      <c r="O1186" s="5"/>
      <c r="P1186" s="5"/>
      <c r="Q1186" s="5"/>
      <c r="R1186" s="5" t="str">
        <f ca="1">IFERROR(__xludf.DUMMYFUNCTION("""COMPUTED_VALUE"""),"România")</f>
        <v>România</v>
      </c>
      <c r="S1186" s="5" t="str">
        <f ca="1">IFERROR(__xludf.DUMMYFUNCTION("""COMPUTED_VALUE"""),"Octavian")</f>
        <v>Octavian</v>
      </c>
      <c r="T1186" s="7" t="str">
        <f ca="1">IFERROR(__xludf.DUMMYFUNCTION("""COMPUTED_VALUE"""),"http://www.ms.ro/2020/08/07/buletin-informativ-07-08-2020/")</f>
        <v>http://www.ms.ro/2020/08/07/buletin-informativ-07-08-2020/</v>
      </c>
      <c r="U1186" s="5"/>
      <c r="V1186" s="5"/>
      <c r="W1186" s="5"/>
      <c r="X1186" s="5"/>
      <c r="Y1186" s="5"/>
      <c r="Z1186" s="5"/>
      <c r="AA1186" s="5"/>
      <c r="AB1186" s="5"/>
      <c r="AC1186" s="5"/>
    </row>
    <row r="1187" spans="1:29" ht="12.5">
      <c r="A1187" s="5">
        <f ca="1">IFERROR(__xludf.DUMMYFUNCTION("""COMPUTED_VALUE"""),58135)</f>
        <v>58135</v>
      </c>
      <c r="B1187" s="5"/>
      <c r="C1187" s="5" t="str">
        <f ca="1">IFERROR(__xludf.DUMMYFUNCTION("""COMPUTED_VALUE"""),"Bihor")</f>
        <v>Bihor</v>
      </c>
      <c r="D1187" s="13">
        <f ca="1">IFERROR(__xludf.DUMMYFUNCTION("""COMPUTED_VALUE"""),44050)</f>
        <v>44050</v>
      </c>
      <c r="E1187" s="5" t="str">
        <f ca="1">IFERROR(__xludf.DUMMYFUNCTION("""COMPUTED_VALUE"""),"Nu")</f>
        <v>Nu</v>
      </c>
      <c r="F1187" s="5"/>
      <c r="G1187" s="5"/>
      <c r="H1187" s="6"/>
      <c r="I1187" s="5"/>
      <c r="J1187" s="5"/>
      <c r="K1187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87" s="5"/>
      <c r="M1187" s="5"/>
      <c r="N1187" s="5"/>
      <c r="O1187" s="5"/>
      <c r="P1187" s="5"/>
      <c r="Q1187" s="5"/>
      <c r="R1187" s="5" t="str">
        <f ca="1">IFERROR(__xludf.DUMMYFUNCTION("""COMPUTED_VALUE"""),"România")</f>
        <v>România</v>
      </c>
      <c r="S1187" s="5" t="str">
        <f ca="1">IFERROR(__xludf.DUMMYFUNCTION("""COMPUTED_VALUE"""),"Octavian")</f>
        <v>Octavian</v>
      </c>
      <c r="T1187" s="7" t="str">
        <f ca="1">IFERROR(__xludf.DUMMYFUNCTION("""COMPUTED_VALUE"""),"http://www.ms.ro/2020/08/07/buletin-informativ-07-08-2020/")</f>
        <v>http://www.ms.ro/2020/08/07/buletin-informativ-07-08-2020/</v>
      </c>
      <c r="U1187" s="5"/>
      <c r="V1187" s="5"/>
      <c r="W1187" s="5"/>
      <c r="X1187" s="5"/>
      <c r="Y1187" s="5"/>
      <c r="Z1187" s="5"/>
      <c r="AA1187" s="5"/>
      <c r="AB1187" s="5"/>
      <c r="AC1187" s="5"/>
    </row>
    <row r="1188" spans="1:29" ht="12.5">
      <c r="A1188" s="5">
        <f ca="1">IFERROR(__xludf.DUMMYFUNCTION("""COMPUTED_VALUE"""),58136)</f>
        <v>58136</v>
      </c>
      <c r="B1188" s="5"/>
      <c r="C1188" s="5" t="str">
        <f ca="1">IFERROR(__xludf.DUMMYFUNCTION("""COMPUTED_VALUE"""),"Bihor")</f>
        <v>Bihor</v>
      </c>
      <c r="D1188" s="13">
        <f ca="1">IFERROR(__xludf.DUMMYFUNCTION("""COMPUTED_VALUE"""),44050)</f>
        <v>44050</v>
      </c>
      <c r="E1188" s="5" t="str">
        <f ca="1">IFERROR(__xludf.DUMMYFUNCTION("""COMPUTED_VALUE"""),"Nu")</f>
        <v>Nu</v>
      </c>
      <c r="F1188" s="5"/>
      <c r="G1188" s="5"/>
      <c r="H1188" s="6"/>
      <c r="I1188" s="5"/>
      <c r="J1188" s="5"/>
      <c r="K1188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88" s="5"/>
      <c r="M1188" s="5"/>
      <c r="N1188" s="5"/>
      <c r="O1188" s="5"/>
      <c r="P1188" s="5"/>
      <c r="Q1188" s="5"/>
      <c r="R1188" s="5" t="str">
        <f ca="1">IFERROR(__xludf.DUMMYFUNCTION("""COMPUTED_VALUE"""),"România")</f>
        <v>România</v>
      </c>
      <c r="S1188" s="5" t="str">
        <f ca="1">IFERROR(__xludf.DUMMYFUNCTION("""COMPUTED_VALUE"""),"Octavian")</f>
        <v>Octavian</v>
      </c>
      <c r="T1188" s="7" t="str">
        <f ca="1">IFERROR(__xludf.DUMMYFUNCTION("""COMPUTED_VALUE"""),"http://www.ms.ro/2020/08/07/buletin-informativ-07-08-2020/")</f>
        <v>http://www.ms.ro/2020/08/07/buletin-informativ-07-08-2020/</v>
      </c>
      <c r="U1188" s="5"/>
      <c r="V1188" s="5"/>
      <c r="W1188" s="5"/>
      <c r="X1188" s="5"/>
      <c r="Y1188" s="5"/>
      <c r="Z1188" s="5"/>
      <c r="AA1188" s="5"/>
      <c r="AB1188" s="5"/>
      <c r="AC1188" s="5"/>
    </row>
    <row r="1189" spans="1:29" ht="12.5">
      <c r="A1189" s="5">
        <f ca="1">IFERROR(__xludf.DUMMYFUNCTION("""COMPUTED_VALUE"""),58137)</f>
        <v>58137</v>
      </c>
      <c r="B1189" s="5"/>
      <c r="C1189" s="5" t="str">
        <f ca="1">IFERROR(__xludf.DUMMYFUNCTION("""COMPUTED_VALUE"""),"Bihor")</f>
        <v>Bihor</v>
      </c>
      <c r="D1189" s="13">
        <f ca="1">IFERROR(__xludf.DUMMYFUNCTION("""COMPUTED_VALUE"""),44050)</f>
        <v>44050</v>
      </c>
      <c r="E1189" s="5" t="str">
        <f ca="1">IFERROR(__xludf.DUMMYFUNCTION("""COMPUTED_VALUE"""),"Nu")</f>
        <v>Nu</v>
      </c>
      <c r="F1189" s="5"/>
      <c r="G1189" s="5"/>
      <c r="H1189" s="6"/>
      <c r="I1189" s="5"/>
      <c r="J1189" s="5"/>
      <c r="K1189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89" s="5"/>
      <c r="M1189" s="5"/>
      <c r="N1189" s="5"/>
      <c r="O1189" s="5"/>
      <c r="P1189" s="5"/>
      <c r="Q1189" s="5"/>
      <c r="R1189" s="5" t="str">
        <f ca="1">IFERROR(__xludf.DUMMYFUNCTION("""COMPUTED_VALUE"""),"România")</f>
        <v>România</v>
      </c>
      <c r="S1189" s="5" t="str">
        <f ca="1">IFERROR(__xludf.DUMMYFUNCTION("""COMPUTED_VALUE"""),"Octavian")</f>
        <v>Octavian</v>
      </c>
      <c r="T1189" s="7" t="str">
        <f ca="1">IFERROR(__xludf.DUMMYFUNCTION("""COMPUTED_VALUE"""),"http://www.ms.ro/2020/08/07/buletin-informativ-07-08-2020/")</f>
        <v>http://www.ms.ro/2020/08/07/buletin-informativ-07-08-2020/</v>
      </c>
      <c r="U1189" s="5"/>
      <c r="V1189" s="5"/>
      <c r="W1189" s="5"/>
      <c r="X1189" s="5"/>
      <c r="Y1189" s="5"/>
      <c r="Z1189" s="5"/>
      <c r="AA1189" s="5"/>
      <c r="AB1189" s="5"/>
      <c r="AC1189" s="5"/>
    </row>
    <row r="1190" spans="1:29" ht="12.5">
      <c r="A1190" s="5">
        <f ca="1">IFERROR(__xludf.DUMMYFUNCTION("""COMPUTED_VALUE"""),58138)</f>
        <v>58138</v>
      </c>
      <c r="B1190" s="5"/>
      <c r="C1190" s="5" t="str">
        <f ca="1">IFERROR(__xludf.DUMMYFUNCTION("""COMPUTED_VALUE"""),"Bihor")</f>
        <v>Bihor</v>
      </c>
      <c r="D1190" s="13">
        <f ca="1">IFERROR(__xludf.DUMMYFUNCTION("""COMPUTED_VALUE"""),44050)</f>
        <v>44050</v>
      </c>
      <c r="E1190" s="5" t="str">
        <f ca="1">IFERROR(__xludf.DUMMYFUNCTION("""COMPUTED_VALUE"""),"Nu")</f>
        <v>Nu</v>
      </c>
      <c r="F1190" s="5"/>
      <c r="G1190" s="5"/>
      <c r="H1190" s="6"/>
      <c r="I1190" s="5"/>
      <c r="J1190" s="5"/>
      <c r="K1190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90" s="5"/>
      <c r="M1190" s="5"/>
      <c r="N1190" s="5"/>
      <c r="O1190" s="5"/>
      <c r="P1190" s="5"/>
      <c r="Q1190" s="5"/>
      <c r="R1190" s="5" t="str">
        <f ca="1">IFERROR(__xludf.DUMMYFUNCTION("""COMPUTED_VALUE"""),"România")</f>
        <v>România</v>
      </c>
      <c r="S1190" s="5" t="str">
        <f ca="1">IFERROR(__xludf.DUMMYFUNCTION("""COMPUTED_VALUE"""),"Octavian")</f>
        <v>Octavian</v>
      </c>
      <c r="T1190" s="7" t="str">
        <f ca="1">IFERROR(__xludf.DUMMYFUNCTION("""COMPUTED_VALUE"""),"http://www.ms.ro/2020/08/07/buletin-informativ-07-08-2020/")</f>
        <v>http://www.ms.ro/2020/08/07/buletin-informativ-07-08-2020/</v>
      </c>
      <c r="U1190" s="5"/>
      <c r="V1190" s="5"/>
      <c r="W1190" s="5"/>
      <c r="X1190" s="5"/>
      <c r="Y1190" s="5"/>
      <c r="Z1190" s="5"/>
      <c r="AA1190" s="5"/>
      <c r="AB1190" s="5"/>
      <c r="AC1190" s="5"/>
    </row>
    <row r="1191" spans="1:29" ht="12.5">
      <c r="A1191" s="5">
        <f ca="1">IFERROR(__xludf.DUMMYFUNCTION("""COMPUTED_VALUE"""),58139)</f>
        <v>58139</v>
      </c>
      <c r="B1191" s="5"/>
      <c r="C1191" s="5" t="str">
        <f ca="1">IFERROR(__xludf.DUMMYFUNCTION("""COMPUTED_VALUE"""),"Bihor")</f>
        <v>Bihor</v>
      </c>
      <c r="D1191" s="13">
        <f ca="1">IFERROR(__xludf.DUMMYFUNCTION("""COMPUTED_VALUE"""),44050)</f>
        <v>44050</v>
      </c>
      <c r="E1191" s="5" t="str">
        <f ca="1">IFERROR(__xludf.DUMMYFUNCTION("""COMPUTED_VALUE"""),"Nu")</f>
        <v>Nu</v>
      </c>
      <c r="F1191" s="5"/>
      <c r="G1191" s="5"/>
      <c r="H1191" s="6"/>
      <c r="I1191" s="5"/>
      <c r="J1191" s="5"/>
      <c r="K1191" s="7" t="str">
        <f ca="1">IFERROR(__xludf.DUMMYFUNCTION("""COMPUTED_VALUE"""),"https://www.ebihoreanul.ro/stiri/a-patra-zi-la-rand-cu-decese-covid-in-bihor-si-53-noi-imbolnaviri-in-ultimele-24-de-ore-158087.html")</f>
        <v>https://www.ebihoreanul.ro/stiri/a-patra-zi-la-rand-cu-decese-covid-in-bihor-si-53-noi-imbolnaviri-in-ultimele-24-de-ore-158087.html</v>
      </c>
      <c r="L1191" s="5"/>
      <c r="M1191" s="5"/>
      <c r="N1191" s="5"/>
      <c r="O1191" s="5"/>
      <c r="P1191" s="5"/>
      <c r="Q1191" s="5"/>
      <c r="R1191" s="5" t="str">
        <f ca="1">IFERROR(__xludf.DUMMYFUNCTION("""COMPUTED_VALUE"""),"România")</f>
        <v>România</v>
      </c>
      <c r="S1191" s="5" t="str">
        <f ca="1">IFERROR(__xludf.DUMMYFUNCTION("""COMPUTED_VALUE"""),"Octavian")</f>
        <v>Octavian</v>
      </c>
      <c r="T1191" s="7" t="str">
        <f ca="1">IFERROR(__xludf.DUMMYFUNCTION("""COMPUTED_VALUE"""),"http://www.ms.ro/2020/08/07/buletin-informativ-07-08-2020/")</f>
        <v>http://www.ms.ro/2020/08/07/buletin-informativ-07-08-2020/</v>
      </c>
      <c r="U1191" s="5"/>
      <c r="V1191" s="5"/>
      <c r="W1191" s="5"/>
      <c r="X1191" s="5"/>
      <c r="Y1191" s="5"/>
      <c r="Z1191" s="5"/>
      <c r="AA1191" s="5"/>
      <c r="AB1191" s="5"/>
      <c r="AC1191" s="5"/>
    </row>
    <row r="1192" spans="1:29" ht="12.5">
      <c r="A1192" s="5">
        <f ca="1">IFERROR(__xludf.DUMMYFUNCTION("""COMPUTED_VALUE"""),59469)</f>
        <v>59469</v>
      </c>
      <c r="B1192" s="5"/>
      <c r="C1192" s="5" t="str">
        <f ca="1">IFERROR(__xludf.DUMMYFUNCTION("""COMPUTED_VALUE"""),"Bihor")</f>
        <v>Bihor</v>
      </c>
      <c r="D1192" s="13">
        <f ca="1">IFERROR(__xludf.DUMMYFUNCTION("""COMPUTED_VALUE"""),44051)</f>
        <v>44051</v>
      </c>
      <c r="E1192" s="5" t="str">
        <f ca="1">IFERROR(__xludf.DUMMYFUNCTION("""COMPUTED_VALUE"""),"Nu")</f>
        <v>Nu</v>
      </c>
      <c r="F1192" s="5"/>
      <c r="G1192" s="5"/>
      <c r="H1192" s="6"/>
      <c r="I1192" s="5"/>
      <c r="J1192" s="5"/>
      <c r="K1192" s="7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1192" s="5"/>
      <c r="M1192" s="5"/>
      <c r="N1192" s="5"/>
      <c r="O1192" s="5"/>
      <c r="P1192" s="5"/>
      <c r="Q1192" s="5"/>
      <c r="R1192" s="5" t="str">
        <f ca="1">IFERROR(__xludf.DUMMYFUNCTION("""COMPUTED_VALUE"""),"România")</f>
        <v>România</v>
      </c>
      <c r="S1192" s="5" t="str">
        <f ca="1">IFERROR(__xludf.DUMMYFUNCTION("""COMPUTED_VALUE"""),"Alex")</f>
        <v>Alex</v>
      </c>
      <c r="T1192" s="7" t="str">
        <f ca="1">IFERROR(__xludf.DUMMYFUNCTION("""COMPUTED_VALUE"""),"http://www.ms.ro/2020/08/08/buletin-informativ-08-08-2020")</f>
        <v>http://www.ms.ro/2020/08/08/buletin-informativ-08-08-2020</v>
      </c>
      <c r="U1192" s="5"/>
      <c r="V1192" s="5"/>
      <c r="W1192" s="5"/>
      <c r="X1192" s="5"/>
      <c r="Y1192" s="5"/>
      <c r="Z1192" s="5"/>
      <c r="AA1192" s="5"/>
      <c r="AB1192" s="5"/>
      <c r="AC1192" s="5"/>
    </row>
    <row r="1193" spans="1:29" ht="12.5">
      <c r="A1193" s="5">
        <f ca="1">IFERROR(__xludf.DUMMYFUNCTION("""COMPUTED_VALUE"""),59470)</f>
        <v>59470</v>
      </c>
      <c r="B1193" s="5"/>
      <c r="C1193" s="5" t="str">
        <f ca="1">IFERROR(__xludf.DUMMYFUNCTION("""COMPUTED_VALUE"""),"Bihor")</f>
        <v>Bihor</v>
      </c>
      <c r="D1193" s="13">
        <f ca="1">IFERROR(__xludf.DUMMYFUNCTION("""COMPUTED_VALUE"""),44051)</f>
        <v>44051</v>
      </c>
      <c r="E1193" s="5" t="str">
        <f ca="1">IFERROR(__xludf.DUMMYFUNCTION("""COMPUTED_VALUE"""),"Nu")</f>
        <v>Nu</v>
      </c>
      <c r="F1193" s="5"/>
      <c r="G1193" s="5"/>
      <c r="H1193" s="6"/>
      <c r="I1193" s="5"/>
      <c r="J1193" s="5"/>
      <c r="K1193" s="7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1193" s="5"/>
      <c r="M1193" s="5"/>
      <c r="N1193" s="5"/>
      <c r="O1193" s="5"/>
      <c r="P1193" s="5"/>
      <c r="Q1193" s="5"/>
      <c r="R1193" s="5" t="str">
        <f ca="1">IFERROR(__xludf.DUMMYFUNCTION("""COMPUTED_VALUE"""),"România")</f>
        <v>România</v>
      </c>
      <c r="S1193" s="5" t="str">
        <f ca="1">IFERROR(__xludf.DUMMYFUNCTION("""COMPUTED_VALUE"""),"Alex")</f>
        <v>Alex</v>
      </c>
      <c r="T1193" s="7" t="str">
        <f ca="1">IFERROR(__xludf.DUMMYFUNCTION("""COMPUTED_VALUE"""),"http://www.ms.ro/2020/08/08/buletin-informativ-08-08-2020")</f>
        <v>http://www.ms.ro/2020/08/08/buletin-informativ-08-08-2020</v>
      </c>
      <c r="U1193" s="5"/>
      <c r="V1193" s="5"/>
      <c r="W1193" s="5"/>
      <c r="X1193" s="5"/>
      <c r="Y1193" s="5"/>
      <c r="Z1193" s="5"/>
      <c r="AA1193" s="5"/>
      <c r="AB1193" s="5"/>
      <c r="AC1193" s="5"/>
    </row>
    <row r="1194" spans="1:29" ht="12.5">
      <c r="A1194" s="5">
        <f ca="1">IFERROR(__xludf.DUMMYFUNCTION("""COMPUTED_VALUE"""),59471)</f>
        <v>59471</v>
      </c>
      <c r="B1194" s="5"/>
      <c r="C1194" s="5" t="str">
        <f ca="1">IFERROR(__xludf.DUMMYFUNCTION("""COMPUTED_VALUE"""),"Bihor")</f>
        <v>Bihor</v>
      </c>
      <c r="D1194" s="13">
        <f ca="1">IFERROR(__xludf.DUMMYFUNCTION("""COMPUTED_VALUE"""),44051)</f>
        <v>44051</v>
      </c>
      <c r="E1194" s="5" t="str">
        <f ca="1">IFERROR(__xludf.DUMMYFUNCTION("""COMPUTED_VALUE"""),"Nu")</f>
        <v>Nu</v>
      </c>
      <c r="F1194" s="5"/>
      <c r="G1194" s="5"/>
      <c r="H1194" s="6"/>
      <c r="I1194" s="5"/>
      <c r="J1194" s="5"/>
      <c r="K1194" s="7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1194" s="5"/>
      <c r="M1194" s="5"/>
      <c r="N1194" s="5"/>
      <c r="O1194" s="5"/>
      <c r="P1194" s="5"/>
      <c r="Q1194" s="5"/>
      <c r="R1194" s="5" t="str">
        <f ca="1">IFERROR(__xludf.DUMMYFUNCTION("""COMPUTED_VALUE"""),"România")</f>
        <v>România</v>
      </c>
      <c r="S1194" s="5" t="str">
        <f ca="1">IFERROR(__xludf.DUMMYFUNCTION("""COMPUTED_VALUE"""),"Alex")</f>
        <v>Alex</v>
      </c>
      <c r="T1194" s="7" t="str">
        <f ca="1">IFERROR(__xludf.DUMMYFUNCTION("""COMPUTED_VALUE"""),"http://www.ms.ro/2020/08/08/buletin-informativ-08-08-2020")</f>
        <v>http://www.ms.ro/2020/08/08/buletin-informativ-08-08-2020</v>
      </c>
      <c r="U1194" s="5"/>
      <c r="V1194" s="5"/>
      <c r="W1194" s="5"/>
      <c r="X1194" s="5"/>
      <c r="Y1194" s="5"/>
      <c r="Z1194" s="5"/>
      <c r="AA1194" s="5"/>
      <c r="AB1194" s="5"/>
      <c r="AC1194" s="5"/>
    </row>
    <row r="1195" spans="1:29" ht="12.5">
      <c r="A1195" s="5">
        <f ca="1">IFERROR(__xludf.DUMMYFUNCTION("""COMPUTED_VALUE"""),59472)</f>
        <v>59472</v>
      </c>
      <c r="B1195" s="5"/>
      <c r="C1195" s="5" t="str">
        <f ca="1">IFERROR(__xludf.DUMMYFUNCTION("""COMPUTED_VALUE"""),"Bihor")</f>
        <v>Bihor</v>
      </c>
      <c r="D1195" s="13">
        <f ca="1">IFERROR(__xludf.DUMMYFUNCTION("""COMPUTED_VALUE"""),44051)</f>
        <v>44051</v>
      </c>
      <c r="E1195" s="5" t="str">
        <f ca="1">IFERROR(__xludf.DUMMYFUNCTION("""COMPUTED_VALUE"""),"Nu")</f>
        <v>Nu</v>
      </c>
      <c r="F1195" s="5"/>
      <c r="G1195" s="5"/>
      <c r="H1195" s="6"/>
      <c r="I1195" s="5"/>
      <c r="J1195" s="5"/>
      <c r="K1195" s="7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1195" s="5"/>
      <c r="M1195" s="5"/>
      <c r="N1195" s="5"/>
      <c r="O1195" s="5"/>
      <c r="P1195" s="5"/>
      <c r="Q1195" s="5"/>
      <c r="R1195" s="5" t="str">
        <f ca="1">IFERROR(__xludf.DUMMYFUNCTION("""COMPUTED_VALUE"""),"România")</f>
        <v>România</v>
      </c>
      <c r="S1195" s="5" t="str">
        <f ca="1">IFERROR(__xludf.DUMMYFUNCTION("""COMPUTED_VALUE"""),"Alex")</f>
        <v>Alex</v>
      </c>
      <c r="T1195" s="7" t="str">
        <f ca="1">IFERROR(__xludf.DUMMYFUNCTION("""COMPUTED_VALUE"""),"http://www.ms.ro/2020/08/08/buletin-informativ-08-08-2020")</f>
        <v>http://www.ms.ro/2020/08/08/buletin-informativ-08-08-2020</v>
      </c>
      <c r="U1195" s="5"/>
      <c r="V1195" s="5"/>
      <c r="W1195" s="5"/>
      <c r="X1195" s="5"/>
      <c r="Y1195" s="5"/>
      <c r="Z1195" s="5"/>
      <c r="AA1195" s="5"/>
      <c r="AB1195" s="5"/>
      <c r="AC1195" s="5"/>
    </row>
    <row r="1196" spans="1:29" ht="12.5">
      <c r="A1196" s="5">
        <f ca="1">IFERROR(__xludf.DUMMYFUNCTION("""COMPUTED_VALUE"""),59473)</f>
        <v>59473</v>
      </c>
      <c r="B1196" s="5"/>
      <c r="C1196" s="5" t="str">
        <f ca="1">IFERROR(__xludf.DUMMYFUNCTION("""COMPUTED_VALUE"""),"Bihor")</f>
        <v>Bihor</v>
      </c>
      <c r="D1196" s="13">
        <f ca="1">IFERROR(__xludf.DUMMYFUNCTION("""COMPUTED_VALUE"""),44051)</f>
        <v>44051</v>
      </c>
      <c r="E1196" s="5" t="str">
        <f ca="1">IFERROR(__xludf.DUMMYFUNCTION("""COMPUTED_VALUE"""),"Nu")</f>
        <v>Nu</v>
      </c>
      <c r="F1196" s="5"/>
      <c r="G1196" s="5"/>
      <c r="H1196" s="6"/>
      <c r="I1196" s="5"/>
      <c r="J1196" s="5"/>
      <c r="K1196" s="7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1196" s="5"/>
      <c r="M1196" s="5"/>
      <c r="N1196" s="5"/>
      <c r="O1196" s="5"/>
      <c r="P1196" s="5"/>
      <c r="Q1196" s="5"/>
      <c r="R1196" s="5" t="str">
        <f ca="1">IFERROR(__xludf.DUMMYFUNCTION("""COMPUTED_VALUE"""),"România")</f>
        <v>România</v>
      </c>
      <c r="S1196" s="5" t="str">
        <f ca="1">IFERROR(__xludf.DUMMYFUNCTION("""COMPUTED_VALUE"""),"Alex")</f>
        <v>Alex</v>
      </c>
      <c r="T1196" s="7" t="str">
        <f ca="1">IFERROR(__xludf.DUMMYFUNCTION("""COMPUTED_VALUE"""),"http://www.ms.ro/2020/08/08/buletin-informativ-08-08-2020")</f>
        <v>http://www.ms.ro/2020/08/08/buletin-informativ-08-08-2020</v>
      </c>
      <c r="U1196" s="5"/>
      <c r="V1196" s="5"/>
      <c r="W1196" s="5"/>
      <c r="X1196" s="5"/>
      <c r="Y1196" s="5"/>
      <c r="Z1196" s="5"/>
      <c r="AA1196" s="5"/>
      <c r="AB1196" s="5"/>
      <c r="AC1196" s="5"/>
    </row>
    <row r="1197" spans="1:29" ht="12.5">
      <c r="A1197" s="5">
        <f ca="1">IFERROR(__xludf.DUMMYFUNCTION("""COMPUTED_VALUE"""),59474)</f>
        <v>59474</v>
      </c>
      <c r="B1197" s="5"/>
      <c r="C1197" s="5" t="str">
        <f ca="1">IFERROR(__xludf.DUMMYFUNCTION("""COMPUTED_VALUE"""),"Bihor")</f>
        <v>Bihor</v>
      </c>
      <c r="D1197" s="13">
        <f ca="1">IFERROR(__xludf.DUMMYFUNCTION("""COMPUTED_VALUE"""),44051)</f>
        <v>44051</v>
      </c>
      <c r="E1197" s="5" t="str">
        <f ca="1">IFERROR(__xludf.DUMMYFUNCTION("""COMPUTED_VALUE"""),"Nu")</f>
        <v>Nu</v>
      </c>
      <c r="F1197" s="5"/>
      <c r="G1197" s="5"/>
      <c r="H1197" s="6"/>
      <c r="I1197" s="5"/>
      <c r="J1197" s="5"/>
      <c r="K1197" s="7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1197" s="5"/>
      <c r="M1197" s="5"/>
      <c r="N1197" s="5"/>
      <c r="O1197" s="5"/>
      <c r="P1197" s="5"/>
      <c r="Q1197" s="5"/>
      <c r="R1197" s="5" t="str">
        <f ca="1">IFERROR(__xludf.DUMMYFUNCTION("""COMPUTED_VALUE"""),"România")</f>
        <v>România</v>
      </c>
      <c r="S1197" s="5" t="str">
        <f ca="1">IFERROR(__xludf.DUMMYFUNCTION("""COMPUTED_VALUE"""),"Alex")</f>
        <v>Alex</v>
      </c>
      <c r="T1197" s="7" t="str">
        <f ca="1">IFERROR(__xludf.DUMMYFUNCTION("""COMPUTED_VALUE"""),"http://www.ms.ro/2020/08/08/buletin-informativ-08-08-2020")</f>
        <v>http://www.ms.ro/2020/08/08/buletin-informativ-08-08-2020</v>
      </c>
      <c r="U1197" s="5"/>
      <c r="V1197" s="5"/>
      <c r="W1197" s="5"/>
      <c r="X1197" s="5"/>
      <c r="Y1197" s="5"/>
      <c r="Z1197" s="5"/>
      <c r="AA1197" s="5"/>
      <c r="AB1197" s="5"/>
      <c r="AC1197" s="5"/>
    </row>
    <row r="1198" spans="1:29" ht="12.5">
      <c r="A1198" s="5">
        <f ca="1">IFERROR(__xludf.DUMMYFUNCTION("""COMPUTED_VALUE"""),59475)</f>
        <v>59475</v>
      </c>
      <c r="B1198" s="5"/>
      <c r="C1198" s="5" t="str">
        <f ca="1">IFERROR(__xludf.DUMMYFUNCTION("""COMPUTED_VALUE"""),"Bihor")</f>
        <v>Bihor</v>
      </c>
      <c r="D1198" s="13">
        <f ca="1">IFERROR(__xludf.DUMMYFUNCTION("""COMPUTED_VALUE"""),44051)</f>
        <v>44051</v>
      </c>
      <c r="E1198" s="5" t="str">
        <f ca="1">IFERROR(__xludf.DUMMYFUNCTION("""COMPUTED_VALUE"""),"Nu")</f>
        <v>Nu</v>
      </c>
      <c r="F1198" s="5"/>
      <c r="G1198" s="5"/>
      <c r="H1198" s="6"/>
      <c r="I1198" s="5"/>
      <c r="J1198" s="5"/>
      <c r="K1198" s="7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1198" s="5"/>
      <c r="M1198" s="5"/>
      <c r="N1198" s="5"/>
      <c r="O1198" s="5"/>
      <c r="P1198" s="5"/>
      <c r="Q1198" s="5"/>
      <c r="R1198" s="5" t="str">
        <f ca="1">IFERROR(__xludf.DUMMYFUNCTION("""COMPUTED_VALUE"""),"România")</f>
        <v>România</v>
      </c>
      <c r="S1198" s="5" t="str">
        <f ca="1">IFERROR(__xludf.DUMMYFUNCTION("""COMPUTED_VALUE"""),"Alex")</f>
        <v>Alex</v>
      </c>
      <c r="T1198" s="7" t="str">
        <f ca="1">IFERROR(__xludf.DUMMYFUNCTION("""COMPUTED_VALUE"""),"http://www.ms.ro/2020/08/08/buletin-informativ-08-08-2020")</f>
        <v>http://www.ms.ro/2020/08/08/buletin-informativ-08-08-2020</v>
      </c>
      <c r="U1198" s="5"/>
      <c r="V1198" s="5"/>
      <c r="W1198" s="5"/>
      <c r="X1198" s="5"/>
      <c r="Y1198" s="5"/>
      <c r="Z1198" s="5"/>
      <c r="AA1198" s="5"/>
      <c r="AB1198" s="5"/>
      <c r="AC1198" s="5"/>
    </row>
    <row r="1199" spans="1:29" ht="12.5">
      <c r="A1199" s="5">
        <f ca="1">IFERROR(__xludf.DUMMYFUNCTION("""COMPUTED_VALUE"""),59476)</f>
        <v>59476</v>
      </c>
      <c r="B1199" s="5"/>
      <c r="C1199" s="5" t="str">
        <f ca="1">IFERROR(__xludf.DUMMYFUNCTION("""COMPUTED_VALUE"""),"Bihor")</f>
        <v>Bihor</v>
      </c>
      <c r="D1199" s="13">
        <f ca="1">IFERROR(__xludf.DUMMYFUNCTION("""COMPUTED_VALUE"""),44051)</f>
        <v>44051</v>
      </c>
      <c r="E1199" s="5" t="str">
        <f ca="1">IFERROR(__xludf.DUMMYFUNCTION("""COMPUTED_VALUE"""),"Nu")</f>
        <v>Nu</v>
      </c>
      <c r="F1199" s="5"/>
      <c r="G1199" s="5"/>
      <c r="H1199" s="6"/>
      <c r="I1199" s="5"/>
      <c r="J1199" s="5"/>
      <c r="K1199" s="7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1199" s="5"/>
      <c r="M1199" s="5"/>
      <c r="N1199" s="5"/>
      <c r="O1199" s="5"/>
      <c r="P1199" s="5"/>
      <c r="Q1199" s="5"/>
      <c r="R1199" s="5" t="str">
        <f ca="1">IFERROR(__xludf.DUMMYFUNCTION("""COMPUTED_VALUE"""),"România")</f>
        <v>România</v>
      </c>
      <c r="S1199" s="5" t="str">
        <f ca="1">IFERROR(__xludf.DUMMYFUNCTION("""COMPUTED_VALUE"""),"Alex")</f>
        <v>Alex</v>
      </c>
      <c r="T1199" s="7" t="str">
        <f ca="1">IFERROR(__xludf.DUMMYFUNCTION("""COMPUTED_VALUE"""),"http://www.ms.ro/2020/08/08/buletin-informativ-08-08-2020")</f>
        <v>http://www.ms.ro/2020/08/08/buletin-informativ-08-08-2020</v>
      </c>
      <c r="U1199" s="5"/>
      <c r="V1199" s="5"/>
      <c r="W1199" s="5"/>
      <c r="X1199" s="5"/>
      <c r="Y1199" s="5"/>
      <c r="Z1199" s="5"/>
      <c r="AA1199" s="5"/>
      <c r="AB1199" s="5"/>
      <c r="AC1199" s="5"/>
    </row>
    <row r="1200" spans="1:29" ht="12.5">
      <c r="A1200" s="5">
        <f ca="1">IFERROR(__xludf.DUMMYFUNCTION("""COMPUTED_VALUE"""),59477)</f>
        <v>59477</v>
      </c>
      <c r="B1200" s="5"/>
      <c r="C1200" s="5" t="str">
        <f ca="1">IFERROR(__xludf.DUMMYFUNCTION("""COMPUTED_VALUE"""),"Bihor")</f>
        <v>Bihor</v>
      </c>
      <c r="D1200" s="13">
        <f ca="1">IFERROR(__xludf.DUMMYFUNCTION("""COMPUTED_VALUE"""),44051)</f>
        <v>44051</v>
      </c>
      <c r="E1200" s="5" t="str">
        <f ca="1">IFERROR(__xludf.DUMMYFUNCTION("""COMPUTED_VALUE"""),"Nu")</f>
        <v>Nu</v>
      </c>
      <c r="F1200" s="5"/>
      <c r="G1200" s="5"/>
      <c r="H1200" s="6"/>
      <c r="I1200" s="5"/>
      <c r="J1200" s="5"/>
      <c r="K1200" s="7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1200" s="5"/>
      <c r="M1200" s="5"/>
      <c r="N1200" s="5"/>
      <c r="O1200" s="5"/>
      <c r="P1200" s="5"/>
      <c r="Q1200" s="5"/>
      <c r="R1200" s="5" t="str">
        <f ca="1">IFERROR(__xludf.DUMMYFUNCTION("""COMPUTED_VALUE"""),"România")</f>
        <v>România</v>
      </c>
      <c r="S1200" s="5" t="str">
        <f ca="1">IFERROR(__xludf.DUMMYFUNCTION("""COMPUTED_VALUE"""),"Alex")</f>
        <v>Alex</v>
      </c>
      <c r="T1200" s="7" t="str">
        <f ca="1">IFERROR(__xludf.DUMMYFUNCTION("""COMPUTED_VALUE"""),"http://www.ms.ro/2020/08/08/buletin-informativ-08-08-2020")</f>
        <v>http://www.ms.ro/2020/08/08/buletin-informativ-08-08-2020</v>
      </c>
      <c r="U1200" s="5"/>
      <c r="V1200" s="5"/>
      <c r="W1200" s="5"/>
      <c r="X1200" s="5"/>
      <c r="Y1200" s="5"/>
      <c r="Z1200" s="5"/>
      <c r="AA1200" s="5"/>
      <c r="AB1200" s="5"/>
      <c r="AC1200" s="5"/>
    </row>
    <row r="1201" spans="1:29" ht="12.5">
      <c r="A1201" s="5">
        <f ca="1">IFERROR(__xludf.DUMMYFUNCTION("""COMPUTED_VALUE"""),59478)</f>
        <v>59478</v>
      </c>
      <c r="B1201" s="5"/>
      <c r="C1201" s="5" t="str">
        <f ca="1">IFERROR(__xludf.DUMMYFUNCTION("""COMPUTED_VALUE"""),"Bihor")</f>
        <v>Bihor</v>
      </c>
      <c r="D1201" s="13">
        <f ca="1">IFERROR(__xludf.DUMMYFUNCTION("""COMPUTED_VALUE"""),44051)</f>
        <v>44051</v>
      </c>
      <c r="E1201" s="5" t="str">
        <f ca="1">IFERROR(__xludf.DUMMYFUNCTION("""COMPUTED_VALUE"""),"Nu")</f>
        <v>Nu</v>
      </c>
      <c r="F1201" s="5"/>
      <c r="G1201" s="5"/>
      <c r="H1201" s="6"/>
      <c r="I1201" s="5"/>
      <c r="J1201" s="5"/>
      <c r="K1201" s="7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1201" s="5"/>
      <c r="M1201" s="5"/>
      <c r="N1201" s="5"/>
      <c r="O1201" s="5"/>
      <c r="P1201" s="5"/>
      <c r="Q1201" s="5"/>
      <c r="R1201" s="5" t="str">
        <f ca="1">IFERROR(__xludf.DUMMYFUNCTION("""COMPUTED_VALUE"""),"România")</f>
        <v>România</v>
      </c>
      <c r="S1201" s="5" t="str">
        <f ca="1">IFERROR(__xludf.DUMMYFUNCTION("""COMPUTED_VALUE"""),"Alex")</f>
        <v>Alex</v>
      </c>
      <c r="T1201" s="7" t="str">
        <f ca="1">IFERROR(__xludf.DUMMYFUNCTION("""COMPUTED_VALUE"""),"http://www.ms.ro/2020/08/08/buletin-informativ-08-08-2020")</f>
        <v>http://www.ms.ro/2020/08/08/buletin-informativ-08-08-2020</v>
      </c>
      <c r="U1201" s="5"/>
      <c r="V1201" s="5"/>
      <c r="W1201" s="5"/>
      <c r="X1201" s="5"/>
      <c r="Y1201" s="5"/>
      <c r="Z1201" s="5"/>
      <c r="AA1201" s="5"/>
      <c r="AB1201" s="5"/>
      <c r="AC1201" s="5"/>
    </row>
    <row r="1202" spans="1:29" ht="12.5">
      <c r="A1202" s="5">
        <f ca="1">IFERROR(__xludf.DUMMYFUNCTION("""COMPUTED_VALUE"""),59479)</f>
        <v>59479</v>
      </c>
      <c r="B1202" s="5"/>
      <c r="C1202" s="5" t="str">
        <f ca="1">IFERROR(__xludf.DUMMYFUNCTION("""COMPUTED_VALUE"""),"Bihor")</f>
        <v>Bihor</v>
      </c>
      <c r="D1202" s="13">
        <f ca="1">IFERROR(__xludf.DUMMYFUNCTION("""COMPUTED_VALUE"""),44051)</f>
        <v>44051</v>
      </c>
      <c r="E1202" s="5" t="str">
        <f ca="1">IFERROR(__xludf.DUMMYFUNCTION("""COMPUTED_VALUE"""),"Nu")</f>
        <v>Nu</v>
      </c>
      <c r="F1202" s="5"/>
      <c r="G1202" s="5"/>
      <c r="H1202" s="6"/>
      <c r="I1202" s="5"/>
      <c r="J1202" s="5"/>
      <c r="K1202" s="7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1202" s="5"/>
      <c r="M1202" s="5"/>
      <c r="N1202" s="5"/>
      <c r="O1202" s="5"/>
      <c r="P1202" s="5"/>
      <c r="Q1202" s="5"/>
      <c r="R1202" s="5" t="str">
        <f ca="1">IFERROR(__xludf.DUMMYFUNCTION("""COMPUTED_VALUE"""),"România")</f>
        <v>România</v>
      </c>
      <c r="S1202" s="5" t="str">
        <f ca="1">IFERROR(__xludf.DUMMYFUNCTION("""COMPUTED_VALUE"""),"Alex")</f>
        <v>Alex</v>
      </c>
      <c r="T1202" s="7" t="str">
        <f ca="1">IFERROR(__xludf.DUMMYFUNCTION("""COMPUTED_VALUE"""),"http://www.ms.ro/2020/08/08/buletin-informativ-08-08-2020")</f>
        <v>http://www.ms.ro/2020/08/08/buletin-informativ-08-08-2020</v>
      </c>
      <c r="U1202" s="5"/>
      <c r="V1202" s="5"/>
      <c r="W1202" s="5"/>
      <c r="X1202" s="5"/>
      <c r="Y1202" s="5"/>
      <c r="Z1202" s="5"/>
      <c r="AA1202" s="5"/>
      <c r="AB1202" s="5"/>
      <c r="AC1202" s="5"/>
    </row>
    <row r="1203" spans="1:29" ht="12.5">
      <c r="A1203" s="5">
        <f ca="1">IFERROR(__xludf.DUMMYFUNCTION("""COMPUTED_VALUE"""),59480)</f>
        <v>59480</v>
      </c>
      <c r="B1203" s="5"/>
      <c r="C1203" s="5" t="str">
        <f ca="1">IFERROR(__xludf.DUMMYFUNCTION("""COMPUTED_VALUE"""),"Bihor")</f>
        <v>Bihor</v>
      </c>
      <c r="D1203" s="13">
        <f ca="1">IFERROR(__xludf.DUMMYFUNCTION("""COMPUTED_VALUE"""),44051)</f>
        <v>44051</v>
      </c>
      <c r="E1203" s="5" t="str">
        <f ca="1">IFERROR(__xludf.DUMMYFUNCTION("""COMPUTED_VALUE"""),"Nu")</f>
        <v>Nu</v>
      </c>
      <c r="F1203" s="5"/>
      <c r="G1203" s="5"/>
      <c r="H1203" s="6"/>
      <c r="I1203" s="5"/>
      <c r="J1203" s="5"/>
      <c r="K1203" s="7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1203" s="5"/>
      <c r="M1203" s="5"/>
      <c r="N1203" s="5"/>
      <c r="O1203" s="5"/>
      <c r="P1203" s="5"/>
      <c r="Q1203" s="5"/>
      <c r="R1203" s="5" t="str">
        <f ca="1">IFERROR(__xludf.DUMMYFUNCTION("""COMPUTED_VALUE"""),"România")</f>
        <v>România</v>
      </c>
      <c r="S1203" s="5" t="str">
        <f ca="1">IFERROR(__xludf.DUMMYFUNCTION("""COMPUTED_VALUE"""),"Alex")</f>
        <v>Alex</v>
      </c>
      <c r="T1203" s="7" t="str">
        <f ca="1">IFERROR(__xludf.DUMMYFUNCTION("""COMPUTED_VALUE"""),"http://www.ms.ro/2020/08/08/buletin-informativ-08-08-2020")</f>
        <v>http://www.ms.ro/2020/08/08/buletin-informativ-08-08-2020</v>
      </c>
      <c r="U1203" s="5"/>
      <c r="V1203" s="5"/>
      <c r="W1203" s="5"/>
      <c r="X1203" s="5"/>
      <c r="Y1203" s="5"/>
      <c r="Z1203" s="5"/>
      <c r="AA1203" s="5"/>
      <c r="AB1203" s="5"/>
      <c r="AC1203" s="5"/>
    </row>
    <row r="1204" spans="1:29" ht="12.5">
      <c r="A1204" s="5">
        <f ca="1">IFERROR(__xludf.DUMMYFUNCTION("""COMPUTED_VALUE"""),59481)</f>
        <v>59481</v>
      </c>
      <c r="B1204" s="5"/>
      <c r="C1204" s="5" t="str">
        <f ca="1">IFERROR(__xludf.DUMMYFUNCTION("""COMPUTED_VALUE"""),"Bihor")</f>
        <v>Bihor</v>
      </c>
      <c r="D1204" s="13">
        <f ca="1">IFERROR(__xludf.DUMMYFUNCTION("""COMPUTED_VALUE"""),44051)</f>
        <v>44051</v>
      </c>
      <c r="E1204" s="5" t="str">
        <f ca="1">IFERROR(__xludf.DUMMYFUNCTION("""COMPUTED_VALUE"""),"Nu")</f>
        <v>Nu</v>
      </c>
      <c r="F1204" s="5"/>
      <c r="G1204" s="5"/>
      <c r="H1204" s="6"/>
      <c r="I1204" s="5"/>
      <c r="J1204" s="5"/>
      <c r="K1204" s="7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1204" s="5"/>
      <c r="M1204" s="5"/>
      <c r="N1204" s="5"/>
      <c r="O1204" s="5"/>
      <c r="P1204" s="5"/>
      <c r="Q1204" s="5"/>
      <c r="R1204" s="5" t="str">
        <f ca="1">IFERROR(__xludf.DUMMYFUNCTION("""COMPUTED_VALUE"""),"România")</f>
        <v>România</v>
      </c>
      <c r="S1204" s="5" t="str">
        <f ca="1">IFERROR(__xludf.DUMMYFUNCTION("""COMPUTED_VALUE"""),"Alex")</f>
        <v>Alex</v>
      </c>
      <c r="T1204" s="7" t="str">
        <f ca="1">IFERROR(__xludf.DUMMYFUNCTION("""COMPUTED_VALUE"""),"http://www.ms.ro/2020/08/08/buletin-informativ-08-08-2020")</f>
        <v>http://www.ms.ro/2020/08/08/buletin-informativ-08-08-2020</v>
      </c>
      <c r="U1204" s="5"/>
      <c r="V1204" s="5"/>
      <c r="W1204" s="5"/>
      <c r="X1204" s="5"/>
      <c r="Y1204" s="5"/>
      <c r="Z1204" s="5"/>
      <c r="AA1204" s="5"/>
      <c r="AB1204" s="5"/>
      <c r="AC1204" s="5"/>
    </row>
    <row r="1205" spans="1:29" ht="12.5">
      <c r="A1205" s="5">
        <f ca="1">IFERROR(__xludf.DUMMYFUNCTION("""COMPUTED_VALUE"""),59482)</f>
        <v>59482</v>
      </c>
      <c r="B1205" s="5"/>
      <c r="C1205" s="5" t="str">
        <f ca="1">IFERROR(__xludf.DUMMYFUNCTION("""COMPUTED_VALUE"""),"Bihor")</f>
        <v>Bihor</v>
      </c>
      <c r="D1205" s="13">
        <f ca="1">IFERROR(__xludf.DUMMYFUNCTION("""COMPUTED_VALUE"""),44051)</f>
        <v>44051</v>
      </c>
      <c r="E1205" s="5" t="str">
        <f ca="1">IFERROR(__xludf.DUMMYFUNCTION("""COMPUTED_VALUE"""),"Nu")</f>
        <v>Nu</v>
      </c>
      <c r="F1205" s="5"/>
      <c r="G1205" s="5"/>
      <c r="H1205" s="6"/>
      <c r="I1205" s="5"/>
      <c r="J1205" s="5"/>
      <c r="K1205" s="7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1205" s="5"/>
      <c r="M1205" s="5"/>
      <c r="N1205" s="5"/>
      <c r="O1205" s="5"/>
      <c r="P1205" s="5"/>
      <c r="Q1205" s="5"/>
      <c r="R1205" s="5" t="str">
        <f ca="1">IFERROR(__xludf.DUMMYFUNCTION("""COMPUTED_VALUE"""),"România")</f>
        <v>România</v>
      </c>
      <c r="S1205" s="5" t="str">
        <f ca="1">IFERROR(__xludf.DUMMYFUNCTION("""COMPUTED_VALUE"""),"Alex")</f>
        <v>Alex</v>
      </c>
      <c r="T1205" s="7" t="str">
        <f ca="1">IFERROR(__xludf.DUMMYFUNCTION("""COMPUTED_VALUE"""),"http://www.ms.ro/2020/08/08/buletin-informativ-08-08-2020")</f>
        <v>http://www.ms.ro/2020/08/08/buletin-informativ-08-08-2020</v>
      </c>
      <c r="U1205" s="5"/>
      <c r="V1205" s="5"/>
      <c r="W1205" s="5"/>
      <c r="X1205" s="5"/>
      <c r="Y1205" s="5"/>
      <c r="Z1205" s="5"/>
      <c r="AA1205" s="5"/>
      <c r="AB1205" s="5"/>
      <c r="AC1205" s="5"/>
    </row>
    <row r="1206" spans="1:29" ht="12.5">
      <c r="A1206" s="5">
        <f ca="1">IFERROR(__xludf.DUMMYFUNCTION("""COMPUTED_VALUE"""),59483)</f>
        <v>59483</v>
      </c>
      <c r="B1206" s="5"/>
      <c r="C1206" s="5" t="str">
        <f ca="1">IFERROR(__xludf.DUMMYFUNCTION("""COMPUTED_VALUE"""),"Bihor")</f>
        <v>Bihor</v>
      </c>
      <c r="D1206" s="13">
        <f ca="1">IFERROR(__xludf.DUMMYFUNCTION("""COMPUTED_VALUE"""),44051)</f>
        <v>44051</v>
      </c>
      <c r="E1206" s="5" t="str">
        <f ca="1">IFERROR(__xludf.DUMMYFUNCTION("""COMPUTED_VALUE"""),"Nu")</f>
        <v>Nu</v>
      </c>
      <c r="F1206" s="5"/>
      <c r="G1206" s="5"/>
      <c r="H1206" s="6"/>
      <c r="I1206" s="5"/>
      <c r="J1206" s="5"/>
      <c r="K1206" s="7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1206" s="5"/>
      <c r="M1206" s="5"/>
      <c r="N1206" s="5"/>
      <c r="O1206" s="5"/>
      <c r="P1206" s="5"/>
      <c r="Q1206" s="5"/>
      <c r="R1206" s="5" t="str">
        <f ca="1">IFERROR(__xludf.DUMMYFUNCTION("""COMPUTED_VALUE"""),"România")</f>
        <v>România</v>
      </c>
      <c r="S1206" s="5" t="str">
        <f ca="1">IFERROR(__xludf.DUMMYFUNCTION("""COMPUTED_VALUE"""),"Alex")</f>
        <v>Alex</v>
      </c>
      <c r="T1206" s="7" t="str">
        <f ca="1">IFERROR(__xludf.DUMMYFUNCTION("""COMPUTED_VALUE"""),"http://www.ms.ro/2020/08/08/buletin-informativ-08-08-2020")</f>
        <v>http://www.ms.ro/2020/08/08/buletin-informativ-08-08-2020</v>
      </c>
      <c r="U1206" s="5"/>
      <c r="V1206" s="5"/>
      <c r="W1206" s="5"/>
      <c r="X1206" s="5"/>
      <c r="Y1206" s="5"/>
      <c r="Z1206" s="5"/>
      <c r="AA1206" s="5"/>
      <c r="AB1206" s="5"/>
      <c r="AC1206" s="5"/>
    </row>
    <row r="1207" spans="1:29" ht="12.5">
      <c r="A1207" s="5">
        <f ca="1">IFERROR(__xludf.DUMMYFUNCTION("""COMPUTED_VALUE"""),59484)</f>
        <v>59484</v>
      </c>
      <c r="B1207" s="5"/>
      <c r="C1207" s="5" t="str">
        <f ca="1">IFERROR(__xludf.DUMMYFUNCTION("""COMPUTED_VALUE"""),"Bihor")</f>
        <v>Bihor</v>
      </c>
      <c r="D1207" s="13">
        <f ca="1">IFERROR(__xludf.DUMMYFUNCTION("""COMPUTED_VALUE"""),44051)</f>
        <v>44051</v>
      </c>
      <c r="E1207" s="5" t="str">
        <f ca="1">IFERROR(__xludf.DUMMYFUNCTION("""COMPUTED_VALUE"""),"Nu")</f>
        <v>Nu</v>
      </c>
      <c r="F1207" s="5"/>
      <c r="G1207" s="5"/>
      <c r="H1207" s="6"/>
      <c r="I1207" s="5"/>
      <c r="J1207" s="5"/>
      <c r="K1207" s="7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1207" s="5"/>
      <c r="M1207" s="5"/>
      <c r="N1207" s="5"/>
      <c r="O1207" s="5"/>
      <c r="P1207" s="5"/>
      <c r="Q1207" s="5"/>
      <c r="R1207" s="5" t="str">
        <f ca="1">IFERROR(__xludf.DUMMYFUNCTION("""COMPUTED_VALUE"""),"România")</f>
        <v>România</v>
      </c>
      <c r="S1207" s="5" t="str">
        <f ca="1">IFERROR(__xludf.DUMMYFUNCTION("""COMPUTED_VALUE"""),"Alex")</f>
        <v>Alex</v>
      </c>
      <c r="T1207" s="7" t="str">
        <f ca="1">IFERROR(__xludf.DUMMYFUNCTION("""COMPUTED_VALUE"""),"http://www.ms.ro/2020/08/08/buletin-informativ-08-08-2020")</f>
        <v>http://www.ms.ro/2020/08/08/buletin-informativ-08-08-2020</v>
      </c>
      <c r="U1207" s="5"/>
      <c r="V1207" s="5"/>
      <c r="W1207" s="5"/>
      <c r="X1207" s="5"/>
      <c r="Y1207" s="5"/>
      <c r="Z1207" s="5"/>
      <c r="AA1207" s="5"/>
      <c r="AB1207" s="5"/>
      <c r="AC1207" s="5"/>
    </row>
    <row r="1208" spans="1:29" ht="12.5">
      <c r="A1208" s="5">
        <f ca="1">IFERROR(__xludf.DUMMYFUNCTION("""COMPUTED_VALUE"""),59485)</f>
        <v>59485</v>
      </c>
      <c r="B1208" s="5"/>
      <c r="C1208" s="5" t="str">
        <f ca="1">IFERROR(__xludf.DUMMYFUNCTION("""COMPUTED_VALUE"""),"Bihor")</f>
        <v>Bihor</v>
      </c>
      <c r="D1208" s="13">
        <f ca="1">IFERROR(__xludf.DUMMYFUNCTION("""COMPUTED_VALUE"""),44051)</f>
        <v>44051</v>
      </c>
      <c r="E1208" s="5" t="str">
        <f ca="1">IFERROR(__xludf.DUMMYFUNCTION("""COMPUTED_VALUE"""),"Nu")</f>
        <v>Nu</v>
      </c>
      <c r="F1208" s="5"/>
      <c r="G1208" s="5"/>
      <c r="H1208" s="6"/>
      <c r="I1208" s="5"/>
      <c r="J1208" s="5"/>
      <c r="K1208" s="7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1208" s="5"/>
      <c r="M1208" s="5"/>
      <c r="N1208" s="5"/>
      <c r="O1208" s="5"/>
      <c r="P1208" s="5"/>
      <c r="Q1208" s="5"/>
      <c r="R1208" s="5" t="str">
        <f ca="1">IFERROR(__xludf.DUMMYFUNCTION("""COMPUTED_VALUE"""),"România")</f>
        <v>România</v>
      </c>
      <c r="S1208" s="5" t="str">
        <f ca="1">IFERROR(__xludf.DUMMYFUNCTION("""COMPUTED_VALUE"""),"Alex")</f>
        <v>Alex</v>
      </c>
      <c r="T1208" s="7" t="str">
        <f ca="1">IFERROR(__xludf.DUMMYFUNCTION("""COMPUTED_VALUE"""),"http://www.ms.ro/2020/08/08/buletin-informativ-08-08-2020")</f>
        <v>http://www.ms.ro/2020/08/08/buletin-informativ-08-08-2020</v>
      </c>
      <c r="U1208" s="5"/>
      <c r="V1208" s="5"/>
      <c r="W1208" s="5"/>
      <c r="X1208" s="5"/>
      <c r="Y1208" s="5"/>
      <c r="Z1208" s="5"/>
      <c r="AA1208" s="5"/>
      <c r="AB1208" s="5"/>
      <c r="AC1208" s="5"/>
    </row>
    <row r="1209" spans="1:29" ht="12.5">
      <c r="A1209" s="5">
        <f ca="1">IFERROR(__xludf.DUMMYFUNCTION("""COMPUTED_VALUE"""),59486)</f>
        <v>59486</v>
      </c>
      <c r="B1209" s="5"/>
      <c r="C1209" s="5" t="str">
        <f ca="1">IFERROR(__xludf.DUMMYFUNCTION("""COMPUTED_VALUE"""),"Bihor")</f>
        <v>Bihor</v>
      </c>
      <c r="D1209" s="13">
        <f ca="1">IFERROR(__xludf.DUMMYFUNCTION("""COMPUTED_VALUE"""),44051)</f>
        <v>44051</v>
      </c>
      <c r="E1209" s="5" t="str">
        <f ca="1">IFERROR(__xludf.DUMMYFUNCTION("""COMPUTED_VALUE"""),"Nu")</f>
        <v>Nu</v>
      </c>
      <c r="F1209" s="5"/>
      <c r="G1209" s="5"/>
      <c r="H1209" s="6"/>
      <c r="I1209" s="5"/>
      <c r="J1209" s="5"/>
      <c r="K1209" s="7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1209" s="5"/>
      <c r="M1209" s="5"/>
      <c r="N1209" s="5"/>
      <c r="O1209" s="5"/>
      <c r="P1209" s="5"/>
      <c r="Q1209" s="5"/>
      <c r="R1209" s="5" t="str">
        <f ca="1">IFERROR(__xludf.DUMMYFUNCTION("""COMPUTED_VALUE"""),"România")</f>
        <v>România</v>
      </c>
      <c r="S1209" s="5" t="str">
        <f ca="1">IFERROR(__xludf.DUMMYFUNCTION("""COMPUTED_VALUE"""),"Alex")</f>
        <v>Alex</v>
      </c>
      <c r="T1209" s="7" t="str">
        <f ca="1">IFERROR(__xludf.DUMMYFUNCTION("""COMPUTED_VALUE"""),"http://www.ms.ro/2020/08/08/buletin-informativ-08-08-2020")</f>
        <v>http://www.ms.ro/2020/08/08/buletin-informativ-08-08-2020</v>
      </c>
      <c r="U1209" s="5"/>
      <c r="V1209" s="5"/>
      <c r="W1209" s="5"/>
      <c r="X1209" s="5"/>
      <c r="Y1209" s="5"/>
      <c r="Z1209" s="5"/>
      <c r="AA1209" s="5"/>
      <c r="AB1209" s="5"/>
      <c r="AC1209" s="5"/>
    </row>
    <row r="1210" spans="1:29" ht="12.5">
      <c r="A1210" s="5">
        <f ca="1">IFERROR(__xludf.DUMMYFUNCTION("""COMPUTED_VALUE"""),59487)</f>
        <v>59487</v>
      </c>
      <c r="B1210" s="5"/>
      <c r="C1210" s="5" t="str">
        <f ca="1">IFERROR(__xludf.DUMMYFUNCTION("""COMPUTED_VALUE"""),"Bihor")</f>
        <v>Bihor</v>
      </c>
      <c r="D1210" s="13">
        <f ca="1">IFERROR(__xludf.DUMMYFUNCTION("""COMPUTED_VALUE"""),44051)</f>
        <v>44051</v>
      </c>
      <c r="E1210" s="5" t="str">
        <f ca="1">IFERROR(__xludf.DUMMYFUNCTION("""COMPUTED_VALUE"""),"Nu")</f>
        <v>Nu</v>
      </c>
      <c r="F1210" s="5"/>
      <c r="G1210" s="5"/>
      <c r="H1210" s="6"/>
      <c r="I1210" s="5"/>
      <c r="J1210" s="5"/>
      <c r="K1210" s="7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1210" s="5"/>
      <c r="M1210" s="5"/>
      <c r="N1210" s="5"/>
      <c r="O1210" s="5"/>
      <c r="P1210" s="5"/>
      <c r="Q1210" s="5"/>
      <c r="R1210" s="5" t="str">
        <f ca="1">IFERROR(__xludf.DUMMYFUNCTION("""COMPUTED_VALUE"""),"România")</f>
        <v>România</v>
      </c>
      <c r="S1210" s="5" t="str">
        <f ca="1">IFERROR(__xludf.DUMMYFUNCTION("""COMPUTED_VALUE"""),"Alex")</f>
        <v>Alex</v>
      </c>
      <c r="T1210" s="7" t="str">
        <f ca="1">IFERROR(__xludf.DUMMYFUNCTION("""COMPUTED_VALUE"""),"http://www.ms.ro/2020/08/08/buletin-informativ-08-08-2020")</f>
        <v>http://www.ms.ro/2020/08/08/buletin-informativ-08-08-2020</v>
      </c>
      <c r="U1210" s="5"/>
      <c r="V1210" s="5"/>
      <c r="W1210" s="5"/>
      <c r="X1210" s="5"/>
      <c r="Y1210" s="5"/>
      <c r="Z1210" s="5"/>
      <c r="AA1210" s="5"/>
      <c r="AB1210" s="5"/>
      <c r="AC1210" s="5"/>
    </row>
    <row r="1211" spans="1:29" ht="12.5">
      <c r="A1211" s="5">
        <f ca="1">IFERROR(__xludf.DUMMYFUNCTION("""COMPUTED_VALUE"""),59488)</f>
        <v>59488</v>
      </c>
      <c r="B1211" s="5"/>
      <c r="C1211" s="5" t="str">
        <f ca="1">IFERROR(__xludf.DUMMYFUNCTION("""COMPUTED_VALUE"""),"Bihor")</f>
        <v>Bihor</v>
      </c>
      <c r="D1211" s="13">
        <f ca="1">IFERROR(__xludf.DUMMYFUNCTION("""COMPUTED_VALUE"""),44051)</f>
        <v>44051</v>
      </c>
      <c r="E1211" s="5" t="str">
        <f ca="1">IFERROR(__xludf.DUMMYFUNCTION("""COMPUTED_VALUE"""),"Nu")</f>
        <v>Nu</v>
      </c>
      <c r="F1211" s="5"/>
      <c r="G1211" s="5"/>
      <c r="H1211" s="6"/>
      <c r="I1211" s="5"/>
      <c r="J1211" s="5"/>
      <c r="K1211" s="7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1211" s="5"/>
      <c r="M1211" s="5"/>
      <c r="N1211" s="5"/>
      <c r="O1211" s="5"/>
      <c r="P1211" s="5"/>
      <c r="Q1211" s="5"/>
      <c r="R1211" s="5" t="str">
        <f ca="1">IFERROR(__xludf.DUMMYFUNCTION("""COMPUTED_VALUE"""),"România")</f>
        <v>România</v>
      </c>
      <c r="S1211" s="5" t="str">
        <f ca="1">IFERROR(__xludf.DUMMYFUNCTION("""COMPUTED_VALUE"""),"Alex")</f>
        <v>Alex</v>
      </c>
      <c r="T1211" s="7" t="str">
        <f ca="1">IFERROR(__xludf.DUMMYFUNCTION("""COMPUTED_VALUE"""),"http://www.ms.ro/2020/08/08/buletin-informativ-08-08-2020")</f>
        <v>http://www.ms.ro/2020/08/08/buletin-informativ-08-08-2020</v>
      </c>
      <c r="U1211" s="5"/>
      <c r="V1211" s="5"/>
      <c r="W1211" s="5"/>
      <c r="X1211" s="5"/>
      <c r="Y1211" s="5"/>
      <c r="Z1211" s="5"/>
      <c r="AA1211" s="5"/>
      <c r="AB1211" s="5"/>
      <c r="AC1211" s="5"/>
    </row>
    <row r="1212" spans="1:29" ht="12.5">
      <c r="A1212" s="5">
        <f ca="1">IFERROR(__xludf.DUMMYFUNCTION("""COMPUTED_VALUE"""),59489)</f>
        <v>59489</v>
      </c>
      <c r="B1212" s="5"/>
      <c r="C1212" s="5" t="str">
        <f ca="1">IFERROR(__xludf.DUMMYFUNCTION("""COMPUTED_VALUE"""),"Bihor")</f>
        <v>Bihor</v>
      </c>
      <c r="D1212" s="13">
        <f ca="1">IFERROR(__xludf.DUMMYFUNCTION("""COMPUTED_VALUE"""),44051)</f>
        <v>44051</v>
      </c>
      <c r="E1212" s="5" t="str">
        <f ca="1">IFERROR(__xludf.DUMMYFUNCTION("""COMPUTED_VALUE"""),"Nu")</f>
        <v>Nu</v>
      </c>
      <c r="F1212" s="5"/>
      <c r="G1212" s="5"/>
      <c r="H1212" s="6"/>
      <c r="I1212" s="5"/>
      <c r="J1212" s="5"/>
      <c r="K1212" s="7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1212" s="5"/>
      <c r="M1212" s="5"/>
      <c r="N1212" s="5"/>
      <c r="O1212" s="5"/>
      <c r="P1212" s="5"/>
      <c r="Q1212" s="5"/>
      <c r="R1212" s="5" t="str">
        <f ca="1">IFERROR(__xludf.DUMMYFUNCTION("""COMPUTED_VALUE"""),"România")</f>
        <v>România</v>
      </c>
      <c r="S1212" s="5" t="str">
        <f ca="1">IFERROR(__xludf.DUMMYFUNCTION("""COMPUTED_VALUE"""),"Alex")</f>
        <v>Alex</v>
      </c>
      <c r="T1212" s="7" t="str">
        <f ca="1">IFERROR(__xludf.DUMMYFUNCTION("""COMPUTED_VALUE"""),"http://www.ms.ro/2020/08/08/buletin-informativ-08-08-2020")</f>
        <v>http://www.ms.ro/2020/08/08/buletin-informativ-08-08-2020</v>
      </c>
      <c r="U1212" s="5"/>
      <c r="V1212" s="5"/>
      <c r="W1212" s="5"/>
      <c r="X1212" s="5"/>
      <c r="Y1212" s="5"/>
      <c r="Z1212" s="5"/>
      <c r="AA1212" s="5"/>
      <c r="AB1212" s="5"/>
      <c r="AC1212" s="5"/>
    </row>
    <row r="1213" spans="1:29" ht="12.5">
      <c r="A1213" s="5">
        <f ca="1">IFERROR(__xludf.DUMMYFUNCTION("""COMPUTED_VALUE"""),59490)</f>
        <v>59490</v>
      </c>
      <c r="B1213" s="5"/>
      <c r="C1213" s="5" t="str">
        <f ca="1">IFERROR(__xludf.DUMMYFUNCTION("""COMPUTED_VALUE"""),"Bihor")</f>
        <v>Bihor</v>
      </c>
      <c r="D1213" s="13">
        <f ca="1">IFERROR(__xludf.DUMMYFUNCTION("""COMPUTED_VALUE"""),44051)</f>
        <v>44051</v>
      </c>
      <c r="E1213" s="5" t="str">
        <f ca="1">IFERROR(__xludf.DUMMYFUNCTION("""COMPUTED_VALUE"""),"Nu")</f>
        <v>Nu</v>
      </c>
      <c r="F1213" s="5"/>
      <c r="G1213" s="5"/>
      <c r="H1213" s="6"/>
      <c r="I1213" s="5"/>
      <c r="J1213" s="5"/>
      <c r="K1213" s="7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1213" s="5"/>
      <c r="M1213" s="5"/>
      <c r="N1213" s="5"/>
      <c r="O1213" s="5"/>
      <c r="P1213" s="5"/>
      <c r="Q1213" s="5"/>
      <c r="R1213" s="5" t="str">
        <f ca="1">IFERROR(__xludf.DUMMYFUNCTION("""COMPUTED_VALUE"""),"România")</f>
        <v>România</v>
      </c>
      <c r="S1213" s="5" t="str">
        <f ca="1">IFERROR(__xludf.DUMMYFUNCTION("""COMPUTED_VALUE"""),"Alex")</f>
        <v>Alex</v>
      </c>
      <c r="T1213" s="7" t="str">
        <f ca="1">IFERROR(__xludf.DUMMYFUNCTION("""COMPUTED_VALUE"""),"http://www.ms.ro/2020/08/08/buletin-informativ-08-08-2020")</f>
        <v>http://www.ms.ro/2020/08/08/buletin-informativ-08-08-2020</v>
      </c>
      <c r="U1213" s="5"/>
      <c r="V1213" s="5"/>
      <c r="W1213" s="5"/>
      <c r="X1213" s="5"/>
      <c r="Y1213" s="5"/>
      <c r="Z1213" s="5"/>
      <c r="AA1213" s="5"/>
      <c r="AB1213" s="5"/>
      <c r="AC1213" s="5"/>
    </row>
    <row r="1214" spans="1:29" ht="12.5">
      <c r="A1214" s="5">
        <f ca="1">IFERROR(__xludf.DUMMYFUNCTION("""COMPUTED_VALUE"""),59491)</f>
        <v>59491</v>
      </c>
      <c r="B1214" s="5"/>
      <c r="C1214" s="5" t="str">
        <f ca="1">IFERROR(__xludf.DUMMYFUNCTION("""COMPUTED_VALUE"""),"Bihor")</f>
        <v>Bihor</v>
      </c>
      <c r="D1214" s="13">
        <f ca="1">IFERROR(__xludf.DUMMYFUNCTION("""COMPUTED_VALUE"""),44051)</f>
        <v>44051</v>
      </c>
      <c r="E1214" s="5" t="str">
        <f ca="1">IFERROR(__xludf.DUMMYFUNCTION("""COMPUTED_VALUE"""),"Nu")</f>
        <v>Nu</v>
      </c>
      <c r="F1214" s="5"/>
      <c r="G1214" s="5"/>
      <c r="H1214" s="6"/>
      <c r="I1214" s="5"/>
      <c r="J1214" s="5"/>
      <c r="K1214" s="7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1214" s="5"/>
      <c r="M1214" s="5"/>
      <c r="N1214" s="5"/>
      <c r="O1214" s="5"/>
      <c r="P1214" s="5"/>
      <c r="Q1214" s="5"/>
      <c r="R1214" s="5" t="str">
        <f ca="1">IFERROR(__xludf.DUMMYFUNCTION("""COMPUTED_VALUE"""),"România")</f>
        <v>România</v>
      </c>
      <c r="S1214" s="5" t="str">
        <f ca="1">IFERROR(__xludf.DUMMYFUNCTION("""COMPUTED_VALUE"""),"Alex")</f>
        <v>Alex</v>
      </c>
      <c r="T1214" s="7" t="str">
        <f ca="1">IFERROR(__xludf.DUMMYFUNCTION("""COMPUTED_VALUE"""),"http://www.ms.ro/2020/08/08/buletin-informativ-08-08-2020")</f>
        <v>http://www.ms.ro/2020/08/08/buletin-informativ-08-08-2020</v>
      </c>
      <c r="U1214" s="5"/>
      <c r="V1214" s="5"/>
      <c r="W1214" s="5"/>
      <c r="X1214" s="5"/>
      <c r="Y1214" s="5"/>
      <c r="Z1214" s="5"/>
      <c r="AA1214" s="5"/>
      <c r="AB1214" s="5"/>
      <c r="AC1214" s="5"/>
    </row>
    <row r="1215" spans="1:29" ht="12.5">
      <c r="A1215" s="5">
        <f ca="1">IFERROR(__xludf.DUMMYFUNCTION("""COMPUTED_VALUE"""),59492)</f>
        <v>59492</v>
      </c>
      <c r="B1215" s="5"/>
      <c r="C1215" s="5" t="str">
        <f ca="1">IFERROR(__xludf.DUMMYFUNCTION("""COMPUTED_VALUE"""),"Bihor")</f>
        <v>Bihor</v>
      </c>
      <c r="D1215" s="13">
        <f ca="1">IFERROR(__xludf.DUMMYFUNCTION("""COMPUTED_VALUE"""),44051)</f>
        <v>44051</v>
      </c>
      <c r="E1215" s="5" t="str">
        <f ca="1">IFERROR(__xludf.DUMMYFUNCTION("""COMPUTED_VALUE"""),"Nu")</f>
        <v>Nu</v>
      </c>
      <c r="F1215" s="5"/>
      <c r="G1215" s="5"/>
      <c r="H1215" s="6"/>
      <c r="I1215" s="5"/>
      <c r="J1215" s="5"/>
      <c r="K1215" s="7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1215" s="5"/>
      <c r="M1215" s="5"/>
      <c r="N1215" s="5"/>
      <c r="O1215" s="5"/>
      <c r="P1215" s="5"/>
      <c r="Q1215" s="5"/>
      <c r="R1215" s="5" t="str">
        <f ca="1">IFERROR(__xludf.DUMMYFUNCTION("""COMPUTED_VALUE"""),"România")</f>
        <v>România</v>
      </c>
      <c r="S1215" s="5" t="str">
        <f ca="1">IFERROR(__xludf.DUMMYFUNCTION("""COMPUTED_VALUE"""),"Alex")</f>
        <v>Alex</v>
      </c>
      <c r="T1215" s="7" t="str">
        <f ca="1">IFERROR(__xludf.DUMMYFUNCTION("""COMPUTED_VALUE"""),"http://www.ms.ro/2020/08/08/buletin-informativ-08-08-2020")</f>
        <v>http://www.ms.ro/2020/08/08/buletin-informativ-08-08-2020</v>
      </c>
      <c r="U1215" s="5"/>
      <c r="V1215" s="5"/>
      <c r="W1215" s="5"/>
      <c r="X1215" s="5"/>
      <c r="Y1215" s="5"/>
      <c r="Z1215" s="5"/>
      <c r="AA1215" s="5"/>
      <c r="AB1215" s="5"/>
      <c r="AC1215" s="5"/>
    </row>
    <row r="1216" spans="1:29" ht="12.5">
      <c r="A1216" s="5">
        <f ca="1">IFERROR(__xludf.DUMMYFUNCTION("""COMPUTED_VALUE"""),59493)</f>
        <v>59493</v>
      </c>
      <c r="B1216" s="5"/>
      <c r="C1216" s="5" t="str">
        <f ca="1">IFERROR(__xludf.DUMMYFUNCTION("""COMPUTED_VALUE"""),"Bihor")</f>
        <v>Bihor</v>
      </c>
      <c r="D1216" s="13">
        <f ca="1">IFERROR(__xludf.DUMMYFUNCTION("""COMPUTED_VALUE"""),44051)</f>
        <v>44051</v>
      </c>
      <c r="E1216" s="5" t="str">
        <f ca="1">IFERROR(__xludf.DUMMYFUNCTION("""COMPUTED_VALUE"""),"Nu")</f>
        <v>Nu</v>
      </c>
      <c r="F1216" s="5"/>
      <c r="G1216" s="5"/>
      <c r="H1216" s="6"/>
      <c r="I1216" s="5"/>
      <c r="J1216" s="5"/>
      <c r="K1216" s="7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1216" s="5"/>
      <c r="M1216" s="5"/>
      <c r="N1216" s="5"/>
      <c r="O1216" s="5"/>
      <c r="P1216" s="5"/>
      <c r="Q1216" s="5"/>
      <c r="R1216" s="5" t="str">
        <f ca="1">IFERROR(__xludf.DUMMYFUNCTION("""COMPUTED_VALUE"""),"România")</f>
        <v>România</v>
      </c>
      <c r="S1216" s="5" t="str">
        <f ca="1">IFERROR(__xludf.DUMMYFUNCTION("""COMPUTED_VALUE"""),"Alex")</f>
        <v>Alex</v>
      </c>
      <c r="T1216" s="7" t="str">
        <f ca="1">IFERROR(__xludf.DUMMYFUNCTION("""COMPUTED_VALUE"""),"http://www.ms.ro/2020/08/08/buletin-informativ-08-08-2020")</f>
        <v>http://www.ms.ro/2020/08/08/buletin-informativ-08-08-2020</v>
      </c>
      <c r="U1216" s="5"/>
      <c r="V1216" s="5"/>
      <c r="W1216" s="5"/>
      <c r="X1216" s="5"/>
      <c r="Y1216" s="5"/>
      <c r="Z1216" s="5"/>
      <c r="AA1216" s="5"/>
      <c r="AB1216" s="5"/>
      <c r="AC1216" s="5"/>
    </row>
    <row r="1217" spans="1:29" ht="12.5">
      <c r="A1217" s="5">
        <f ca="1">IFERROR(__xludf.DUMMYFUNCTION("""COMPUTED_VALUE"""),59494)</f>
        <v>59494</v>
      </c>
      <c r="B1217" s="5"/>
      <c r="C1217" s="5" t="str">
        <f ca="1">IFERROR(__xludf.DUMMYFUNCTION("""COMPUTED_VALUE"""),"Bihor")</f>
        <v>Bihor</v>
      </c>
      <c r="D1217" s="13">
        <f ca="1">IFERROR(__xludf.DUMMYFUNCTION("""COMPUTED_VALUE"""),44051)</f>
        <v>44051</v>
      </c>
      <c r="E1217" s="5" t="str">
        <f ca="1">IFERROR(__xludf.DUMMYFUNCTION("""COMPUTED_VALUE"""),"Nu")</f>
        <v>Nu</v>
      </c>
      <c r="F1217" s="5"/>
      <c r="G1217" s="5"/>
      <c r="H1217" s="6"/>
      <c r="I1217" s="5"/>
      <c r="J1217" s="5"/>
      <c r="K1217" s="7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1217" s="5"/>
      <c r="M1217" s="5"/>
      <c r="N1217" s="5"/>
      <c r="O1217" s="5"/>
      <c r="P1217" s="5"/>
      <c r="Q1217" s="5"/>
      <c r="R1217" s="5" t="str">
        <f ca="1">IFERROR(__xludf.DUMMYFUNCTION("""COMPUTED_VALUE"""),"România")</f>
        <v>România</v>
      </c>
      <c r="S1217" s="5" t="str">
        <f ca="1">IFERROR(__xludf.DUMMYFUNCTION("""COMPUTED_VALUE"""),"Alex")</f>
        <v>Alex</v>
      </c>
      <c r="T1217" s="7" t="str">
        <f ca="1">IFERROR(__xludf.DUMMYFUNCTION("""COMPUTED_VALUE"""),"http://www.ms.ro/2020/08/08/buletin-informativ-08-08-2020")</f>
        <v>http://www.ms.ro/2020/08/08/buletin-informativ-08-08-2020</v>
      </c>
      <c r="U1217" s="5"/>
      <c r="V1217" s="5"/>
      <c r="W1217" s="5"/>
      <c r="X1217" s="5"/>
      <c r="Y1217" s="5"/>
      <c r="Z1217" s="5"/>
      <c r="AA1217" s="5"/>
      <c r="AB1217" s="5"/>
      <c r="AC1217" s="5"/>
    </row>
    <row r="1218" spans="1:29" ht="12.5">
      <c r="A1218" s="5">
        <f ca="1">IFERROR(__xludf.DUMMYFUNCTION("""COMPUTED_VALUE"""),59495)</f>
        <v>59495</v>
      </c>
      <c r="B1218" s="5"/>
      <c r="C1218" s="5" t="str">
        <f ca="1">IFERROR(__xludf.DUMMYFUNCTION("""COMPUTED_VALUE"""),"Bihor")</f>
        <v>Bihor</v>
      </c>
      <c r="D1218" s="13">
        <f ca="1">IFERROR(__xludf.DUMMYFUNCTION("""COMPUTED_VALUE"""),44051)</f>
        <v>44051</v>
      </c>
      <c r="E1218" s="5" t="str">
        <f ca="1">IFERROR(__xludf.DUMMYFUNCTION("""COMPUTED_VALUE"""),"Nu")</f>
        <v>Nu</v>
      </c>
      <c r="F1218" s="5"/>
      <c r="G1218" s="5"/>
      <c r="H1218" s="6"/>
      <c r="I1218" s="5"/>
      <c r="J1218" s="5"/>
      <c r="K1218" s="7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1218" s="5"/>
      <c r="M1218" s="5"/>
      <c r="N1218" s="5"/>
      <c r="O1218" s="5"/>
      <c r="P1218" s="5"/>
      <c r="Q1218" s="5"/>
      <c r="R1218" s="5" t="str">
        <f ca="1">IFERROR(__xludf.DUMMYFUNCTION("""COMPUTED_VALUE"""),"România")</f>
        <v>România</v>
      </c>
      <c r="S1218" s="5" t="str">
        <f ca="1">IFERROR(__xludf.DUMMYFUNCTION("""COMPUTED_VALUE"""),"Alex")</f>
        <v>Alex</v>
      </c>
      <c r="T1218" s="7" t="str">
        <f ca="1">IFERROR(__xludf.DUMMYFUNCTION("""COMPUTED_VALUE"""),"http://www.ms.ro/2020/08/08/buletin-informativ-08-08-2020")</f>
        <v>http://www.ms.ro/2020/08/08/buletin-informativ-08-08-2020</v>
      </c>
      <c r="U1218" s="5"/>
      <c r="V1218" s="5"/>
      <c r="W1218" s="5"/>
      <c r="X1218" s="5"/>
      <c r="Y1218" s="5"/>
      <c r="Z1218" s="5"/>
      <c r="AA1218" s="5"/>
      <c r="AB1218" s="5"/>
      <c r="AC1218" s="5"/>
    </row>
    <row r="1219" spans="1:29" ht="12.5">
      <c r="A1219" s="5">
        <f ca="1">IFERROR(__xludf.DUMMYFUNCTION("""COMPUTED_VALUE"""),59496)</f>
        <v>59496</v>
      </c>
      <c r="B1219" s="5"/>
      <c r="C1219" s="5" t="str">
        <f ca="1">IFERROR(__xludf.DUMMYFUNCTION("""COMPUTED_VALUE"""),"Bihor")</f>
        <v>Bihor</v>
      </c>
      <c r="D1219" s="13">
        <f ca="1">IFERROR(__xludf.DUMMYFUNCTION("""COMPUTED_VALUE"""),44051)</f>
        <v>44051</v>
      </c>
      <c r="E1219" s="5" t="str">
        <f ca="1">IFERROR(__xludf.DUMMYFUNCTION("""COMPUTED_VALUE"""),"Nu")</f>
        <v>Nu</v>
      </c>
      <c r="F1219" s="5"/>
      <c r="G1219" s="5"/>
      <c r="H1219" s="6"/>
      <c r="I1219" s="5"/>
      <c r="J1219" s="5"/>
      <c r="K1219" s="7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1219" s="5"/>
      <c r="M1219" s="5"/>
      <c r="N1219" s="5"/>
      <c r="O1219" s="5"/>
      <c r="P1219" s="5"/>
      <c r="Q1219" s="5"/>
      <c r="R1219" s="5" t="str">
        <f ca="1">IFERROR(__xludf.DUMMYFUNCTION("""COMPUTED_VALUE"""),"România")</f>
        <v>România</v>
      </c>
      <c r="S1219" s="5" t="str">
        <f ca="1">IFERROR(__xludf.DUMMYFUNCTION("""COMPUTED_VALUE"""),"Alex")</f>
        <v>Alex</v>
      </c>
      <c r="T1219" s="7" t="str">
        <f ca="1">IFERROR(__xludf.DUMMYFUNCTION("""COMPUTED_VALUE"""),"http://www.ms.ro/2020/08/08/buletin-informativ-08-08-2020")</f>
        <v>http://www.ms.ro/2020/08/08/buletin-informativ-08-08-2020</v>
      </c>
      <c r="U1219" s="5"/>
      <c r="V1219" s="5"/>
      <c r="W1219" s="5"/>
      <c r="X1219" s="5"/>
      <c r="Y1219" s="5"/>
      <c r="Z1219" s="5"/>
      <c r="AA1219" s="5"/>
      <c r="AB1219" s="5"/>
      <c r="AC1219" s="5"/>
    </row>
    <row r="1220" spans="1:29" ht="12.5">
      <c r="A1220" s="5">
        <f ca="1">IFERROR(__xludf.DUMMYFUNCTION("""COMPUTED_VALUE"""),59497)</f>
        <v>59497</v>
      </c>
      <c r="B1220" s="5"/>
      <c r="C1220" s="5" t="str">
        <f ca="1">IFERROR(__xludf.DUMMYFUNCTION("""COMPUTED_VALUE"""),"Bihor")</f>
        <v>Bihor</v>
      </c>
      <c r="D1220" s="13">
        <f ca="1">IFERROR(__xludf.DUMMYFUNCTION("""COMPUTED_VALUE"""),44051)</f>
        <v>44051</v>
      </c>
      <c r="E1220" s="5" t="str">
        <f ca="1">IFERROR(__xludf.DUMMYFUNCTION("""COMPUTED_VALUE"""),"Nu")</f>
        <v>Nu</v>
      </c>
      <c r="F1220" s="5"/>
      <c r="G1220" s="5"/>
      <c r="H1220" s="6"/>
      <c r="I1220" s="5"/>
      <c r="J1220" s="5"/>
      <c r="K1220" s="7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1220" s="5"/>
      <c r="M1220" s="5"/>
      <c r="N1220" s="5"/>
      <c r="O1220" s="5"/>
      <c r="P1220" s="5"/>
      <c r="Q1220" s="5"/>
      <c r="R1220" s="5" t="str">
        <f ca="1">IFERROR(__xludf.DUMMYFUNCTION("""COMPUTED_VALUE"""),"România")</f>
        <v>România</v>
      </c>
      <c r="S1220" s="5" t="str">
        <f ca="1">IFERROR(__xludf.DUMMYFUNCTION("""COMPUTED_VALUE"""),"Alex")</f>
        <v>Alex</v>
      </c>
      <c r="T1220" s="7" t="str">
        <f ca="1">IFERROR(__xludf.DUMMYFUNCTION("""COMPUTED_VALUE"""),"http://www.ms.ro/2020/08/08/buletin-informativ-08-08-2020")</f>
        <v>http://www.ms.ro/2020/08/08/buletin-informativ-08-08-2020</v>
      </c>
      <c r="U1220" s="5"/>
      <c r="V1220" s="5"/>
      <c r="W1220" s="5"/>
      <c r="X1220" s="5"/>
      <c r="Y1220" s="5"/>
      <c r="Z1220" s="5"/>
      <c r="AA1220" s="5"/>
      <c r="AB1220" s="5"/>
      <c r="AC1220" s="5"/>
    </row>
    <row r="1221" spans="1:29" ht="12.5">
      <c r="A1221" s="5">
        <f ca="1">IFERROR(__xludf.DUMMYFUNCTION("""COMPUTED_VALUE"""),59498)</f>
        <v>59498</v>
      </c>
      <c r="B1221" s="5"/>
      <c r="C1221" s="5" t="str">
        <f ca="1">IFERROR(__xludf.DUMMYFUNCTION("""COMPUTED_VALUE"""),"Bihor")</f>
        <v>Bihor</v>
      </c>
      <c r="D1221" s="13">
        <f ca="1">IFERROR(__xludf.DUMMYFUNCTION("""COMPUTED_VALUE"""),44051)</f>
        <v>44051</v>
      </c>
      <c r="E1221" s="5" t="str">
        <f ca="1">IFERROR(__xludf.DUMMYFUNCTION("""COMPUTED_VALUE"""),"Nu")</f>
        <v>Nu</v>
      </c>
      <c r="F1221" s="5"/>
      <c r="G1221" s="5"/>
      <c r="H1221" s="6"/>
      <c r="I1221" s="5"/>
      <c r="J1221" s="5"/>
      <c r="K1221" s="7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1221" s="5"/>
      <c r="M1221" s="5"/>
      <c r="N1221" s="5"/>
      <c r="O1221" s="5"/>
      <c r="P1221" s="5"/>
      <c r="Q1221" s="5"/>
      <c r="R1221" s="5" t="str">
        <f ca="1">IFERROR(__xludf.DUMMYFUNCTION("""COMPUTED_VALUE"""),"România")</f>
        <v>România</v>
      </c>
      <c r="S1221" s="5" t="str">
        <f ca="1">IFERROR(__xludf.DUMMYFUNCTION("""COMPUTED_VALUE"""),"Alex")</f>
        <v>Alex</v>
      </c>
      <c r="T1221" s="7" t="str">
        <f ca="1">IFERROR(__xludf.DUMMYFUNCTION("""COMPUTED_VALUE"""),"http://www.ms.ro/2020/08/08/buletin-informativ-08-08-2020")</f>
        <v>http://www.ms.ro/2020/08/08/buletin-informativ-08-08-2020</v>
      </c>
      <c r="U1221" s="5"/>
      <c r="V1221" s="5"/>
      <c r="W1221" s="5"/>
      <c r="X1221" s="5"/>
      <c r="Y1221" s="5"/>
      <c r="Z1221" s="5"/>
      <c r="AA1221" s="5"/>
      <c r="AB1221" s="5"/>
      <c r="AC1221" s="5"/>
    </row>
    <row r="1222" spans="1:29" ht="12.5">
      <c r="A1222" s="5">
        <f ca="1">IFERROR(__xludf.DUMMYFUNCTION("""COMPUTED_VALUE"""),59499)</f>
        <v>59499</v>
      </c>
      <c r="B1222" s="5"/>
      <c r="C1222" s="5" t="str">
        <f ca="1">IFERROR(__xludf.DUMMYFUNCTION("""COMPUTED_VALUE"""),"Bihor")</f>
        <v>Bihor</v>
      </c>
      <c r="D1222" s="13">
        <f ca="1">IFERROR(__xludf.DUMMYFUNCTION("""COMPUTED_VALUE"""),44051)</f>
        <v>44051</v>
      </c>
      <c r="E1222" s="5" t="str">
        <f ca="1">IFERROR(__xludf.DUMMYFUNCTION("""COMPUTED_VALUE"""),"Nu")</f>
        <v>Nu</v>
      </c>
      <c r="F1222" s="5"/>
      <c r="G1222" s="5"/>
      <c r="H1222" s="6"/>
      <c r="I1222" s="5"/>
      <c r="J1222" s="5"/>
      <c r="K1222" s="7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1222" s="5"/>
      <c r="M1222" s="5"/>
      <c r="N1222" s="5"/>
      <c r="O1222" s="5"/>
      <c r="P1222" s="5"/>
      <c r="Q1222" s="5"/>
      <c r="R1222" s="5" t="str">
        <f ca="1">IFERROR(__xludf.DUMMYFUNCTION("""COMPUTED_VALUE"""),"România")</f>
        <v>România</v>
      </c>
      <c r="S1222" s="5" t="str">
        <f ca="1">IFERROR(__xludf.DUMMYFUNCTION("""COMPUTED_VALUE"""),"Alex")</f>
        <v>Alex</v>
      </c>
      <c r="T1222" s="7" t="str">
        <f ca="1">IFERROR(__xludf.DUMMYFUNCTION("""COMPUTED_VALUE"""),"http://www.ms.ro/2020/08/08/buletin-informativ-08-08-2020")</f>
        <v>http://www.ms.ro/2020/08/08/buletin-informativ-08-08-2020</v>
      </c>
      <c r="U1222" s="5"/>
      <c r="V1222" s="5"/>
      <c r="W1222" s="5"/>
      <c r="X1222" s="5"/>
      <c r="Y1222" s="5"/>
      <c r="Z1222" s="5"/>
      <c r="AA1222" s="5"/>
      <c r="AB1222" s="5"/>
      <c r="AC1222" s="5"/>
    </row>
    <row r="1223" spans="1:29" ht="12.5">
      <c r="A1223" s="5">
        <f ca="1">IFERROR(__xludf.DUMMYFUNCTION("""COMPUTED_VALUE"""),59500)</f>
        <v>59500</v>
      </c>
      <c r="B1223" s="5"/>
      <c r="C1223" s="5" t="str">
        <f ca="1">IFERROR(__xludf.DUMMYFUNCTION("""COMPUTED_VALUE"""),"Bihor")</f>
        <v>Bihor</v>
      </c>
      <c r="D1223" s="13">
        <f ca="1">IFERROR(__xludf.DUMMYFUNCTION("""COMPUTED_VALUE"""),44051)</f>
        <v>44051</v>
      </c>
      <c r="E1223" s="5" t="str">
        <f ca="1">IFERROR(__xludf.DUMMYFUNCTION("""COMPUTED_VALUE"""),"Nu")</f>
        <v>Nu</v>
      </c>
      <c r="F1223" s="5"/>
      <c r="G1223" s="5"/>
      <c r="H1223" s="6"/>
      <c r="I1223" s="5"/>
      <c r="J1223" s="5"/>
      <c r="K1223" s="7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1223" s="5"/>
      <c r="M1223" s="5"/>
      <c r="N1223" s="5"/>
      <c r="O1223" s="5"/>
      <c r="P1223" s="5"/>
      <c r="Q1223" s="5"/>
      <c r="R1223" s="5" t="str">
        <f ca="1">IFERROR(__xludf.DUMMYFUNCTION("""COMPUTED_VALUE"""),"România")</f>
        <v>România</v>
      </c>
      <c r="S1223" s="5" t="str">
        <f ca="1">IFERROR(__xludf.DUMMYFUNCTION("""COMPUTED_VALUE"""),"Alex")</f>
        <v>Alex</v>
      </c>
      <c r="T1223" s="7" t="str">
        <f ca="1">IFERROR(__xludf.DUMMYFUNCTION("""COMPUTED_VALUE"""),"http://www.ms.ro/2020/08/08/buletin-informativ-08-08-2020")</f>
        <v>http://www.ms.ro/2020/08/08/buletin-informativ-08-08-2020</v>
      </c>
      <c r="U1223" s="5"/>
      <c r="V1223" s="5"/>
      <c r="W1223" s="5"/>
      <c r="X1223" s="5"/>
      <c r="Y1223" s="5"/>
      <c r="Z1223" s="5"/>
      <c r="AA1223" s="5"/>
      <c r="AB1223" s="5"/>
      <c r="AC1223" s="5"/>
    </row>
    <row r="1224" spans="1:29" ht="12.5">
      <c r="A1224" s="5">
        <f ca="1">IFERROR(__xludf.DUMMYFUNCTION("""COMPUTED_VALUE"""),59501)</f>
        <v>59501</v>
      </c>
      <c r="B1224" s="5"/>
      <c r="C1224" s="5" t="str">
        <f ca="1">IFERROR(__xludf.DUMMYFUNCTION("""COMPUTED_VALUE"""),"Bihor")</f>
        <v>Bihor</v>
      </c>
      <c r="D1224" s="13">
        <f ca="1">IFERROR(__xludf.DUMMYFUNCTION("""COMPUTED_VALUE"""),44051)</f>
        <v>44051</v>
      </c>
      <c r="E1224" s="5" t="str">
        <f ca="1">IFERROR(__xludf.DUMMYFUNCTION("""COMPUTED_VALUE"""),"Nu")</f>
        <v>Nu</v>
      </c>
      <c r="F1224" s="5"/>
      <c r="G1224" s="5"/>
      <c r="H1224" s="6"/>
      <c r="I1224" s="5"/>
      <c r="J1224" s="5"/>
      <c r="K1224" s="7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1224" s="5"/>
      <c r="M1224" s="5"/>
      <c r="N1224" s="5"/>
      <c r="O1224" s="5"/>
      <c r="P1224" s="5"/>
      <c r="Q1224" s="5"/>
      <c r="R1224" s="5" t="str">
        <f ca="1">IFERROR(__xludf.DUMMYFUNCTION("""COMPUTED_VALUE"""),"România")</f>
        <v>România</v>
      </c>
      <c r="S1224" s="5" t="str">
        <f ca="1">IFERROR(__xludf.DUMMYFUNCTION("""COMPUTED_VALUE"""),"Alex")</f>
        <v>Alex</v>
      </c>
      <c r="T1224" s="7" t="str">
        <f ca="1">IFERROR(__xludf.DUMMYFUNCTION("""COMPUTED_VALUE"""),"http://www.ms.ro/2020/08/08/buletin-informativ-08-08-2020")</f>
        <v>http://www.ms.ro/2020/08/08/buletin-informativ-08-08-2020</v>
      </c>
      <c r="U1224" s="5"/>
      <c r="V1224" s="5"/>
      <c r="W1224" s="5"/>
      <c r="X1224" s="5"/>
      <c r="Y1224" s="5"/>
      <c r="Z1224" s="5"/>
      <c r="AA1224" s="5"/>
      <c r="AB1224" s="5"/>
      <c r="AC1224" s="5"/>
    </row>
    <row r="1225" spans="1:29" ht="12.5">
      <c r="A1225" s="5">
        <f ca="1">IFERROR(__xludf.DUMMYFUNCTION("""COMPUTED_VALUE"""),59502)</f>
        <v>59502</v>
      </c>
      <c r="B1225" s="5"/>
      <c r="C1225" s="5" t="str">
        <f ca="1">IFERROR(__xludf.DUMMYFUNCTION("""COMPUTED_VALUE"""),"Bihor")</f>
        <v>Bihor</v>
      </c>
      <c r="D1225" s="13">
        <f ca="1">IFERROR(__xludf.DUMMYFUNCTION("""COMPUTED_VALUE"""),44051)</f>
        <v>44051</v>
      </c>
      <c r="E1225" s="5" t="str">
        <f ca="1">IFERROR(__xludf.DUMMYFUNCTION("""COMPUTED_VALUE"""),"Nu")</f>
        <v>Nu</v>
      </c>
      <c r="F1225" s="5"/>
      <c r="G1225" s="5"/>
      <c r="H1225" s="6"/>
      <c r="I1225" s="5"/>
      <c r="J1225" s="5"/>
      <c r="K1225" s="7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1225" s="5"/>
      <c r="M1225" s="5"/>
      <c r="N1225" s="5"/>
      <c r="O1225" s="5"/>
      <c r="P1225" s="5"/>
      <c r="Q1225" s="5"/>
      <c r="R1225" s="5" t="str">
        <f ca="1">IFERROR(__xludf.DUMMYFUNCTION("""COMPUTED_VALUE"""),"România")</f>
        <v>România</v>
      </c>
      <c r="S1225" s="5" t="str">
        <f ca="1">IFERROR(__xludf.DUMMYFUNCTION("""COMPUTED_VALUE"""),"Alex")</f>
        <v>Alex</v>
      </c>
      <c r="T1225" s="7" t="str">
        <f ca="1">IFERROR(__xludf.DUMMYFUNCTION("""COMPUTED_VALUE"""),"http://www.ms.ro/2020/08/08/buletin-informativ-08-08-2020")</f>
        <v>http://www.ms.ro/2020/08/08/buletin-informativ-08-08-2020</v>
      </c>
      <c r="U1225" s="5"/>
      <c r="V1225" s="5"/>
      <c r="W1225" s="5"/>
      <c r="X1225" s="5"/>
      <c r="Y1225" s="5"/>
      <c r="Z1225" s="5"/>
      <c r="AA1225" s="5"/>
      <c r="AB1225" s="5"/>
      <c r="AC1225" s="5"/>
    </row>
    <row r="1226" spans="1:29" ht="12.5">
      <c r="A1226" s="5">
        <f ca="1">IFERROR(__xludf.DUMMYFUNCTION("""COMPUTED_VALUE"""),59503)</f>
        <v>59503</v>
      </c>
      <c r="B1226" s="5"/>
      <c r="C1226" s="5" t="str">
        <f ca="1">IFERROR(__xludf.DUMMYFUNCTION("""COMPUTED_VALUE"""),"Bihor")</f>
        <v>Bihor</v>
      </c>
      <c r="D1226" s="13">
        <f ca="1">IFERROR(__xludf.DUMMYFUNCTION("""COMPUTED_VALUE"""),44051)</f>
        <v>44051</v>
      </c>
      <c r="E1226" s="5" t="str">
        <f ca="1">IFERROR(__xludf.DUMMYFUNCTION("""COMPUTED_VALUE"""),"Nu")</f>
        <v>Nu</v>
      </c>
      <c r="F1226" s="5"/>
      <c r="G1226" s="5"/>
      <c r="H1226" s="6"/>
      <c r="I1226" s="5"/>
      <c r="J1226" s="5"/>
      <c r="K1226" s="7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1226" s="5"/>
      <c r="M1226" s="5"/>
      <c r="N1226" s="5"/>
      <c r="O1226" s="5"/>
      <c r="P1226" s="5"/>
      <c r="Q1226" s="5"/>
      <c r="R1226" s="5" t="str">
        <f ca="1">IFERROR(__xludf.DUMMYFUNCTION("""COMPUTED_VALUE"""),"România")</f>
        <v>România</v>
      </c>
      <c r="S1226" s="5" t="str">
        <f ca="1">IFERROR(__xludf.DUMMYFUNCTION("""COMPUTED_VALUE"""),"Alex")</f>
        <v>Alex</v>
      </c>
      <c r="T1226" s="7" t="str">
        <f ca="1">IFERROR(__xludf.DUMMYFUNCTION("""COMPUTED_VALUE"""),"http://www.ms.ro/2020/08/08/buletin-informativ-08-08-2020")</f>
        <v>http://www.ms.ro/2020/08/08/buletin-informativ-08-08-2020</v>
      </c>
      <c r="U1226" s="5"/>
      <c r="V1226" s="5"/>
      <c r="W1226" s="5"/>
      <c r="X1226" s="5"/>
      <c r="Y1226" s="5"/>
      <c r="Z1226" s="5"/>
      <c r="AA1226" s="5"/>
      <c r="AB1226" s="5"/>
      <c r="AC1226" s="5"/>
    </row>
    <row r="1227" spans="1:29" ht="12.5">
      <c r="A1227" s="5">
        <f ca="1">IFERROR(__xludf.DUMMYFUNCTION("""COMPUTED_VALUE"""),59504)</f>
        <v>59504</v>
      </c>
      <c r="B1227" s="5"/>
      <c r="C1227" s="5" t="str">
        <f ca="1">IFERROR(__xludf.DUMMYFUNCTION("""COMPUTED_VALUE"""),"Bihor")</f>
        <v>Bihor</v>
      </c>
      <c r="D1227" s="13">
        <f ca="1">IFERROR(__xludf.DUMMYFUNCTION("""COMPUTED_VALUE"""),44051)</f>
        <v>44051</v>
      </c>
      <c r="E1227" s="5" t="str">
        <f ca="1">IFERROR(__xludf.DUMMYFUNCTION("""COMPUTED_VALUE"""),"Nu")</f>
        <v>Nu</v>
      </c>
      <c r="F1227" s="5"/>
      <c r="G1227" s="5"/>
      <c r="H1227" s="6"/>
      <c r="I1227" s="5"/>
      <c r="J1227" s="5"/>
      <c r="K1227" s="7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1227" s="5"/>
      <c r="M1227" s="5"/>
      <c r="N1227" s="5"/>
      <c r="O1227" s="5"/>
      <c r="P1227" s="5"/>
      <c r="Q1227" s="5"/>
      <c r="R1227" s="5" t="str">
        <f ca="1">IFERROR(__xludf.DUMMYFUNCTION("""COMPUTED_VALUE"""),"România")</f>
        <v>România</v>
      </c>
      <c r="S1227" s="5" t="str">
        <f ca="1">IFERROR(__xludf.DUMMYFUNCTION("""COMPUTED_VALUE"""),"Alex")</f>
        <v>Alex</v>
      </c>
      <c r="T1227" s="7" t="str">
        <f ca="1">IFERROR(__xludf.DUMMYFUNCTION("""COMPUTED_VALUE"""),"http://www.ms.ro/2020/08/08/buletin-informativ-08-08-2020")</f>
        <v>http://www.ms.ro/2020/08/08/buletin-informativ-08-08-2020</v>
      </c>
      <c r="U1227" s="5"/>
      <c r="V1227" s="5"/>
      <c r="W1227" s="5"/>
      <c r="X1227" s="5"/>
      <c r="Y1227" s="5"/>
      <c r="Z1227" s="5"/>
      <c r="AA1227" s="5"/>
      <c r="AB1227" s="5"/>
      <c r="AC1227" s="5"/>
    </row>
    <row r="1228" spans="1:29" ht="12.5">
      <c r="A1228" s="5">
        <f ca="1">IFERROR(__xludf.DUMMYFUNCTION("""COMPUTED_VALUE"""),59505)</f>
        <v>59505</v>
      </c>
      <c r="B1228" s="5"/>
      <c r="C1228" s="5" t="str">
        <f ca="1">IFERROR(__xludf.DUMMYFUNCTION("""COMPUTED_VALUE"""),"Bihor")</f>
        <v>Bihor</v>
      </c>
      <c r="D1228" s="13">
        <f ca="1">IFERROR(__xludf.DUMMYFUNCTION("""COMPUTED_VALUE"""),44051)</f>
        <v>44051</v>
      </c>
      <c r="E1228" s="5" t="str">
        <f ca="1">IFERROR(__xludf.DUMMYFUNCTION("""COMPUTED_VALUE"""),"Nu")</f>
        <v>Nu</v>
      </c>
      <c r="F1228" s="5"/>
      <c r="G1228" s="5"/>
      <c r="H1228" s="6"/>
      <c r="I1228" s="5"/>
      <c r="J1228" s="5"/>
      <c r="K1228" s="7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1228" s="5"/>
      <c r="M1228" s="5"/>
      <c r="N1228" s="5"/>
      <c r="O1228" s="5"/>
      <c r="P1228" s="5"/>
      <c r="Q1228" s="5"/>
      <c r="R1228" s="5" t="str">
        <f ca="1">IFERROR(__xludf.DUMMYFUNCTION("""COMPUTED_VALUE"""),"România")</f>
        <v>România</v>
      </c>
      <c r="S1228" s="5" t="str">
        <f ca="1">IFERROR(__xludf.DUMMYFUNCTION("""COMPUTED_VALUE"""),"Alex")</f>
        <v>Alex</v>
      </c>
      <c r="T1228" s="7" t="str">
        <f ca="1">IFERROR(__xludf.DUMMYFUNCTION("""COMPUTED_VALUE"""),"http://www.ms.ro/2020/08/08/buletin-informativ-08-08-2020")</f>
        <v>http://www.ms.ro/2020/08/08/buletin-informativ-08-08-2020</v>
      </c>
      <c r="U1228" s="5"/>
      <c r="V1228" s="5"/>
      <c r="W1228" s="5"/>
      <c r="X1228" s="5"/>
      <c r="Y1228" s="5"/>
      <c r="Z1228" s="5"/>
      <c r="AA1228" s="5"/>
      <c r="AB1228" s="5"/>
      <c r="AC1228" s="5"/>
    </row>
    <row r="1229" spans="1:29" ht="12.5">
      <c r="A1229" s="5">
        <f ca="1">IFERROR(__xludf.DUMMYFUNCTION("""COMPUTED_VALUE"""),59506)</f>
        <v>59506</v>
      </c>
      <c r="B1229" s="5"/>
      <c r="C1229" s="5" t="str">
        <f ca="1">IFERROR(__xludf.DUMMYFUNCTION("""COMPUTED_VALUE"""),"Bihor")</f>
        <v>Bihor</v>
      </c>
      <c r="D1229" s="13">
        <f ca="1">IFERROR(__xludf.DUMMYFUNCTION("""COMPUTED_VALUE"""),44051)</f>
        <v>44051</v>
      </c>
      <c r="E1229" s="5" t="str">
        <f ca="1">IFERROR(__xludf.DUMMYFUNCTION("""COMPUTED_VALUE"""),"Nu")</f>
        <v>Nu</v>
      </c>
      <c r="F1229" s="5"/>
      <c r="G1229" s="5"/>
      <c r="H1229" s="6"/>
      <c r="I1229" s="5"/>
      <c r="J1229" s="5"/>
      <c r="K1229" s="7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1229" s="5"/>
      <c r="M1229" s="5"/>
      <c r="N1229" s="5"/>
      <c r="O1229" s="5"/>
      <c r="P1229" s="5"/>
      <c r="Q1229" s="5"/>
      <c r="R1229" s="5" t="str">
        <f ca="1">IFERROR(__xludf.DUMMYFUNCTION("""COMPUTED_VALUE"""),"România")</f>
        <v>România</v>
      </c>
      <c r="S1229" s="5" t="str">
        <f ca="1">IFERROR(__xludf.DUMMYFUNCTION("""COMPUTED_VALUE"""),"Alex")</f>
        <v>Alex</v>
      </c>
      <c r="T1229" s="7" t="str">
        <f ca="1">IFERROR(__xludf.DUMMYFUNCTION("""COMPUTED_VALUE"""),"http://www.ms.ro/2020/08/08/buletin-informativ-08-08-2020")</f>
        <v>http://www.ms.ro/2020/08/08/buletin-informativ-08-08-2020</v>
      </c>
      <c r="U1229" s="5"/>
      <c r="V1229" s="5"/>
      <c r="W1229" s="5"/>
      <c r="X1229" s="5"/>
      <c r="Y1229" s="5"/>
      <c r="Z1229" s="5"/>
      <c r="AA1229" s="5"/>
      <c r="AB1229" s="5"/>
      <c r="AC1229" s="5"/>
    </row>
    <row r="1230" spans="1:29" ht="12.5">
      <c r="A1230" s="5">
        <f ca="1">IFERROR(__xludf.DUMMYFUNCTION("""COMPUTED_VALUE"""),59507)</f>
        <v>59507</v>
      </c>
      <c r="B1230" s="5"/>
      <c r="C1230" s="5" t="str">
        <f ca="1">IFERROR(__xludf.DUMMYFUNCTION("""COMPUTED_VALUE"""),"Bihor")</f>
        <v>Bihor</v>
      </c>
      <c r="D1230" s="13">
        <f ca="1">IFERROR(__xludf.DUMMYFUNCTION("""COMPUTED_VALUE"""),44051)</f>
        <v>44051</v>
      </c>
      <c r="E1230" s="5" t="str">
        <f ca="1">IFERROR(__xludf.DUMMYFUNCTION("""COMPUTED_VALUE"""),"Nu")</f>
        <v>Nu</v>
      </c>
      <c r="F1230" s="5"/>
      <c r="G1230" s="5"/>
      <c r="H1230" s="6"/>
      <c r="I1230" s="5"/>
      <c r="J1230" s="5"/>
      <c r="K1230" s="7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1230" s="5"/>
      <c r="M1230" s="5"/>
      <c r="N1230" s="5"/>
      <c r="O1230" s="5"/>
      <c r="P1230" s="5"/>
      <c r="Q1230" s="5"/>
      <c r="R1230" s="5" t="str">
        <f ca="1">IFERROR(__xludf.DUMMYFUNCTION("""COMPUTED_VALUE"""),"România")</f>
        <v>România</v>
      </c>
      <c r="S1230" s="5" t="str">
        <f ca="1">IFERROR(__xludf.DUMMYFUNCTION("""COMPUTED_VALUE"""),"Alex")</f>
        <v>Alex</v>
      </c>
      <c r="T1230" s="7" t="str">
        <f ca="1">IFERROR(__xludf.DUMMYFUNCTION("""COMPUTED_VALUE"""),"http://www.ms.ro/2020/08/08/buletin-informativ-08-08-2020")</f>
        <v>http://www.ms.ro/2020/08/08/buletin-informativ-08-08-2020</v>
      </c>
      <c r="U1230" s="5"/>
      <c r="V1230" s="5"/>
      <c r="W1230" s="5"/>
      <c r="X1230" s="5"/>
      <c r="Y1230" s="5"/>
      <c r="Z1230" s="5"/>
      <c r="AA1230" s="5"/>
      <c r="AB1230" s="5"/>
      <c r="AC1230" s="5"/>
    </row>
    <row r="1231" spans="1:29" ht="12.5">
      <c r="A1231" s="5">
        <f ca="1">IFERROR(__xludf.DUMMYFUNCTION("""COMPUTED_VALUE"""),59508)</f>
        <v>59508</v>
      </c>
      <c r="B1231" s="5"/>
      <c r="C1231" s="5" t="str">
        <f ca="1">IFERROR(__xludf.DUMMYFUNCTION("""COMPUTED_VALUE"""),"Bihor")</f>
        <v>Bihor</v>
      </c>
      <c r="D1231" s="13">
        <f ca="1">IFERROR(__xludf.DUMMYFUNCTION("""COMPUTED_VALUE"""),44051)</f>
        <v>44051</v>
      </c>
      <c r="E1231" s="5" t="str">
        <f ca="1">IFERROR(__xludf.DUMMYFUNCTION("""COMPUTED_VALUE"""),"Nu")</f>
        <v>Nu</v>
      </c>
      <c r="F1231" s="5"/>
      <c r="G1231" s="5"/>
      <c r="H1231" s="6"/>
      <c r="I1231" s="5"/>
      <c r="J1231" s="5"/>
      <c r="K1231" s="7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1231" s="5"/>
      <c r="M1231" s="5"/>
      <c r="N1231" s="5"/>
      <c r="O1231" s="5"/>
      <c r="P1231" s="5"/>
      <c r="Q1231" s="5"/>
      <c r="R1231" s="5" t="str">
        <f ca="1">IFERROR(__xludf.DUMMYFUNCTION("""COMPUTED_VALUE"""),"România")</f>
        <v>România</v>
      </c>
      <c r="S1231" s="5" t="str">
        <f ca="1">IFERROR(__xludf.DUMMYFUNCTION("""COMPUTED_VALUE"""),"Alex")</f>
        <v>Alex</v>
      </c>
      <c r="T1231" s="7" t="str">
        <f ca="1">IFERROR(__xludf.DUMMYFUNCTION("""COMPUTED_VALUE"""),"http://www.ms.ro/2020/08/08/buletin-informativ-08-08-2020")</f>
        <v>http://www.ms.ro/2020/08/08/buletin-informativ-08-08-2020</v>
      </c>
      <c r="U1231" s="5"/>
      <c r="V1231" s="5"/>
      <c r="W1231" s="5"/>
      <c r="X1231" s="5"/>
      <c r="Y1231" s="5"/>
      <c r="Z1231" s="5"/>
      <c r="AA1231" s="5"/>
      <c r="AB1231" s="5"/>
      <c r="AC1231" s="5"/>
    </row>
    <row r="1232" spans="1:29" ht="12.5">
      <c r="A1232" s="5">
        <f ca="1">IFERROR(__xludf.DUMMYFUNCTION("""COMPUTED_VALUE"""),59509)</f>
        <v>59509</v>
      </c>
      <c r="B1232" s="5"/>
      <c r="C1232" s="5" t="str">
        <f ca="1">IFERROR(__xludf.DUMMYFUNCTION("""COMPUTED_VALUE"""),"Bihor")</f>
        <v>Bihor</v>
      </c>
      <c r="D1232" s="13">
        <f ca="1">IFERROR(__xludf.DUMMYFUNCTION("""COMPUTED_VALUE"""),44051)</f>
        <v>44051</v>
      </c>
      <c r="E1232" s="5" t="str">
        <f ca="1">IFERROR(__xludf.DUMMYFUNCTION("""COMPUTED_VALUE"""),"Nu")</f>
        <v>Nu</v>
      </c>
      <c r="F1232" s="5"/>
      <c r="G1232" s="5"/>
      <c r="H1232" s="6"/>
      <c r="I1232" s="5"/>
      <c r="J1232" s="5"/>
      <c r="K1232" s="7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1232" s="5"/>
      <c r="M1232" s="5"/>
      <c r="N1232" s="5"/>
      <c r="O1232" s="5"/>
      <c r="P1232" s="5"/>
      <c r="Q1232" s="5"/>
      <c r="R1232" s="5" t="str">
        <f ca="1">IFERROR(__xludf.DUMMYFUNCTION("""COMPUTED_VALUE"""),"România")</f>
        <v>România</v>
      </c>
      <c r="S1232" s="5" t="str">
        <f ca="1">IFERROR(__xludf.DUMMYFUNCTION("""COMPUTED_VALUE"""),"Alex")</f>
        <v>Alex</v>
      </c>
      <c r="T1232" s="7" t="str">
        <f ca="1">IFERROR(__xludf.DUMMYFUNCTION("""COMPUTED_VALUE"""),"http://www.ms.ro/2020/08/08/buletin-informativ-08-08-2020")</f>
        <v>http://www.ms.ro/2020/08/08/buletin-informativ-08-08-2020</v>
      </c>
      <c r="U1232" s="5"/>
      <c r="V1232" s="5"/>
      <c r="W1232" s="5"/>
      <c r="X1232" s="5"/>
      <c r="Y1232" s="5"/>
      <c r="Z1232" s="5"/>
      <c r="AA1232" s="5"/>
      <c r="AB1232" s="5"/>
      <c r="AC1232" s="5"/>
    </row>
    <row r="1233" spans="1:29" ht="12.5">
      <c r="A1233" s="5">
        <f ca="1">IFERROR(__xludf.DUMMYFUNCTION("""COMPUTED_VALUE"""),59510)</f>
        <v>59510</v>
      </c>
      <c r="B1233" s="5"/>
      <c r="C1233" s="5" t="str">
        <f ca="1">IFERROR(__xludf.DUMMYFUNCTION("""COMPUTED_VALUE"""),"Bihor")</f>
        <v>Bihor</v>
      </c>
      <c r="D1233" s="13">
        <f ca="1">IFERROR(__xludf.DUMMYFUNCTION("""COMPUTED_VALUE"""),44051)</f>
        <v>44051</v>
      </c>
      <c r="E1233" s="5" t="str">
        <f ca="1">IFERROR(__xludf.DUMMYFUNCTION("""COMPUTED_VALUE"""),"Nu")</f>
        <v>Nu</v>
      </c>
      <c r="F1233" s="5"/>
      <c r="G1233" s="5"/>
      <c r="H1233" s="6"/>
      <c r="I1233" s="5"/>
      <c r="J1233" s="5"/>
      <c r="K1233" s="7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1233" s="5"/>
      <c r="M1233" s="5"/>
      <c r="N1233" s="5"/>
      <c r="O1233" s="5"/>
      <c r="P1233" s="5"/>
      <c r="Q1233" s="5"/>
      <c r="R1233" s="5" t="str">
        <f ca="1">IFERROR(__xludf.DUMMYFUNCTION("""COMPUTED_VALUE"""),"România")</f>
        <v>România</v>
      </c>
      <c r="S1233" s="5" t="str">
        <f ca="1">IFERROR(__xludf.DUMMYFUNCTION("""COMPUTED_VALUE"""),"Alex")</f>
        <v>Alex</v>
      </c>
      <c r="T1233" s="7" t="str">
        <f ca="1">IFERROR(__xludf.DUMMYFUNCTION("""COMPUTED_VALUE"""),"http://www.ms.ro/2020/08/08/buletin-informativ-08-08-2020")</f>
        <v>http://www.ms.ro/2020/08/08/buletin-informativ-08-08-2020</v>
      </c>
      <c r="U1233" s="5"/>
      <c r="V1233" s="5"/>
      <c r="W1233" s="5"/>
      <c r="X1233" s="5"/>
      <c r="Y1233" s="5"/>
      <c r="Z1233" s="5"/>
      <c r="AA1233" s="5"/>
      <c r="AB1233" s="5"/>
      <c r="AC1233" s="5"/>
    </row>
    <row r="1234" spans="1:29" ht="12.5">
      <c r="A1234" s="5">
        <f ca="1">IFERROR(__xludf.DUMMYFUNCTION("""COMPUTED_VALUE"""),59511)</f>
        <v>59511</v>
      </c>
      <c r="B1234" s="5"/>
      <c r="C1234" s="5" t="str">
        <f ca="1">IFERROR(__xludf.DUMMYFUNCTION("""COMPUTED_VALUE"""),"Bihor")</f>
        <v>Bihor</v>
      </c>
      <c r="D1234" s="13">
        <f ca="1">IFERROR(__xludf.DUMMYFUNCTION("""COMPUTED_VALUE"""),44051)</f>
        <v>44051</v>
      </c>
      <c r="E1234" s="5" t="str">
        <f ca="1">IFERROR(__xludf.DUMMYFUNCTION("""COMPUTED_VALUE"""),"Nu")</f>
        <v>Nu</v>
      </c>
      <c r="F1234" s="5"/>
      <c r="G1234" s="5"/>
      <c r="H1234" s="6"/>
      <c r="I1234" s="5"/>
      <c r="J1234" s="5"/>
      <c r="K1234" s="7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1234" s="5"/>
      <c r="M1234" s="5"/>
      <c r="N1234" s="5"/>
      <c r="O1234" s="5"/>
      <c r="P1234" s="5"/>
      <c r="Q1234" s="5"/>
      <c r="R1234" s="5" t="str">
        <f ca="1">IFERROR(__xludf.DUMMYFUNCTION("""COMPUTED_VALUE"""),"România")</f>
        <v>România</v>
      </c>
      <c r="S1234" s="5" t="str">
        <f ca="1">IFERROR(__xludf.DUMMYFUNCTION("""COMPUTED_VALUE"""),"Alex")</f>
        <v>Alex</v>
      </c>
      <c r="T1234" s="7" t="str">
        <f ca="1">IFERROR(__xludf.DUMMYFUNCTION("""COMPUTED_VALUE"""),"http://www.ms.ro/2020/08/08/buletin-informativ-08-08-2020")</f>
        <v>http://www.ms.ro/2020/08/08/buletin-informativ-08-08-2020</v>
      </c>
      <c r="U1234" s="5"/>
      <c r="V1234" s="5"/>
      <c r="W1234" s="5"/>
      <c r="X1234" s="5"/>
      <c r="Y1234" s="5"/>
      <c r="Z1234" s="5"/>
      <c r="AA1234" s="5"/>
      <c r="AB1234" s="5"/>
      <c r="AC1234" s="5"/>
    </row>
    <row r="1235" spans="1:29" ht="12.5">
      <c r="A1235" s="5">
        <f ca="1">IFERROR(__xludf.DUMMYFUNCTION("""COMPUTED_VALUE"""),59512)</f>
        <v>59512</v>
      </c>
      <c r="B1235" s="5"/>
      <c r="C1235" s="5" t="str">
        <f ca="1">IFERROR(__xludf.DUMMYFUNCTION("""COMPUTED_VALUE"""),"Bihor")</f>
        <v>Bihor</v>
      </c>
      <c r="D1235" s="13">
        <f ca="1">IFERROR(__xludf.DUMMYFUNCTION("""COMPUTED_VALUE"""),44051)</f>
        <v>44051</v>
      </c>
      <c r="E1235" s="5" t="str">
        <f ca="1">IFERROR(__xludf.DUMMYFUNCTION("""COMPUTED_VALUE"""),"Nu")</f>
        <v>Nu</v>
      </c>
      <c r="F1235" s="5"/>
      <c r="G1235" s="5"/>
      <c r="H1235" s="6"/>
      <c r="I1235" s="5"/>
      <c r="J1235" s="5"/>
      <c r="K1235" s="7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1235" s="5"/>
      <c r="M1235" s="5"/>
      <c r="N1235" s="5"/>
      <c r="O1235" s="5"/>
      <c r="P1235" s="5"/>
      <c r="Q1235" s="5"/>
      <c r="R1235" s="5" t="str">
        <f ca="1">IFERROR(__xludf.DUMMYFUNCTION("""COMPUTED_VALUE"""),"România")</f>
        <v>România</v>
      </c>
      <c r="S1235" s="5" t="str">
        <f ca="1">IFERROR(__xludf.DUMMYFUNCTION("""COMPUTED_VALUE"""),"Alex")</f>
        <v>Alex</v>
      </c>
      <c r="T1235" s="7" t="str">
        <f ca="1">IFERROR(__xludf.DUMMYFUNCTION("""COMPUTED_VALUE"""),"http://www.ms.ro/2020/08/08/buletin-informativ-08-08-2020")</f>
        <v>http://www.ms.ro/2020/08/08/buletin-informativ-08-08-2020</v>
      </c>
      <c r="U1235" s="5"/>
      <c r="V1235" s="5"/>
      <c r="W1235" s="5"/>
      <c r="X1235" s="5"/>
      <c r="Y1235" s="5"/>
      <c r="Z1235" s="5"/>
      <c r="AA1235" s="5"/>
      <c r="AB1235" s="5"/>
      <c r="AC1235" s="5"/>
    </row>
    <row r="1236" spans="1:29" ht="12.5">
      <c r="A1236" s="5">
        <f ca="1">IFERROR(__xludf.DUMMYFUNCTION("""COMPUTED_VALUE"""),59513)</f>
        <v>59513</v>
      </c>
      <c r="B1236" s="5"/>
      <c r="C1236" s="5" t="str">
        <f ca="1">IFERROR(__xludf.DUMMYFUNCTION("""COMPUTED_VALUE"""),"Bihor")</f>
        <v>Bihor</v>
      </c>
      <c r="D1236" s="13">
        <f ca="1">IFERROR(__xludf.DUMMYFUNCTION("""COMPUTED_VALUE"""),44051)</f>
        <v>44051</v>
      </c>
      <c r="E1236" s="5" t="str">
        <f ca="1">IFERROR(__xludf.DUMMYFUNCTION("""COMPUTED_VALUE"""),"Nu")</f>
        <v>Nu</v>
      </c>
      <c r="F1236" s="5"/>
      <c r="G1236" s="5"/>
      <c r="H1236" s="6"/>
      <c r="I1236" s="5"/>
      <c r="J1236" s="5"/>
      <c r="K1236" s="7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1236" s="5"/>
      <c r="M1236" s="5"/>
      <c r="N1236" s="5"/>
      <c r="O1236" s="5"/>
      <c r="P1236" s="5"/>
      <c r="Q1236" s="5"/>
      <c r="R1236" s="5" t="str">
        <f ca="1">IFERROR(__xludf.DUMMYFUNCTION("""COMPUTED_VALUE"""),"România")</f>
        <v>România</v>
      </c>
      <c r="S1236" s="5" t="str">
        <f ca="1">IFERROR(__xludf.DUMMYFUNCTION("""COMPUTED_VALUE"""),"Alex")</f>
        <v>Alex</v>
      </c>
      <c r="T1236" s="7" t="str">
        <f ca="1">IFERROR(__xludf.DUMMYFUNCTION("""COMPUTED_VALUE"""),"http://www.ms.ro/2020/08/08/buletin-informativ-08-08-2020")</f>
        <v>http://www.ms.ro/2020/08/08/buletin-informativ-08-08-2020</v>
      </c>
      <c r="U1236" s="5"/>
      <c r="V1236" s="5"/>
      <c r="W1236" s="5"/>
      <c r="X1236" s="5"/>
      <c r="Y1236" s="5"/>
      <c r="Z1236" s="5"/>
      <c r="AA1236" s="5"/>
      <c r="AB1236" s="5"/>
      <c r="AC1236" s="5"/>
    </row>
    <row r="1237" spans="1:29" ht="12.5">
      <c r="A1237" s="5">
        <f ca="1">IFERROR(__xludf.DUMMYFUNCTION("""COMPUTED_VALUE"""),59514)</f>
        <v>59514</v>
      </c>
      <c r="B1237" s="5"/>
      <c r="C1237" s="5" t="str">
        <f ca="1">IFERROR(__xludf.DUMMYFUNCTION("""COMPUTED_VALUE"""),"Bihor")</f>
        <v>Bihor</v>
      </c>
      <c r="D1237" s="13">
        <f ca="1">IFERROR(__xludf.DUMMYFUNCTION("""COMPUTED_VALUE"""),44051)</f>
        <v>44051</v>
      </c>
      <c r="E1237" s="5" t="str">
        <f ca="1">IFERROR(__xludf.DUMMYFUNCTION("""COMPUTED_VALUE"""),"Nu")</f>
        <v>Nu</v>
      </c>
      <c r="F1237" s="5"/>
      <c r="G1237" s="5"/>
      <c r="H1237" s="6"/>
      <c r="I1237" s="5"/>
      <c r="J1237" s="5"/>
      <c r="K1237" s="7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1237" s="5"/>
      <c r="M1237" s="5"/>
      <c r="N1237" s="5"/>
      <c r="O1237" s="5"/>
      <c r="P1237" s="5"/>
      <c r="Q1237" s="5"/>
      <c r="R1237" s="5" t="str">
        <f ca="1">IFERROR(__xludf.DUMMYFUNCTION("""COMPUTED_VALUE"""),"România")</f>
        <v>România</v>
      </c>
      <c r="S1237" s="5" t="str">
        <f ca="1">IFERROR(__xludf.DUMMYFUNCTION("""COMPUTED_VALUE"""),"Alex")</f>
        <v>Alex</v>
      </c>
      <c r="T1237" s="7" t="str">
        <f ca="1">IFERROR(__xludf.DUMMYFUNCTION("""COMPUTED_VALUE"""),"http://www.ms.ro/2020/08/08/buletin-informativ-08-08-2020")</f>
        <v>http://www.ms.ro/2020/08/08/buletin-informativ-08-08-2020</v>
      </c>
      <c r="U1237" s="5"/>
      <c r="V1237" s="5"/>
      <c r="W1237" s="5"/>
      <c r="X1237" s="5"/>
      <c r="Y1237" s="5"/>
      <c r="Z1237" s="5"/>
      <c r="AA1237" s="5"/>
      <c r="AB1237" s="5"/>
      <c r="AC1237" s="5"/>
    </row>
    <row r="1238" spans="1:29" ht="12.5">
      <c r="A1238" s="5">
        <f ca="1">IFERROR(__xludf.DUMMYFUNCTION("""COMPUTED_VALUE"""),59515)</f>
        <v>59515</v>
      </c>
      <c r="B1238" s="5"/>
      <c r="C1238" s="5" t="str">
        <f ca="1">IFERROR(__xludf.DUMMYFUNCTION("""COMPUTED_VALUE"""),"Bihor")</f>
        <v>Bihor</v>
      </c>
      <c r="D1238" s="13">
        <f ca="1">IFERROR(__xludf.DUMMYFUNCTION("""COMPUTED_VALUE"""),44051)</f>
        <v>44051</v>
      </c>
      <c r="E1238" s="5" t="str">
        <f ca="1">IFERROR(__xludf.DUMMYFUNCTION("""COMPUTED_VALUE"""),"Nu")</f>
        <v>Nu</v>
      </c>
      <c r="F1238" s="5"/>
      <c r="G1238" s="5"/>
      <c r="H1238" s="6"/>
      <c r="I1238" s="5"/>
      <c r="J1238" s="5"/>
      <c r="K1238" s="7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1238" s="5"/>
      <c r="M1238" s="5"/>
      <c r="N1238" s="5"/>
      <c r="O1238" s="5"/>
      <c r="P1238" s="5"/>
      <c r="Q1238" s="5"/>
      <c r="R1238" s="5" t="str">
        <f ca="1">IFERROR(__xludf.DUMMYFUNCTION("""COMPUTED_VALUE"""),"România")</f>
        <v>România</v>
      </c>
      <c r="S1238" s="5" t="str">
        <f ca="1">IFERROR(__xludf.DUMMYFUNCTION("""COMPUTED_VALUE"""),"Alex")</f>
        <v>Alex</v>
      </c>
      <c r="T1238" s="7" t="str">
        <f ca="1">IFERROR(__xludf.DUMMYFUNCTION("""COMPUTED_VALUE"""),"http://www.ms.ro/2020/08/08/buletin-informativ-08-08-2020")</f>
        <v>http://www.ms.ro/2020/08/08/buletin-informativ-08-08-2020</v>
      </c>
      <c r="U1238" s="5"/>
      <c r="V1238" s="5"/>
      <c r="W1238" s="5"/>
      <c r="X1238" s="5"/>
      <c r="Y1238" s="5"/>
      <c r="Z1238" s="5"/>
      <c r="AA1238" s="5"/>
      <c r="AB1238" s="5"/>
      <c r="AC1238" s="5"/>
    </row>
    <row r="1239" spans="1:29" ht="12.5">
      <c r="A1239" s="5">
        <f ca="1">IFERROR(__xludf.DUMMYFUNCTION("""COMPUTED_VALUE"""),59516)</f>
        <v>59516</v>
      </c>
      <c r="B1239" s="5"/>
      <c r="C1239" s="5" t="str">
        <f ca="1">IFERROR(__xludf.DUMMYFUNCTION("""COMPUTED_VALUE"""),"Bihor")</f>
        <v>Bihor</v>
      </c>
      <c r="D1239" s="13">
        <f ca="1">IFERROR(__xludf.DUMMYFUNCTION("""COMPUTED_VALUE"""),44051)</f>
        <v>44051</v>
      </c>
      <c r="E1239" s="5" t="str">
        <f ca="1">IFERROR(__xludf.DUMMYFUNCTION("""COMPUTED_VALUE"""),"Nu")</f>
        <v>Nu</v>
      </c>
      <c r="F1239" s="5"/>
      <c r="G1239" s="5"/>
      <c r="H1239" s="6"/>
      <c r="I1239" s="5"/>
      <c r="J1239" s="5"/>
      <c r="K1239" s="7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1239" s="5"/>
      <c r="M1239" s="5"/>
      <c r="N1239" s="5"/>
      <c r="O1239" s="5"/>
      <c r="P1239" s="5"/>
      <c r="Q1239" s="5"/>
      <c r="R1239" s="5" t="str">
        <f ca="1">IFERROR(__xludf.DUMMYFUNCTION("""COMPUTED_VALUE"""),"România")</f>
        <v>România</v>
      </c>
      <c r="S1239" s="5" t="str">
        <f ca="1">IFERROR(__xludf.DUMMYFUNCTION("""COMPUTED_VALUE"""),"Alex")</f>
        <v>Alex</v>
      </c>
      <c r="T1239" s="7" t="str">
        <f ca="1">IFERROR(__xludf.DUMMYFUNCTION("""COMPUTED_VALUE"""),"http://www.ms.ro/2020/08/08/buletin-informativ-08-08-2020")</f>
        <v>http://www.ms.ro/2020/08/08/buletin-informativ-08-08-2020</v>
      </c>
      <c r="U1239" s="5"/>
      <c r="V1239" s="5"/>
      <c r="W1239" s="5"/>
      <c r="X1239" s="5"/>
      <c r="Y1239" s="5"/>
      <c r="Z1239" s="5"/>
      <c r="AA1239" s="5"/>
      <c r="AB1239" s="5"/>
      <c r="AC1239" s="5"/>
    </row>
    <row r="1240" spans="1:29" ht="12.5">
      <c r="A1240" s="5">
        <f ca="1">IFERROR(__xludf.DUMMYFUNCTION("""COMPUTED_VALUE"""),60759)</f>
        <v>60759</v>
      </c>
      <c r="B1240" s="5"/>
      <c r="C1240" s="5" t="str">
        <f ca="1">IFERROR(__xludf.DUMMYFUNCTION("""COMPUTED_VALUE"""),"Bihor")</f>
        <v>Bihor</v>
      </c>
      <c r="D1240" s="13">
        <f ca="1">IFERROR(__xludf.DUMMYFUNCTION("""COMPUTED_VALUE"""),44052)</f>
        <v>44052</v>
      </c>
      <c r="E1240" s="5" t="str">
        <f ca="1">IFERROR(__xludf.DUMMYFUNCTION("""COMPUTED_VALUE"""),"Nu")</f>
        <v>Nu</v>
      </c>
      <c r="F1240" s="5"/>
      <c r="G1240" s="5"/>
      <c r="H1240" s="6"/>
      <c r="I1240" s="5"/>
      <c r="J1240" s="5"/>
      <c r="K1240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40" s="5"/>
      <c r="M1240" s="5"/>
      <c r="N1240" s="5"/>
      <c r="O1240" s="5"/>
      <c r="P1240" s="5"/>
      <c r="Q1240" s="5"/>
      <c r="R1240" s="5" t="str">
        <f ca="1">IFERROR(__xludf.DUMMYFUNCTION("""COMPUTED_VALUE"""),"România")</f>
        <v>România</v>
      </c>
      <c r="S1240" s="5" t="str">
        <f ca="1">IFERROR(__xludf.DUMMYFUNCTION("""COMPUTED_VALUE"""),"Alex")</f>
        <v>Alex</v>
      </c>
      <c r="T1240" s="7" t="str">
        <f ca="1">IFERROR(__xludf.DUMMYFUNCTION("""COMPUTED_VALUE"""),"http://www.ms.ro/2020/08/09/buletin-informativ-09-08-2020")</f>
        <v>http://www.ms.ro/2020/08/09/buletin-informativ-09-08-2020</v>
      </c>
      <c r="U1240" s="5"/>
      <c r="V1240" s="5"/>
      <c r="W1240" s="5"/>
      <c r="X1240" s="5"/>
      <c r="Y1240" s="5"/>
      <c r="Z1240" s="5"/>
      <c r="AA1240" s="5"/>
      <c r="AB1240" s="5"/>
      <c r="AC1240" s="5"/>
    </row>
    <row r="1241" spans="1:29" ht="12.5">
      <c r="A1241" s="5">
        <f ca="1">IFERROR(__xludf.DUMMYFUNCTION("""COMPUTED_VALUE"""),60760)</f>
        <v>60760</v>
      </c>
      <c r="B1241" s="5"/>
      <c r="C1241" s="5" t="str">
        <f ca="1">IFERROR(__xludf.DUMMYFUNCTION("""COMPUTED_VALUE"""),"Bihor")</f>
        <v>Bihor</v>
      </c>
      <c r="D1241" s="13">
        <f ca="1">IFERROR(__xludf.DUMMYFUNCTION("""COMPUTED_VALUE"""),44052)</f>
        <v>44052</v>
      </c>
      <c r="E1241" s="5" t="str">
        <f ca="1">IFERROR(__xludf.DUMMYFUNCTION("""COMPUTED_VALUE"""),"Nu")</f>
        <v>Nu</v>
      </c>
      <c r="F1241" s="5"/>
      <c r="G1241" s="5"/>
      <c r="H1241" s="6"/>
      <c r="I1241" s="5"/>
      <c r="J1241" s="5"/>
      <c r="K1241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41" s="5"/>
      <c r="M1241" s="5"/>
      <c r="N1241" s="5"/>
      <c r="O1241" s="5"/>
      <c r="P1241" s="5"/>
      <c r="Q1241" s="5"/>
      <c r="R1241" s="5" t="str">
        <f ca="1">IFERROR(__xludf.DUMMYFUNCTION("""COMPUTED_VALUE"""),"România")</f>
        <v>România</v>
      </c>
      <c r="S1241" s="5" t="str">
        <f ca="1">IFERROR(__xludf.DUMMYFUNCTION("""COMPUTED_VALUE"""),"Alex")</f>
        <v>Alex</v>
      </c>
      <c r="T1241" s="7" t="str">
        <f ca="1">IFERROR(__xludf.DUMMYFUNCTION("""COMPUTED_VALUE"""),"http://www.ms.ro/2020/08/09/buletin-informativ-09-08-2020")</f>
        <v>http://www.ms.ro/2020/08/09/buletin-informativ-09-08-2020</v>
      </c>
      <c r="U1241" s="5"/>
      <c r="V1241" s="5"/>
      <c r="W1241" s="5"/>
      <c r="X1241" s="5"/>
      <c r="Y1241" s="5"/>
      <c r="Z1241" s="5"/>
      <c r="AA1241" s="5"/>
      <c r="AB1241" s="5"/>
      <c r="AC1241" s="5"/>
    </row>
    <row r="1242" spans="1:29" ht="12.5">
      <c r="A1242" s="5">
        <f ca="1">IFERROR(__xludf.DUMMYFUNCTION("""COMPUTED_VALUE"""),60761)</f>
        <v>60761</v>
      </c>
      <c r="B1242" s="5"/>
      <c r="C1242" s="5" t="str">
        <f ca="1">IFERROR(__xludf.DUMMYFUNCTION("""COMPUTED_VALUE"""),"Bihor")</f>
        <v>Bihor</v>
      </c>
      <c r="D1242" s="13">
        <f ca="1">IFERROR(__xludf.DUMMYFUNCTION("""COMPUTED_VALUE"""),44052)</f>
        <v>44052</v>
      </c>
      <c r="E1242" s="5" t="str">
        <f ca="1">IFERROR(__xludf.DUMMYFUNCTION("""COMPUTED_VALUE"""),"Nu")</f>
        <v>Nu</v>
      </c>
      <c r="F1242" s="5"/>
      <c r="G1242" s="5"/>
      <c r="H1242" s="6"/>
      <c r="I1242" s="5"/>
      <c r="J1242" s="5"/>
      <c r="K1242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42" s="5"/>
      <c r="M1242" s="5"/>
      <c r="N1242" s="5"/>
      <c r="O1242" s="5"/>
      <c r="P1242" s="5"/>
      <c r="Q1242" s="5"/>
      <c r="R1242" s="5" t="str">
        <f ca="1">IFERROR(__xludf.DUMMYFUNCTION("""COMPUTED_VALUE"""),"România")</f>
        <v>România</v>
      </c>
      <c r="S1242" s="5" t="str">
        <f ca="1">IFERROR(__xludf.DUMMYFUNCTION("""COMPUTED_VALUE"""),"Alex")</f>
        <v>Alex</v>
      </c>
      <c r="T1242" s="7" t="str">
        <f ca="1">IFERROR(__xludf.DUMMYFUNCTION("""COMPUTED_VALUE"""),"http://www.ms.ro/2020/08/09/buletin-informativ-09-08-2020")</f>
        <v>http://www.ms.ro/2020/08/09/buletin-informativ-09-08-2020</v>
      </c>
      <c r="U1242" s="5"/>
      <c r="V1242" s="5"/>
      <c r="W1242" s="5"/>
      <c r="X1242" s="5"/>
      <c r="Y1242" s="5"/>
      <c r="Z1242" s="5"/>
      <c r="AA1242" s="5"/>
      <c r="AB1242" s="5"/>
      <c r="AC1242" s="5"/>
    </row>
    <row r="1243" spans="1:29" ht="12.5">
      <c r="A1243" s="5">
        <f ca="1">IFERROR(__xludf.DUMMYFUNCTION("""COMPUTED_VALUE"""),60762)</f>
        <v>60762</v>
      </c>
      <c r="B1243" s="5"/>
      <c r="C1243" s="5" t="str">
        <f ca="1">IFERROR(__xludf.DUMMYFUNCTION("""COMPUTED_VALUE"""),"Bihor")</f>
        <v>Bihor</v>
      </c>
      <c r="D1243" s="13">
        <f ca="1">IFERROR(__xludf.DUMMYFUNCTION("""COMPUTED_VALUE"""),44052)</f>
        <v>44052</v>
      </c>
      <c r="E1243" s="5" t="str">
        <f ca="1">IFERROR(__xludf.DUMMYFUNCTION("""COMPUTED_VALUE"""),"Nu")</f>
        <v>Nu</v>
      </c>
      <c r="F1243" s="5"/>
      <c r="G1243" s="5"/>
      <c r="H1243" s="6"/>
      <c r="I1243" s="5"/>
      <c r="J1243" s="5"/>
      <c r="K1243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43" s="5"/>
      <c r="M1243" s="5"/>
      <c r="N1243" s="5"/>
      <c r="O1243" s="5"/>
      <c r="P1243" s="5"/>
      <c r="Q1243" s="5"/>
      <c r="R1243" s="5" t="str">
        <f ca="1">IFERROR(__xludf.DUMMYFUNCTION("""COMPUTED_VALUE"""),"România")</f>
        <v>România</v>
      </c>
      <c r="S1243" s="5" t="str">
        <f ca="1">IFERROR(__xludf.DUMMYFUNCTION("""COMPUTED_VALUE"""),"Alex")</f>
        <v>Alex</v>
      </c>
      <c r="T1243" s="7" t="str">
        <f ca="1">IFERROR(__xludf.DUMMYFUNCTION("""COMPUTED_VALUE"""),"http://www.ms.ro/2020/08/09/buletin-informativ-09-08-2020")</f>
        <v>http://www.ms.ro/2020/08/09/buletin-informativ-09-08-2020</v>
      </c>
      <c r="U1243" s="5"/>
      <c r="V1243" s="5"/>
      <c r="W1243" s="5"/>
      <c r="X1243" s="5"/>
      <c r="Y1243" s="5"/>
      <c r="Z1243" s="5"/>
      <c r="AA1243" s="5"/>
      <c r="AB1243" s="5"/>
      <c r="AC1243" s="5"/>
    </row>
    <row r="1244" spans="1:29" ht="12.5">
      <c r="A1244" s="5">
        <f ca="1">IFERROR(__xludf.DUMMYFUNCTION("""COMPUTED_VALUE"""),60763)</f>
        <v>60763</v>
      </c>
      <c r="B1244" s="5"/>
      <c r="C1244" s="5" t="str">
        <f ca="1">IFERROR(__xludf.DUMMYFUNCTION("""COMPUTED_VALUE"""),"Bihor")</f>
        <v>Bihor</v>
      </c>
      <c r="D1244" s="13">
        <f ca="1">IFERROR(__xludf.DUMMYFUNCTION("""COMPUTED_VALUE"""),44052)</f>
        <v>44052</v>
      </c>
      <c r="E1244" s="5" t="str">
        <f ca="1">IFERROR(__xludf.DUMMYFUNCTION("""COMPUTED_VALUE"""),"Nu")</f>
        <v>Nu</v>
      </c>
      <c r="F1244" s="5"/>
      <c r="G1244" s="5"/>
      <c r="H1244" s="6"/>
      <c r="I1244" s="5"/>
      <c r="J1244" s="5"/>
      <c r="K1244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44" s="5"/>
      <c r="M1244" s="5"/>
      <c r="N1244" s="5"/>
      <c r="O1244" s="5"/>
      <c r="P1244" s="5"/>
      <c r="Q1244" s="5"/>
      <c r="R1244" s="5" t="str">
        <f ca="1">IFERROR(__xludf.DUMMYFUNCTION("""COMPUTED_VALUE"""),"România")</f>
        <v>România</v>
      </c>
      <c r="S1244" s="5" t="str">
        <f ca="1">IFERROR(__xludf.DUMMYFUNCTION("""COMPUTED_VALUE"""),"Alex")</f>
        <v>Alex</v>
      </c>
      <c r="T1244" s="7" t="str">
        <f ca="1">IFERROR(__xludf.DUMMYFUNCTION("""COMPUTED_VALUE"""),"http://www.ms.ro/2020/08/09/buletin-informativ-09-08-2020")</f>
        <v>http://www.ms.ro/2020/08/09/buletin-informativ-09-08-2020</v>
      </c>
      <c r="U1244" s="5"/>
      <c r="V1244" s="5"/>
      <c r="W1244" s="5"/>
      <c r="X1244" s="5"/>
      <c r="Y1244" s="5"/>
      <c r="Z1244" s="5"/>
      <c r="AA1244" s="5"/>
      <c r="AB1244" s="5"/>
      <c r="AC1244" s="5"/>
    </row>
    <row r="1245" spans="1:29" ht="12.5">
      <c r="A1245" s="5">
        <f ca="1">IFERROR(__xludf.DUMMYFUNCTION("""COMPUTED_VALUE"""),60764)</f>
        <v>60764</v>
      </c>
      <c r="B1245" s="5"/>
      <c r="C1245" s="5" t="str">
        <f ca="1">IFERROR(__xludf.DUMMYFUNCTION("""COMPUTED_VALUE"""),"Bihor")</f>
        <v>Bihor</v>
      </c>
      <c r="D1245" s="13">
        <f ca="1">IFERROR(__xludf.DUMMYFUNCTION("""COMPUTED_VALUE"""),44052)</f>
        <v>44052</v>
      </c>
      <c r="E1245" s="5" t="str">
        <f ca="1">IFERROR(__xludf.DUMMYFUNCTION("""COMPUTED_VALUE"""),"Nu")</f>
        <v>Nu</v>
      </c>
      <c r="F1245" s="5"/>
      <c r="G1245" s="5"/>
      <c r="H1245" s="6"/>
      <c r="I1245" s="5"/>
      <c r="J1245" s="5"/>
      <c r="K1245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45" s="5"/>
      <c r="M1245" s="5"/>
      <c r="N1245" s="5"/>
      <c r="O1245" s="5"/>
      <c r="P1245" s="5"/>
      <c r="Q1245" s="5"/>
      <c r="R1245" s="5" t="str">
        <f ca="1">IFERROR(__xludf.DUMMYFUNCTION("""COMPUTED_VALUE"""),"România")</f>
        <v>România</v>
      </c>
      <c r="S1245" s="5" t="str">
        <f ca="1">IFERROR(__xludf.DUMMYFUNCTION("""COMPUTED_VALUE"""),"Alex")</f>
        <v>Alex</v>
      </c>
      <c r="T1245" s="7" t="str">
        <f ca="1">IFERROR(__xludf.DUMMYFUNCTION("""COMPUTED_VALUE"""),"http://www.ms.ro/2020/08/09/buletin-informativ-09-08-2020")</f>
        <v>http://www.ms.ro/2020/08/09/buletin-informativ-09-08-2020</v>
      </c>
      <c r="U1245" s="5"/>
      <c r="V1245" s="5"/>
      <c r="W1245" s="5"/>
      <c r="X1245" s="5"/>
      <c r="Y1245" s="5"/>
      <c r="Z1245" s="5"/>
      <c r="AA1245" s="5"/>
      <c r="AB1245" s="5"/>
      <c r="AC1245" s="5"/>
    </row>
    <row r="1246" spans="1:29" ht="12.5">
      <c r="A1246" s="5">
        <f ca="1">IFERROR(__xludf.DUMMYFUNCTION("""COMPUTED_VALUE"""),60765)</f>
        <v>60765</v>
      </c>
      <c r="B1246" s="5"/>
      <c r="C1246" s="5" t="str">
        <f ca="1">IFERROR(__xludf.DUMMYFUNCTION("""COMPUTED_VALUE"""),"Bihor")</f>
        <v>Bihor</v>
      </c>
      <c r="D1246" s="13">
        <f ca="1">IFERROR(__xludf.DUMMYFUNCTION("""COMPUTED_VALUE"""),44052)</f>
        <v>44052</v>
      </c>
      <c r="E1246" s="5" t="str">
        <f ca="1">IFERROR(__xludf.DUMMYFUNCTION("""COMPUTED_VALUE"""),"Nu")</f>
        <v>Nu</v>
      </c>
      <c r="F1246" s="5"/>
      <c r="G1246" s="5"/>
      <c r="H1246" s="6"/>
      <c r="I1246" s="5"/>
      <c r="J1246" s="5"/>
      <c r="K1246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46" s="5"/>
      <c r="M1246" s="5"/>
      <c r="N1246" s="5"/>
      <c r="O1246" s="5"/>
      <c r="P1246" s="5"/>
      <c r="Q1246" s="5"/>
      <c r="R1246" s="5" t="str">
        <f ca="1">IFERROR(__xludf.DUMMYFUNCTION("""COMPUTED_VALUE"""),"România")</f>
        <v>România</v>
      </c>
      <c r="S1246" s="5" t="str">
        <f ca="1">IFERROR(__xludf.DUMMYFUNCTION("""COMPUTED_VALUE"""),"Alex")</f>
        <v>Alex</v>
      </c>
      <c r="T1246" s="7" t="str">
        <f ca="1">IFERROR(__xludf.DUMMYFUNCTION("""COMPUTED_VALUE"""),"http://www.ms.ro/2020/08/09/buletin-informativ-09-08-2020")</f>
        <v>http://www.ms.ro/2020/08/09/buletin-informativ-09-08-2020</v>
      </c>
      <c r="U1246" s="5"/>
      <c r="V1246" s="5"/>
      <c r="W1246" s="5"/>
      <c r="X1246" s="5"/>
      <c r="Y1246" s="5"/>
      <c r="Z1246" s="5"/>
      <c r="AA1246" s="5"/>
      <c r="AB1246" s="5"/>
      <c r="AC1246" s="5"/>
    </row>
    <row r="1247" spans="1:29" ht="12.5">
      <c r="A1247" s="5">
        <f ca="1">IFERROR(__xludf.DUMMYFUNCTION("""COMPUTED_VALUE"""),60766)</f>
        <v>60766</v>
      </c>
      <c r="B1247" s="5"/>
      <c r="C1247" s="5" t="str">
        <f ca="1">IFERROR(__xludf.DUMMYFUNCTION("""COMPUTED_VALUE"""),"Bihor")</f>
        <v>Bihor</v>
      </c>
      <c r="D1247" s="13">
        <f ca="1">IFERROR(__xludf.DUMMYFUNCTION("""COMPUTED_VALUE"""),44052)</f>
        <v>44052</v>
      </c>
      <c r="E1247" s="5" t="str">
        <f ca="1">IFERROR(__xludf.DUMMYFUNCTION("""COMPUTED_VALUE"""),"Nu")</f>
        <v>Nu</v>
      </c>
      <c r="F1247" s="5"/>
      <c r="G1247" s="5"/>
      <c r="H1247" s="6"/>
      <c r="I1247" s="5"/>
      <c r="J1247" s="5"/>
      <c r="K1247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47" s="5"/>
      <c r="M1247" s="5"/>
      <c r="N1247" s="5"/>
      <c r="O1247" s="5"/>
      <c r="P1247" s="5"/>
      <c r="Q1247" s="5"/>
      <c r="R1247" s="5" t="str">
        <f ca="1">IFERROR(__xludf.DUMMYFUNCTION("""COMPUTED_VALUE"""),"România")</f>
        <v>România</v>
      </c>
      <c r="S1247" s="5" t="str">
        <f ca="1">IFERROR(__xludf.DUMMYFUNCTION("""COMPUTED_VALUE"""),"Alex")</f>
        <v>Alex</v>
      </c>
      <c r="T1247" s="7" t="str">
        <f ca="1">IFERROR(__xludf.DUMMYFUNCTION("""COMPUTED_VALUE"""),"http://www.ms.ro/2020/08/09/buletin-informativ-09-08-2020")</f>
        <v>http://www.ms.ro/2020/08/09/buletin-informativ-09-08-2020</v>
      </c>
      <c r="U1247" s="5"/>
      <c r="V1247" s="5"/>
      <c r="W1247" s="5"/>
      <c r="X1247" s="5"/>
      <c r="Y1247" s="5"/>
      <c r="Z1247" s="5"/>
      <c r="AA1247" s="5"/>
      <c r="AB1247" s="5"/>
      <c r="AC1247" s="5"/>
    </row>
    <row r="1248" spans="1:29" ht="12.5">
      <c r="A1248" s="5">
        <f ca="1">IFERROR(__xludf.DUMMYFUNCTION("""COMPUTED_VALUE"""),60767)</f>
        <v>60767</v>
      </c>
      <c r="B1248" s="5"/>
      <c r="C1248" s="5" t="str">
        <f ca="1">IFERROR(__xludf.DUMMYFUNCTION("""COMPUTED_VALUE"""),"Bihor")</f>
        <v>Bihor</v>
      </c>
      <c r="D1248" s="13">
        <f ca="1">IFERROR(__xludf.DUMMYFUNCTION("""COMPUTED_VALUE"""),44052)</f>
        <v>44052</v>
      </c>
      <c r="E1248" s="5" t="str">
        <f ca="1">IFERROR(__xludf.DUMMYFUNCTION("""COMPUTED_VALUE"""),"Nu")</f>
        <v>Nu</v>
      </c>
      <c r="F1248" s="5"/>
      <c r="G1248" s="5"/>
      <c r="H1248" s="6"/>
      <c r="I1248" s="5"/>
      <c r="J1248" s="5"/>
      <c r="K1248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48" s="5"/>
      <c r="M1248" s="5"/>
      <c r="N1248" s="5"/>
      <c r="O1248" s="5"/>
      <c r="P1248" s="5"/>
      <c r="Q1248" s="5"/>
      <c r="R1248" s="5" t="str">
        <f ca="1">IFERROR(__xludf.DUMMYFUNCTION("""COMPUTED_VALUE"""),"România")</f>
        <v>România</v>
      </c>
      <c r="S1248" s="5" t="str">
        <f ca="1">IFERROR(__xludf.DUMMYFUNCTION("""COMPUTED_VALUE"""),"Alex")</f>
        <v>Alex</v>
      </c>
      <c r="T1248" s="7" t="str">
        <f ca="1">IFERROR(__xludf.DUMMYFUNCTION("""COMPUTED_VALUE"""),"http://www.ms.ro/2020/08/09/buletin-informativ-09-08-2020")</f>
        <v>http://www.ms.ro/2020/08/09/buletin-informativ-09-08-2020</v>
      </c>
      <c r="U1248" s="5"/>
      <c r="V1248" s="5"/>
      <c r="W1248" s="5"/>
      <c r="X1248" s="5"/>
      <c r="Y1248" s="5"/>
      <c r="Z1248" s="5"/>
      <c r="AA1248" s="5"/>
      <c r="AB1248" s="5"/>
      <c r="AC1248" s="5"/>
    </row>
    <row r="1249" spans="1:29" ht="12.5">
      <c r="A1249" s="5">
        <f ca="1">IFERROR(__xludf.DUMMYFUNCTION("""COMPUTED_VALUE"""),60768)</f>
        <v>60768</v>
      </c>
      <c r="B1249" s="5"/>
      <c r="C1249" s="5" t="str">
        <f ca="1">IFERROR(__xludf.DUMMYFUNCTION("""COMPUTED_VALUE"""),"Bihor")</f>
        <v>Bihor</v>
      </c>
      <c r="D1249" s="13">
        <f ca="1">IFERROR(__xludf.DUMMYFUNCTION("""COMPUTED_VALUE"""),44052)</f>
        <v>44052</v>
      </c>
      <c r="E1249" s="5" t="str">
        <f ca="1">IFERROR(__xludf.DUMMYFUNCTION("""COMPUTED_VALUE"""),"Nu")</f>
        <v>Nu</v>
      </c>
      <c r="F1249" s="5"/>
      <c r="G1249" s="5"/>
      <c r="H1249" s="6"/>
      <c r="I1249" s="5"/>
      <c r="J1249" s="5"/>
      <c r="K1249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49" s="5"/>
      <c r="M1249" s="5"/>
      <c r="N1249" s="5"/>
      <c r="O1249" s="5"/>
      <c r="P1249" s="5"/>
      <c r="Q1249" s="5"/>
      <c r="R1249" s="5" t="str">
        <f ca="1">IFERROR(__xludf.DUMMYFUNCTION("""COMPUTED_VALUE"""),"România")</f>
        <v>România</v>
      </c>
      <c r="S1249" s="5" t="str">
        <f ca="1">IFERROR(__xludf.DUMMYFUNCTION("""COMPUTED_VALUE"""),"Alex")</f>
        <v>Alex</v>
      </c>
      <c r="T1249" s="7" t="str">
        <f ca="1">IFERROR(__xludf.DUMMYFUNCTION("""COMPUTED_VALUE"""),"http://www.ms.ro/2020/08/09/buletin-informativ-09-08-2020")</f>
        <v>http://www.ms.ro/2020/08/09/buletin-informativ-09-08-2020</v>
      </c>
      <c r="U1249" s="5"/>
      <c r="V1249" s="5"/>
      <c r="W1249" s="5"/>
      <c r="X1249" s="5"/>
      <c r="Y1249" s="5"/>
      <c r="Z1249" s="5"/>
      <c r="AA1249" s="5"/>
      <c r="AB1249" s="5"/>
      <c r="AC1249" s="5"/>
    </row>
    <row r="1250" spans="1:29" ht="12.5">
      <c r="A1250" s="5">
        <f ca="1">IFERROR(__xludf.DUMMYFUNCTION("""COMPUTED_VALUE"""),60769)</f>
        <v>60769</v>
      </c>
      <c r="B1250" s="5"/>
      <c r="C1250" s="5" t="str">
        <f ca="1">IFERROR(__xludf.DUMMYFUNCTION("""COMPUTED_VALUE"""),"Bihor")</f>
        <v>Bihor</v>
      </c>
      <c r="D1250" s="13">
        <f ca="1">IFERROR(__xludf.DUMMYFUNCTION("""COMPUTED_VALUE"""),44052)</f>
        <v>44052</v>
      </c>
      <c r="E1250" s="5" t="str">
        <f ca="1">IFERROR(__xludf.DUMMYFUNCTION("""COMPUTED_VALUE"""),"Nu")</f>
        <v>Nu</v>
      </c>
      <c r="F1250" s="5"/>
      <c r="G1250" s="5"/>
      <c r="H1250" s="6"/>
      <c r="I1250" s="5"/>
      <c r="J1250" s="5"/>
      <c r="K1250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50" s="5"/>
      <c r="M1250" s="5"/>
      <c r="N1250" s="5"/>
      <c r="O1250" s="5"/>
      <c r="P1250" s="5"/>
      <c r="Q1250" s="5"/>
      <c r="R1250" s="5" t="str">
        <f ca="1">IFERROR(__xludf.DUMMYFUNCTION("""COMPUTED_VALUE"""),"România")</f>
        <v>România</v>
      </c>
      <c r="S1250" s="5" t="str">
        <f ca="1">IFERROR(__xludf.DUMMYFUNCTION("""COMPUTED_VALUE"""),"Alex")</f>
        <v>Alex</v>
      </c>
      <c r="T1250" s="7" t="str">
        <f ca="1">IFERROR(__xludf.DUMMYFUNCTION("""COMPUTED_VALUE"""),"http://www.ms.ro/2020/08/09/buletin-informativ-09-08-2020")</f>
        <v>http://www.ms.ro/2020/08/09/buletin-informativ-09-08-2020</v>
      </c>
      <c r="U1250" s="5"/>
      <c r="V1250" s="5"/>
      <c r="W1250" s="5"/>
      <c r="X1250" s="5"/>
      <c r="Y1250" s="5"/>
      <c r="Z1250" s="5"/>
      <c r="AA1250" s="5"/>
      <c r="AB1250" s="5"/>
      <c r="AC1250" s="5"/>
    </row>
    <row r="1251" spans="1:29" ht="12.5">
      <c r="A1251" s="5">
        <f ca="1">IFERROR(__xludf.DUMMYFUNCTION("""COMPUTED_VALUE"""),60770)</f>
        <v>60770</v>
      </c>
      <c r="B1251" s="5"/>
      <c r="C1251" s="5" t="str">
        <f ca="1">IFERROR(__xludf.DUMMYFUNCTION("""COMPUTED_VALUE"""),"Bihor")</f>
        <v>Bihor</v>
      </c>
      <c r="D1251" s="13">
        <f ca="1">IFERROR(__xludf.DUMMYFUNCTION("""COMPUTED_VALUE"""),44052)</f>
        <v>44052</v>
      </c>
      <c r="E1251" s="5" t="str">
        <f ca="1">IFERROR(__xludf.DUMMYFUNCTION("""COMPUTED_VALUE"""),"Nu")</f>
        <v>Nu</v>
      </c>
      <c r="F1251" s="5"/>
      <c r="G1251" s="5"/>
      <c r="H1251" s="6"/>
      <c r="I1251" s="5"/>
      <c r="J1251" s="5"/>
      <c r="K1251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51" s="5"/>
      <c r="M1251" s="5"/>
      <c r="N1251" s="5"/>
      <c r="O1251" s="5"/>
      <c r="P1251" s="5"/>
      <c r="Q1251" s="5"/>
      <c r="R1251" s="5" t="str">
        <f ca="1">IFERROR(__xludf.DUMMYFUNCTION("""COMPUTED_VALUE"""),"România")</f>
        <v>România</v>
      </c>
      <c r="S1251" s="5" t="str">
        <f ca="1">IFERROR(__xludf.DUMMYFUNCTION("""COMPUTED_VALUE"""),"Alex")</f>
        <v>Alex</v>
      </c>
      <c r="T1251" s="7" t="str">
        <f ca="1">IFERROR(__xludf.DUMMYFUNCTION("""COMPUTED_VALUE"""),"http://www.ms.ro/2020/08/09/buletin-informativ-09-08-2020")</f>
        <v>http://www.ms.ro/2020/08/09/buletin-informativ-09-08-2020</v>
      </c>
      <c r="U1251" s="5"/>
      <c r="V1251" s="5"/>
      <c r="W1251" s="5"/>
      <c r="X1251" s="5"/>
      <c r="Y1251" s="5"/>
      <c r="Z1251" s="5"/>
      <c r="AA1251" s="5"/>
      <c r="AB1251" s="5"/>
      <c r="AC1251" s="5"/>
    </row>
    <row r="1252" spans="1:29" ht="12.5">
      <c r="A1252" s="5">
        <f ca="1">IFERROR(__xludf.DUMMYFUNCTION("""COMPUTED_VALUE"""),60771)</f>
        <v>60771</v>
      </c>
      <c r="B1252" s="5"/>
      <c r="C1252" s="5" t="str">
        <f ca="1">IFERROR(__xludf.DUMMYFUNCTION("""COMPUTED_VALUE"""),"Bihor")</f>
        <v>Bihor</v>
      </c>
      <c r="D1252" s="13">
        <f ca="1">IFERROR(__xludf.DUMMYFUNCTION("""COMPUTED_VALUE"""),44052)</f>
        <v>44052</v>
      </c>
      <c r="E1252" s="5" t="str">
        <f ca="1">IFERROR(__xludf.DUMMYFUNCTION("""COMPUTED_VALUE"""),"Nu")</f>
        <v>Nu</v>
      </c>
      <c r="F1252" s="5"/>
      <c r="G1252" s="5"/>
      <c r="H1252" s="6"/>
      <c r="I1252" s="5"/>
      <c r="J1252" s="5"/>
      <c r="K1252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52" s="5"/>
      <c r="M1252" s="5"/>
      <c r="N1252" s="5"/>
      <c r="O1252" s="5"/>
      <c r="P1252" s="5"/>
      <c r="Q1252" s="5"/>
      <c r="R1252" s="5" t="str">
        <f ca="1">IFERROR(__xludf.DUMMYFUNCTION("""COMPUTED_VALUE"""),"România")</f>
        <v>România</v>
      </c>
      <c r="S1252" s="5" t="str">
        <f ca="1">IFERROR(__xludf.DUMMYFUNCTION("""COMPUTED_VALUE"""),"Alex")</f>
        <v>Alex</v>
      </c>
      <c r="T1252" s="7" t="str">
        <f ca="1">IFERROR(__xludf.DUMMYFUNCTION("""COMPUTED_VALUE"""),"http://www.ms.ro/2020/08/09/buletin-informativ-09-08-2020")</f>
        <v>http://www.ms.ro/2020/08/09/buletin-informativ-09-08-2020</v>
      </c>
      <c r="U1252" s="5"/>
      <c r="V1252" s="5"/>
      <c r="W1252" s="5"/>
      <c r="X1252" s="5"/>
      <c r="Y1252" s="5"/>
      <c r="Z1252" s="5"/>
      <c r="AA1252" s="5"/>
      <c r="AB1252" s="5"/>
      <c r="AC1252" s="5"/>
    </row>
    <row r="1253" spans="1:29" ht="12.5">
      <c r="A1253" s="5">
        <f ca="1">IFERROR(__xludf.DUMMYFUNCTION("""COMPUTED_VALUE"""),60772)</f>
        <v>60772</v>
      </c>
      <c r="B1253" s="5"/>
      <c r="C1253" s="5" t="str">
        <f ca="1">IFERROR(__xludf.DUMMYFUNCTION("""COMPUTED_VALUE"""),"Bihor")</f>
        <v>Bihor</v>
      </c>
      <c r="D1253" s="13">
        <f ca="1">IFERROR(__xludf.DUMMYFUNCTION("""COMPUTED_VALUE"""),44052)</f>
        <v>44052</v>
      </c>
      <c r="E1253" s="5" t="str">
        <f ca="1">IFERROR(__xludf.DUMMYFUNCTION("""COMPUTED_VALUE"""),"Nu")</f>
        <v>Nu</v>
      </c>
      <c r="F1253" s="5"/>
      <c r="G1253" s="5"/>
      <c r="H1253" s="6"/>
      <c r="I1253" s="5"/>
      <c r="J1253" s="5"/>
      <c r="K1253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53" s="5"/>
      <c r="M1253" s="5"/>
      <c r="N1253" s="5"/>
      <c r="O1253" s="5"/>
      <c r="P1253" s="5"/>
      <c r="Q1253" s="5"/>
      <c r="R1253" s="5" t="str">
        <f ca="1">IFERROR(__xludf.DUMMYFUNCTION("""COMPUTED_VALUE"""),"România")</f>
        <v>România</v>
      </c>
      <c r="S1253" s="5" t="str">
        <f ca="1">IFERROR(__xludf.DUMMYFUNCTION("""COMPUTED_VALUE"""),"Alex")</f>
        <v>Alex</v>
      </c>
      <c r="T1253" s="7" t="str">
        <f ca="1">IFERROR(__xludf.DUMMYFUNCTION("""COMPUTED_VALUE"""),"http://www.ms.ro/2020/08/09/buletin-informativ-09-08-2020")</f>
        <v>http://www.ms.ro/2020/08/09/buletin-informativ-09-08-2020</v>
      </c>
      <c r="U1253" s="5"/>
      <c r="V1253" s="5"/>
      <c r="W1253" s="5"/>
      <c r="X1253" s="5"/>
      <c r="Y1253" s="5"/>
      <c r="Z1253" s="5"/>
      <c r="AA1253" s="5"/>
      <c r="AB1253" s="5"/>
      <c r="AC1253" s="5"/>
    </row>
    <row r="1254" spans="1:29" ht="12.5">
      <c r="A1254" s="5">
        <f ca="1">IFERROR(__xludf.DUMMYFUNCTION("""COMPUTED_VALUE"""),60773)</f>
        <v>60773</v>
      </c>
      <c r="B1254" s="5"/>
      <c r="C1254" s="5" t="str">
        <f ca="1">IFERROR(__xludf.DUMMYFUNCTION("""COMPUTED_VALUE"""),"Bihor")</f>
        <v>Bihor</v>
      </c>
      <c r="D1254" s="13">
        <f ca="1">IFERROR(__xludf.DUMMYFUNCTION("""COMPUTED_VALUE"""),44052)</f>
        <v>44052</v>
      </c>
      <c r="E1254" s="5" t="str">
        <f ca="1">IFERROR(__xludf.DUMMYFUNCTION("""COMPUTED_VALUE"""),"Nu")</f>
        <v>Nu</v>
      </c>
      <c r="F1254" s="5"/>
      <c r="G1254" s="5"/>
      <c r="H1254" s="6"/>
      <c r="I1254" s="5"/>
      <c r="J1254" s="5"/>
      <c r="K1254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54" s="5"/>
      <c r="M1254" s="5"/>
      <c r="N1254" s="5"/>
      <c r="O1254" s="5"/>
      <c r="P1254" s="5"/>
      <c r="Q1254" s="5"/>
      <c r="R1254" s="5" t="str">
        <f ca="1">IFERROR(__xludf.DUMMYFUNCTION("""COMPUTED_VALUE"""),"România")</f>
        <v>România</v>
      </c>
      <c r="S1254" s="5" t="str">
        <f ca="1">IFERROR(__xludf.DUMMYFUNCTION("""COMPUTED_VALUE"""),"Alex")</f>
        <v>Alex</v>
      </c>
      <c r="T1254" s="7" t="str">
        <f ca="1">IFERROR(__xludf.DUMMYFUNCTION("""COMPUTED_VALUE"""),"http://www.ms.ro/2020/08/09/buletin-informativ-09-08-2020")</f>
        <v>http://www.ms.ro/2020/08/09/buletin-informativ-09-08-2020</v>
      </c>
      <c r="U1254" s="5"/>
      <c r="V1254" s="5"/>
      <c r="W1254" s="5"/>
      <c r="X1254" s="5"/>
      <c r="Y1254" s="5"/>
      <c r="Z1254" s="5"/>
      <c r="AA1254" s="5"/>
      <c r="AB1254" s="5"/>
      <c r="AC1254" s="5"/>
    </row>
    <row r="1255" spans="1:29" ht="12.5">
      <c r="A1255" s="5">
        <f ca="1">IFERROR(__xludf.DUMMYFUNCTION("""COMPUTED_VALUE"""),60774)</f>
        <v>60774</v>
      </c>
      <c r="B1255" s="5"/>
      <c r="C1255" s="5" t="str">
        <f ca="1">IFERROR(__xludf.DUMMYFUNCTION("""COMPUTED_VALUE"""),"Bihor")</f>
        <v>Bihor</v>
      </c>
      <c r="D1255" s="13">
        <f ca="1">IFERROR(__xludf.DUMMYFUNCTION("""COMPUTED_VALUE"""),44052)</f>
        <v>44052</v>
      </c>
      <c r="E1255" s="5" t="str">
        <f ca="1">IFERROR(__xludf.DUMMYFUNCTION("""COMPUTED_VALUE"""),"Nu")</f>
        <v>Nu</v>
      </c>
      <c r="F1255" s="5"/>
      <c r="G1255" s="5"/>
      <c r="H1255" s="6"/>
      <c r="I1255" s="5"/>
      <c r="J1255" s="5"/>
      <c r="K1255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55" s="5"/>
      <c r="M1255" s="5"/>
      <c r="N1255" s="5"/>
      <c r="O1255" s="5"/>
      <c r="P1255" s="5"/>
      <c r="Q1255" s="5"/>
      <c r="R1255" s="5" t="str">
        <f ca="1">IFERROR(__xludf.DUMMYFUNCTION("""COMPUTED_VALUE"""),"România")</f>
        <v>România</v>
      </c>
      <c r="S1255" s="5" t="str">
        <f ca="1">IFERROR(__xludf.DUMMYFUNCTION("""COMPUTED_VALUE"""),"Alex")</f>
        <v>Alex</v>
      </c>
      <c r="T1255" s="7" t="str">
        <f ca="1">IFERROR(__xludf.DUMMYFUNCTION("""COMPUTED_VALUE"""),"http://www.ms.ro/2020/08/09/buletin-informativ-09-08-2020")</f>
        <v>http://www.ms.ro/2020/08/09/buletin-informativ-09-08-2020</v>
      </c>
      <c r="U1255" s="5"/>
      <c r="V1255" s="5"/>
      <c r="W1255" s="5"/>
      <c r="X1255" s="5"/>
      <c r="Y1255" s="5"/>
      <c r="Z1255" s="5"/>
      <c r="AA1255" s="5"/>
      <c r="AB1255" s="5"/>
      <c r="AC1255" s="5"/>
    </row>
    <row r="1256" spans="1:29" ht="12.5">
      <c r="A1256" s="5">
        <f ca="1">IFERROR(__xludf.DUMMYFUNCTION("""COMPUTED_VALUE"""),60775)</f>
        <v>60775</v>
      </c>
      <c r="B1256" s="5"/>
      <c r="C1256" s="5" t="str">
        <f ca="1">IFERROR(__xludf.DUMMYFUNCTION("""COMPUTED_VALUE"""),"Bihor")</f>
        <v>Bihor</v>
      </c>
      <c r="D1256" s="13">
        <f ca="1">IFERROR(__xludf.DUMMYFUNCTION("""COMPUTED_VALUE"""),44052)</f>
        <v>44052</v>
      </c>
      <c r="E1256" s="5" t="str">
        <f ca="1">IFERROR(__xludf.DUMMYFUNCTION("""COMPUTED_VALUE"""),"Nu")</f>
        <v>Nu</v>
      </c>
      <c r="F1256" s="5"/>
      <c r="G1256" s="5"/>
      <c r="H1256" s="6"/>
      <c r="I1256" s="5"/>
      <c r="J1256" s="5"/>
      <c r="K1256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56" s="5"/>
      <c r="M1256" s="5"/>
      <c r="N1256" s="5"/>
      <c r="O1256" s="5"/>
      <c r="P1256" s="5"/>
      <c r="Q1256" s="5"/>
      <c r="R1256" s="5" t="str">
        <f ca="1">IFERROR(__xludf.DUMMYFUNCTION("""COMPUTED_VALUE"""),"România")</f>
        <v>România</v>
      </c>
      <c r="S1256" s="5" t="str">
        <f ca="1">IFERROR(__xludf.DUMMYFUNCTION("""COMPUTED_VALUE"""),"Alex")</f>
        <v>Alex</v>
      </c>
      <c r="T1256" s="7" t="str">
        <f ca="1">IFERROR(__xludf.DUMMYFUNCTION("""COMPUTED_VALUE"""),"http://www.ms.ro/2020/08/09/buletin-informativ-09-08-2020")</f>
        <v>http://www.ms.ro/2020/08/09/buletin-informativ-09-08-2020</v>
      </c>
      <c r="U1256" s="5"/>
      <c r="V1256" s="5"/>
      <c r="W1256" s="5"/>
      <c r="X1256" s="5"/>
      <c r="Y1256" s="5"/>
      <c r="Z1256" s="5"/>
      <c r="AA1256" s="5"/>
      <c r="AB1256" s="5"/>
      <c r="AC1256" s="5"/>
    </row>
    <row r="1257" spans="1:29" ht="12.5">
      <c r="A1257" s="5">
        <f ca="1">IFERROR(__xludf.DUMMYFUNCTION("""COMPUTED_VALUE"""),60776)</f>
        <v>60776</v>
      </c>
      <c r="B1257" s="5"/>
      <c r="C1257" s="5" t="str">
        <f ca="1">IFERROR(__xludf.DUMMYFUNCTION("""COMPUTED_VALUE"""),"Bihor")</f>
        <v>Bihor</v>
      </c>
      <c r="D1257" s="13">
        <f ca="1">IFERROR(__xludf.DUMMYFUNCTION("""COMPUTED_VALUE"""),44052)</f>
        <v>44052</v>
      </c>
      <c r="E1257" s="5" t="str">
        <f ca="1">IFERROR(__xludf.DUMMYFUNCTION("""COMPUTED_VALUE"""),"Nu")</f>
        <v>Nu</v>
      </c>
      <c r="F1257" s="5"/>
      <c r="G1257" s="5"/>
      <c r="H1257" s="6"/>
      <c r="I1257" s="5"/>
      <c r="J1257" s="5"/>
      <c r="K1257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57" s="5"/>
      <c r="M1257" s="5"/>
      <c r="N1257" s="5"/>
      <c r="O1257" s="5"/>
      <c r="P1257" s="5"/>
      <c r="Q1257" s="5"/>
      <c r="R1257" s="5" t="str">
        <f ca="1">IFERROR(__xludf.DUMMYFUNCTION("""COMPUTED_VALUE"""),"România")</f>
        <v>România</v>
      </c>
      <c r="S1257" s="5" t="str">
        <f ca="1">IFERROR(__xludf.DUMMYFUNCTION("""COMPUTED_VALUE"""),"Alex")</f>
        <v>Alex</v>
      </c>
      <c r="T1257" s="7" t="str">
        <f ca="1">IFERROR(__xludf.DUMMYFUNCTION("""COMPUTED_VALUE"""),"http://www.ms.ro/2020/08/09/buletin-informativ-09-08-2020")</f>
        <v>http://www.ms.ro/2020/08/09/buletin-informativ-09-08-2020</v>
      </c>
      <c r="U1257" s="5"/>
      <c r="V1257" s="5"/>
      <c r="W1257" s="5"/>
      <c r="X1257" s="5"/>
      <c r="Y1257" s="5"/>
      <c r="Z1257" s="5"/>
      <c r="AA1257" s="5"/>
      <c r="AB1257" s="5"/>
      <c r="AC1257" s="5"/>
    </row>
    <row r="1258" spans="1:29" ht="12.5">
      <c r="A1258" s="5">
        <f ca="1">IFERROR(__xludf.DUMMYFUNCTION("""COMPUTED_VALUE"""),60777)</f>
        <v>60777</v>
      </c>
      <c r="B1258" s="5"/>
      <c r="C1258" s="5" t="str">
        <f ca="1">IFERROR(__xludf.DUMMYFUNCTION("""COMPUTED_VALUE"""),"Bihor")</f>
        <v>Bihor</v>
      </c>
      <c r="D1258" s="13">
        <f ca="1">IFERROR(__xludf.DUMMYFUNCTION("""COMPUTED_VALUE"""),44052)</f>
        <v>44052</v>
      </c>
      <c r="E1258" s="5" t="str">
        <f ca="1">IFERROR(__xludf.DUMMYFUNCTION("""COMPUTED_VALUE"""),"Nu")</f>
        <v>Nu</v>
      </c>
      <c r="F1258" s="5"/>
      <c r="G1258" s="5"/>
      <c r="H1258" s="6"/>
      <c r="I1258" s="5"/>
      <c r="J1258" s="5"/>
      <c r="K1258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58" s="5"/>
      <c r="M1258" s="5"/>
      <c r="N1258" s="5"/>
      <c r="O1258" s="5"/>
      <c r="P1258" s="5"/>
      <c r="Q1258" s="5"/>
      <c r="R1258" s="5" t="str">
        <f ca="1">IFERROR(__xludf.DUMMYFUNCTION("""COMPUTED_VALUE"""),"România")</f>
        <v>România</v>
      </c>
      <c r="S1258" s="5" t="str">
        <f ca="1">IFERROR(__xludf.DUMMYFUNCTION("""COMPUTED_VALUE"""),"Alex")</f>
        <v>Alex</v>
      </c>
      <c r="T1258" s="7" t="str">
        <f ca="1">IFERROR(__xludf.DUMMYFUNCTION("""COMPUTED_VALUE"""),"http://www.ms.ro/2020/08/09/buletin-informativ-09-08-2020")</f>
        <v>http://www.ms.ro/2020/08/09/buletin-informativ-09-08-2020</v>
      </c>
      <c r="U1258" s="5"/>
      <c r="V1258" s="5"/>
      <c r="W1258" s="5"/>
      <c r="X1258" s="5"/>
      <c r="Y1258" s="5"/>
      <c r="Z1258" s="5"/>
      <c r="AA1258" s="5"/>
      <c r="AB1258" s="5"/>
      <c r="AC1258" s="5"/>
    </row>
    <row r="1259" spans="1:29" ht="12.5">
      <c r="A1259" s="5">
        <f ca="1">IFERROR(__xludf.DUMMYFUNCTION("""COMPUTED_VALUE"""),60778)</f>
        <v>60778</v>
      </c>
      <c r="B1259" s="5"/>
      <c r="C1259" s="5" t="str">
        <f ca="1">IFERROR(__xludf.DUMMYFUNCTION("""COMPUTED_VALUE"""),"Bihor")</f>
        <v>Bihor</v>
      </c>
      <c r="D1259" s="13">
        <f ca="1">IFERROR(__xludf.DUMMYFUNCTION("""COMPUTED_VALUE"""),44052)</f>
        <v>44052</v>
      </c>
      <c r="E1259" s="5" t="str">
        <f ca="1">IFERROR(__xludf.DUMMYFUNCTION("""COMPUTED_VALUE"""),"Nu")</f>
        <v>Nu</v>
      </c>
      <c r="F1259" s="5"/>
      <c r="G1259" s="5"/>
      <c r="H1259" s="6"/>
      <c r="I1259" s="5"/>
      <c r="J1259" s="5"/>
      <c r="K1259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59" s="5"/>
      <c r="M1259" s="5"/>
      <c r="N1259" s="5"/>
      <c r="O1259" s="5"/>
      <c r="P1259" s="5"/>
      <c r="Q1259" s="5"/>
      <c r="R1259" s="5" t="str">
        <f ca="1">IFERROR(__xludf.DUMMYFUNCTION("""COMPUTED_VALUE"""),"România")</f>
        <v>România</v>
      </c>
      <c r="S1259" s="5" t="str">
        <f ca="1">IFERROR(__xludf.DUMMYFUNCTION("""COMPUTED_VALUE"""),"Alex")</f>
        <v>Alex</v>
      </c>
      <c r="T1259" s="7" t="str">
        <f ca="1">IFERROR(__xludf.DUMMYFUNCTION("""COMPUTED_VALUE"""),"http://www.ms.ro/2020/08/09/buletin-informativ-09-08-2020")</f>
        <v>http://www.ms.ro/2020/08/09/buletin-informativ-09-08-2020</v>
      </c>
      <c r="U1259" s="5"/>
      <c r="V1259" s="5"/>
      <c r="W1259" s="5"/>
      <c r="X1259" s="5"/>
      <c r="Y1259" s="5"/>
      <c r="Z1259" s="5"/>
      <c r="AA1259" s="5"/>
      <c r="AB1259" s="5"/>
      <c r="AC1259" s="5"/>
    </row>
    <row r="1260" spans="1:29" ht="12.5">
      <c r="A1260" s="5">
        <f ca="1">IFERROR(__xludf.DUMMYFUNCTION("""COMPUTED_VALUE"""),60779)</f>
        <v>60779</v>
      </c>
      <c r="B1260" s="5"/>
      <c r="C1260" s="5" t="str">
        <f ca="1">IFERROR(__xludf.DUMMYFUNCTION("""COMPUTED_VALUE"""),"Bihor")</f>
        <v>Bihor</v>
      </c>
      <c r="D1260" s="13">
        <f ca="1">IFERROR(__xludf.DUMMYFUNCTION("""COMPUTED_VALUE"""),44052)</f>
        <v>44052</v>
      </c>
      <c r="E1260" s="5" t="str">
        <f ca="1">IFERROR(__xludf.DUMMYFUNCTION("""COMPUTED_VALUE"""),"Nu")</f>
        <v>Nu</v>
      </c>
      <c r="F1260" s="5"/>
      <c r="G1260" s="5"/>
      <c r="H1260" s="6"/>
      <c r="I1260" s="5"/>
      <c r="J1260" s="5"/>
      <c r="K1260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60" s="5"/>
      <c r="M1260" s="5"/>
      <c r="N1260" s="5"/>
      <c r="O1260" s="5"/>
      <c r="P1260" s="5"/>
      <c r="Q1260" s="5"/>
      <c r="R1260" s="5" t="str">
        <f ca="1">IFERROR(__xludf.DUMMYFUNCTION("""COMPUTED_VALUE"""),"România")</f>
        <v>România</v>
      </c>
      <c r="S1260" s="5" t="str">
        <f ca="1">IFERROR(__xludf.DUMMYFUNCTION("""COMPUTED_VALUE"""),"Alex")</f>
        <v>Alex</v>
      </c>
      <c r="T1260" s="7" t="str">
        <f ca="1">IFERROR(__xludf.DUMMYFUNCTION("""COMPUTED_VALUE"""),"http://www.ms.ro/2020/08/09/buletin-informativ-09-08-2020")</f>
        <v>http://www.ms.ro/2020/08/09/buletin-informativ-09-08-2020</v>
      </c>
      <c r="U1260" s="5"/>
      <c r="V1260" s="5"/>
      <c r="W1260" s="5"/>
      <c r="X1260" s="5"/>
      <c r="Y1260" s="5"/>
      <c r="Z1260" s="5"/>
      <c r="AA1260" s="5"/>
      <c r="AB1260" s="5"/>
      <c r="AC1260" s="5"/>
    </row>
    <row r="1261" spans="1:29" ht="12.5">
      <c r="A1261" s="5">
        <f ca="1">IFERROR(__xludf.DUMMYFUNCTION("""COMPUTED_VALUE"""),60780)</f>
        <v>60780</v>
      </c>
      <c r="B1261" s="5"/>
      <c r="C1261" s="5" t="str">
        <f ca="1">IFERROR(__xludf.DUMMYFUNCTION("""COMPUTED_VALUE"""),"Bihor")</f>
        <v>Bihor</v>
      </c>
      <c r="D1261" s="13">
        <f ca="1">IFERROR(__xludf.DUMMYFUNCTION("""COMPUTED_VALUE"""),44052)</f>
        <v>44052</v>
      </c>
      <c r="E1261" s="5" t="str">
        <f ca="1">IFERROR(__xludf.DUMMYFUNCTION("""COMPUTED_VALUE"""),"Nu")</f>
        <v>Nu</v>
      </c>
      <c r="F1261" s="5"/>
      <c r="G1261" s="5"/>
      <c r="H1261" s="6"/>
      <c r="I1261" s="5"/>
      <c r="J1261" s="5"/>
      <c r="K1261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61" s="5"/>
      <c r="M1261" s="5"/>
      <c r="N1261" s="5"/>
      <c r="O1261" s="5"/>
      <c r="P1261" s="5"/>
      <c r="Q1261" s="5"/>
      <c r="R1261" s="5" t="str">
        <f ca="1">IFERROR(__xludf.DUMMYFUNCTION("""COMPUTED_VALUE"""),"România")</f>
        <v>România</v>
      </c>
      <c r="S1261" s="5" t="str">
        <f ca="1">IFERROR(__xludf.DUMMYFUNCTION("""COMPUTED_VALUE"""),"Alex")</f>
        <v>Alex</v>
      </c>
      <c r="T1261" s="7" t="str">
        <f ca="1">IFERROR(__xludf.DUMMYFUNCTION("""COMPUTED_VALUE"""),"http://www.ms.ro/2020/08/09/buletin-informativ-09-08-2020")</f>
        <v>http://www.ms.ro/2020/08/09/buletin-informativ-09-08-2020</v>
      </c>
      <c r="U1261" s="5"/>
      <c r="V1261" s="5"/>
      <c r="W1261" s="5"/>
      <c r="X1261" s="5"/>
      <c r="Y1261" s="5"/>
      <c r="Z1261" s="5"/>
      <c r="AA1261" s="5"/>
      <c r="AB1261" s="5"/>
      <c r="AC1261" s="5"/>
    </row>
    <row r="1262" spans="1:29" ht="12.5">
      <c r="A1262" s="5">
        <f ca="1">IFERROR(__xludf.DUMMYFUNCTION("""COMPUTED_VALUE"""),60781)</f>
        <v>60781</v>
      </c>
      <c r="B1262" s="5"/>
      <c r="C1262" s="5" t="str">
        <f ca="1">IFERROR(__xludf.DUMMYFUNCTION("""COMPUTED_VALUE"""),"Bihor")</f>
        <v>Bihor</v>
      </c>
      <c r="D1262" s="13">
        <f ca="1">IFERROR(__xludf.DUMMYFUNCTION("""COMPUTED_VALUE"""),44052)</f>
        <v>44052</v>
      </c>
      <c r="E1262" s="5" t="str">
        <f ca="1">IFERROR(__xludf.DUMMYFUNCTION("""COMPUTED_VALUE"""),"Nu")</f>
        <v>Nu</v>
      </c>
      <c r="F1262" s="5"/>
      <c r="G1262" s="5"/>
      <c r="H1262" s="6"/>
      <c r="I1262" s="5"/>
      <c r="J1262" s="5"/>
      <c r="K1262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62" s="5"/>
      <c r="M1262" s="5"/>
      <c r="N1262" s="5"/>
      <c r="O1262" s="5"/>
      <c r="P1262" s="5"/>
      <c r="Q1262" s="5"/>
      <c r="R1262" s="5" t="str">
        <f ca="1">IFERROR(__xludf.DUMMYFUNCTION("""COMPUTED_VALUE"""),"România")</f>
        <v>România</v>
      </c>
      <c r="S1262" s="5" t="str">
        <f ca="1">IFERROR(__xludf.DUMMYFUNCTION("""COMPUTED_VALUE"""),"Alex")</f>
        <v>Alex</v>
      </c>
      <c r="T1262" s="7" t="str">
        <f ca="1">IFERROR(__xludf.DUMMYFUNCTION("""COMPUTED_VALUE"""),"http://www.ms.ro/2020/08/09/buletin-informativ-09-08-2020")</f>
        <v>http://www.ms.ro/2020/08/09/buletin-informativ-09-08-2020</v>
      </c>
      <c r="U1262" s="5"/>
      <c r="V1262" s="5"/>
      <c r="W1262" s="5"/>
      <c r="X1262" s="5"/>
      <c r="Y1262" s="5"/>
      <c r="Z1262" s="5"/>
      <c r="AA1262" s="5"/>
      <c r="AB1262" s="5"/>
      <c r="AC1262" s="5"/>
    </row>
    <row r="1263" spans="1:29" ht="12.5">
      <c r="A1263" s="5">
        <f ca="1">IFERROR(__xludf.DUMMYFUNCTION("""COMPUTED_VALUE"""),60782)</f>
        <v>60782</v>
      </c>
      <c r="B1263" s="5"/>
      <c r="C1263" s="5" t="str">
        <f ca="1">IFERROR(__xludf.DUMMYFUNCTION("""COMPUTED_VALUE"""),"Bihor")</f>
        <v>Bihor</v>
      </c>
      <c r="D1263" s="13">
        <f ca="1">IFERROR(__xludf.DUMMYFUNCTION("""COMPUTED_VALUE"""),44052)</f>
        <v>44052</v>
      </c>
      <c r="E1263" s="5" t="str">
        <f ca="1">IFERROR(__xludf.DUMMYFUNCTION("""COMPUTED_VALUE"""),"Nu")</f>
        <v>Nu</v>
      </c>
      <c r="F1263" s="5"/>
      <c r="G1263" s="5"/>
      <c r="H1263" s="6"/>
      <c r="I1263" s="5"/>
      <c r="J1263" s="5"/>
      <c r="K1263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63" s="5"/>
      <c r="M1263" s="5"/>
      <c r="N1263" s="5"/>
      <c r="O1263" s="5"/>
      <c r="P1263" s="5"/>
      <c r="Q1263" s="5"/>
      <c r="R1263" s="5" t="str">
        <f ca="1">IFERROR(__xludf.DUMMYFUNCTION("""COMPUTED_VALUE"""),"România")</f>
        <v>România</v>
      </c>
      <c r="S1263" s="5" t="str">
        <f ca="1">IFERROR(__xludf.DUMMYFUNCTION("""COMPUTED_VALUE"""),"Alex")</f>
        <v>Alex</v>
      </c>
      <c r="T1263" s="7" t="str">
        <f ca="1">IFERROR(__xludf.DUMMYFUNCTION("""COMPUTED_VALUE"""),"http://www.ms.ro/2020/08/09/buletin-informativ-09-08-2020")</f>
        <v>http://www.ms.ro/2020/08/09/buletin-informativ-09-08-2020</v>
      </c>
      <c r="U1263" s="5"/>
      <c r="V1263" s="5"/>
      <c r="W1263" s="5"/>
      <c r="X1263" s="5"/>
      <c r="Y1263" s="5"/>
      <c r="Z1263" s="5"/>
      <c r="AA1263" s="5"/>
      <c r="AB1263" s="5"/>
      <c r="AC1263" s="5"/>
    </row>
    <row r="1264" spans="1:29" ht="12.5">
      <c r="A1264" s="5">
        <f ca="1">IFERROR(__xludf.DUMMYFUNCTION("""COMPUTED_VALUE"""),60783)</f>
        <v>60783</v>
      </c>
      <c r="B1264" s="5"/>
      <c r="C1264" s="5" t="str">
        <f ca="1">IFERROR(__xludf.DUMMYFUNCTION("""COMPUTED_VALUE"""),"Bihor")</f>
        <v>Bihor</v>
      </c>
      <c r="D1264" s="13">
        <f ca="1">IFERROR(__xludf.DUMMYFUNCTION("""COMPUTED_VALUE"""),44052)</f>
        <v>44052</v>
      </c>
      <c r="E1264" s="5" t="str">
        <f ca="1">IFERROR(__xludf.DUMMYFUNCTION("""COMPUTED_VALUE"""),"Nu")</f>
        <v>Nu</v>
      </c>
      <c r="F1264" s="5"/>
      <c r="G1264" s="5"/>
      <c r="H1264" s="6"/>
      <c r="I1264" s="5"/>
      <c r="J1264" s="5"/>
      <c r="K1264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64" s="5"/>
      <c r="M1264" s="5"/>
      <c r="N1264" s="5"/>
      <c r="O1264" s="5"/>
      <c r="P1264" s="5"/>
      <c r="Q1264" s="5"/>
      <c r="R1264" s="5" t="str">
        <f ca="1">IFERROR(__xludf.DUMMYFUNCTION("""COMPUTED_VALUE"""),"România")</f>
        <v>România</v>
      </c>
      <c r="S1264" s="5" t="str">
        <f ca="1">IFERROR(__xludf.DUMMYFUNCTION("""COMPUTED_VALUE"""),"Alex")</f>
        <v>Alex</v>
      </c>
      <c r="T1264" s="7" t="str">
        <f ca="1">IFERROR(__xludf.DUMMYFUNCTION("""COMPUTED_VALUE"""),"http://www.ms.ro/2020/08/09/buletin-informativ-09-08-2020")</f>
        <v>http://www.ms.ro/2020/08/09/buletin-informativ-09-08-2020</v>
      </c>
      <c r="U1264" s="5"/>
      <c r="V1264" s="5"/>
      <c r="W1264" s="5"/>
      <c r="X1264" s="5"/>
      <c r="Y1264" s="5"/>
      <c r="Z1264" s="5"/>
      <c r="AA1264" s="5"/>
      <c r="AB1264" s="5"/>
      <c r="AC1264" s="5"/>
    </row>
    <row r="1265" spans="1:29" ht="12.5">
      <c r="A1265" s="5">
        <f ca="1">IFERROR(__xludf.DUMMYFUNCTION("""COMPUTED_VALUE"""),60784)</f>
        <v>60784</v>
      </c>
      <c r="B1265" s="5"/>
      <c r="C1265" s="5" t="str">
        <f ca="1">IFERROR(__xludf.DUMMYFUNCTION("""COMPUTED_VALUE"""),"Bihor")</f>
        <v>Bihor</v>
      </c>
      <c r="D1265" s="13">
        <f ca="1">IFERROR(__xludf.DUMMYFUNCTION("""COMPUTED_VALUE"""),44052)</f>
        <v>44052</v>
      </c>
      <c r="E1265" s="5" t="str">
        <f ca="1">IFERROR(__xludf.DUMMYFUNCTION("""COMPUTED_VALUE"""),"Nu")</f>
        <v>Nu</v>
      </c>
      <c r="F1265" s="5"/>
      <c r="G1265" s="5"/>
      <c r="H1265" s="6"/>
      <c r="I1265" s="5"/>
      <c r="J1265" s="5"/>
      <c r="K1265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65" s="5"/>
      <c r="M1265" s="5"/>
      <c r="N1265" s="5"/>
      <c r="O1265" s="5"/>
      <c r="P1265" s="5"/>
      <c r="Q1265" s="5"/>
      <c r="R1265" s="5" t="str">
        <f ca="1">IFERROR(__xludf.DUMMYFUNCTION("""COMPUTED_VALUE"""),"România")</f>
        <v>România</v>
      </c>
      <c r="S1265" s="5" t="str">
        <f ca="1">IFERROR(__xludf.DUMMYFUNCTION("""COMPUTED_VALUE"""),"Alex")</f>
        <v>Alex</v>
      </c>
      <c r="T1265" s="7" t="str">
        <f ca="1">IFERROR(__xludf.DUMMYFUNCTION("""COMPUTED_VALUE"""),"http://www.ms.ro/2020/08/09/buletin-informativ-09-08-2020")</f>
        <v>http://www.ms.ro/2020/08/09/buletin-informativ-09-08-2020</v>
      </c>
      <c r="U1265" s="5"/>
      <c r="V1265" s="5"/>
      <c r="W1265" s="5"/>
      <c r="X1265" s="5"/>
      <c r="Y1265" s="5"/>
      <c r="Z1265" s="5"/>
      <c r="AA1265" s="5"/>
      <c r="AB1265" s="5"/>
      <c r="AC1265" s="5"/>
    </row>
    <row r="1266" spans="1:29" ht="12.5">
      <c r="A1266" s="5">
        <f ca="1">IFERROR(__xludf.DUMMYFUNCTION("""COMPUTED_VALUE"""),60785)</f>
        <v>60785</v>
      </c>
      <c r="B1266" s="5"/>
      <c r="C1266" s="5" t="str">
        <f ca="1">IFERROR(__xludf.DUMMYFUNCTION("""COMPUTED_VALUE"""),"Bihor")</f>
        <v>Bihor</v>
      </c>
      <c r="D1266" s="13">
        <f ca="1">IFERROR(__xludf.DUMMYFUNCTION("""COMPUTED_VALUE"""),44052)</f>
        <v>44052</v>
      </c>
      <c r="E1266" s="5" t="str">
        <f ca="1">IFERROR(__xludf.DUMMYFUNCTION("""COMPUTED_VALUE"""),"Nu")</f>
        <v>Nu</v>
      </c>
      <c r="F1266" s="5"/>
      <c r="G1266" s="5"/>
      <c r="H1266" s="6"/>
      <c r="I1266" s="5"/>
      <c r="J1266" s="5"/>
      <c r="K1266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66" s="5"/>
      <c r="M1266" s="5"/>
      <c r="N1266" s="5"/>
      <c r="O1266" s="5"/>
      <c r="P1266" s="5"/>
      <c r="Q1266" s="5"/>
      <c r="R1266" s="5" t="str">
        <f ca="1">IFERROR(__xludf.DUMMYFUNCTION("""COMPUTED_VALUE"""),"România")</f>
        <v>România</v>
      </c>
      <c r="S1266" s="5" t="str">
        <f ca="1">IFERROR(__xludf.DUMMYFUNCTION("""COMPUTED_VALUE"""),"Alex")</f>
        <v>Alex</v>
      </c>
      <c r="T1266" s="7" t="str">
        <f ca="1">IFERROR(__xludf.DUMMYFUNCTION("""COMPUTED_VALUE"""),"http://www.ms.ro/2020/08/09/buletin-informativ-09-08-2020")</f>
        <v>http://www.ms.ro/2020/08/09/buletin-informativ-09-08-2020</v>
      </c>
      <c r="U1266" s="5"/>
      <c r="V1266" s="5"/>
      <c r="W1266" s="5"/>
      <c r="X1266" s="5"/>
      <c r="Y1266" s="5"/>
      <c r="Z1266" s="5"/>
      <c r="AA1266" s="5"/>
      <c r="AB1266" s="5"/>
      <c r="AC1266" s="5"/>
    </row>
    <row r="1267" spans="1:29" ht="12.5">
      <c r="A1267" s="5">
        <f ca="1">IFERROR(__xludf.DUMMYFUNCTION("""COMPUTED_VALUE"""),60786)</f>
        <v>60786</v>
      </c>
      <c r="B1267" s="5"/>
      <c r="C1267" s="5" t="str">
        <f ca="1">IFERROR(__xludf.DUMMYFUNCTION("""COMPUTED_VALUE"""),"Bihor")</f>
        <v>Bihor</v>
      </c>
      <c r="D1267" s="13">
        <f ca="1">IFERROR(__xludf.DUMMYFUNCTION("""COMPUTED_VALUE"""),44052)</f>
        <v>44052</v>
      </c>
      <c r="E1267" s="5" t="str">
        <f ca="1">IFERROR(__xludf.DUMMYFUNCTION("""COMPUTED_VALUE"""),"Nu")</f>
        <v>Nu</v>
      </c>
      <c r="F1267" s="5"/>
      <c r="G1267" s="5"/>
      <c r="H1267" s="6"/>
      <c r="I1267" s="5"/>
      <c r="J1267" s="5"/>
      <c r="K1267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67" s="5"/>
      <c r="M1267" s="5"/>
      <c r="N1267" s="5"/>
      <c r="O1267" s="5"/>
      <c r="P1267" s="5"/>
      <c r="Q1267" s="5"/>
      <c r="R1267" s="5" t="str">
        <f ca="1">IFERROR(__xludf.DUMMYFUNCTION("""COMPUTED_VALUE"""),"România")</f>
        <v>România</v>
      </c>
      <c r="S1267" s="5" t="str">
        <f ca="1">IFERROR(__xludf.DUMMYFUNCTION("""COMPUTED_VALUE"""),"Alex")</f>
        <v>Alex</v>
      </c>
      <c r="T1267" s="7" t="str">
        <f ca="1">IFERROR(__xludf.DUMMYFUNCTION("""COMPUTED_VALUE"""),"http://www.ms.ro/2020/08/09/buletin-informativ-09-08-2020")</f>
        <v>http://www.ms.ro/2020/08/09/buletin-informativ-09-08-2020</v>
      </c>
      <c r="U1267" s="5"/>
      <c r="V1267" s="5"/>
      <c r="W1267" s="5"/>
      <c r="X1267" s="5"/>
      <c r="Y1267" s="5"/>
      <c r="Z1267" s="5"/>
      <c r="AA1267" s="5"/>
      <c r="AB1267" s="5"/>
      <c r="AC1267" s="5"/>
    </row>
    <row r="1268" spans="1:29" ht="12.5">
      <c r="A1268" s="5">
        <f ca="1">IFERROR(__xludf.DUMMYFUNCTION("""COMPUTED_VALUE"""),60787)</f>
        <v>60787</v>
      </c>
      <c r="B1268" s="5"/>
      <c r="C1268" s="5" t="str">
        <f ca="1">IFERROR(__xludf.DUMMYFUNCTION("""COMPUTED_VALUE"""),"Bihor")</f>
        <v>Bihor</v>
      </c>
      <c r="D1268" s="13">
        <f ca="1">IFERROR(__xludf.DUMMYFUNCTION("""COMPUTED_VALUE"""),44052)</f>
        <v>44052</v>
      </c>
      <c r="E1268" s="5" t="str">
        <f ca="1">IFERROR(__xludf.DUMMYFUNCTION("""COMPUTED_VALUE"""),"Nu")</f>
        <v>Nu</v>
      </c>
      <c r="F1268" s="5"/>
      <c r="G1268" s="5"/>
      <c r="H1268" s="6"/>
      <c r="I1268" s="5"/>
      <c r="J1268" s="5"/>
      <c r="K1268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68" s="5"/>
      <c r="M1268" s="5"/>
      <c r="N1268" s="5"/>
      <c r="O1268" s="5"/>
      <c r="P1268" s="5"/>
      <c r="Q1268" s="5"/>
      <c r="R1268" s="5" t="str">
        <f ca="1">IFERROR(__xludf.DUMMYFUNCTION("""COMPUTED_VALUE"""),"România")</f>
        <v>România</v>
      </c>
      <c r="S1268" s="5" t="str">
        <f ca="1">IFERROR(__xludf.DUMMYFUNCTION("""COMPUTED_VALUE"""),"Alex")</f>
        <v>Alex</v>
      </c>
      <c r="T1268" s="7" t="str">
        <f ca="1">IFERROR(__xludf.DUMMYFUNCTION("""COMPUTED_VALUE"""),"http://www.ms.ro/2020/08/09/buletin-informativ-09-08-2020")</f>
        <v>http://www.ms.ro/2020/08/09/buletin-informativ-09-08-2020</v>
      </c>
      <c r="U1268" s="5"/>
      <c r="V1268" s="5"/>
      <c r="W1268" s="5"/>
      <c r="X1268" s="5"/>
      <c r="Y1268" s="5"/>
      <c r="Z1268" s="5"/>
      <c r="AA1268" s="5"/>
      <c r="AB1268" s="5"/>
      <c r="AC1268" s="5"/>
    </row>
    <row r="1269" spans="1:29" ht="12.5">
      <c r="A1269" s="5">
        <f ca="1">IFERROR(__xludf.DUMMYFUNCTION("""COMPUTED_VALUE"""),60788)</f>
        <v>60788</v>
      </c>
      <c r="B1269" s="5"/>
      <c r="C1269" s="5" t="str">
        <f ca="1">IFERROR(__xludf.DUMMYFUNCTION("""COMPUTED_VALUE"""),"Bihor")</f>
        <v>Bihor</v>
      </c>
      <c r="D1269" s="13">
        <f ca="1">IFERROR(__xludf.DUMMYFUNCTION("""COMPUTED_VALUE"""),44052)</f>
        <v>44052</v>
      </c>
      <c r="E1269" s="5" t="str">
        <f ca="1">IFERROR(__xludf.DUMMYFUNCTION("""COMPUTED_VALUE"""),"Nu")</f>
        <v>Nu</v>
      </c>
      <c r="F1269" s="5"/>
      <c r="G1269" s="5"/>
      <c r="H1269" s="6"/>
      <c r="I1269" s="5"/>
      <c r="J1269" s="5"/>
      <c r="K1269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69" s="5"/>
      <c r="M1269" s="5"/>
      <c r="N1269" s="5"/>
      <c r="O1269" s="5"/>
      <c r="P1269" s="5"/>
      <c r="Q1269" s="5"/>
      <c r="R1269" s="5" t="str">
        <f ca="1">IFERROR(__xludf.DUMMYFUNCTION("""COMPUTED_VALUE"""),"România")</f>
        <v>România</v>
      </c>
      <c r="S1269" s="5" t="str">
        <f ca="1">IFERROR(__xludf.DUMMYFUNCTION("""COMPUTED_VALUE"""),"Alex")</f>
        <v>Alex</v>
      </c>
      <c r="T1269" s="7" t="str">
        <f ca="1">IFERROR(__xludf.DUMMYFUNCTION("""COMPUTED_VALUE"""),"http://www.ms.ro/2020/08/09/buletin-informativ-09-08-2020")</f>
        <v>http://www.ms.ro/2020/08/09/buletin-informativ-09-08-2020</v>
      </c>
      <c r="U1269" s="5"/>
      <c r="V1269" s="5"/>
      <c r="W1269" s="5"/>
      <c r="X1269" s="5"/>
      <c r="Y1269" s="5"/>
      <c r="Z1269" s="5"/>
      <c r="AA1269" s="5"/>
      <c r="AB1269" s="5"/>
      <c r="AC1269" s="5"/>
    </row>
    <row r="1270" spans="1:29" ht="12.5">
      <c r="A1270" s="5">
        <f ca="1">IFERROR(__xludf.DUMMYFUNCTION("""COMPUTED_VALUE"""),60789)</f>
        <v>60789</v>
      </c>
      <c r="B1270" s="5"/>
      <c r="C1270" s="5" t="str">
        <f ca="1">IFERROR(__xludf.DUMMYFUNCTION("""COMPUTED_VALUE"""),"Bihor")</f>
        <v>Bihor</v>
      </c>
      <c r="D1270" s="13">
        <f ca="1">IFERROR(__xludf.DUMMYFUNCTION("""COMPUTED_VALUE"""),44052)</f>
        <v>44052</v>
      </c>
      <c r="E1270" s="5" t="str">
        <f ca="1">IFERROR(__xludf.DUMMYFUNCTION("""COMPUTED_VALUE"""),"Nu")</f>
        <v>Nu</v>
      </c>
      <c r="F1270" s="5"/>
      <c r="G1270" s="5"/>
      <c r="H1270" s="6"/>
      <c r="I1270" s="5"/>
      <c r="J1270" s="5"/>
      <c r="K1270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70" s="5"/>
      <c r="M1270" s="5"/>
      <c r="N1270" s="5"/>
      <c r="O1270" s="5"/>
      <c r="P1270" s="5"/>
      <c r="Q1270" s="5"/>
      <c r="R1270" s="5" t="str">
        <f ca="1">IFERROR(__xludf.DUMMYFUNCTION("""COMPUTED_VALUE"""),"România")</f>
        <v>România</v>
      </c>
      <c r="S1270" s="5" t="str">
        <f ca="1">IFERROR(__xludf.DUMMYFUNCTION("""COMPUTED_VALUE"""),"Alex")</f>
        <v>Alex</v>
      </c>
      <c r="T1270" s="7" t="str">
        <f ca="1">IFERROR(__xludf.DUMMYFUNCTION("""COMPUTED_VALUE"""),"http://www.ms.ro/2020/08/09/buletin-informativ-09-08-2020")</f>
        <v>http://www.ms.ro/2020/08/09/buletin-informativ-09-08-2020</v>
      </c>
      <c r="U1270" s="5"/>
      <c r="V1270" s="5"/>
      <c r="W1270" s="5"/>
      <c r="X1270" s="5"/>
      <c r="Y1270" s="5"/>
      <c r="Z1270" s="5"/>
      <c r="AA1270" s="5"/>
      <c r="AB1270" s="5"/>
      <c r="AC1270" s="5"/>
    </row>
    <row r="1271" spans="1:29" ht="12.5">
      <c r="A1271" s="5">
        <f ca="1">IFERROR(__xludf.DUMMYFUNCTION("""COMPUTED_VALUE"""),60790)</f>
        <v>60790</v>
      </c>
      <c r="B1271" s="5"/>
      <c r="C1271" s="5" t="str">
        <f ca="1">IFERROR(__xludf.DUMMYFUNCTION("""COMPUTED_VALUE"""),"Bihor")</f>
        <v>Bihor</v>
      </c>
      <c r="D1271" s="13">
        <f ca="1">IFERROR(__xludf.DUMMYFUNCTION("""COMPUTED_VALUE"""),44052)</f>
        <v>44052</v>
      </c>
      <c r="E1271" s="5" t="str">
        <f ca="1">IFERROR(__xludf.DUMMYFUNCTION("""COMPUTED_VALUE"""),"Nu")</f>
        <v>Nu</v>
      </c>
      <c r="F1271" s="5"/>
      <c r="G1271" s="5"/>
      <c r="H1271" s="6"/>
      <c r="I1271" s="5"/>
      <c r="J1271" s="5"/>
      <c r="K1271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71" s="5"/>
      <c r="M1271" s="5"/>
      <c r="N1271" s="5"/>
      <c r="O1271" s="5"/>
      <c r="P1271" s="5"/>
      <c r="Q1271" s="5"/>
      <c r="R1271" s="5" t="str">
        <f ca="1">IFERROR(__xludf.DUMMYFUNCTION("""COMPUTED_VALUE"""),"România")</f>
        <v>România</v>
      </c>
      <c r="S1271" s="5" t="str">
        <f ca="1">IFERROR(__xludf.DUMMYFUNCTION("""COMPUTED_VALUE"""),"Alex")</f>
        <v>Alex</v>
      </c>
      <c r="T1271" s="7" t="str">
        <f ca="1">IFERROR(__xludf.DUMMYFUNCTION("""COMPUTED_VALUE"""),"http://www.ms.ro/2020/08/09/buletin-informativ-09-08-2020")</f>
        <v>http://www.ms.ro/2020/08/09/buletin-informativ-09-08-2020</v>
      </c>
      <c r="U1271" s="5"/>
      <c r="V1271" s="5"/>
      <c r="W1271" s="5"/>
      <c r="X1271" s="5"/>
      <c r="Y1271" s="5"/>
      <c r="Z1271" s="5"/>
      <c r="AA1271" s="5"/>
      <c r="AB1271" s="5"/>
      <c r="AC1271" s="5"/>
    </row>
    <row r="1272" spans="1:29" ht="12.5">
      <c r="A1272" s="5">
        <f ca="1">IFERROR(__xludf.DUMMYFUNCTION("""COMPUTED_VALUE"""),60791)</f>
        <v>60791</v>
      </c>
      <c r="B1272" s="5"/>
      <c r="C1272" s="5" t="str">
        <f ca="1">IFERROR(__xludf.DUMMYFUNCTION("""COMPUTED_VALUE"""),"Bihor")</f>
        <v>Bihor</v>
      </c>
      <c r="D1272" s="13">
        <f ca="1">IFERROR(__xludf.DUMMYFUNCTION("""COMPUTED_VALUE"""),44052)</f>
        <v>44052</v>
      </c>
      <c r="E1272" s="5" t="str">
        <f ca="1">IFERROR(__xludf.DUMMYFUNCTION("""COMPUTED_VALUE"""),"Nu")</f>
        <v>Nu</v>
      </c>
      <c r="F1272" s="5"/>
      <c r="G1272" s="5"/>
      <c r="H1272" s="6"/>
      <c r="I1272" s="5"/>
      <c r="J1272" s="5"/>
      <c r="K1272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72" s="5"/>
      <c r="M1272" s="5"/>
      <c r="N1272" s="5"/>
      <c r="O1272" s="5"/>
      <c r="P1272" s="5"/>
      <c r="Q1272" s="5"/>
      <c r="R1272" s="5" t="str">
        <f ca="1">IFERROR(__xludf.DUMMYFUNCTION("""COMPUTED_VALUE"""),"România")</f>
        <v>România</v>
      </c>
      <c r="S1272" s="5" t="str">
        <f ca="1">IFERROR(__xludf.DUMMYFUNCTION("""COMPUTED_VALUE"""),"Alex")</f>
        <v>Alex</v>
      </c>
      <c r="T1272" s="7" t="str">
        <f ca="1">IFERROR(__xludf.DUMMYFUNCTION("""COMPUTED_VALUE"""),"http://www.ms.ro/2020/08/09/buletin-informativ-09-08-2020")</f>
        <v>http://www.ms.ro/2020/08/09/buletin-informativ-09-08-2020</v>
      </c>
      <c r="U1272" s="5"/>
      <c r="V1272" s="5"/>
      <c r="W1272" s="5"/>
      <c r="X1272" s="5"/>
      <c r="Y1272" s="5"/>
      <c r="Z1272" s="5"/>
      <c r="AA1272" s="5"/>
      <c r="AB1272" s="5"/>
      <c r="AC1272" s="5"/>
    </row>
    <row r="1273" spans="1:29" ht="12.5">
      <c r="A1273" s="5">
        <f ca="1">IFERROR(__xludf.DUMMYFUNCTION("""COMPUTED_VALUE"""),60792)</f>
        <v>60792</v>
      </c>
      <c r="B1273" s="5"/>
      <c r="C1273" s="5" t="str">
        <f ca="1">IFERROR(__xludf.DUMMYFUNCTION("""COMPUTED_VALUE"""),"Bihor")</f>
        <v>Bihor</v>
      </c>
      <c r="D1273" s="13">
        <f ca="1">IFERROR(__xludf.DUMMYFUNCTION("""COMPUTED_VALUE"""),44052)</f>
        <v>44052</v>
      </c>
      <c r="E1273" s="5" t="str">
        <f ca="1">IFERROR(__xludf.DUMMYFUNCTION("""COMPUTED_VALUE"""),"Nu")</f>
        <v>Nu</v>
      </c>
      <c r="F1273" s="5"/>
      <c r="G1273" s="5"/>
      <c r="H1273" s="6"/>
      <c r="I1273" s="5"/>
      <c r="J1273" s="5"/>
      <c r="K1273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73" s="5"/>
      <c r="M1273" s="5"/>
      <c r="N1273" s="5"/>
      <c r="O1273" s="5"/>
      <c r="P1273" s="5"/>
      <c r="Q1273" s="5"/>
      <c r="R1273" s="5" t="str">
        <f ca="1">IFERROR(__xludf.DUMMYFUNCTION("""COMPUTED_VALUE"""),"România")</f>
        <v>România</v>
      </c>
      <c r="S1273" s="5" t="str">
        <f ca="1">IFERROR(__xludf.DUMMYFUNCTION("""COMPUTED_VALUE"""),"Alex")</f>
        <v>Alex</v>
      </c>
      <c r="T1273" s="7" t="str">
        <f ca="1">IFERROR(__xludf.DUMMYFUNCTION("""COMPUTED_VALUE"""),"http://www.ms.ro/2020/08/09/buletin-informativ-09-08-2020")</f>
        <v>http://www.ms.ro/2020/08/09/buletin-informativ-09-08-2020</v>
      </c>
      <c r="U1273" s="5"/>
      <c r="V1273" s="5"/>
      <c r="W1273" s="5"/>
      <c r="X1273" s="5"/>
      <c r="Y1273" s="5"/>
      <c r="Z1273" s="5"/>
      <c r="AA1273" s="5"/>
      <c r="AB1273" s="5"/>
      <c r="AC1273" s="5"/>
    </row>
    <row r="1274" spans="1:29" ht="12.5">
      <c r="A1274" s="5">
        <f ca="1">IFERROR(__xludf.DUMMYFUNCTION("""COMPUTED_VALUE"""),60793)</f>
        <v>60793</v>
      </c>
      <c r="B1274" s="5"/>
      <c r="C1274" s="5" t="str">
        <f ca="1">IFERROR(__xludf.DUMMYFUNCTION("""COMPUTED_VALUE"""),"Bihor")</f>
        <v>Bihor</v>
      </c>
      <c r="D1274" s="13">
        <f ca="1">IFERROR(__xludf.DUMMYFUNCTION("""COMPUTED_VALUE"""),44052)</f>
        <v>44052</v>
      </c>
      <c r="E1274" s="5" t="str">
        <f ca="1">IFERROR(__xludf.DUMMYFUNCTION("""COMPUTED_VALUE"""),"Nu")</f>
        <v>Nu</v>
      </c>
      <c r="F1274" s="5"/>
      <c r="G1274" s="5"/>
      <c r="H1274" s="6"/>
      <c r="I1274" s="5"/>
      <c r="J1274" s="5"/>
      <c r="K1274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74" s="5"/>
      <c r="M1274" s="5"/>
      <c r="N1274" s="5"/>
      <c r="O1274" s="5"/>
      <c r="P1274" s="5"/>
      <c r="Q1274" s="5"/>
      <c r="R1274" s="5" t="str">
        <f ca="1">IFERROR(__xludf.DUMMYFUNCTION("""COMPUTED_VALUE"""),"România")</f>
        <v>România</v>
      </c>
      <c r="S1274" s="5" t="str">
        <f ca="1">IFERROR(__xludf.DUMMYFUNCTION("""COMPUTED_VALUE"""),"Alex")</f>
        <v>Alex</v>
      </c>
      <c r="T1274" s="7" t="str">
        <f ca="1">IFERROR(__xludf.DUMMYFUNCTION("""COMPUTED_VALUE"""),"http://www.ms.ro/2020/08/09/buletin-informativ-09-08-2020")</f>
        <v>http://www.ms.ro/2020/08/09/buletin-informativ-09-08-2020</v>
      </c>
      <c r="U1274" s="5"/>
      <c r="V1274" s="5"/>
      <c r="W1274" s="5"/>
      <c r="X1274" s="5"/>
      <c r="Y1274" s="5"/>
      <c r="Z1274" s="5"/>
      <c r="AA1274" s="5"/>
      <c r="AB1274" s="5"/>
      <c r="AC1274" s="5"/>
    </row>
    <row r="1275" spans="1:29" ht="12.5">
      <c r="A1275" s="5">
        <f ca="1">IFERROR(__xludf.DUMMYFUNCTION("""COMPUTED_VALUE"""),60794)</f>
        <v>60794</v>
      </c>
      <c r="B1275" s="5"/>
      <c r="C1275" s="5" t="str">
        <f ca="1">IFERROR(__xludf.DUMMYFUNCTION("""COMPUTED_VALUE"""),"Bihor")</f>
        <v>Bihor</v>
      </c>
      <c r="D1275" s="13">
        <f ca="1">IFERROR(__xludf.DUMMYFUNCTION("""COMPUTED_VALUE"""),44052)</f>
        <v>44052</v>
      </c>
      <c r="E1275" s="5" t="str">
        <f ca="1">IFERROR(__xludf.DUMMYFUNCTION("""COMPUTED_VALUE"""),"Nu")</f>
        <v>Nu</v>
      </c>
      <c r="F1275" s="5"/>
      <c r="G1275" s="5"/>
      <c r="H1275" s="6"/>
      <c r="I1275" s="5"/>
      <c r="J1275" s="5"/>
      <c r="K1275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75" s="5"/>
      <c r="M1275" s="5"/>
      <c r="N1275" s="5"/>
      <c r="O1275" s="5"/>
      <c r="P1275" s="5"/>
      <c r="Q1275" s="5"/>
      <c r="R1275" s="5" t="str">
        <f ca="1">IFERROR(__xludf.DUMMYFUNCTION("""COMPUTED_VALUE"""),"România")</f>
        <v>România</v>
      </c>
      <c r="S1275" s="5" t="str">
        <f ca="1">IFERROR(__xludf.DUMMYFUNCTION("""COMPUTED_VALUE"""),"Alex")</f>
        <v>Alex</v>
      </c>
      <c r="T1275" s="7" t="str">
        <f ca="1">IFERROR(__xludf.DUMMYFUNCTION("""COMPUTED_VALUE"""),"http://www.ms.ro/2020/08/09/buletin-informativ-09-08-2020")</f>
        <v>http://www.ms.ro/2020/08/09/buletin-informativ-09-08-2020</v>
      </c>
      <c r="U1275" s="5"/>
      <c r="V1275" s="5"/>
      <c r="W1275" s="5"/>
      <c r="X1275" s="5"/>
      <c r="Y1275" s="5"/>
      <c r="Z1275" s="5"/>
      <c r="AA1275" s="5"/>
      <c r="AB1275" s="5"/>
      <c r="AC1275" s="5"/>
    </row>
    <row r="1276" spans="1:29" ht="12.5">
      <c r="A1276" s="5">
        <f ca="1">IFERROR(__xludf.DUMMYFUNCTION("""COMPUTED_VALUE"""),60795)</f>
        <v>60795</v>
      </c>
      <c r="B1276" s="5"/>
      <c r="C1276" s="5" t="str">
        <f ca="1">IFERROR(__xludf.DUMMYFUNCTION("""COMPUTED_VALUE"""),"Bihor")</f>
        <v>Bihor</v>
      </c>
      <c r="D1276" s="13">
        <f ca="1">IFERROR(__xludf.DUMMYFUNCTION("""COMPUTED_VALUE"""),44052)</f>
        <v>44052</v>
      </c>
      <c r="E1276" s="5" t="str">
        <f ca="1">IFERROR(__xludf.DUMMYFUNCTION("""COMPUTED_VALUE"""),"Nu")</f>
        <v>Nu</v>
      </c>
      <c r="F1276" s="5"/>
      <c r="G1276" s="5"/>
      <c r="H1276" s="6"/>
      <c r="I1276" s="5"/>
      <c r="J1276" s="5"/>
      <c r="K1276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76" s="5"/>
      <c r="M1276" s="5"/>
      <c r="N1276" s="5"/>
      <c r="O1276" s="5"/>
      <c r="P1276" s="5"/>
      <c r="Q1276" s="5"/>
      <c r="R1276" s="5" t="str">
        <f ca="1">IFERROR(__xludf.DUMMYFUNCTION("""COMPUTED_VALUE"""),"România")</f>
        <v>România</v>
      </c>
      <c r="S1276" s="5" t="str">
        <f ca="1">IFERROR(__xludf.DUMMYFUNCTION("""COMPUTED_VALUE"""),"Alex")</f>
        <v>Alex</v>
      </c>
      <c r="T1276" s="7" t="str">
        <f ca="1">IFERROR(__xludf.DUMMYFUNCTION("""COMPUTED_VALUE"""),"http://www.ms.ro/2020/08/09/buletin-informativ-09-08-2020")</f>
        <v>http://www.ms.ro/2020/08/09/buletin-informativ-09-08-2020</v>
      </c>
      <c r="U1276" s="5"/>
      <c r="V1276" s="5"/>
      <c r="W1276" s="5"/>
      <c r="X1276" s="5"/>
      <c r="Y1276" s="5"/>
      <c r="Z1276" s="5"/>
      <c r="AA1276" s="5"/>
      <c r="AB1276" s="5"/>
      <c r="AC1276" s="5"/>
    </row>
    <row r="1277" spans="1:29" ht="12.5">
      <c r="A1277" s="5">
        <f ca="1">IFERROR(__xludf.DUMMYFUNCTION("""COMPUTED_VALUE"""),60796)</f>
        <v>60796</v>
      </c>
      <c r="B1277" s="5"/>
      <c r="C1277" s="5" t="str">
        <f ca="1">IFERROR(__xludf.DUMMYFUNCTION("""COMPUTED_VALUE"""),"Bihor")</f>
        <v>Bihor</v>
      </c>
      <c r="D1277" s="13">
        <f ca="1">IFERROR(__xludf.DUMMYFUNCTION("""COMPUTED_VALUE"""),44052)</f>
        <v>44052</v>
      </c>
      <c r="E1277" s="5" t="str">
        <f ca="1">IFERROR(__xludf.DUMMYFUNCTION("""COMPUTED_VALUE"""),"Nu")</f>
        <v>Nu</v>
      </c>
      <c r="F1277" s="5"/>
      <c r="G1277" s="5"/>
      <c r="H1277" s="6"/>
      <c r="I1277" s="5"/>
      <c r="J1277" s="5"/>
      <c r="K1277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77" s="5"/>
      <c r="M1277" s="5"/>
      <c r="N1277" s="5"/>
      <c r="O1277" s="5"/>
      <c r="P1277" s="5"/>
      <c r="Q1277" s="5"/>
      <c r="R1277" s="5" t="str">
        <f ca="1">IFERROR(__xludf.DUMMYFUNCTION("""COMPUTED_VALUE"""),"România")</f>
        <v>România</v>
      </c>
      <c r="S1277" s="5" t="str">
        <f ca="1">IFERROR(__xludf.DUMMYFUNCTION("""COMPUTED_VALUE"""),"Alex")</f>
        <v>Alex</v>
      </c>
      <c r="T1277" s="7" t="str">
        <f ca="1">IFERROR(__xludf.DUMMYFUNCTION("""COMPUTED_VALUE"""),"http://www.ms.ro/2020/08/09/buletin-informativ-09-08-2020")</f>
        <v>http://www.ms.ro/2020/08/09/buletin-informativ-09-08-2020</v>
      </c>
      <c r="U1277" s="5"/>
      <c r="V1277" s="5"/>
      <c r="W1277" s="5"/>
      <c r="X1277" s="5"/>
      <c r="Y1277" s="5"/>
      <c r="Z1277" s="5"/>
      <c r="AA1277" s="5"/>
      <c r="AB1277" s="5"/>
      <c r="AC1277" s="5"/>
    </row>
    <row r="1278" spans="1:29" ht="12.5">
      <c r="A1278" s="5">
        <f ca="1">IFERROR(__xludf.DUMMYFUNCTION("""COMPUTED_VALUE"""),60797)</f>
        <v>60797</v>
      </c>
      <c r="B1278" s="5"/>
      <c r="C1278" s="5" t="str">
        <f ca="1">IFERROR(__xludf.DUMMYFUNCTION("""COMPUTED_VALUE"""),"Bihor")</f>
        <v>Bihor</v>
      </c>
      <c r="D1278" s="13">
        <f ca="1">IFERROR(__xludf.DUMMYFUNCTION("""COMPUTED_VALUE"""),44052)</f>
        <v>44052</v>
      </c>
      <c r="E1278" s="5" t="str">
        <f ca="1">IFERROR(__xludf.DUMMYFUNCTION("""COMPUTED_VALUE"""),"Nu")</f>
        <v>Nu</v>
      </c>
      <c r="F1278" s="5"/>
      <c r="G1278" s="5"/>
      <c r="H1278" s="6"/>
      <c r="I1278" s="5"/>
      <c r="J1278" s="5"/>
      <c r="K1278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78" s="5"/>
      <c r="M1278" s="5"/>
      <c r="N1278" s="5"/>
      <c r="O1278" s="5"/>
      <c r="P1278" s="5"/>
      <c r="Q1278" s="5"/>
      <c r="R1278" s="5" t="str">
        <f ca="1">IFERROR(__xludf.DUMMYFUNCTION("""COMPUTED_VALUE"""),"România")</f>
        <v>România</v>
      </c>
      <c r="S1278" s="5" t="str">
        <f ca="1">IFERROR(__xludf.DUMMYFUNCTION("""COMPUTED_VALUE"""),"Alex")</f>
        <v>Alex</v>
      </c>
      <c r="T1278" s="7" t="str">
        <f ca="1">IFERROR(__xludf.DUMMYFUNCTION("""COMPUTED_VALUE"""),"http://www.ms.ro/2020/08/09/buletin-informativ-09-08-2020")</f>
        <v>http://www.ms.ro/2020/08/09/buletin-informativ-09-08-2020</v>
      </c>
      <c r="U1278" s="5"/>
      <c r="V1278" s="5"/>
      <c r="W1278" s="5"/>
      <c r="X1278" s="5"/>
      <c r="Y1278" s="5"/>
      <c r="Z1278" s="5"/>
      <c r="AA1278" s="5"/>
      <c r="AB1278" s="5"/>
      <c r="AC1278" s="5"/>
    </row>
    <row r="1279" spans="1:29" ht="12.5">
      <c r="A1279" s="5">
        <f ca="1">IFERROR(__xludf.DUMMYFUNCTION("""COMPUTED_VALUE"""),60798)</f>
        <v>60798</v>
      </c>
      <c r="B1279" s="5"/>
      <c r="C1279" s="5" t="str">
        <f ca="1">IFERROR(__xludf.DUMMYFUNCTION("""COMPUTED_VALUE"""),"Bihor")</f>
        <v>Bihor</v>
      </c>
      <c r="D1279" s="13">
        <f ca="1">IFERROR(__xludf.DUMMYFUNCTION("""COMPUTED_VALUE"""),44052)</f>
        <v>44052</v>
      </c>
      <c r="E1279" s="5" t="str">
        <f ca="1">IFERROR(__xludf.DUMMYFUNCTION("""COMPUTED_VALUE"""),"Nu")</f>
        <v>Nu</v>
      </c>
      <c r="F1279" s="5"/>
      <c r="G1279" s="5"/>
      <c r="H1279" s="6"/>
      <c r="I1279" s="5"/>
      <c r="J1279" s="5"/>
      <c r="K1279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79" s="5"/>
      <c r="M1279" s="5"/>
      <c r="N1279" s="5"/>
      <c r="O1279" s="5"/>
      <c r="P1279" s="5"/>
      <c r="Q1279" s="5"/>
      <c r="R1279" s="5" t="str">
        <f ca="1">IFERROR(__xludf.DUMMYFUNCTION("""COMPUTED_VALUE"""),"România")</f>
        <v>România</v>
      </c>
      <c r="S1279" s="5" t="str">
        <f ca="1">IFERROR(__xludf.DUMMYFUNCTION("""COMPUTED_VALUE"""),"Alex")</f>
        <v>Alex</v>
      </c>
      <c r="T1279" s="7" t="str">
        <f ca="1">IFERROR(__xludf.DUMMYFUNCTION("""COMPUTED_VALUE"""),"http://www.ms.ro/2020/08/09/buletin-informativ-09-08-2020")</f>
        <v>http://www.ms.ro/2020/08/09/buletin-informativ-09-08-2020</v>
      </c>
      <c r="U1279" s="5"/>
      <c r="V1279" s="5"/>
      <c r="W1279" s="5"/>
      <c r="X1279" s="5"/>
      <c r="Y1279" s="5"/>
      <c r="Z1279" s="5"/>
      <c r="AA1279" s="5"/>
      <c r="AB1279" s="5"/>
      <c r="AC1279" s="5"/>
    </row>
    <row r="1280" spans="1:29" ht="12.5">
      <c r="A1280" s="5">
        <f ca="1">IFERROR(__xludf.DUMMYFUNCTION("""COMPUTED_VALUE"""),60799)</f>
        <v>60799</v>
      </c>
      <c r="B1280" s="5"/>
      <c r="C1280" s="5" t="str">
        <f ca="1">IFERROR(__xludf.DUMMYFUNCTION("""COMPUTED_VALUE"""),"Bihor")</f>
        <v>Bihor</v>
      </c>
      <c r="D1280" s="13">
        <f ca="1">IFERROR(__xludf.DUMMYFUNCTION("""COMPUTED_VALUE"""),44052)</f>
        <v>44052</v>
      </c>
      <c r="E1280" s="5" t="str">
        <f ca="1">IFERROR(__xludf.DUMMYFUNCTION("""COMPUTED_VALUE"""),"Nu")</f>
        <v>Nu</v>
      </c>
      <c r="F1280" s="5"/>
      <c r="G1280" s="5"/>
      <c r="H1280" s="6"/>
      <c r="I1280" s="5"/>
      <c r="J1280" s="5"/>
      <c r="K1280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80" s="5"/>
      <c r="M1280" s="5"/>
      <c r="N1280" s="5"/>
      <c r="O1280" s="5"/>
      <c r="P1280" s="5"/>
      <c r="Q1280" s="5"/>
      <c r="R1280" s="5" t="str">
        <f ca="1">IFERROR(__xludf.DUMMYFUNCTION("""COMPUTED_VALUE"""),"România")</f>
        <v>România</v>
      </c>
      <c r="S1280" s="5" t="str">
        <f ca="1">IFERROR(__xludf.DUMMYFUNCTION("""COMPUTED_VALUE"""),"Alex")</f>
        <v>Alex</v>
      </c>
      <c r="T1280" s="7" t="str">
        <f ca="1">IFERROR(__xludf.DUMMYFUNCTION("""COMPUTED_VALUE"""),"http://www.ms.ro/2020/08/09/buletin-informativ-09-08-2020")</f>
        <v>http://www.ms.ro/2020/08/09/buletin-informativ-09-08-2020</v>
      </c>
      <c r="U1280" s="5"/>
      <c r="V1280" s="5"/>
      <c r="W1280" s="5"/>
      <c r="X1280" s="5"/>
      <c r="Y1280" s="5"/>
      <c r="Z1280" s="5"/>
      <c r="AA1280" s="5"/>
      <c r="AB1280" s="5"/>
      <c r="AC1280" s="5"/>
    </row>
    <row r="1281" spans="1:29" ht="12.5">
      <c r="A1281" s="5">
        <f ca="1">IFERROR(__xludf.DUMMYFUNCTION("""COMPUTED_VALUE"""),60800)</f>
        <v>60800</v>
      </c>
      <c r="B1281" s="5"/>
      <c r="C1281" s="5" t="str">
        <f ca="1">IFERROR(__xludf.DUMMYFUNCTION("""COMPUTED_VALUE"""),"Bihor")</f>
        <v>Bihor</v>
      </c>
      <c r="D1281" s="13">
        <f ca="1">IFERROR(__xludf.DUMMYFUNCTION("""COMPUTED_VALUE"""),44052)</f>
        <v>44052</v>
      </c>
      <c r="E1281" s="5" t="str">
        <f ca="1">IFERROR(__xludf.DUMMYFUNCTION("""COMPUTED_VALUE"""),"Nu")</f>
        <v>Nu</v>
      </c>
      <c r="F1281" s="5"/>
      <c r="G1281" s="5"/>
      <c r="H1281" s="6"/>
      <c r="I1281" s="5"/>
      <c r="J1281" s="5"/>
      <c r="K1281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81" s="5"/>
      <c r="M1281" s="5"/>
      <c r="N1281" s="5"/>
      <c r="O1281" s="5"/>
      <c r="P1281" s="5"/>
      <c r="Q1281" s="5"/>
      <c r="R1281" s="5" t="str">
        <f ca="1">IFERROR(__xludf.DUMMYFUNCTION("""COMPUTED_VALUE"""),"România")</f>
        <v>România</v>
      </c>
      <c r="S1281" s="5" t="str">
        <f ca="1">IFERROR(__xludf.DUMMYFUNCTION("""COMPUTED_VALUE"""),"Alex")</f>
        <v>Alex</v>
      </c>
      <c r="T1281" s="7" t="str">
        <f ca="1">IFERROR(__xludf.DUMMYFUNCTION("""COMPUTED_VALUE"""),"http://www.ms.ro/2020/08/09/buletin-informativ-09-08-2020")</f>
        <v>http://www.ms.ro/2020/08/09/buletin-informativ-09-08-2020</v>
      </c>
      <c r="U1281" s="5"/>
      <c r="V1281" s="5"/>
      <c r="W1281" s="5"/>
      <c r="X1281" s="5"/>
      <c r="Y1281" s="5"/>
      <c r="Z1281" s="5"/>
      <c r="AA1281" s="5"/>
      <c r="AB1281" s="5"/>
      <c r="AC1281" s="5"/>
    </row>
    <row r="1282" spans="1:29" ht="12.5">
      <c r="A1282" s="5">
        <f ca="1">IFERROR(__xludf.DUMMYFUNCTION("""COMPUTED_VALUE"""),60801)</f>
        <v>60801</v>
      </c>
      <c r="B1282" s="5"/>
      <c r="C1282" s="5" t="str">
        <f ca="1">IFERROR(__xludf.DUMMYFUNCTION("""COMPUTED_VALUE"""),"Bihor")</f>
        <v>Bihor</v>
      </c>
      <c r="D1282" s="13">
        <f ca="1">IFERROR(__xludf.DUMMYFUNCTION("""COMPUTED_VALUE"""),44052)</f>
        <v>44052</v>
      </c>
      <c r="E1282" s="5" t="str">
        <f ca="1">IFERROR(__xludf.DUMMYFUNCTION("""COMPUTED_VALUE"""),"Nu")</f>
        <v>Nu</v>
      </c>
      <c r="F1282" s="5"/>
      <c r="G1282" s="5"/>
      <c r="H1282" s="6"/>
      <c r="I1282" s="5"/>
      <c r="J1282" s="5"/>
      <c r="K1282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82" s="5"/>
      <c r="M1282" s="5"/>
      <c r="N1282" s="5"/>
      <c r="O1282" s="5"/>
      <c r="P1282" s="5"/>
      <c r="Q1282" s="5"/>
      <c r="R1282" s="5" t="str">
        <f ca="1">IFERROR(__xludf.DUMMYFUNCTION("""COMPUTED_VALUE"""),"România")</f>
        <v>România</v>
      </c>
      <c r="S1282" s="5" t="str">
        <f ca="1">IFERROR(__xludf.DUMMYFUNCTION("""COMPUTED_VALUE"""),"Alex")</f>
        <v>Alex</v>
      </c>
      <c r="T1282" s="7" t="str">
        <f ca="1">IFERROR(__xludf.DUMMYFUNCTION("""COMPUTED_VALUE"""),"http://www.ms.ro/2020/08/09/buletin-informativ-09-08-2020")</f>
        <v>http://www.ms.ro/2020/08/09/buletin-informativ-09-08-2020</v>
      </c>
      <c r="U1282" s="5"/>
      <c r="V1282" s="5"/>
      <c r="W1282" s="5"/>
      <c r="X1282" s="5"/>
      <c r="Y1282" s="5"/>
      <c r="Z1282" s="5"/>
      <c r="AA1282" s="5"/>
      <c r="AB1282" s="5"/>
      <c r="AC1282" s="5"/>
    </row>
    <row r="1283" spans="1:29" ht="12.5">
      <c r="A1283" s="5">
        <f ca="1">IFERROR(__xludf.DUMMYFUNCTION("""COMPUTED_VALUE"""),60802)</f>
        <v>60802</v>
      </c>
      <c r="B1283" s="5"/>
      <c r="C1283" s="5" t="str">
        <f ca="1">IFERROR(__xludf.DUMMYFUNCTION("""COMPUTED_VALUE"""),"Bihor")</f>
        <v>Bihor</v>
      </c>
      <c r="D1283" s="13">
        <f ca="1">IFERROR(__xludf.DUMMYFUNCTION("""COMPUTED_VALUE"""),44052)</f>
        <v>44052</v>
      </c>
      <c r="E1283" s="5" t="str">
        <f ca="1">IFERROR(__xludf.DUMMYFUNCTION("""COMPUTED_VALUE"""),"Nu")</f>
        <v>Nu</v>
      </c>
      <c r="F1283" s="5"/>
      <c r="G1283" s="5"/>
      <c r="H1283" s="6"/>
      <c r="I1283" s="5"/>
      <c r="J1283" s="5"/>
      <c r="K1283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83" s="5"/>
      <c r="M1283" s="5"/>
      <c r="N1283" s="5"/>
      <c r="O1283" s="5"/>
      <c r="P1283" s="5"/>
      <c r="Q1283" s="5"/>
      <c r="R1283" s="5" t="str">
        <f ca="1">IFERROR(__xludf.DUMMYFUNCTION("""COMPUTED_VALUE"""),"România")</f>
        <v>România</v>
      </c>
      <c r="S1283" s="5" t="str">
        <f ca="1">IFERROR(__xludf.DUMMYFUNCTION("""COMPUTED_VALUE"""),"Alex")</f>
        <v>Alex</v>
      </c>
      <c r="T1283" s="7" t="str">
        <f ca="1">IFERROR(__xludf.DUMMYFUNCTION("""COMPUTED_VALUE"""),"http://www.ms.ro/2020/08/09/buletin-informativ-09-08-2020")</f>
        <v>http://www.ms.ro/2020/08/09/buletin-informativ-09-08-2020</v>
      </c>
      <c r="U1283" s="5"/>
      <c r="V1283" s="5"/>
      <c r="W1283" s="5"/>
      <c r="X1283" s="5"/>
      <c r="Y1283" s="5"/>
      <c r="Z1283" s="5"/>
      <c r="AA1283" s="5"/>
      <c r="AB1283" s="5"/>
      <c r="AC1283" s="5"/>
    </row>
    <row r="1284" spans="1:29" ht="12.5">
      <c r="A1284" s="5">
        <f ca="1">IFERROR(__xludf.DUMMYFUNCTION("""COMPUTED_VALUE"""),60803)</f>
        <v>60803</v>
      </c>
      <c r="B1284" s="5"/>
      <c r="C1284" s="5" t="str">
        <f ca="1">IFERROR(__xludf.DUMMYFUNCTION("""COMPUTED_VALUE"""),"Bihor")</f>
        <v>Bihor</v>
      </c>
      <c r="D1284" s="13">
        <f ca="1">IFERROR(__xludf.DUMMYFUNCTION("""COMPUTED_VALUE"""),44052)</f>
        <v>44052</v>
      </c>
      <c r="E1284" s="5" t="str">
        <f ca="1">IFERROR(__xludf.DUMMYFUNCTION("""COMPUTED_VALUE"""),"Nu")</f>
        <v>Nu</v>
      </c>
      <c r="F1284" s="5"/>
      <c r="G1284" s="5"/>
      <c r="H1284" s="6"/>
      <c r="I1284" s="5"/>
      <c r="J1284" s="5"/>
      <c r="K1284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84" s="5"/>
      <c r="M1284" s="5"/>
      <c r="N1284" s="5"/>
      <c r="O1284" s="5"/>
      <c r="P1284" s="5"/>
      <c r="Q1284" s="5"/>
      <c r="R1284" s="5" t="str">
        <f ca="1">IFERROR(__xludf.DUMMYFUNCTION("""COMPUTED_VALUE"""),"România")</f>
        <v>România</v>
      </c>
      <c r="S1284" s="5" t="str">
        <f ca="1">IFERROR(__xludf.DUMMYFUNCTION("""COMPUTED_VALUE"""),"Alex")</f>
        <v>Alex</v>
      </c>
      <c r="T1284" s="7" t="str">
        <f ca="1">IFERROR(__xludf.DUMMYFUNCTION("""COMPUTED_VALUE"""),"http://www.ms.ro/2020/08/09/buletin-informativ-09-08-2020")</f>
        <v>http://www.ms.ro/2020/08/09/buletin-informativ-09-08-2020</v>
      </c>
      <c r="U1284" s="5"/>
      <c r="V1284" s="5"/>
      <c r="W1284" s="5"/>
      <c r="X1284" s="5"/>
      <c r="Y1284" s="5"/>
      <c r="Z1284" s="5"/>
      <c r="AA1284" s="5"/>
      <c r="AB1284" s="5"/>
      <c r="AC1284" s="5"/>
    </row>
    <row r="1285" spans="1:29" ht="12.5">
      <c r="A1285" s="5">
        <f ca="1">IFERROR(__xludf.DUMMYFUNCTION("""COMPUTED_VALUE"""),60804)</f>
        <v>60804</v>
      </c>
      <c r="B1285" s="5"/>
      <c r="C1285" s="5" t="str">
        <f ca="1">IFERROR(__xludf.DUMMYFUNCTION("""COMPUTED_VALUE"""),"Bihor")</f>
        <v>Bihor</v>
      </c>
      <c r="D1285" s="13">
        <f ca="1">IFERROR(__xludf.DUMMYFUNCTION("""COMPUTED_VALUE"""),44052)</f>
        <v>44052</v>
      </c>
      <c r="E1285" s="5" t="str">
        <f ca="1">IFERROR(__xludf.DUMMYFUNCTION("""COMPUTED_VALUE"""),"Nu")</f>
        <v>Nu</v>
      </c>
      <c r="F1285" s="5"/>
      <c r="G1285" s="5"/>
      <c r="H1285" s="6"/>
      <c r="I1285" s="5"/>
      <c r="J1285" s="5"/>
      <c r="K1285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85" s="5"/>
      <c r="M1285" s="5"/>
      <c r="N1285" s="5"/>
      <c r="O1285" s="5"/>
      <c r="P1285" s="5"/>
      <c r="Q1285" s="5"/>
      <c r="R1285" s="5" t="str">
        <f ca="1">IFERROR(__xludf.DUMMYFUNCTION("""COMPUTED_VALUE"""),"România")</f>
        <v>România</v>
      </c>
      <c r="S1285" s="5" t="str">
        <f ca="1">IFERROR(__xludf.DUMMYFUNCTION("""COMPUTED_VALUE"""),"Alex")</f>
        <v>Alex</v>
      </c>
      <c r="T1285" s="7" t="str">
        <f ca="1">IFERROR(__xludf.DUMMYFUNCTION("""COMPUTED_VALUE"""),"http://www.ms.ro/2020/08/09/buletin-informativ-09-08-2020")</f>
        <v>http://www.ms.ro/2020/08/09/buletin-informativ-09-08-2020</v>
      </c>
      <c r="U1285" s="5"/>
      <c r="V1285" s="5"/>
      <c r="W1285" s="5"/>
      <c r="X1285" s="5"/>
      <c r="Y1285" s="5"/>
      <c r="Z1285" s="5"/>
      <c r="AA1285" s="5"/>
      <c r="AB1285" s="5"/>
      <c r="AC1285" s="5"/>
    </row>
    <row r="1286" spans="1:29" ht="12.5">
      <c r="A1286" s="5">
        <f ca="1">IFERROR(__xludf.DUMMYFUNCTION("""COMPUTED_VALUE"""),60805)</f>
        <v>60805</v>
      </c>
      <c r="B1286" s="5"/>
      <c r="C1286" s="5" t="str">
        <f ca="1">IFERROR(__xludf.DUMMYFUNCTION("""COMPUTED_VALUE"""),"Bihor")</f>
        <v>Bihor</v>
      </c>
      <c r="D1286" s="13">
        <f ca="1">IFERROR(__xludf.DUMMYFUNCTION("""COMPUTED_VALUE"""),44052)</f>
        <v>44052</v>
      </c>
      <c r="E1286" s="5" t="str">
        <f ca="1">IFERROR(__xludf.DUMMYFUNCTION("""COMPUTED_VALUE"""),"Nu")</f>
        <v>Nu</v>
      </c>
      <c r="F1286" s="5"/>
      <c r="G1286" s="5"/>
      <c r="H1286" s="6"/>
      <c r="I1286" s="5"/>
      <c r="J1286" s="5"/>
      <c r="K1286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86" s="5"/>
      <c r="M1286" s="5"/>
      <c r="N1286" s="5"/>
      <c r="O1286" s="5"/>
      <c r="P1286" s="5"/>
      <c r="Q1286" s="5"/>
      <c r="R1286" s="5" t="str">
        <f ca="1">IFERROR(__xludf.DUMMYFUNCTION("""COMPUTED_VALUE"""),"România")</f>
        <v>România</v>
      </c>
      <c r="S1286" s="5" t="str">
        <f ca="1">IFERROR(__xludf.DUMMYFUNCTION("""COMPUTED_VALUE"""),"Alex")</f>
        <v>Alex</v>
      </c>
      <c r="T1286" s="7" t="str">
        <f ca="1">IFERROR(__xludf.DUMMYFUNCTION("""COMPUTED_VALUE"""),"http://www.ms.ro/2020/08/09/buletin-informativ-09-08-2020")</f>
        <v>http://www.ms.ro/2020/08/09/buletin-informativ-09-08-2020</v>
      </c>
      <c r="U1286" s="5"/>
      <c r="V1286" s="5"/>
      <c r="W1286" s="5"/>
      <c r="X1286" s="5"/>
      <c r="Y1286" s="5"/>
      <c r="Z1286" s="5"/>
      <c r="AA1286" s="5"/>
      <c r="AB1286" s="5"/>
      <c r="AC1286" s="5"/>
    </row>
    <row r="1287" spans="1:29" ht="12.5">
      <c r="A1287" s="5">
        <f ca="1">IFERROR(__xludf.DUMMYFUNCTION("""COMPUTED_VALUE"""),60806)</f>
        <v>60806</v>
      </c>
      <c r="B1287" s="5"/>
      <c r="C1287" s="5" t="str">
        <f ca="1">IFERROR(__xludf.DUMMYFUNCTION("""COMPUTED_VALUE"""),"Bihor")</f>
        <v>Bihor</v>
      </c>
      <c r="D1287" s="13">
        <f ca="1">IFERROR(__xludf.DUMMYFUNCTION("""COMPUTED_VALUE"""),44052)</f>
        <v>44052</v>
      </c>
      <c r="E1287" s="5" t="str">
        <f ca="1">IFERROR(__xludf.DUMMYFUNCTION("""COMPUTED_VALUE"""),"Nu")</f>
        <v>Nu</v>
      </c>
      <c r="F1287" s="5"/>
      <c r="G1287" s="5"/>
      <c r="H1287" s="6"/>
      <c r="I1287" s="5"/>
      <c r="J1287" s="5"/>
      <c r="K1287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87" s="5"/>
      <c r="M1287" s="5"/>
      <c r="N1287" s="5"/>
      <c r="O1287" s="5"/>
      <c r="P1287" s="5"/>
      <c r="Q1287" s="5"/>
      <c r="R1287" s="5" t="str">
        <f ca="1">IFERROR(__xludf.DUMMYFUNCTION("""COMPUTED_VALUE"""),"România")</f>
        <v>România</v>
      </c>
      <c r="S1287" s="5" t="str">
        <f ca="1">IFERROR(__xludf.DUMMYFUNCTION("""COMPUTED_VALUE"""),"Alex")</f>
        <v>Alex</v>
      </c>
      <c r="T1287" s="7" t="str">
        <f ca="1">IFERROR(__xludf.DUMMYFUNCTION("""COMPUTED_VALUE"""),"http://www.ms.ro/2020/08/09/buletin-informativ-09-08-2020")</f>
        <v>http://www.ms.ro/2020/08/09/buletin-informativ-09-08-2020</v>
      </c>
      <c r="U1287" s="5"/>
      <c r="V1287" s="5"/>
      <c r="W1287" s="5"/>
      <c r="X1287" s="5"/>
      <c r="Y1287" s="5"/>
      <c r="Z1287" s="5"/>
      <c r="AA1287" s="5"/>
      <c r="AB1287" s="5"/>
      <c r="AC1287" s="5"/>
    </row>
    <row r="1288" spans="1:29" ht="12.5">
      <c r="A1288" s="5">
        <f ca="1">IFERROR(__xludf.DUMMYFUNCTION("""COMPUTED_VALUE"""),60807)</f>
        <v>60807</v>
      </c>
      <c r="B1288" s="5"/>
      <c r="C1288" s="5" t="str">
        <f ca="1">IFERROR(__xludf.DUMMYFUNCTION("""COMPUTED_VALUE"""),"Bihor")</f>
        <v>Bihor</v>
      </c>
      <c r="D1288" s="13">
        <f ca="1">IFERROR(__xludf.DUMMYFUNCTION("""COMPUTED_VALUE"""),44052)</f>
        <v>44052</v>
      </c>
      <c r="E1288" s="5" t="str">
        <f ca="1">IFERROR(__xludf.DUMMYFUNCTION("""COMPUTED_VALUE"""),"Nu")</f>
        <v>Nu</v>
      </c>
      <c r="F1288" s="5"/>
      <c r="G1288" s="5"/>
      <c r="H1288" s="6"/>
      <c r="I1288" s="5"/>
      <c r="J1288" s="5"/>
      <c r="K1288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88" s="5"/>
      <c r="M1288" s="5"/>
      <c r="N1288" s="5"/>
      <c r="O1288" s="5"/>
      <c r="P1288" s="5"/>
      <c r="Q1288" s="5"/>
      <c r="R1288" s="5" t="str">
        <f ca="1">IFERROR(__xludf.DUMMYFUNCTION("""COMPUTED_VALUE"""),"România")</f>
        <v>România</v>
      </c>
      <c r="S1288" s="5" t="str">
        <f ca="1">IFERROR(__xludf.DUMMYFUNCTION("""COMPUTED_VALUE"""),"Alex")</f>
        <v>Alex</v>
      </c>
      <c r="T1288" s="7" t="str">
        <f ca="1">IFERROR(__xludf.DUMMYFUNCTION("""COMPUTED_VALUE"""),"http://www.ms.ro/2020/08/09/buletin-informativ-09-08-2020")</f>
        <v>http://www.ms.ro/2020/08/09/buletin-informativ-09-08-2020</v>
      </c>
      <c r="U1288" s="5"/>
      <c r="V1288" s="5"/>
      <c r="W1288" s="5"/>
      <c r="X1288" s="5"/>
      <c r="Y1288" s="5"/>
      <c r="Z1288" s="5"/>
      <c r="AA1288" s="5"/>
      <c r="AB1288" s="5"/>
      <c r="AC1288" s="5"/>
    </row>
    <row r="1289" spans="1:29" ht="12.5">
      <c r="A1289" s="5">
        <f ca="1">IFERROR(__xludf.DUMMYFUNCTION("""COMPUTED_VALUE"""),60808)</f>
        <v>60808</v>
      </c>
      <c r="B1289" s="5"/>
      <c r="C1289" s="5" t="str">
        <f ca="1">IFERROR(__xludf.DUMMYFUNCTION("""COMPUTED_VALUE"""),"Bihor")</f>
        <v>Bihor</v>
      </c>
      <c r="D1289" s="13">
        <f ca="1">IFERROR(__xludf.DUMMYFUNCTION("""COMPUTED_VALUE"""),44052)</f>
        <v>44052</v>
      </c>
      <c r="E1289" s="5" t="str">
        <f ca="1">IFERROR(__xludf.DUMMYFUNCTION("""COMPUTED_VALUE"""),"Nu")</f>
        <v>Nu</v>
      </c>
      <c r="F1289" s="5"/>
      <c r="G1289" s="5"/>
      <c r="H1289" s="6"/>
      <c r="I1289" s="5"/>
      <c r="J1289" s="5"/>
      <c r="K1289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89" s="5"/>
      <c r="M1289" s="5"/>
      <c r="N1289" s="5"/>
      <c r="O1289" s="5"/>
      <c r="P1289" s="5"/>
      <c r="Q1289" s="5"/>
      <c r="R1289" s="5" t="str">
        <f ca="1">IFERROR(__xludf.DUMMYFUNCTION("""COMPUTED_VALUE"""),"România")</f>
        <v>România</v>
      </c>
      <c r="S1289" s="5" t="str">
        <f ca="1">IFERROR(__xludf.DUMMYFUNCTION("""COMPUTED_VALUE"""),"Alex")</f>
        <v>Alex</v>
      </c>
      <c r="T1289" s="7" t="str">
        <f ca="1">IFERROR(__xludf.DUMMYFUNCTION("""COMPUTED_VALUE"""),"http://www.ms.ro/2020/08/09/buletin-informativ-09-08-2020")</f>
        <v>http://www.ms.ro/2020/08/09/buletin-informativ-09-08-2020</v>
      </c>
      <c r="U1289" s="5"/>
      <c r="V1289" s="5"/>
      <c r="W1289" s="5"/>
      <c r="X1289" s="5"/>
      <c r="Y1289" s="5"/>
      <c r="Z1289" s="5"/>
      <c r="AA1289" s="5"/>
      <c r="AB1289" s="5"/>
      <c r="AC1289" s="5"/>
    </row>
    <row r="1290" spans="1:29" ht="12.5">
      <c r="A1290" s="5">
        <f ca="1">IFERROR(__xludf.DUMMYFUNCTION("""COMPUTED_VALUE"""),60809)</f>
        <v>60809</v>
      </c>
      <c r="B1290" s="5"/>
      <c r="C1290" s="5" t="str">
        <f ca="1">IFERROR(__xludf.DUMMYFUNCTION("""COMPUTED_VALUE"""),"Bihor")</f>
        <v>Bihor</v>
      </c>
      <c r="D1290" s="13">
        <f ca="1">IFERROR(__xludf.DUMMYFUNCTION("""COMPUTED_VALUE"""),44052)</f>
        <v>44052</v>
      </c>
      <c r="E1290" s="5" t="str">
        <f ca="1">IFERROR(__xludf.DUMMYFUNCTION("""COMPUTED_VALUE"""),"Nu")</f>
        <v>Nu</v>
      </c>
      <c r="F1290" s="5"/>
      <c r="G1290" s="5"/>
      <c r="H1290" s="6"/>
      <c r="I1290" s="5"/>
      <c r="J1290" s="5"/>
      <c r="K1290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90" s="5"/>
      <c r="M1290" s="5"/>
      <c r="N1290" s="5"/>
      <c r="O1290" s="5"/>
      <c r="P1290" s="5"/>
      <c r="Q1290" s="5"/>
      <c r="R1290" s="5" t="str">
        <f ca="1">IFERROR(__xludf.DUMMYFUNCTION("""COMPUTED_VALUE"""),"România")</f>
        <v>România</v>
      </c>
      <c r="S1290" s="5" t="str">
        <f ca="1">IFERROR(__xludf.DUMMYFUNCTION("""COMPUTED_VALUE"""),"Alex")</f>
        <v>Alex</v>
      </c>
      <c r="T1290" s="7" t="str">
        <f ca="1">IFERROR(__xludf.DUMMYFUNCTION("""COMPUTED_VALUE"""),"http://www.ms.ro/2020/08/09/buletin-informativ-09-08-2020")</f>
        <v>http://www.ms.ro/2020/08/09/buletin-informativ-09-08-2020</v>
      </c>
      <c r="U1290" s="5"/>
      <c r="V1290" s="5"/>
      <c r="W1290" s="5"/>
      <c r="X1290" s="5"/>
      <c r="Y1290" s="5"/>
      <c r="Z1290" s="5"/>
      <c r="AA1290" s="5"/>
      <c r="AB1290" s="5"/>
      <c r="AC1290" s="5"/>
    </row>
    <row r="1291" spans="1:29" ht="12.5">
      <c r="A1291" s="5">
        <f ca="1">IFERROR(__xludf.DUMMYFUNCTION("""COMPUTED_VALUE"""),60810)</f>
        <v>60810</v>
      </c>
      <c r="B1291" s="5"/>
      <c r="C1291" s="5" t="str">
        <f ca="1">IFERROR(__xludf.DUMMYFUNCTION("""COMPUTED_VALUE"""),"Bihor")</f>
        <v>Bihor</v>
      </c>
      <c r="D1291" s="13">
        <f ca="1">IFERROR(__xludf.DUMMYFUNCTION("""COMPUTED_VALUE"""),44052)</f>
        <v>44052</v>
      </c>
      <c r="E1291" s="5" t="str">
        <f ca="1">IFERROR(__xludf.DUMMYFUNCTION("""COMPUTED_VALUE"""),"Nu")</f>
        <v>Nu</v>
      </c>
      <c r="F1291" s="5"/>
      <c r="G1291" s="5"/>
      <c r="H1291" s="6"/>
      <c r="I1291" s="5"/>
      <c r="J1291" s="5"/>
      <c r="K1291" s="7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1291" s="5"/>
      <c r="M1291" s="5"/>
      <c r="N1291" s="5"/>
      <c r="O1291" s="5"/>
      <c r="P1291" s="5"/>
      <c r="Q1291" s="5"/>
      <c r="R1291" s="5" t="str">
        <f ca="1">IFERROR(__xludf.DUMMYFUNCTION("""COMPUTED_VALUE"""),"România")</f>
        <v>România</v>
      </c>
      <c r="S1291" s="5" t="str">
        <f ca="1">IFERROR(__xludf.DUMMYFUNCTION("""COMPUTED_VALUE"""),"Alex")</f>
        <v>Alex</v>
      </c>
      <c r="T1291" s="7" t="str">
        <f ca="1">IFERROR(__xludf.DUMMYFUNCTION("""COMPUTED_VALUE"""),"http://www.ms.ro/2020/08/09/buletin-informativ-09-08-2020")</f>
        <v>http://www.ms.ro/2020/08/09/buletin-informativ-09-08-2020</v>
      </c>
      <c r="U1291" s="5"/>
      <c r="V1291" s="5"/>
      <c r="W1291" s="5"/>
      <c r="X1291" s="5"/>
      <c r="Y1291" s="5"/>
      <c r="Z1291" s="5"/>
      <c r="AA1291" s="5"/>
      <c r="AB1291" s="5"/>
      <c r="AC1291" s="5"/>
    </row>
    <row r="1292" spans="1:29" ht="12.5">
      <c r="A1292" s="5">
        <f ca="1">IFERROR(__xludf.DUMMYFUNCTION("""COMPUTED_VALUE"""),61850)</f>
        <v>61850</v>
      </c>
      <c r="B1292" s="5"/>
      <c r="C1292" s="5" t="str">
        <f ca="1">IFERROR(__xludf.DUMMYFUNCTION("""COMPUTED_VALUE"""),"Bihor")</f>
        <v>Bihor</v>
      </c>
      <c r="D1292" s="13">
        <f ca="1">IFERROR(__xludf.DUMMYFUNCTION("""COMPUTED_VALUE"""),44053)</f>
        <v>44053</v>
      </c>
      <c r="E1292" s="5" t="str">
        <f ca="1">IFERROR(__xludf.DUMMYFUNCTION("""COMPUTED_VALUE"""),"Nu")</f>
        <v>Nu</v>
      </c>
      <c r="F1292" s="5"/>
      <c r="G1292" s="5"/>
      <c r="H1292" s="6"/>
      <c r="I1292" s="5" t="str">
        <f ca="1">IFERROR(__xludf.DUMMYFUNCTION("""COMPUTED_VALUE"""),"Masculin")</f>
        <v>Masculin</v>
      </c>
      <c r="J1292" s="5"/>
      <c r="K1292" s="7" t="str">
        <f ca="1">IFERROR(__xludf.DUMMYFUNCTION("""COMPUTED_VALUE"""),"https://www.ebihoreanul.ro/stiri/nc-un-deces-i-37-de-noi-mbolnviri-de-covid-19-n-bihor-o-parte-a-spitalului-din-beiu-va-trata-bolnavi-cu-covid-din-cauza-cazurilor-multe-din-zon-158138.html")</f>
        <v>https://www.ebihoreanul.ro/stiri/nc-un-deces-i-37-de-noi-mbolnviri-de-covid-19-n-bihor-o-parte-a-spitalului-din-beiu-va-trata-bolnavi-cu-covid-din-cauza-cazurilor-multe-din-zon-158138.html</v>
      </c>
      <c r="L1292" s="5"/>
      <c r="M1292" s="5" t="str">
        <f ca="1">IFERROR(__xludf.DUMMYFUNCTION("""COMPUTED_VALUE"""),"Oradea")</f>
        <v>Oradea</v>
      </c>
      <c r="N1292" s="5"/>
      <c r="O1292" s="5"/>
      <c r="P1292" s="5" t="str">
        <f ca="1">IFERROR(__xludf.DUMMYFUNCTION("""COMPUTED_VALUE"""),"SJU Oradea, medic reîntors din concediu.")</f>
        <v>SJU Oradea, medic reîntors din concediu.</v>
      </c>
      <c r="Q1292" s="5" t="str">
        <f ca="1">IFERROR(__xludf.DUMMYFUNCTION("""COMPUTED_VALUE"""),"Comunitar")</f>
        <v>Comunitar</v>
      </c>
      <c r="R1292" s="5" t="str">
        <f ca="1">IFERROR(__xludf.DUMMYFUNCTION("""COMPUTED_VALUE"""),"România")</f>
        <v>România</v>
      </c>
      <c r="S1292" s="5" t="str">
        <f ca="1">IFERROR(__xludf.DUMMYFUNCTION("""COMPUTED_VALUE"""),"Octavian")</f>
        <v>Octavian</v>
      </c>
      <c r="T1292" s="7" t="str">
        <f ca="1">IFERROR(__xludf.DUMMYFUNCTION("""COMPUTED_VALUE"""),"http://www.ms.ro/2020/08/10/buletin-informativ-10-08-2020")</f>
        <v>http://www.ms.ro/2020/08/10/buletin-informativ-10-08-2020</v>
      </c>
      <c r="U1292" s="5"/>
      <c r="V1292" s="5"/>
      <c r="W1292" s="5"/>
      <c r="X1292" s="5"/>
      <c r="Y1292" s="5"/>
      <c r="Z1292" s="5"/>
      <c r="AA1292" s="5"/>
      <c r="AB1292" s="5"/>
      <c r="AC1292" s="5"/>
    </row>
    <row r="1293" spans="1:29" ht="12.5">
      <c r="A1293" s="5">
        <f ca="1">IFERROR(__xludf.DUMMYFUNCTION("""COMPUTED_VALUE"""),61851)</f>
        <v>61851</v>
      </c>
      <c r="B1293" s="5"/>
      <c r="C1293" s="5" t="str">
        <f ca="1">IFERROR(__xludf.DUMMYFUNCTION("""COMPUTED_VALUE"""),"Bihor")</f>
        <v>Bihor</v>
      </c>
      <c r="D1293" s="13">
        <f ca="1">IFERROR(__xludf.DUMMYFUNCTION("""COMPUTED_VALUE"""),44053)</f>
        <v>44053</v>
      </c>
      <c r="E1293" s="5" t="str">
        <f ca="1">IFERROR(__xludf.DUMMYFUNCTION("""COMPUTED_VALUE"""),"Nu")</f>
        <v>Nu</v>
      </c>
      <c r="F1293" s="5"/>
      <c r="G1293" s="5"/>
      <c r="H1293" s="6"/>
      <c r="I1293" s="5" t="str">
        <f ca="1">IFERROR(__xludf.DUMMYFUNCTION("""COMPUTED_VALUE"""),"Feminin")</f>
        <v>Feminin</v>
      </c>
      <c r="J1293" s="5"/>
      <c r="K1293" s="7" t="str">
        <f ca="1">IFERROR(__xludf.DUMMYFUNCTION("""COMPUTED_VALUE"""),"https://www.ebihoreanul.ro/stiri/nc-un-deces-i-37-de-noi-mbolnviri-de-covid-19-n-bihor-o-parte-a-spitalului-din-beiu-va-trata-bolnavi-cu-covid-din-cauza-cazurilor-multe-din-zon-158138.html")</f>
        <v>https://www.ebihoreanul.ro/stiri/nc-un-deces-i-37-de-noi-mbolnviri-de-covid-19-n-bihor-o-parte-a-spitalului-din-beiu-va-trata-bolnavi-cu-covid-din-cauza-cazurilor-multe-din-zon-158138.html</v>
      </c>
      <c r="L1293" s="5"/>
      <c r="M1293" s="5" t="str">
        <f ca="1">IFERROR(__xludf.DUMMYFUNCTION("""COMPUTED_VALUE"""),"Oradea")</f>
        <v>Oradea</v>
      </c>
      <c r="N1293" s="5"/>
      <c r="O1293" s="5"/>
      <c r="P1293" s="5" t="str">
        <f ca="1">IFERROR(__xludf.DUMMYFUNCTION("""COMPUTED_VALUE"""),"Spital Pelican, infirmieră participantă petrecere cu persoane venite din străinătate.")</f>
        <v>Spital Pelican, infirmieră participantă petrecere cu persoane venite din străinătate.</v>
      </c>
      <c r="Q1293" s="5" t="str">
        <f ca="1">IFERROR(__xludf.DUMMYFUNCTION("""COMPUTED_VALUE"""),"Comunitar")</f>
        <v>Comunitar</v>
      </c>
      <c r="R1293" s="5" t="str">
        <f ca="1">IFERROR(__xludf.DUMMYFUNCTION("""COMPUTED_VALUE"""),"România")</f>
        <v>România</v>
      </c>
      <c r="S1293" s="5" t="str">
        <f ca="1">IFERROR(__xludf.DUMMYFUNCTION("""COMPUTED_VALUE"""),"Octavian")</f>
        <v>Octavian</v>
      </c>
      <c r="T1293" s="7" t="str">
        <f ca="1">IFERROR(__xludf.DUMMYFUNCTION("""COMPUTED_VALUE"""),"http://www.ms.ro/2020/08/10/buletin-informativ-10-08-2020")</f>
        <v>http://www.ms.ro/2020/08/10/buletin-informativ-10-08-2020</v>
      </c>
      <c r="U1293" s="5"/>
      <c r="V1293" s="5"/>
      <c r="W1293" s="5"/>
      <c r="X1293" s="5"/>
      <c r="Y1293" s="5"/>
      <c r="Z1293" s="5"/>
      <c r="AA1293" s="5"/>
      <c r="AB1293" s="5"/>
      <c r="AC1293" s="5"/>
    </row>
    <row r="1294" spans="1:29" ht="12.5">
      <c r="A1294" s="5">
        <f ca="1">IFERROR(__xludf.DUMMYFUNCTION("""COMPUTED_VALUE"""),61852)</f>
        <v>61852</v>
      </c>
      <c r="B1294" s="5"/>
      <c r="C1294" s="5" t="str">
        <f ca="1">IFERROR(__xludf.DUMMYFUNCTION("""COMPUTED_VALUE"""),"Bihor")</f>
        <v>Bihor</v>
      </c>
      <c r="D1294" s="13">
        <f ca="1">IFERROR(__xludf.DUMMYFUNCTION("""COMPUTED_VALUE"""),44053)</f>
        <v>44053</v>
      </c>
      <c r="E1294" s="5" t="str">
        <f ca="1">IFERROR(__xludf.DUMMYFUNCTION("""COMPUTED_VALUE"""),"Nu")</f>
        <v>Nu</v>
      </c>
      <c r="F1294" s="5"/>
      <c r="G1294" s="5"/>
      <c r="H1294" s="6"/>
      <c r="I1294" s="5" t="str">
        <f ca="1">IFERROR(__xludf.DUMMYFUNCTION("""COMPUTED_VALUE"""),"Feminin")</f>
        <v>Feminin</v>
      </c>
      <c r="J1294" s="5"/>
      <c r="K1294" s="7" t="str">
        <f ca="1">IFERROR(__xludf.DUMMYFUNCTION("""COMPUTED_VALUE"""),"https://www.ebihoreanul.ro/stiri/nc-un-deces-i-37-de-noi-mbolnviri-de-covid-19-n-bihor-o-parte-a-spitalului-din-beiu-va-trata-bolnavi-cu-covid-din-cauza-cazurilor-multe-din-zon-158138.html")</f>
        <v>https://www.ebihoreanul.ro/stiri/nc-un-deces-i-37-de-noi-mbolnviri-de-covid-19-n-bihor-o-parte-a-spitalului-din-beiu-va-trata-bolnavi-cu-covid-din-cauza-cazurilor-multe-din-zon-158138.html</v>
      </c>
      <c r="L1294" s="5"/>
      <c r="M1294" s="5" t="str">
        <f ca="1">IFERROR(__xludf.DUMMYFUNCTION("""COMPUTED_VALUE"""),"Oradea")</f>
        <v>Oradea</v>
      </c>
      <c r="N1294" s="5"/>
      <c r="O1294" s="5"/>
      <c r="P1294" s="5" t="str">
        <f ca="1">IFERROR(__xludf.DUMMYFUNCTION("""COMPUTED_VALUE"""),"Spital Pelican, infirmieră participantă petrecere cu persoane venite din străinătate.")</f>
        <v>Spital Pelican, infirmieră participantă petrecere cu persoane venite din străinătate.</v>
      </c>
      <c r="Q1294" s="5" t="str">
        <f ca="1">IFERROR(__xludf.DUMMYFUNCTION("""COMPUTED_VALUE"""),"Comunitar")</f>
        <v>Comunitar</v>
      </c>
      <c r="R1294" s="5" t="str">
        <f ca="1">IFERROR(__xludf.DUMMYFUNCTION("""COMPUTED_VALUE"""),"România")</f>
        <v>România</v>
      </c>
      <c r="S1294" s="5" t="str">
        <f ca="1">IFERROR(__xludf.DUMMYFUNCTION("""COMPUTED_VALUE"""),"Octavian")</f>
        <v>Octavian</v>
      </c>
      <c r="T1294" s="7" t="str">
        <f ca="1">IFERROR(__xludf.DUMMYFUNCTION("""COMPUTED_VALUE"""),"http://www.ms.ro/2020/08/10/buletin-informativ-10-08-2020")</f>
        <v>http://www.ms.ro/2020/08/10/buletin-informativ-10-08-2020</v>
      </c>
      <c r="U1294" s="5"/>
      <c r="V1294" s="5"/>
      <c r="W1294" s="5"/>
      <c r="X1294" s="5"/>
      <c r="Y1294" s="5"/>
      <c r="Z1294" s="5"/>
      <c r="AA1294" s="5"/>
      <c r="AB1294" s="5"/>
      <c r="AC1294" s="5"/>
    </row>
    <row r="1295" spans="1:29" ht="12.5">
      <c r="A1295" s="5">
        <f ca="1">IFERROR(__xludf.DUMMYFUNCTION("""COMPUTED_VALUE"""),61853)</f>
        <v>61853</v>
      </c>
      <c r="B1295" s="5"/>
      <c r="C1295" s="5" t="str">
        <f ca="1">IFERROR(__xludf.DUMMYFUNCTION("""COMPUTED_VALUE"""),"Bihor")</f>
        <v>Bihor</v>
      </c>
      <c r="D1295" s="13">
        <f ca="1">IFERROR(__xludf.DUMMYFUNCTION("""COMPUTED_VALUE"""),44053)</f>
        <v>44053</v>
      </c>
      <c r="E1295" s="5" t="str">
        <f ca="1">IFERROR(__xludf.DUMMYFUNCTION("""COMPUTED_VALUE"""),"Nu")</f>
        <v>Nu</v>
      </c>
      <c r="F1295" s="5"/>
      <c r="G1295" s="5"/>
      <c r="H1295" s="6"/>
      <c r="I1295" s="5" t="str">
        <f ca="1">IFERROR(__xludf.DUMMYFUNCTION("""COMPUTED_VALUE"""),"Masculin")</f>
        <v>Masculin</v>
      </c>
      <c r="J1295" s="5"/>
      <c r="K1295" s="7" t="str">
        <f ca="1">IFERROR(__xludf.DUMMYFUNCTION("""COMPUTED_VALUE"""),"https://www.ebihoreanul.ro/stiri/nc-un-deces-i-37-de-noi-mbolnviri-de-covid-19-n-bihor-o-parte-a-spitalului-din-beiu-va-trata-bolnavi-cu-covid-din-cauza-cazurilor-multe-din-zon-158138.html")</f>
        <v>https://www.ebihoreanul.ro/stiri/nc-un-deces-i-37-de-noi-mbolnviri-de-covid-19-n-bihor-o-parte-a-spitalului-din-beiu-va-trata-bolnavi-cu-covid-din-cauza-cazurilor-multe-din-zon-158138.html</v>
      </c>
      <c r="L1295" s="5"/>
      <c r="M1295" s="5" t="str">
        <f ca="1">IFERROR(__xludf.DUMMYFUNCTION("""COMPUTED_VALUE"""),"Oradea")</f>
        <v>Oradea</v>
      </c>
      <c r="N1295" s="5"/>
      <c r="O1295" s="5"/>
      <c r="P1295" s="5" t="str">
        <f ca="1">IFERROR(__xludf.DUMMYFUNCTION("""COMPUTED_VALUE"""),"DSP, medic.")</f>
        <v>DSP, medic.</v>
      </c>
      <c r="Q1295" s="5"/>
      <c r="R1295" s="5" t="str">
        <f ca="1">IFERROR(__xludf.DUMMYFUNCTION("""COMPUTED_VALUE"""),"România")</f>
        <v>România</v>
      </c>
      <c r="S1295" s="5" t="str">
        <f ca="1">IFERROR(__xludf.DUMMYFUNCTION("""COMPUTED_VALUE"""),"Octavian")</f>
        <v>Octavian</v>
      </c>
      <c r="T1295" s="7" t="str">
        <f ca="1">IFERROR(__xludf.DUMMYFUNCTION("""COMPUTED_VALUE"""),"http://www.ms.ro/2020/08/10/buletin-informativ-10-08-2020")</f>
        <v>http://www.ms.ro/2020/08/10/buletin-informativ-10-08-2020</v>
      </c>
      <c r="U1295" s="5"/>
      <c r="V1295" s="5"/>
      <c r="W1295" s="5"/>
      <c r="X1295" s="5"/>
      <c r="Y1295" s="5"/>
      <c r="Z1295" s="5"/>
      <c r="AA1295" s="5"/>
      <c r="AB1295" s="5"/>
      <c r="AC1295" s="5"/>
    </row>
    <row r="1296" spans="1:29" ht="12.5">
      <c r="A1296" s="5">
        <f ca="1">IFERROR(__xludf.DUMMYFUNCTION("""COMPUTED_VALUE"""),61854)</f>
        <v>61854</v>
      </c>
      <c r="B1296" s="5"/>
      <c r="C1296" s="5" t="str">
        <f ca="1">IFERROR(__xludf.DUMMYFUNCTION("""COMPUTED_VALUE"""),"Bihor")</f>
        <v>Bihor</v>
      </c>
      <c r="D1296" s="13">
        <f ca="1">IFERROR(__xludf.DUMMYFUNCTION("""COMPUTED_VALUE"""),44053)</f>
        <v>44053</v>
      </c>
      <c r="E1296" s="5" t="str">
        <f ca="1">IFERROR(__xludf.DUMMYFUNCTION("""COMPUTED_VALUE"""),"Nu")</f>
        <v>Nu</v>
      </c>
      <c r="F1296" s="5"/>
      <c r="G1296" s="5"/>
      <c r="H1296" s="6"/>
      <c r="I1296" s="5"/>
      <c r="J1296" s="5"/>
      <c r="K1296" s="7" t="str">
        <f ca="1">IFERROR(__xludf.DUMMYFUNCTION("""COMPUTED_VALUE"""),"https://www.ebihoreanul.ro/stiri/nc-un-deces-i-37-de-noi-mbolnviri-de-covid-19-n-bihor-o-parte-a-spitalului-din-beiu-va-trata-bolnavi-cu-covid-din-cauza-cazurilor-multe-din-zon-158138.html")</f>
        <v>https://www.ebihoreanul.ro/stiri/nc-un-deces-i-37-de-noi-mbolnviri-de-covid-19-n-bihor-o-parte-a-spitalului-din-beiu-va-trata-bolnavi-cu-covid-din-cauza-cazurilor-multe-din-zon-158138.html</v>
      </c>
      <c r="L1296" s="5"/>
      <c r="M1296" s="5"/>
      <c r="N1296" s="5"/>
      <c r="O1296" s="5"/>
      <c r="P1296" s="5" t="str">
        <f ca="1">IFERROR(__xludf.DUMMYFUNCTION("""COMPUTED_VALUE"""),"SJU Oradea, pacient.")</f>
        <v>SJU Oradea, pacient.</v>
      </c>
      <c r="Q1296" s="5" t="str">
        <f ca="1">IFERROR(__xludf.DUMMYFUNCTION("""COMPUTED_VALUE"""),"Medical")</f>
        <v>Medical</v>
      </c>
      <c r="R1296" s="5" t="str">
        <f ca="1">IFERROR(__xludf.DUMMYFUNCTION("""COMPUTED_VALUE"""),"România")</f>
        <v>România</v>
      </c>
      <c r="S1296" s="5" t="str">
        <f ca="1">IFERROR(__xludf.DUMMYFUNCTION("""COMPUTED_VALUE"""),"Octavian")</f>
        <v>Octavian</v>
      </c>
      <c r="T1296" s="7" t="str">
        <f ca="1">IFERROR(__xludf.DUMMYFUNCTION("""COMPUTED_VALUE"""),"http://www.ms.ro/2020/08/10/buletin-informativ-10-08-2020")</f>
        <v>http://www.ms.ro/2020/08/10/buletin-informativ-10-08-2020</v>
      </c>
      <c r="U1296" s="5"/>
      <c r="V1296" s="5"/>
      <c r="W1296" s="5"/>
      <c r="X1296" s="5"/>
      <c r="Y1296" s="5"/>
      <c r="Z1296" s="5"/>
      <c r="AA1296" s="5"/>
      <c r="AB1296" s="5"/>
      <c r="AC1296" s="5"/>
    </row>
    <row r="1297" spans="1:29" ht="12.5">
      <c r="A1297" s="5">
        <f ca="1">IFERROR(__xludf.DUMMYFUNCTION("""COMPUTED_VALUE"""),61855)</f>
        <v>61855</v>
      </c>
      <c r="B1297" s="5">
        <f ca="1">IFERROR(__xludf.DUMMYFUNCTION("""COMPUTED_VALUE"""),61854)</f>
        <v>61854</v>
      </c>
      <c r="C1297" s="5" t="str">
        <f ca="1">IFERROR(__xludf.DUMMYFUNCTION("""COMPUTED_VALUE"""),"Bihor")</f>
        <v>Bihor</v>
      </c>
      <c r="D1297" s="13">
        <f ca="1">IFERROR(__xludf.DUMMYFUNCTION("""COMPUTED_VALUE"""),44053)</f>
        <v>44053</v>
      </c>
      <c r="E1297" s="5" t="str">
        <f ca="1">IFERROR(__xludf.DUMMYFUNCTION("""COMPUTED_VALUE"""),"Nu")</f>
        <v>Nu</v>
      </c>
      <c r="F1297" s="5"/>
      <c r="G1297" s="5"/>
      <c r="H1297" s="6"/>
      <c r="I1297" s="5"/>
      <c r="J1297" s="5"/>
      <c r="K1297" s="7" t="str">
        <f ca="1">IFERROR(__xludf.DUMMYFUNCTION("""COMPUTED_VALUE"""),"https://www.ebihoreanul.ro/stiri/nc-un-deces-i-37-de-noi-mbolnviri-de-covid-19-n-bihor-o-parte-a-spitalului-din-beiu-va-trata-bolnavi-cu-covid-din-cauza-cazurilor-multe-din-zon-158138.html")</f>
        <v>https://www.ebihoreanul.ro/stiri/nc-un-deces-i-37-de-noi-mbolnviri-de-covid-19-n-bihor-o-parte-a-spitalului-din-beiu-va-trata-bolnavi-cu-covid-din-cauza-cazurilor-multe-din-zon-158138.html</v>
      </c>
      <c r="L1297" s="5"/>
      <c r="M1297" s="5"/>
      <c r="N1297" s="5"/>
      <c r="O1297" s="5"/>
      <c r="P1297" s="5" t="str">
        <f ca="1">IFERROR(__xludf.DUMMYFUNCTION("""COMPUTED_VALUE"""),"SJU Oradea, pacient.")</f>
        <v>SJU Oradea, pacient.</v>
      </c>
      <c r="Q1297" s="5" t="str">
        <f ca="1">IFERROR(__xludf.DUMMYFUNCTION("""COMPUTED_VALUE"""),"Medical")</f>
        <v>Medical</v>
      </c>
      <c r="R1297" s="5" t="str">
        <f ca="1">IFERROR(__xludf.DUMMYFUNCTION("""COMPUTED_VALUE"""),"România")</f>
        <v>România</v>
      </c>
      <c r="S1297" s="5" t="str">
        <f ca="1">IFERROR(__xludf.DUMMYFUNCTION("""COMPUTED_VALUE"""),"Octavian")</f>
        <v>Octavian</v>
      </c>
      <c r="T1297" s="7" t="str">
        <f ca="1">IFERROR(__xludf.DUMMYFUNCTION("""COMPUTED_VALUE"""),"http://www.ms.ro/2020/08/10/buletin-informativ-10-08-2020")</f>
        <v>http://www.ms.ro/2020/08/10/buletin-informativ-10-08-2020</v>
      </c>
      <c r="U1297" s="5"/>
      <c r="V1297" s="5"/>
      <c r="W1297" s="5"/>
      <c r="X1297" s="5"/>
      <c r="Y1297" s="5"/>
      <c r="Z1297" s="5"/>
      <c r="AA1297" s="5"/>
      <c r="AB1297" s="5"/>
      <c r="AC1297" s="5"/>
    </row>
    <row r="1298" spans="1:29" ht="12.5">
      <c r="A1298" s="5">
        <f ca="1">IFERROR(__xludf.DUMMYFUNCTION("""COMPUTED_VALUE"""),61856)</f>
        <v>61856</v>
      </c>
      <c r="B1298" s="5">
        <f ca="1">IFERROR(__xludf.DUMMYFUNCTION("""COMPUTED_VALUE"""),61854)</f>
        <v>61854</v>
      </c>
      <c r="C1298" s="5" t="str">
        <f ca="1">IFERROR(__xludf.DUMMYFUNCTION("""COMPUTED_VALUE"""),"Bihor")</f>
        <v>Bihor</v>
      </c>
      <c r="D1298" s="13">
        <f ca="1">IFERROR(__xludf.DUMMYFUNCTION("""COMPUTED_VALUE"""),44053)</f>
        <v>44053</v>
      </c>
      <c r="E1298" s="5" t="str">
        <f ca="1">IFERROR(__xludf.DUMMYFUNCTION("""COMPUTED_VALUE"""),"Nu")</f>
        <v>Nu</v>
      </c>
      <c r="F1298" s="5"/>
      <c r="G1298" s="5"/>
      <c r="H1298" s="6"/>
      <c r="I1298" s="5"/>
      <c r="J1298" s="5"/>
      <c r="K1298" s="7" t="str">
        <f ca="1">IFERROR(__xludf.DUMMYFUNCTION("""COMPUTED_VALUE"""),"https://www.ebihoreanul.ro/stiri/nc-un-deces-i-37-de-noi-mbolnviri-de-covid-19-n-bihor-o-parte-a-spitalului-din-beiu-va-trata-bolnavi-cu-covid-din-cauza-cazurilor-multe-din-zon-158138.html")</f>
        <v>https://www.ebihoreanul.ro/stiri/nc-un-deces-i-37-de-noi-mbolnviri-de-covid-19-n-bihor-o-parte-a-spitalului-din-beiu-va-trata-bolnavi-cu-covid-din-cauza-cazurilor-multe-din-zon-158138.html</v>
      </c>
      <c r="L1298" s="5"/>
      <c r="M1298" s="5"/>
      <c r="N1298" s="5"/>
      <c r="O1298" s="5"/>
      <c r="P1298" s="5" t="str">
        <f ca="1">IFERROR(__xludf.DUMMYFUNCTION("""COMPUTED_VALUE"""),"SJU Oradea, pacient.")</f>
        <v>SJU Oradea, pacient.</v>
      </c>
      <c r="Q1298" s="5" t="str">
        <f ca="1">IFERROR(__xludf.DUMMYFUNCTION("""COMPUTED_VALUE"""),"Medical")</f>
        <v>Medical</v>
      </c>
      <c r="R1298" s="5" t="str">
        <f ca="1">IFERROR(__xludf.DUMMYFUNCTION("""COMPUTED_VALUE"""),"România")</f>
        <v>România</v>
      </c>
      <c r="S1298" s="5" t="str">
        <f ca="1">IFERROR(__xludf.DUMMYFUNCTION("""COMPUTED_VALUE"""),"Octavian")</f>
        <v>Octavian</v>
      </c>
      <c r="T1298" s="7" t="str">
        <f ca="1">IFERROR(__xludf.DUMMYFUNCTION("""COMPUTED_VALUE"""),"http://www.ms.ro/2020/08/10/buletin-informativ-10-08-2020")</f>
        <v>http://www.ms.ro/2020/08/10/buletin-informativ-10-08-2020</v>
      </c>
      <c r="U1298" s="5"/>
      <c r="V1298" s="5"/>
      <c r="W1298" s="5"/>
      <c r="X1298" s="5"/>
      <c r="Y1298" s="5"/>
      <c r="Z1298" s="5"/>
      <c r="AA1298" s="5"/>
      <c r="AB1298" s="5"/>
      <c r="AC1298" s="5"/>
    </row>
    <row r="1299" spans="1:29" ht="12.5">
      <c r="A1299" s="5">
        <f ca="1">IFERROR(__xludf.DUMMYFUNCTION("""COMPUTED_VALUE"""),61857)</f>
        <v>61857</v>
      </c>
      <c r="B1299" s="5">
        <f ca="1">IFERROR(__xludf.DUMMYFUNCTION("""COMPUTED_VALUE"""),61854)</f>
        <v>61854</v>
      </c>
      <c r="C1299" s="5" t="str">
        <f ca="1">IFERROR(__xludf.DUMMYFUNCTION("""COMPUTED_VALUE"""),"Bihor")</f>
        <v>Bihor</v>
      </c>
      <c r="D1299" s="13">
        <f ca="1">IFERROR(__xludf.DUMMYFUNCTION("""COMPUTED_VALUE"""),44053)</f>
        <v>44053</v>
      </c>
      <c r="E1299" s="5" t="str">
        <f ca="1">IFERROR(__xludf.DUMMYFUNCTION("""COMPUTED_VALUE"""),"Nu")</f>
        <v>Nu</v>
      </c>
      <c r="F1299" s="5"/>
      <c r="G1299" s="5"/>
      <c r="H1299" s="6"/>
      <c r="I1299" s="5"/>
      <c r="J1299" s="5"/>
      <c r="K1299" s="7" t="str">
        <f ca="1">IFERROR(__xludf.DUMMYFUNCTION("""COMPUTED_VALUE"""),"https://www.ebihoreanul.ro/stiri/nc-un-deces-i-37-de-noi-mbolnviri-de-covid-19-n-bihor-o-parte-a-spitalului-din-beiu-va-trata-bolnavi-cu-covid-din-cauza-cazurilor-multe-din-zon-158138.html")</f>
        <v>https://www.ebihoreanul.ro/stiri/nc-un-deces-i-37-de-noi-mbolnviri-de-covid-19-n-bihor-o-parte-a-spitalului-din-beiu-va-trata-bolnavi-cu-covid-din-cauza-cazurilor-multe-din-zon-158138.html</v>
      </c>
      <c r="L1299" s="5"/>
      <c r="M1299" s="5"/>
      <c r="N1299" s="5"/>
      <c r="O1299" s="5"/>
      <c r="P1299" s="5" t="str">
        <f ca="1">IFERROR(__xludf.DUMMYFUNCTION("""COMPUTED_VALUE"""),"SJU Oradea, pacient.")</f>
        <v>SJU Oradea, pacient.</v>
      </c>
      <c r="Q1299" s="5" t="str">
        <f ca="1">IFERROR(__xludf.DUMMYFUNCTION("""COMPUTED_VALUE"""),"Medical")</f>
        <v>Medical</v>
      </c>
      <c r="R1299" s="5" t="str">
        <f ca="1">IFERROR(__xludf.DUMMYFUNCTION("""COMPUTED_VALUE"""),"România")</f>
        <v>România</v>
      </c>
      <c r="S1299" s="5" t="str">
        <f ca="1">IFERROR(__xludf.DUMMYFUNCTION("""COMPUTED_VALUE"""),"Octavian")</f>
        <v>Octavian</v>
      </c>
      <c r="T1299" s="7" t="str">
        <f ca="1">IFERROR(__xludf.DUMMYFUNCTION("""COMPUTED_VALUE"""),"http://www.ms.ro/2020/08/10/buletin-informativ-10-08-2020")</f>
        <v>http://www.ms.ro/2020/08/10/buletin-informativ-10-08-2020</v>
      </c>
      <c r="U1299" s="5"/>
      <c r="V1299" s="5"/>
      <c r="W1299" s="5"/>
      <c r="X1299" s="5"/>
      <c r="Y1299" s="5"/>
      <c r="Z1299" s="5"/>
      <c r="AA1299" s="5"/>
      <c r="AB1299" s="5"/>
      <c r="AC1299" s="5"/>
    </row>
    <row r="1300" spans="1:29" ht="12.5">
      <c r="A1300" s="5">
        <f ca="1">IFERROR(__xludf.DUMMYFUNCTION("""COMPUTED_VALUE"""),61858)</f>
        <v>61858</v>
      </c>
      <c r="B1300" s="5">
        <f ca="1">IFERROR(__xludf.DUMMYFUNCTION("""COMPUTED_VALUE"""),61854)</f>
        <v>61854</v>
      </c>
      <c r="C1300" s="5" t="str">
        <f ca="1">IFERROR(__xludf.DUMMYFUNCTION("""COMPUTED_VALUE"""),"Bihor")</f>
        <v>Bihor</v>
      </c>
      <c r="D1300" s="13">
        <f ca="1">IFERROR(__xludf.DUMMYFUNCTION("""COMPUTED_VALUE"""),44053)</f>
        <v>44053</v>
      </c>
      <c r="E1300" s="5" t="str">
        <f ca="1">IFERROR(__xludf.DUMMYFUNCTION("""COMPUTED_VALUE"""),"Nu")</f>
        <v>Nu</v>
      </c>
      <c r="F1300" s="5"/>
      <c r="G1300" s="5"/>
      <c r="H1300" s="6"/>
      <c r="I1300" s="5"/>
      <c r="J1300" s="5"/>
      <c r="K1300" s="7" t="str">
        <f ca="1">IFERROR(__xludf.DUMMYFUNCTION("""COMPUTED_VALUE"""),"https://www.ebihoreanul.ro/stiri/nc-un-deces-i-37-de-noi-mbolnviri-de-covid-19-n-bihor-o-parte-a-spitalului-din-beiu-va-trata-bolnavi-cu-covid-din-cauza-cazurilor-multe-din-zon-158138.html")</f>
        <v>https://www.ebihoreanul.ro/stiri/nc-un-deces-i-37-de-noi-mbolnviri-de-covid-19-n-bihor-o-parte-a-spitalului-din-beiu-va-trata-bolnavi-cu-covid-din-cauza-cazurilor-multe-din-zon-158138.html</v>
      </c>
      <c r="L1300" s="5"/>
      <c r="M1300" s="5"/>
      <c r="N1300" s="5"/>
      <c r="O1300" s="5"/>
      <c r="P1300" s="5" t="str">
        <f ca="1">IFERROR(__xludf.DUMMYFUNCTION("""COMPUTED_VALUE"""),"SJU Oradea, pacient.")</f>
        <v>SJU Oradea, pacient.</v>
      </c>
      <c r="Q1300" s="5" t="str">
        <f ca="1">IFERROR(__xludf.DUMMYFUNCTION("""COMPUTED_VALUE"""),"Medical")</f>
        <v>Medical</v>
      </c>
      <c r="R1300" s="5" t="str">
        <f ca="1">IFERROR(__xludf.DUMMYFUNCTION("""COMPUTED_VALUE"""),"România")</f>
        <v>România</v>
      </c>
      <c r="S1300" s="5" t="str">
        <f ca="1">IFERROR(__xludf.DUMMYFUNCTION("""COMPUTED_VALUE"""),"Octavian")</f>
        <v>Octavian</v>
      </c>
      <c r="T1300" s="7" t="str">
        <f ca="1">IFERROR(__xludf.DUMMYFUNCTION("""COMPUTED_VALUE"""),"http://www.ms.ro/2020/08/10/buletin-informativ-10-08-2020")</f>
        <v>http://www.ms.ro/2020/08/10/buletin-informativ-10-08-2020</v>
      </c>
      <c r="U1300" s="5"/>
      <c r="V1300" s="5"/>
      <c r="W1300" s="5"/>
      <c r="X1300" s="5"/>
      <c r="Y1300" s="5"/>
      <c r="Z1300" s="5"/>
      <c r="AA1300" s="5"/>
      <c r="AB1300" s="5"/>
      <c r="AC1300" s="5"/>
    </row>
    <row r="1301" spans="1:29" ht="12.5">
      <c r="A1301" s="5">
        <f ca="1">IFERROR(__xludf.DUMMYFUNCTION("""COMPUTED_VALUE"""),61859)</f>
        <v>61859</v>
      </c>
      <c r="B1301" s="5">
        <f ca="1">IFERROR(__xludf.DUMMYFUNCTION("""COMPUTED_VALUE"""),61854)</f>
        <v>61854</v>
      </c>
      <c r="C1301" s="5" t="str">
        <f ca="1">IFERROR(__xludf.DUMMYFUNCTION("""COMPUTED_VALUE"""),"Bihor")</f>
        <v>Bihor</v>
      </c>
      <c r="D1301" s="13">
        <f ca="1">IFERROR(__xludf.DUMMYFUNCTION("""COMPUTED_VALUE"""),44053)</f>
        <v>44053</v>
      </c>
      <c r="E1301" s="5" t="str">
        <f ca="1">IFERROR(__xludf.DUMMYFUNCTION("""COMPUTED_VALUE"""),"Nu")</f>
        <v>Nu</v>
      </c>
      <c r="F1301" s="5"/>
      <c r="G1301" s="5"/>
      <c r="H1301" s="6"/>
      <c r="I1301" s="5"/>
      <c r="J1301" s="5"/>
      <c r="K1301" s="7" t="str">
        <f ca="1">IFERROR(__xludf.DUMMYFUNCTION("""COMPUTED_VALUE"""),"https://www.ebihoreanul.ro/stiri/nc-un-deces-i-37-de-noi-mbolnviri-de-covid-19-n-bihor-o-parte-a-spitalului-din-beiu-va-trata-bolnavi-cu-covid-din-cauza-cazurilor-multe-din-zon-158138.html")</f>
        <v>https://www.ebihoreanul.ro/stiri/nc-un-deces-i-37-de-noi-mbolnviri-de-covid-19-n-bihor-o-parte-a-spitalului-din-beiu-va-trata-bolnavi-cu-covid-din-cauza-cazurilor-multe-din-zon-158138.html</v>
      </c>
      <c r="L1301" s="5"/>
      <c r="M1301" s="5"/>
      <c r="N1301" s="5"/>
      <c r="O1301" s="5"/>
      <c r="P1301" s="5" t="str">
        <f ca="1">IFERROR(__xludf.DUMMYFUNCTION("""COMPUTED_VALUE"""),"SJU Oradea, pacient.")</f>
        <v>SJU Oradea, pacient.</v>
      </c>
      <c r="Q1301" s="5" t="str">
        <f ca="1">IFERROR(__xludf.DUMMYFUNCTION("""COMPUTED_VALUE"""),"Medical")</f>
        <v>Medical</v>
      </c>
      <c r="R1301" s="5" t="str">
        <f ca="1">IFERROR(__xludf.DUMMYFUNCTION("""COMPUTED_VALUE"""),"România")</f>
        <v>România</v>
      </c>
      <c r="S1301" s="5" t="str">
        <f ca="1">IFERROR(__xludf.DUMMYFUNCTION("""COMPUTED_VALUE"""),"Octavian")</f>
        <v>Octavian</v>
      </c>
      <c r="T1301" s="7" t="str">
        <f ca="1">IFERROR(__xludf.DUMMYFUNCTION("""COMPUTED_VALUE"""),"http://www.ms.ro/2020/08/10/buletin-informativ-10-08-2020")</f>
        <v>http://www.ms.ro/2020/08/10/buletin-informativ-10-08-2020</v>
      </c>
      <c r="U1301" s="5"/>
      <c r="V1301" s="5"/>
      <c r="W1301" s="5"/>
      <c r="X1301" s="5"/>
      <c r="Y1301" s="5"/>
      <c r="Z1301" s="5"/>
      <c r="AA1301" s="5"/>
      <c r="AB1301" s="5"/>
      <c r="AC1301" s="5"/>
    </row>
    <row r="1302" spans="1:29" ht="12.5">
      <c r="A1302" s="5">
        <f ca="1">IFERROR(__xludf.DUMMYFUNCTION("""COMPUTED_VALUE"""),61860)</f>
        <v>61860</v>
      </c>
      <c r="B1302" s="5">
        <f ca="1">IFERROR(__xludf.DUMMYFUNCTION("""COMPUTED_VALUE"""),61854)</f>
        <v>61854</v>
      </c>
      <c r="C1302" s="5" t="str">
        <f ca="1">IFERROR(__xludf.DUMMYFUNCTION("""COMPUTED_VALUE"""),"Bihor")</f>
        <v>Bihor</v>
      </c>
      <c r="D1302" s="13">
        <f ca="1">IFERROR(__xludf.DUMMYFUNCTION("""COMPUTED_VALUE"""),44053)</f>
        <v>44053</v>
      </c>
      <c r="E1302" s="5" t="str">
        <f ca="1">IFERROR(__xludf.DUMMYFUNCTION("""COMPUTED_VALUE"""),"Nu")</f>
        <v>Nu</v>
      </c>
      <c r="F1302" s="5"/>
      <c r="G1302" s="5"/>
      <c r="H1302" s="6"/>
      <c r="I1302" s="5"/>
      <c r="J1302" s="5"/>
      <c r="K1302" s="7" t="str">
        <f ca="1">IFERROR(__xludf.DUMMYFUNCTION("""COMPUTED_VALUE"""),"https://www.ebihoreanul.ro/stiri/nc-un-deces-i-37-de-noi-mbolnviri-de-covid-19-n-bihor-o-parte-a-spitalului-din-beiu-va-trata-bolnavi-cu-covid-din-cauza-cazurilor-multe-din-zon-158138.html")</f>
        <v>https://www.ebihoreanul.ro/stiri/nc-un-deces-i-37-de-noi-mbolnviri-de-covid-19-n-bihor-o-parte-a-spitalului-din-beiu-va-trata-bolnavi-cu-covid-din-cauza-cazurilor-multe-din-zon-158138.html</v>
      </c>
      <c r="L1302" s="5"/>
      <c r="M1302" s="5"/>
      <c r="N1302" s="5"/>
      <c r="O1302" s="5"/>
      <c r="P1302" s="5" t="str">
        <f ca="1">IFERROR(__xludf.DUMMYFUNCTION("""COMPUTED_VALUE"""),"SJU Oradea, pacient.")</f>
        <v>SJU Oradea, pacient.</v>
      </c>
      <c r="Q1302" s="5" t="str">
        <f ca="1">IFERROR(__xludf.DUMMYFUNCTION("""COMPUTED_VALUE"""),"Medical")</f>
        <v>Medical</v>
      </c>
      <c r="R1302" s="5" t="str">
        <f ca="1">IFERROR(__xludf.DUMMYFUNCTION("""COMPUTED_VALUE"""),"România")</f>
        <v>România</v>
      </c>
      <c r="S1302" s="5" t="str">
        <f ca="1">IFERROR(__xludf.DUMMYFUNCTION("""COMPUTED_VALUE"""),"Octavian")</f>
        <v>Octavian</v>
      </c>
      <c r="T1302" s="7" t="str">
        <f ca="1">IFERROR(__xludf.DUMMYFUNCTION("""COMPUTED_VALUE"""),"http://www.ms.ro/2020/08/10/buletin-informativ-10-08-2020")</f>
        <v>http://www.ms.ro/2020/08/10/buletin-informativ-10-08-2020</v>
      </c>
      <c r="U1302" s="5"/>
      <c r="V1302" s="5"/>
      <c r="W1302" s="5"/>
      <c r="X1302" s="5"/>
      <c r="Y1302" s="5"/>
      <c r="Z1302" s="5"/>
      <c r="AA1302" s="5"/>
      <c r="AB1302" s="5"/>
      <c r="AC1302" s="5"/>
    </row>
    <row r="1303" spans="1:29" ht="12.5">
      <c r="A1303" s="5">
        <f ca="1">IFERROR(__xludf.DUMMYFUNCTION("""COMPUTED_VALUE"""),61861)</f>
        <v>61861</v>
      </c>
      <c r="B1303" s="5">
        <f ca="1">IFERROR(__xludf.DUMMYFUNCTION("""COMPUTED_VALUE"""),61854)</f>
        <v>61854</v>
      </c>
      <c r="C1303" s="5" t="str">
        <f ca="1">IFERROR(__xludf.DUMMYFUNCTION("""COMPUTED_VALUE"""),"Bihor")</f>
        <v>Bihor</v>
      </c>
      <c r="D1303" s="13">
        <f ca="1">IFERROR(__xludf.DUMMYFUNCTION("""COMPUTED_VALUE"""),44053)</f>
        <v>44053</v>
      </c>
      <c r="E1303" s="5" t="str">
        <f ca="1">IFERROR(__xludf.DUMMYFUNCTION("""COMPUTED_VALUE"""),"Nu")</f>
        <v>Nu</v>
      </c>
      <c r="F1303" s="5"/>
      <c r="G1303" s="5"/>
      <c r="H1303" s="6"/>
      <c r="I1303" s="5"/>
      <c r="J1303" s="5"/>
      <c r="K1303" s="7" t="str">
        <f ca="1">IFERROR(__xludf.DUMMYFUNCTION("""COMPUTED_VALUE"""),"https://www.ebihoreanul.ro/stiri/nc-un-deces-i-37-de-noi-mbolnviri-de-covid-19-n-bihor-o-parte-a-spitalului-din-beiu-va-trata-bolnavi-cu-covid-din-cauza-cazurilor-multe-din-zon-158138.html")</f>
        <v>https://www.ebihoreanul.ro/stiri/nc-un-deces-i-37-de-noi-mbolnviri-de-covid-19-n-bihor-o-parte-a-spitalului-din-beiu-va-trata-bolnavi-cu-covid-din-cauza-cazurilor-multe-din-zon-158138.html</v>
      </c>
      <c r="L1303" s="5"/>
      <c r="M1303" s="5"/>
      <c r="N1303" s="5"/>
      <c r="O1303" s="5"/>
      <c r="P1303" s="5" t="str">
        <f ca="1">IFERROR(__xludf.DUMMYFUNCTION("""COMPUTED_VALUE"""),"SJU Oradea, pacient.")</f>
        <v>SJU Oradea, pacient.</v>
      </c>
      <c r="Q1303" s="5" t="str">
        <f ca="1">IFERROR(__xludf.DUMMYFUNCTION("""COMPUTED_VALUE"""),"Medical")</f>
        <v>Medical</v>
      </c>
      <c r="R1303" s="5" t="str">
        <f ca="1">IFERROR(__xludf.DUMMYFUNCTION("""COMPUTED_VALUE"""),"România")</f>
        <v>România</v>
      </c>
      <c r="S1303" s="5" t="str">
        <f ca="1">IFERROR(__xludf.DUMMYFUNCTION("""COMPUTED_VALUE"""),"Octavian")</f>
        <v>Octavian</v>
      </c>
      <c r="T1303" s="7" t="str">
        <f ca="1">IFERROR(__xludf.DUMMYFUNCTION("""COMPUTED_VALUE"""),"http://www.ms.ro/2020/08/10/buletin-informativ-10-08-2020")</f>
        <v>http://www.ms.ro/2020/08/10/buletin-informativ-10-08-2020</v>
      </c>
      <c r="U1303" s="5"/>
      <c r="V1303" s="5"/>
      <c r="W1303" s="5"/>
      <c r="X1303" s="5"/>
      <c r="Y1303" s="5"/>
      <c r="Z1303" s="5"/>
      <c r="AA1303" s="5"/>
      <c r="AB1303" s="5"/>
      <c r="AC1303" s="5"/>
    </row>
    <row r="1304" spans="1:29" ht="12.5">
      <c r="A1304" s="5">
        <f ca="1">IFERROR(__xludf.DUMMYFUNCTION("""COMPUTED_VALUE"""),61862)</f>
        <v>61862</v>
      </c>
      <c r="B1304" s="5"/>
      <c r="C1304" s="5" t="str">
        <f ca="1">IFERROR(__xludf.DUMMYFUNCTION("""COMPUTED_VALUE"""),"Bihor")</f>
        <v>Bihor</v>
      </c>
      <c r="D1304" s="13">
        <f ca="1">IFERROR(__xludf.DUMMYFUNCTION("""COMPUTED_VALUE"""),44053)</f>
        <v>44053</v>
      </c>
      <c r="E1304" s="5" t="str">
        <f ca="1">IFERROR(__xludf.DUMMYFUNCTION("""COMPUTED_VALUE"""),"Nu")</f>
        <v>Nu</v>
      </c>
      <c r="F1304" s="5"/>
      <c r="G1304" s="5"/>
      <c r="H1304" s="6"/>
      <c r="I1304" s="5"/>
      <c r="J1304" s="5"/>
      <c r="K1304" s="7" t="str">
        <f ca="1">IFERROR(__xludf.DUMMYFUNCTION("""COMPUTED_VALUE"""),"https://www.ebihoreanul.ro/stiri/nc-un-deces-i-37-de-noi-mbolnviri-de-covid-19-n-bihor-o-parte-a-spitalului-din-beiu-va-trata-bolnavi-cu-covid-din-cauza-cazurilor-multe-din-zon-158138.html")</f>
        <v>https://www.ebihoreanul.ro/stiri/nc-un-deces-i-37-de-noi-mbolnviri-de-covid-19-n-bihor-o-parte-a-spitalului-din-beiu-va-trata-bolnavi-cu-covid-din-cauza-cazurilor-multe-din-zon-158138.html</v>
      </c>
      <c r="L1304" s="5"/>
      <c r="M1304" s="5"/>
      <c r="N1304" s="5"/>
      <c r="O1304" s="5"/>
      <c r="P1304" s="5" t="str">
        <f ca="1">IFERROR(__xludf.DUMMYFUNCTION("""COMPUTED_VALUE"""),"Spital Beiuș, pacient.")</f>
        <v>Spital Beiuș, pacient.</v>
      </c>
      <c r="Q1304" s="5" t="str">
        <f ca="1">IFERROR(__xludf.DUMMYFUNCTION("""COMPUTED_VALUE"""),"Medical")</f>
        <v>Medical</v>
      </c>
      <c r="R1304" s="5" t="str">
        <f ca="1">IFERROR(__xludf.DUMMYFUNCTION("""COMPUTED_VALUE"""),"România")</f>
        <v>România</v>
      </c>
      <c r="S1304" s="5" t="str">
        <f ca="1">IFERROR(__xludf.DUMMYFUNCTION("""COMPUTED_VALUE"""),"Octavian")</f>
        <v>Octavian</v>
      </c>
      <c r="T1304" s="7" t="str">
        <f ca="1">IFERROR(__xludf.DUMMYFUNCTION("""COMPUTED_VALUE"""),"http://www.ms.ro/2020/08/10/buletin-informativ-10-08-2020")</f>
        <v>http://www.ms.ro/2020/08/10/buletin-informativ-10-08-2020</v>
      </c>
      <c r="U1304" s="5"/>
      <c r="V1304" s="5"/>
      <c r="W1304" s="5"/>
      <c r="X1304" s="5"/>
      <c r="Y1304" s="5"/>
      <c r="Z1304" s="5"/>
      <c r="AA1304" s="5"/>
      <c r="AB1304" s="5"/>
      <c r="AC1304" s="5"/>
    </row>
    <row r="1305" spans="1:29" ht="12.5">
      <c r="A1305" s="5">
        <f ca="1">IFERROR(__xludf.DUMMYFUNCTION("""COMPUTED_VALUE"""),61863)</f>
        <v>61863</v>
      </c>
      <c r="B1305" s="5">
        <f ca="1">IFERROR(__xludf.DUMMYFUNCTION("""COMPUTED_VALUE"""),61863)</f>
        <v>61863</v>
      </c>
      <c r="C1305" s="5" t="str">
        <f ca="1">IFERROR(__xludf.DUMMYFUNCTION("""COMPUTED_VALUE"""),"Bihor")</f>
        <v>Bihor</v>
      </c>
      <c r="D1305" s="13">
        <f ca="1">IFERROR(__xludf.DUMMYFUNCTION("""COMPUTED_VALUE"""),44053)</f>
        <v>44053</v>
      </c>
      <c r="E1305" s="5" t="str">
        <f ca="1">IFERROR(__xludf.DUMMYFUNCTION("""COMPUTED_VALUE"""),"Nu")</f>
        <v>Nu</v>
      </c>
      <c r="F1305" s="5"/>
      <c r="G1305" s="5"/>
      <c r="H1305" s="6"/>
      <c r="I1305" s="5"/>
      <c r="J1305" s="5"/>
      <c r="K1305" s="7" t="str">
        <f ca="1">IFERROR(__xludf.DUMMYFUNCTION("""COMPUTED_VALUE"""),"https://www.ebihoreanul.ro/stiri/nc-un-deces-i-37-de-noi-mbolnviri-de-covid-19-n-bihor-o-parte-a-spitalului-din-beiu-va-trata-bolnavi-cu-covid-din-cauza-cazurilor-multe-din-zon-158138.html")</f>
        <v>https://www.ebihoreanul.ro/stiri/nc-un-deces-i-37-de-noi-mbolnviri-de-covid-19-n-bihor-o-parte-a-spitalului-din-beiu-va-trata-bolnavi-cu-covid-din-cauza-cazurilor-multe-din-zon-158138.html</v>
      </c>
      <c r="L1305" s="5"/>
      <c r="M1305" s="5"/>
      <c r="N1305" s="5"/>
      <c r="O1305" s="5"/>
      <c r="P1305" s="5" t="str">
        <f ca="1">IFERROR(__xludf.DUMMYFUNCTION("""COMPUTED_VALUE"""),"Spital Beiuș, pacient.")</f>
        <v>Spital Beiuș, pacient.</v>
      </c>
      <c r="Q1305" s="5" t="str">
        <f ca="1">IFERROR(__xludf.DUMMYFUNCTION("""COMPUTED_VALUE"""),"Medical")</f>
        <v>Medical</v>
      </c>
      <c r="R1305" s="5" t="str">
        <f ca="1">IFERROR(__xludf.DUMMYFUNCTION("""COMPUTED_VALUE"""),"România")</f>
        <v>România</v>
      </c>
      <c r="S1305" s="5" t="str">
        <f ca="1">IFERROR(__xludf.DUMMYFUNCTION("""COMPUTED_VALUE"""),"Octavian")</f>
        <v>Octavian</v>
      </c>
      <c r="T1305" s="7" t="str">
        <f ca="1">IFERROR(__xludf.DUMMYFUNCTION("""COMPUTED_VALUE"""),"http://www.ms.ro/2020/08/10/buletin-informativ-10-08-2020")</f>
        <v>http://www.ms.ro/2020/08/10/buletin-informativ-10-08-2020</v>
      </c>
      <c r="U1305" s="5"/>
      <c r="V1305" s="5"/>
      <c r="W1305" s="5"/>
      <c r="X1305" s="5"/>
      <c r="Y1305" s="5"/>
      <c r="Z1305" s="5"/>
      <c r="AA1305" s="5"/>
      <c r="AB1305" s="5"/>
      <c r="AC1305" s="5"/>
    </row>
    <row r="1306" spans="1:29" ht="12.5">
      <c r="A1306" s="5">
        <f ca="1">IFERROR(__xludf.DUMMYFUNCTION("""COMPUTED_VALUE"""),61864)</f>
        <v>61864</v>
      </c>
      <c r="B1306" s="5">
        <f ca="1">IFERROR(__xludf.DUMMYFUNCTION("""COMPUTED_VALUE"""),61863)</f>
        <v>61863</v>
      </c>
      <c r="C1306" s="5" t="str">
        <f ca="1">IFERROR(__xludf.DUMMYFUNCTION("""COMPUTED_VALUE"""),"Bihor")</f>
        <v>Bihor</v>
      </c>
      <c r="D1306" s="13">
        <f ca="1">IFERROR(__xludf.DUMMYFUNCTION("""COMPUTED_VALUE"""),44053)</f>
        <v>44053</v>
      </c>
      <c r="E1306" s="5" t="str">
        <f ca="1">IFERROR(__xludf.DUMMYFUNCTION("""COMPUTED_VALUE"""),"Nu")</f>
        <v>Nu</v>
      </c>
      <c r="F1306" s="5"/>
      <c r="G1306" s="5"/>
      <c r="H1306" s="6"/>
      <c r="I1306" s="5"/>
      <c r="J1306" s="5"/>
      <c r="K1306" s="7" t="str">
        <f ca="1">IFERROR(__xludf.DUMMYFUNCTION("""COMPUTED_VALUE"""),"https://www.ebihoreanul.ro/stiri/nc-un-deces-i-37-de-noi-mbolnviri-de-covid-19-n-bihor-o-parte-a-spitalului-din-beiu-va-trata-bolnavi-cu-covid-din-cauza-cazurilor-multe-din-zon-158138.html")</f>
        <v>https://www.ebihoreanul.ro/stiri/nc-un-deces-i-37-de-noi-mbolnviri-de-covid-19-n-bihor-o-parte-a-spitalului-din-beiu-va-trata-bolnavi-cu-covid-din-cauza-cazurilor-multe-din-zon-158138.html</v>
      </c>
      <c r="L1306" s="5"/>
      <c r="M1306" s="5"/>
      <c r="N1306" s="5"/>
      <c r="O1306" s="5"/>
      <c r="P1306" s="5" t="str">
        <f ca="1">IFERROR(__xludf.DUMMYFUNCTION("""COMPUTED_VALUE"""),"Spital Beiuș, pacient.")</f>
        <v>Spital Beiuș, pacient.</v>
      </c>
      <c r="Q1306" s="5" t="str">
        <f ca="1">IFERROR(__xludf.DUMMYFUNCTION("""COMPUTED_VALUE"""),"Medical")</f>
        <v>Medical</v>
      </c>
      <c r="R1306" s="5" t="str">
        <f ca="1">IFERROR(__xludf.DUMMYFUNCTION("""COMPUTED_VALUE"""),"România")</f>
        <v>România</v>
      </c>
      <c r="S1306" s="5" t="str">
        <f ca="1">IFERROR(__xludf.DUMMYFUNCTION("""COMPUTED_VALUE"""),"Octavian")</f>
        <v>Octavian</v>
      </c>
      <c r="T1306" s="7" t="str">
        <f ca="1">IFERROR(__xludf.DUMMYFUNCTION("""COMPUTED_VALUE"""),"http://www.ms.ro/2020/08/10/buletin-informativ-10-08-2020")</f>
        <v>http://www.ms.ro/2020/08/10/buletin-informativ-10-08-2020</v>
      </c>
      <c r="U1306" s="5"/>
      <c r="V1306" s="5"/>
      <c r="W1306" s="5"/>
      <c r="X1306" s="5"/>
      <c r="Y1306" s="5"/>
      <c r="Z1306" s="5"/>
      <c r="AA1306" s="5"/>
      <c r="AB1306" s="5"/>
      <c r="AC1306" s="5"/>
    </row>
    <row r="1307" spans="1:29" ht="12.5">
      <c r="A1307" s="5">
        <f ca="1">IFERROR(__xludf.DUMMYFUNCTION("""COMPUTED_VALUE"""),61865)</f>
        <v>61865</v>
      </c>
      <c r="B1307" s="5">
        <f ca="1">IFERROR(__xludf.DUMMYFUNCTION("""COMPUTED_VALUE"""),61863)</f>
        <v>61863</v>
      </c>
      <c r="C1307" s="5" t="str">
        <f ca="1">IFERROR(__xludf.DUMMYFUNCTION("""COMPUTED_VALUE"""),"Bihor")</f>
        <v>Bihor</v>
      </c>
      <c r="D1307" s="13">
        <f ca="1">IFERROR(__xludf.DUMMYFUNCTION("""COMPUTED_VALUE"""),44053)</f>
        <v>44053</v>
      </c>
      <c r="E1307" s="5" t="str">
        <f ca="1">IFERROR(__xludf.DUMMYFUNCTION("""COMPUTED_VALUE"""),"Nu")</f>
        <v>Nu</v>
      </c>
      <c r="F1307" s="5"/>
      <c r="G1307" s="5"/>
      <c r="H1307" s="6"/>
      <c r="I1307" s="5"/>
      <c r="J1307" s="5"/>
      <c r="K1307" s="7" t="str">
        <f ca="1">IFERROR(__xludf.DUMMYFUNCTION("""COMPUTED_VALUE"""),"https://www.ebihoreanul.ro/stiri/nc-un-deces-i-37-de-noi-mbolnviri-de-covid-19-n-bihor-o-parte-a-spitalului-din-beiu-va-trata-bolnavi-cu-covid-din-cauza-cazurilor-multe-din-zon-158138.html")</f>
        <v>https://www.ebihoreanul.ro/stiri/nc-un-deces-i-37-de-noi-mbolnviri-de-covid-19-n-bihor-o-parte-a-spitalului-din-beiu-va-trata-bolnavi-cu-covid-din-cauza-cazurilor-multe-din-zon-158138.html</v>
      </c>
      <c r="L1307" s="5"/>
      <c r="M1307" s="5"/>
      <c r="N1307" s="5"/>
      <c r="O1307" s="5"/>
      <c r="P1307" s="5" t="str">
        <f ca="1">IFERROR(__xludf.DUMMYFUNCTION("""COMPUTED_VALUE"""),"Spital Beiuș, pacient.")</f>
        <v>Spital Beiuș, pacient.</v>
      </c>
      <c r="Q1307" s="5" t="str">
        <f ca="1">IFERROR(__xludf.DUMMYFUNCTION("""COMPUTED_VALUE"""),"Medical")</f>
        <v>Medical</v>
      </c>
      <c r="R1307" s="5" t="str">
        <f ca="1">IFERROR(__xludf.DUMMYFUNCTION("""COMPUTED_VALUE"""),"România")</f>
        <v>România</v>
      </c>
      <c r="S1307" s="5" t="str">
        <f ca="1">IFERROR(__xludf.DUMMYFUNCTION("""COMPUTED_VALUE"""),"Octavian")</f>
        <v>Octavian</v>
      </c>
      <c r="T1307" s="7" t="str">
        <f ca="1">IFERROR(__xludf.DUMMYFUNCTION("""COMPUTED_VALUE"""),"http://www.ms.ro/2020/08/10/buletin-informativ-10-08-2020")</f>
        <v>http://www.ms.ro/2020/08/10/buletin-informativ-10-08-2020</v>
      </c>
      <c r="U1307" s="5"/>
      <c r="V1307" s="5"/>
      <c r="W1307" s="5"/>
      <c r="X1307" s="5"/>
      <c r="Y1307" s="5"/>
      <c r="Z1307" s="5"/>
      <c r="AA1307" s="5"/>
      <c r="AB1307" s="5"/>
      <c r="AC1307" s="5"/>
    </row>
    <row r="1308" spans="1:29" ht="12.5">
      <c r="A1308" s="5">
        <f ca="1">IFERROR(__xludf.DUMMYFUNCTION("""COMPUTED_VALUE"""),61866)</f>
        <v>61866</v>
      </c>
      <c r="B1308" s="5">
        <f ca="1">IFERROR(__xludf.DUMMYFUNCTION("""COMPUTED_VALUE"""),61863)</f>
        <v>61863</v>
      </c>
      <c r="C1308" s="5" t="str">
        <f ca="1">IFERROR(__xludf.DUMMYFUNCTION("""COMPUTED_VALUE"""),"Bihor")</f>
        <v>Bihor</v>
      </c>
      <c r="D1308" s="13">
        <f ca="1">IFERROR(__xludf.DUMMYFUNCTION("""COMPUTED_VALUE"""),44053)</f>
        <v>44053</v>
      </c>
      <c r="E1308" s="5" t="str">
        <f ca="1">IFERROR(__xludf.DUMMYFUNCTION("""COMPUTED_VALUE"""),"Nu")</f>
        <v>Nu</v>
      </c>
      <c r="F1308" s="5"/>
      <c r="G1308" s="5"/>
      <c r="H1308" s="6"/>
      <c r="I1308" s="5"/>
      <c r="J1308" s="5"/>
      <c r="K1308" s="7" t="str">
        <f ca="1">IFERROR(__xludf.DUMMYFUNCTION("""COMPUTED_VALUE"""),"https://www.ebihoreanul.ro/stiri/nc-un-deces-i-37-de-noi-mbolnviri-de-covid-19-n-bihor-o-parte-a-spitalului-din-beiu-va-trata-bolnavi-cu-covid-din-cauza-cazurilor-multe-din-zon-158138.html")</f>
        <v>https://www.ebihoreanul.ro/stiri/nc-un-deces-i-37-de-noi-mbolnviri-de-covid-19-n-bihor-o-parte-a-spitalului-din-beiu-va-trata-bolnavi-cu-covid-din-cauza-cazurilor-multe-din-zon-158138.html</v>
      </c>
      <c r="L1308" s="5"/>
      <c r="M1308" s="5"/>
      <c r="N1308" s="5"/>
      <c r="O1308" s="5"/>
      <c r="P1308" s="5" t="str">
        <f ca="1">IFERROR(__xludf.DUMMYFUNCTION("""COMPUTED_VALUE"""),"Spital Beiuș, pacient.")</f>
        <v>Spital Beiuș, pacient.</v>
      </c>
      <c r="Q1308" s="5" t="str">
        <f ca="1">IFERROR(__xludf.DUMMYFUNCTION("""COMPUTED_VALUE"""),"Medical")</f>
        <v>Medical</v>
      </c>
      <c r="R1308" s="5" t="str">
        <f ca="1">IFERROR(__xludf.DUMMYFUNCTION("""COMPUTED_VALUE"""),"România")</f>
        <v>România</v>
      </c>
      <c r="S1308" s="5" t="str">
        <f ca="1">IFERROR(__xludf.DUMMYFUNCTION("""COMPUTED_VALUE"""),"Octavian")</f>
        <v>Octavian</v>
      </c>
      <c r="T1308" s="7" t="str">
        <f ca="1">IFERROR(__xludf.DUMMYFUNCTION("""COMPUTED_VALUE"""),"http://www.ms.ro/2020/08/10/buletin-informativ-10-08-2020")</f>
        <v>http://www.ms.ro/2020/08/10/buletin-informativ-10-08-2020</v>
      </c>
      <c r="U1308" s="5"/>
      <c r="V1308" s="5"/>
      <c r="W1308" s="5"/>
      <c r="X1308" s="5"/>
      <c r="Y1308" s="5"/>
      <c r="Z1308" s="5"/>
      <c r="AA1308" s="5"/>
      <c r="AB1308" s="5"/>
      <c r="AC1308" s="5"/>
    </row>
    <row r="1309" spans="1:29" ht="12.5">
      <c r="A1309" s="5">
        <f ca="1">IFERROR(__xludf.DUMMYFUNCTION("""COMPUTED_VALUE"""),61867)</f>
        <v>61867</v>
      </c>
      <c r="B1309" s="5"/>
      <c r="C1309" s="5" t="str">
        <f ca="1">IFERROR(__xludf.DUMMYFUNCTION("""COMPUTED_VALUE"""),"Bihor")</f>
        <v>Bihor</v>
      </c>
      <c r="D1309" s="13">
        <f ca="1">IFERROR(__xludf.DUMMYFUNCTION("""COMPUTED_VALUE"""),44053)</f>
        <v>44053</v>
      </c>
      <c r="E1309" s="5" t="str">
        <f ca="1">IFERROR(__xludf.DUMMYFUNCTION("""COMPUTED_VALUE"""),"Nu")</f>
        <v>Nu</v>
      </c>
      <c r="F1309" s="5"/>
      <c r="G1309" s="5"/>
      <c r="H1309" s="6"/>
      <c r="I1309" s="5"/>
      <c r="J1309" s="5"/>
      <c r="K1309" s="7" t="str">
        <f ca="1">IFERROR(__xludf.DUMMYFUNCTION("""COMPUTED_VALUE"""),"https://www.ebihoreanul.ro/stiri/nc-un-deces-i-37-de-noi-mbolnviri-de-covid-19-n-bihor-o-parte-a-spitalului-din-beiu-va-trata-bolnavi-cu-covid-din-cauza-cazurilor-multe-din-zon-158138.html")</f>
        <v>https://www.ebihoreanul.ro/stiri/nc-un-deces-i-37-de-noi-mbolnviri-de-covid-19-n-bihor-o-parte-a-spitalului-din-beiu-va-trata-bolnavi-cu-covid-din-cauza-cazurilor-multe-din-zon-158138.html</v>
      </c>
      <c r="L1309" s="5"/>
      <c r="M1309" s="5"/>
      <c r="N1309" s="5"/>
      <c r="O1309" s="5"/>
      <c r="P1309" s="5" t="str">
        <f ca="1">IFERROR(__xludf.DUMMYFUNCTION("""COMPUTED_VALUE"""),"Spital Salonta, pacient.")</f>
        <v>Spital Salonta, pacient.</v>
      </c>
      <c r="Q1309" s="5" t="str">
        <f ca="1">IFERROR(__xludf.DUMMYFUNCTION("""COMPUTED_VALUE"""),"Medical")</f>
        <v>Medical</v>
      </c>
      <c r="R1309" s="5" t="str">
        <f ca="1">IFERROR(__xludf.DUMMYFUNCTION("""COMPUTED_VALUE"""),"România")</f>
        <v>România</v>
      </c>
      <c r="S1309" s="5" t="str">
        <f ca="1">IFERROR(__xludf.DUMMYFUNCTION("""COMPUTED_VALUE"""),"Octavian")</f>
        <v>Octavian</v>
      </c>
      <c r="T1309" s="7" t="str">
        <f ca="1">IFERROR(__xludf.DUMMYFUNCTION("""COMPUTED_VALUE"""),"http://www.ms.ro/2020/08/10/buletin-informativ-10-08-2020")</f>
        <v>http://www.ms.ro/2020/08/10/buletin-informativ-10-08-2020</v>
      </c>
      <c r="U1309" s="5"/>
      <c r="V1309" s="5"/>
      <c r="W1309" s="5"/>
      <c r="X1309" s="5"/>
      <c r="Y1309" s="5"/>
      <c r="Z1309" s="5"/>
      <c r="AA1309" s="5"/>
      <c r="AB1309" s="5"/>
      <c r="AC1309" s="5"/>
    </row>
    <row r="1310" spans="1:29" ht="12.5">
      <c r="A1310" s="5">
        <f ca="1">IFERROR(__xludf.DUMMYFUNCTION("""COMPUTED_VALUE"""),61868)</f>
        <v>61868</v>
      </c>
      <c r="B1310" s="5"/>
      <c r="C1310" s="5" t="str">
        <f ca="1">IFERROR(__xludf.DUMMYFUNCTION("""COMPUTED_VALUE"""),"Bihor")</f>
        <v>Bihor</v>
      </c>
      <c r="D1310" s="13">
        <f ca="1">IFERROR(__xludf.DUMMYFUNCTION("""COMPUTED_VALUE"""),44053)</f>
        <v>44053</v>
      </c>
      <c r="E1310" s="5" t="str">
        <f ca="1">IFERROR(__xludf.DUMMYFUNCTION("""COMPUTED_VALUE"""),"Nu")</f>
        <v>Nu</v>
      </c>
      <c r="F1310" s="5"/>
      <c r="G1310" s="5"/>
      <c r="H1310" s="6"/>
      <c r="I1310" s="5"/>
      <c r="J1310" s="5"/>
      <c r="K1310" s="7" t="str">
        <f ca="1">IFERROR(__xludf.DUMMYFUNCTION("""COMPUTED_VALUE"""),"https://www.ebihoreanul.ro/stiri/nc-un-deces-i-37-de-noi-mbolnviri-de-covid-19-n-bihor-o-parte-a-spitalului-din-beiu-va-trata-bolnavi-cu-covid-din-cauza-cazurilor-multe-din-zon-158138.html")</f>
        <v>https://www.ebihoreanul.ro/stiri/nc-un-deces-i-37-de-noi-mbolnviri-de-covid-19-n-bihor-o-parte-a-spitalului-din-beiu-va-trata-bolnavi-cu-covid-din-cauza-cazurilor-multe-din-zon-158138.html</v>
      </c>
      <c r="L1310" s="5"/>
      <c r="M1310" s="5"/>
      <c r="N1310" s="5"/>
      <c r="O1310" s="5"/>
      <c r="P1310" s="5" t="str">
        <f ca="1">IFERROR(__xludf.DUMMYFUNCTION("""COMPUTED_VALUE"""),"Spital Aleșd, pacient.")</f>
        <v>Spital Aleșd, pacient.</v>
      </c>
      <c r="Q1310" s="5" t="str">
        <f ca="1">IFERROR(__xludf.DUMMYFUNCTION("""COMPUTED_VALUE"""),"Medical")</f>
        <v>Medical</v>
      </c>
      <c r="R1310" s="5" t="str">
        <f ca="1">IFERROR(__xludf.DUMMYFUNCTION("""COMPUTED_VALUE"""),"România")</f>
        <v>România</v>
      </c>
      <c r="S1310" s="5" t="str">
        <f ca="1">IFERROR(__xludf.DUMMYFUNCTION("""COMPUTED_VALUE"""),"Octavian")</f>
        <v>Octavian</v>
      </c>
      <c r="T1310" s="7" t="str">
        <f ca="1">IFERROR(__xludf.DUMMYFUNCTION("""COMPUTED_VALUE"""),"http://www.ms.ro/2020/08/10/buletin-informativ-10-08-2020")</f>
        <v>http://www.ms.ro/2020/08/10/buletin-informativ-10-08-2020</v>
      </c>
      <c r="U1310" s="5"/>
      <c r="V1310" s="5"/>
      <c r="W1310" s="5"/>
      <c r="X1310" s="5"/>
      <c r="Y1310" s="5"/>
      <c r="Z1310" s="5"/>
      <c r="AA1310" s="5"/>
      <c r="AB1310" s="5"/>
      <c r="AC1310" s="5"/>
    </row>
    <row r="1311" spans="1:29" ht="12.5">
      <c r="A1311" s="5">
        <f ca="1">IFERROR(__xludf.DUMMYFUNCTION("""COMPUTED_VALUE"""),61869)</f>
        <v>61869</v>
      </c>
      <c r="B1311" s="5"/>
      <c r="C1311" s="5" t="str">
        <f ca="1">IFERROR(__xludf.DUMMYFUNCTION("""COMPUTED_VALUE"""),"Bihor")</f>
        <v>Bihor</v>
      </c>
      <c r="D1311" s="13">
        <f ca="1">IFERROR(__xludf.DUMMYFUNCTION("""COMPUTED_VALUE"""),44053)</f>
        <v>44053</v>
      </c>
      <c r="E1311" s="5" t="str">
        <f ca="1">IFERROR(__xludf.DUMMYFUNCTION("""COMPUTED_VALUE"""),"Nu")</f>
        <v>Nu</v>
      </c>
      <c r="F1311" s="5"/>
      <c r="G1311" s="5"/>
      <c r="H1311" s="6"/>
      <c r="I1311" s="5"/>
      <c r="J1311" s="5"/>
      <c r="K1311" s="7" t="str">
        <f ca="1">IFERROR(__xludf.DUMMYFUNCTION("""COMPUTED_VALUE"""),"https://www.ebihoreanul.ro/stiri/nc-un-deces-i-37-de-noi-mbolnviri-de-covid-19-n-bihor-o-parte-a-spitalului-din-beiu-va-trata-bolnavi-cu-covid-din-cauza-cazurilor-multe-din-zon-158138.html")</f>
        <v>https://www.ebihoreanul.ro/stiri/nc-un-deces-i-37-de-noi-mbolnviri-de-covid-19-n-bihor-o-parte-a-spitalului-din-beiu-va-trata-bolnavi-cu-covid-din-cauza-cazurilor-multe-din-zon-158138.html</v>
      </c>
      <c r="L1311" s="5"/>
      <c r="M1311" s="5"/>
      <c r="N1311" s="5"/>
      <c r="O1311" s="5" t="str">
        <f ca="1">IFERROR(__xludf.DUMMYFUNCTION("""COMPUTED_VALUE"""),"Țețchea")</f>
        <v>Țețchea</v>
      </c>
      <c r="P1311" s="5"/>
      <c r="Q1311" s="5"/>
      <c r="R1311" s="5" t="str">
        <f ca="1">IFERROR(__xludf.DUMMYFUNCTION("""COMPUTED_VALUE"""),"România")</f>
        <v>România</v>
      </c>
      <c r="S1311" s="5" t="str">
        <f ca="1">IFERROR(__xludf.DUMMYFUNCTION("""COMPUTED_VALUE"""),"Octavian")</f>
        <v>Octavian</v>
      </c>
      <c r="T1311" s="7" t="str">
        <f ca="1">IFERROR(__xludf.DUMMYFUNCTION("""COMPUTED_VALUE"""),"http://www.ms.ro/2020/08/10/buletin-informativ-10-08-2020")</f>
        <v>http://www.ms.ro/2020/08/10/buletin-informativ-10-08-2020</v>
      </c>
      <c r="U1311" s="5"/>
      <c r="V1311" s="5"/>
      <c r="W1311" s="5"/>
      <c r="X1311" s="5"/>
      <c r="Y1311" s="5"/>
      <c r="Z1311" s="5"/>
      <c r="AA1311" s="5"/>
      <c r="AB1311" s="5"/>
      <c r="AC1311" s="5"/>
    </row>
    <row r="1312" spans="1:29" ht="12.5">
      <c r="A1312" s="5">
        <f ca="1">IFERROR(__xludf.DUMMYFUNCTION("""COMPUTED_VALUE"""),61870)</f>
        <v>61870</v>
      </c>
      <c r="B1312" s="5"/>
      <c r="C1312" s="5" t="str">
        <f ca="1">IFERROR(__xludf.DUMMYFUNCTION("""COMPUTED_VALUE"""),"Bihor")</f>
        <v>Bihor</v>
      </c>
      <c r="D1312" s="13">
        <f ca="1">IFERROR(__xludf.DUMMYFUNCTION("""COMPUTED_VALUE"""),44053)</f>
        <v>44053</v>
      </c>
      <c r="E1312" s="5" t="str">
        <f ca="1">IFERROR(__xludf.DUMMYFUNCTION("""COMPUTED_VALUE"""),"Nu")</f>
        <v>Nu</v>
      </c>
      <c r="F1312" s="5"/>
      <c r="G1312" s="5"/>
      <c r="H1312" s="6"/>
      <c r="I1312" s="5"/>
      <c r="J1312" s="5"/>
      <c r="K1312" s="7" t="str">
        <f ca="1">IFERROR(__xludf.DUMMYFUNCTION("""COMPUTED_VALUE"""),"https://www.ebihoreanul.ro/stiri/nc-un-deces-i-37-de-noi-mbolnviri-de-covid-19-n-bihor-o-parte-a-spitalului-din-beiu-va-trata-bolnavi-cu-covid-din-cauza-cazurilor-multe-din-zon-158138.html")</f>
        <v>https://www.ebihoreanul.ro/stiri/nc-un-deces-i-37-de-noi-mbolnviri-de-covid-19-n-bihor-o-parte-a-spitalului-din-beiu-va-trata-bolnavi-cu-covid-din-cauza-cazurilor-multe-din-zon-158138.html</v>
      </c>
      <c r="L1312" s="5"/>
      <c r="M1312" s="5"/>
      <c r="N1312" s="5"/>
      <c r="O1312" s="5" t="str">
        <f ca="1">IFERROR(__xludf.DUMMYFUNCTION("""COMPUTED_VALUE"""),"Buntești")</f>
        <v>Buntești</v>
      </c>
      <c r="P1312" s="5"/>
      <c r="Q1312" s="5"/>
      <c r="R1312" s="5" t="str">
        <f ca="1">IFERROR(__xludf.DUMMYFUNCTION("""COMPUTED_VALUE"""),"România")</f>
        <v>România</v>
      </c>
      <c r="S1312" s="5" t="str">
        <f ca="1">IFERROR(__xludf.DUMMYFUNCTION("""COMPUTED_VALUE"""),"Octavian")</f>
        <v>Octavian</v>
      </c>
      <c r="T1312" s="7" t="str">
        <f ca="1">IFERROR(__xludf.DUMMYFUNCTION("""COMPUTED_VALUE"""),"http://www.ms.ro/2020/08/10/buletin-informativ-10-08-2020")</f>
        <v>http://www.ms.ro/2020/08/10/buletin-informativ-10-08-2020</v>
      </c>
      <c r="U1312" s="5"/>
      <c r="V1312" s="5"/>
      <c r="W1312" s="5"/>
      <c r="X1312" s="5"/>
      <c r="Y1312" s="5"/>
      <c r="Z1312" s="5"/>
      <c r="AA1312" s="5"/>
      <c r="AB1312" s="5"/>
      <c r="AC1312" s="5"/>
    </row>
    <row r="1313" spans="1:29" ht="12.5">
      <c r="A1313" s="5">
        <f ca="1">IFERROR(__xludf.DUMMYFUNCTION("""COMPUTED_VALUE"""),61871)</f>
        <v>61871</v>
      </c>
      <c r="B1313" s="5"/>
      <c r="C1313" s="5" t="str">
        <f ca="1">IFERROR(__xludf.DUMMYFUNCTION("""COMPUTED_VALUE"""),"Bihor")</f>
        <v>Bihor</v>
      </c>
      <c r="D1313" s="13">
        <f ca="1">IFERROR(__xludf.DUMMYFUNCTION("""COMPUTED_VALUE"""),44053)</f>
        <v>44053</v>
      </c>
      <c r="E1313" s="5" t="str">
        <f ca="1">IFERROR(__xludf.DUMMYFUNCTION("""COMPUTED_VALUE"""),"Nu")</f>
        <v>Nu</v>
      </c>
      <c r="F1313" s="5"/>
      <c r="G1313" s="5"/>
      <c r="H1313" s="6"/>
      <c r="I1313" s="5"/>
      <c r="J1313" s="5"/>
      <c r="K1313" s="7" t="str">
        <f ca="1">IFERROR(__xludf.DUMMYFUNCTION("""COMPUTED_VALUE"""),"https://www.ebihoreanul.ro/stiri/nc-un-deces-i-37-de-noi-mbolnviri-de-covid-19-n-bihor-o-parte-a-spitalului-din-beiu-va-trata-bolnavi-cu-covid-din-cauza-cazurilor-multe-din-zon-158138.html")</f>
        <v>https://www.ebihoreanul.ro/stiri/nc-un-deces-i-37-de-noi-mbolnviri-de-covid-19-n-bihor-o-parte-a-spitalului-din-beiu-va-trata-bolnavi-cu-covid-din-cauza-cazurilor-multe-din-zon-158138.html</v>
      </c>
      <c r="L1313" s="5"/>
      <c r="M1313" s="5"/>
      <c r="N1313" s="5"/>
      <c r="O1313" s="5" t="str">
        <f ca="1">IFERROR(__xludf.DUMMYFUNCTION("""COMPUTED_VALUE"""),"Sântandrei")</f>
        <v>Sântandrei</v>
      </c>
      <c r="P1313" s="5"/>
      <c r="Q1313" s="5"/>
      <c r="R1313" s="5" t="str">
        <f ca="1">IFERROR(__xludf.DUMMYFUNCTION("""COMPUTED_VALUE"""),"România")</f>
        <v>România</v>
      </c>
      <c r="S1313" s="5" t="str">
        <f ca="1">IFERROR(__xludf.DUMMYFUNCTION("""COMPUTED_VALUE"""),"Octavian")</f>
        <v>Octavian</v>
      </c>
      <c r="T1313" s="7" t="str">
        <f ca="1">IFERROR(__xludf.DUMMYFUNCTION("""COMPUTED_VALUE"""),"http://www.ms.ro/2020/08/10/buletin-informativ-10-08-2020")</f>
        <v>http://www.ms.ro/2020/08/10/buletin-informativ-10-08-2020</v>
      </c>
      <c r="U1313" s="5"/>
      <c r="V1313" s="5"/>
      <c r="W1313" s="5"/>
      <c r="X1313" s="5"/>
      <c r="Y1313" s="5"/>
      <c r="Z1313" s="5"/>
      <c r="AA1313" s="5"/>
      <c r="AB1313" s="5"/>
      <c r="AC1313" s="5"/>
    </row>
    <row r="1314" spans="1:29" ht="12.5">
      <c r="A1314" s="5">
        <f ca="1">IFERROR(__xludf.DUMMYFUNCTION("""COMPUTED_VALUE"""),61872)</f>
        <v>61872</v>
      </c>
      <c r="B1314" s="5"/>
      <c r="C1314" s="5" t="str">
        <f ca="1">IFERROR(__xludf.DUMMYFUNCTION("""COMPUTED_VALUE"""),"Bihor")</f>
        <v>Bihor</v>
      </c>
      <c r="D1314" s="13">
        <f ca="1">IFERROR(__xludf.DUMMYFUNCTION("""COMPUTED_VALUE"""),44053)</f>
        <v>44053</v>
      </c>
      <c r="E1314" s="5" t="str">
        <f ca="1">IFERROR(__xludf.DUMMYFUNCTION("""COMPUTED_VALUE"""),"Nu")</f>
        <v>Nu</v>
      </c>
      <c r="F1314" s="5"/>
      <c r="G1314" s="5"/>
      <c r="H1314" s="6"/>
      <c r="I1314" s="5"/>
      <c r="J1314" s="5"/>
      <c r="K1314" s="7" t="str">
        <f ca="1">IFERROR(__xludf.DUMMYFUNCTION("""COMPUTED_VALUE"""),"https://www.ebihoreanul.ro/stiri/nc-un-deces-i-37-de-noi-mbolnviri-de-covid-19-n-bihor-o-parte-a-spitalului-din-beiu-va-trata-bolnavi-cu-covid-din-cauza-cazurilor-multe-din-zon-158138.html")</f>
        <v>https://www.ebihoreanul.ro/stiri/nc-un-deces-i-37-de-noi-mbolnviri-de-covid-19-n-bihor-o-parte-a-spitalului-din-beiu-va-trata-bolnavi-cu-covid-din-cauza-cazurilor-multe-din-zon-158138.html</v>
      </c>
      <c r="L1314" s="5"/>
      <c r="M1314" s="5"/>
      <c r="N1314" s="5"/>
      <c r="O1314" s="5" t="str">
        <f ca="1">IFERROR(__xludf.DUMMYFUNCTION("""COMPUTED_VALUE"""),"Drăgănești")</f>
        <v>Drăgănești</v>
      </c>
      <c r="P1314" s="5"/>
      <c r="Q1314" s="5"/>
      <c r="R1314" s="5" t="str">
        <f ca="1">IFERROR(__xludf.DUMMYFUNCTION("""COMPUTED_VALUE"""),"România")</f>
        <v>România</v>
      </c>
      <c r="S1314" s="5" t="str">
        <f ca="1">IFERROR(__xludf.DUMMYFUNCTION("""COMPUTED_VALUE"""),"Octavian")</f>
        <v>Octavian</v>
      </c>
      <c r="T1314" s="7" t="str">
        <f ca="1">IFERROR(__xludf.DUMMYFUNCTION("""COMPUTED_VALUE"""),"http://www.ms.ro/2020/08/10/buletin-informativ-10-08-2020")</f>
        <v>http://www.ms.ro/2020/08/10/buletin-informativ-10-08-2020</v>
      </c>
      <c r="U1314" s="5"/>
      <c r="V1314" s="5"/>
      <c r="W1314" s="5"/>
      <c r="X1314" s="5"/>
      <c r="Y1314" s="5"/>
      <c r="Z1314" s="5"/>
      <c r="AA1314" s="5"/>
      <c r="AB1314" s="5"/>
      <c r="AC1314" s="5"/>
    </row>
    <row r="1315" spans="1:29" ht="12.5">
      <c r="A1315" s="5">
        <f ca="1">IFERROR(__xludf.DUMMYFUNCTION("""COMPUTED_VALUE"""),61873)</f>
        <v>61873</v>
      </c>
      <c r="B1315" s="5"/>
      <c r="C1315" s="5" t="str">
        <f ca="1">IFERROR(__xludf.DUMMYFUNCTION("""COMPUTED_VALUE"""),"Bihor")</f>
        <v>Bihor</v>
      </c>
      <c r="D1315" s="13">
        <f ca="1">IFERROR(__xludf.DUMMYFUNCTION("""COMPUTED_VALUE"""),44053)</f>
        <v>44053</v>
      </c>
      <c r="E1315" s="5" t="str">
        <f ca="1">IFERROR(__xludf.DUMMYFUNCTION("""COMPUTED_VALUE"""),"Nu")</f>
        <v>Nu</v>
      </c>
      <c r="F1315" s="5"/>
      <c r="G1315" s="5"/>
      <c r="H1315" s="6"/>
      <c r="I1315" s="5"/>
      <c r="J1315" s="5"/>
      <c r="K1315" s="7" t="str">
        <f ca="1">IFERROR(__xludf.DUMMYFUNCTION("""COMPUTED_VALUE"""),"https://www.ebihoreanul.ro/stiri/nc-un-deces-i-37-de-noi-mbolnviri-de-covid-19-n-bihor-o-parte-a-spitalului-din-beiu-va-trata-bolnavi-cu-covid-din-cauza-cazurilor-multe-din-zon-158138.html")</f>
        <v>https://www.ebihoreanul.ro/stiri/nc-un-deces-i-37-de-noi-mbolnviri-de-covid-19-n-bihor-o-parte-a-spitalului-din-beiu-va-trata-bolnavi-cu-covid-din-cauza-cazurilor-multe-din-zon-158138.html</v>
      </c>
      <c r="L1315" s="5"/>
      <c r="M1315" s="5"/>
      <c r="N1315" s="5"/>
      <c r="O1315" s="5" t="str">
        <f ca="1">IFERROR(__xludf.DUMMYFUNCTION("""COMPUTED_VALUE"""),"Tărcaia")</f>
        <v>Tărcaia</v>
      </c>
      <c r="P1315" s="5"/>
      <c r="Q1315" s="5"/>
      <c r="R1315" s="5" t="str">
        <f ca="1">IFERROR(__xludf.DUMMYFUNCTION("""COMPUTED_VALUE"""),"România")</f>
        <v>România</v>
      </c>
      <c r="S1315" s="5" t="str">
        <f ca="1">IFERROR(__xludf.DUMMYFUNCTION("""COMPUTED_VALUE"""),"Octavian")</f>
        <v>Octavian</v>
      </c>
      <c r="T1315" s="7" t="str">
        <f ca="1">IFERROR(__xludf.DUMMYFUNCTION("""COMPUTED_VALUE"""),"http://www.ms.ro/2020/08/10/buletin-informativ-10-08-2020")</f>
        <v>http://www.ms.ro/2020/08/10/buletin-informativ-10-08-2020</v>
      </c>
      <c r="U1315" s="5"/>
      <c r="V1315" s="5"/>
      <c r="W1315" s="5"/>
      <c r="X1315" s="5"/>
      <c r="Y1315" s="5"/>
      <c r="Z1315" s="5"/>
      <c r="AA1315" s="5"/>
      <c r="AB1315" s="5"/>
      <c r="AC1315" s="5"/>
    </row>
    <row r="1316" spans="1:29" ht="12.5">
      <c r="A1316" s="5">
        <f ca="1">IFERROR(__xludf.DUMMYFUNCTION("""COMPUTED_VALUE"""),61874)</f>
        <v>61874</v>
      </c>
      <c r="B1316" s="5"/>
      <c r="C1316" s="5" t="str">
        <f ca="1">IFERROR(__xludf.DUMMYFUNCTION("""COMPUTED_VALUE"""),"Bihor")</f>
        <v>Bihor</v>
      </c>
      <c r="D1316" s="13">
        <f ca="1">IFERROR(__xludf.DUMMYFUNCTION("""COMPUTED_VALUE"""),44053)</f>
        <v>44053</v>
      </c>
      <c r="E1316" s="5" t="str">
        <f ca="1">IFERROR(__xludf.DUMMYFUNCTION("""COMPUTED_VALUE"""),"Nu")</f>
        <v>Nu</v>
      </c>
      <c r="F1316" s="5"/>
      <c r="G1316" s="5"/>
      <c r="H1316" s="6"/>
      <c r="I1316" s="5"/>
      <c r="J1316" s="5"/>
      <c r="K1316" s="7" t="str">
        <f ca="1">IFERROR(__xludf.DUMMYFUNCTION("""COMPUTED_VALUE"""),"https://www.ebihoreanul.ro/stiri/nc-un-deces-i-37-de-noi-mbolnviri-de-covid-19-n-bihor-o-parte-a-spitalului-din-beiu-va-trata-bolnavi-cu-covid-din-cauza-cazurilor-multe-din-zon-158138.html")</f>
        <v>https://www.ebihoreanul.ro/stiri/nc-un-deces-i-37-de-noi-mbolnviri-de-covid-19-n-bihor-o-parte-a-spitalului-din-beiu-va-trata-bolnavi-cu-covid-din-cauza-cazurilor-multe-din-zon-158138.html</v>
      </c>
      <c r="L1316" s="5"/>
      <c r="M1316" s="5"/>
      <c r="N1316" s="5"/>
      <c r="O1316" s="5" t="str">
        <f ca="1">IFERROR(__xludf.DUMMYFUNCTION("""COMPUTED_VALUE"""),"Pomezeu")</f>
        <v>Pomezeu</v>
      </c>
      <c r="P1316" s="5"/>
      <c r="Q1316" s="5"/>
      <c r="R1316" s="5" t="str">
        <f ca="1">IFERROR(__xludf.DUMMYFUNCTION("""COMPUTED_VALUE"""),"România")</f>
        <v>România</v>
      </c>
      <c r="S1316" s="5" t="str">
        <f ca="1">IFERROR(__xludf.DUMMYFUNCTION("""COMPUTED_VALUE"""),"Octavian")</f>
        <v>Octavian</v>
      </c>
      <c r="T1316" s="7" t="str">
        <f ca="1">IFERROR(__xludf.DUMMYFUNCTION("""COMPUTED_VALUE"""),"http://www.ms.ro/2020/08/10/buletin-informativ-10-08-2020")</f>
        <v>http://www.ms.ro/2020/08/10/buletin-informativ-10-08-2020</v>
      </c>
      <c r="U1316" s="5"/>
      <c r="V1316" s="5"/>
      <c r="W1316" s="5"/>
      <c r="X1316" s="5"/>
      <c r="Y1316" s="5"/>
      <c r="Z1316" s="5"/>
      <c r="AA1316" s="5"/>
      <c r="AB1316" s="5"/>
      <c r="AC1316" s="5"/>
    </row>
    <row r="1317" spans="1:29" ht="12.5">
      <c r="A1317" s="5">
        <f ca="1">IFERROR(__xludf.DUMMYFUNCTION("""COMPUTED_VALUE"""),61875)</f>
        <v>61875</v>
      </c>
      <c r="B1317" s="5"/>
      <c r="C1317" s="5" t="str">
        <f ca="1">IFERROR(__xludf.DUMMYFUNCTION("""COMPUTED_VALUE"""),"Bihor")</f>
        <v>Bihor</v>
      </c>
      <c r="D1317" s="13">
        <f ca="1">IFERROR(__xludf.DUMMYFUNCTION("""COMPUTED_VALUE"""),44053)</f>
        <v>44053</v>
      </c>
      <c r="E1317" s="5" t="str">
        <f ca="1">IFERROR(__xludf.DUMMYFUNCTION("""COMPUTED_VALUE"""),"Nu")</f>
        <v>Nu</v>
      </c>
      <c r="F1317" s="5"/>
      <c r="G1317" s="5"/>
      <c r="H1317" s="6"/>
      <c r="I1317" s="5"/>
      <c r="J1317" s="5"/>
      <c r="K1317" s="7" t="str">
        <f ca="1">IFERROR(__xludf.DUMMYFUNCTION("""COMPUTED_VALUE"""),"https://www.ebihoreanul.ro/stiri/nc-un-deces-i-37-de-noi-mbolnviri-de-covid-19-n-bihor-o-parte-a-spitalului-din-beiu-va-trata-bolnavi-cu-covid-din-cauza-cazurilor-multe-din-zon-158138.html")</f>
        <v>https://www.ebihoreanul.ro/stiri/nc-un-deces-i-37-de-noi-mbolnviri-de-covid-19-n-bihor-o-parte-a-spitalului-din-beiu-va-trata-bolnavi-cu-covid-din-cauza-cazurilor-multe-din-zon-158138.html</v>
      </c>
      <c r="L1317" s="5"/>
      <c r="M1317" s="5"/>
      <c r="N1317" s="5"/>
      <c r="O1317" s="5" t="str">
        <f ca="1">IFERROR(__xludf.DUMMYFUNCTION("""COMPUTED_VALUE"""),"Ineu")</f>
        <v>Ineu</v>
      </c>
      <c r="P1317" s="5"/>
      <c r="Q1317" s="5"/>
      <c r="R1317" s="5" t="str">
        <f ca="1">IFERROR(__xludf.DUMMYFUNCTION("""COMPUTED_VALUE"""),"România")</f>
        <v>România</v>
      </c>
      <c r="S1317" s="5" t="str">
        <f ca="1">IFERROR(__xludf.DUMMYFUNCTION("""COMPUTED_VALUE"""),"Octavian")</f>
        <v>Octavian</v>
      </c>
      <c r="T1317" s="7" t="str">
        <f ca="1">IFERROR(__xludf.DUMMYFUNCTION("""COMPUTED_VALUE"""),"http://www.ms.ro/2020/08/10/buletin-informativ-10-08-2020")</f>
        <v>http://www.ms.ro/2020/08/10/buletin-informativ-10-08-2020</v>
      </c>
      <c r="U1317" s="5"/>
      <c r="V1317" s="5"/>
      <c r="W1317" s="5"/>
      <c r="X1317" s="5"/>
      <c r="Y1317" s="5"/>
      <c r="Z1317" s="5"/>
      <c r="AA1317" s="5"/>
      <c r="AB1317" s="5"/>
      <c r="AC1317" s="5"/>
    </row>
    <row r="1318" spans="1:29" ht="12.5">
      <c r="A1318" s="5">
        <f ca="1">IFERROR(__xludf.DUMMYFUNCTION("""COMPUTED_VALUE"""),61876)</f>
        <v>61876</v>
      </c>
      <c r="B1318" s="5"/>
      <c r="C1318" s="5" t="str">
        <f ca="1">IFERROR(__xludf.DUMMYFUNCTION("""COMPUTED_VALUE"""),"Bihor")</f>
        <v>Bihor</v>
      </c>
      <c r="D1318" s="13">
        <f ca="1">IFERROR(__xludf.DUMMYFUNCTION("""COMPUTED_VALUE"""),44053)</f>
        <v>44053</v>
      </c>
      <c r="E1318" s="5" t="str">
        <f ca="1">IFERROR(__xludf.DUMMYFUNCTION("""COMPUTED_VALUE"""),"Nu")</f>
        <v>Nu</v>
      </c>
      <c r="F1318" s="5"/>
      <c r="G1318" s="5"/>
      <c r="H1318" s="6"/>
      <c r="I1318" s="5"/>
      <c r="J1318" s="5"/>
      <c r="K1318" s="7" t="str">
        <f ca="1">IFERROR(__xludf.DUMMYFUNCTION("""COMPUTED_VALUE"""),"https://www.ebihoreanul.ro/stiri/nc-un-deces-i-37-de-noi-mbolnviri-de-covid-19-n-bihor-o-parte-a-spitalului-din-beiu-va-trata-bolnavi-cu-covid-din-cauza-cazurilor-multe-din-zon-158138.html")</f>
        <v>https://www.ebihoreanul.ro/stiri/nc-un-deces-i-37-de-noi-mbolnviri-de-covid-19-n-bihor-o-parte-a-spitalului-din-beiu-va-trata-bolnavi-cu-covid-din-cauza-cazurilor-multe-din-zon-158138.html</v>
      </c>
      <c r="L1318" s="5"/>
      <c r="M1318" s="5"/>
      <c r="N1318" s="5"/>
      <c r="O1318" s="5" t="str">
        <f ca="1">IFERROR(__xludf.DUMMYFUNCTION("""COMPUTED_VALUE"""),"Finiș")</f>
        <v>Finiș</v>
      </c>
      <c r="P1318" s="5"/>
      <c r="Q1318" s="5"/>
      <c r="R1318" s="5" t="str">
        <f ca="1">IFERROR(__xludf.DUMMYFUNCTION("""COMPUTED_VALUE"""),"România")</f>
        <v>România</v>
      </c>
      <c r="S1318" s="5" t="str">
        <f ca="1">IFERROR(__xludf.DUMMYFUNCTION("""COMPUTED_VALUE"""),"Octavian")</f>
        <v>Octavian</v>
      </c>
      <c r="T1318" s="7" t="str">
        <f ca="1">IFERROR(__xludf.DUMMYFUNCTION("""COMPUTED_VALUE"""),"http://www.ms.ro/2020/08/10/buletin-informativ-10-08-2020")</f>
        <v>http://www.ms.ro/2020/08/10/buletin-informativ-10-08-2020</v>
      </c>
      <c r="U1318" s="5"/>
      <c r="V1318" s="5"/>
      <c r="W1318" s="5"/>
      <c r="X1318" s="5"/>
      <c r="Y1318" s="5"/>
      <c r="Z1318" s="5"/>
      <c r="AA1318" s="5"/>
      <c r="AB1318" s="5"/>
      <c r="AC1318" s="5"/>
    </row>
    <row r="1319" spans="1:29" ht="12.5">
      <c r="A1319" s="5">
        <f ca="1">IFERROR(__xludf.DUMMYFUNCTION("""COMPUTED_VALUE"""),61877)</f>
        <v>61877</v>
      </c>
      <c r="B1319" s="5"/>
      <c r="C1319" s="5" t="str">
        <f ca="1">IFERROR(__xludf.DUMMYFUNCTION("""COMPUTED_VALUE"""),"Bihor")</f>
        <v>Bihor</v>
      </c>
      <c r="D1319" s="13">
        <f ca="1">IFERROR(__xludf.DUMMYFUNCTION("""COMPUTED_VALUE"""),44053)</f>
        <v>44053</v>
      </c>
      <c r="E1319" s="5" t="str">
        <f ca="1">IFERROR(__xludf.DUMMYFUNCTION("""COMPUTED_VALUE"""),"Nu")</f>
        <v>Nu</v>
      </c>
      <c r="F1319" s="5"/>
      <c r="G1319" s="5"/>
      <c r="H1319" s="6"/>
      <c r="I1319" s="5"/>
      <c r="J1319" s="5"/>
      <c r="K1319" s="7" t="str">
        <f ca="1">IFERROR(__xludf.DUMMYFUNCTION("""COMPUTED_VALUE"""),"https://www.ebihoreanul.ro/stiri/nc-un-deces-i-37-de-noi-mbolnviri-de-covid-19-n-bihor-o-parte-a-spitalului-din-beiu-va-trata-bolnavi-cu-covid-din-cauza-cazurilor-multe-din-zon-158138.html")</f>
        <v>https://www.ebihoreanul.ro/stiri/nc-un-deces-i-37-de-noi-mbolnviri-de-covid-19-n-bihor-o-parte-a-spitalului-din-beiu-va-trata-bolnavi-cu-covid-din-cauza-cazurilor-multe-din-zon-158138.html</v>
      </c>
      <c r="L1319" s="5"/>
      <c r="M1319" s="5"/>
      <c r="N1319" s="5"/>
      <c r="O1319" s="5" t="str">
        <f ca="1">IFERROR(__xludf.DUMMYFUNCTION("""COMPUTED_VALUE"""),"Copăcel")</f>
        <v>Copăcel</v>
      </c>
      <c r="P1319" s="5"/>
      <c r="Q1319" s="5"/>
      <c r="R1319" s="5" t="str">
        <f ca="1">IFERROR(__xludf.DUMMYFUNCTION("""COMPUTED_VALUE"""),"România")</f>
        <v>România</v>
      </c>
      <c r="S1319" s="5" t="str">
        <f ca="1">IFERROR(__xludf.DUMMYFUNCTION("""COMPUTED_VALUE"""),"Octavian")</f>
        <v>Octavian</v>
      </c>
      <c r="T1319" s="7" t="str">
        <f ca="1">IFERROR(__xludf.DUMMYFUNCTION("""COMPUTED_VALUE"""),"http://www.ms.ro/2020/08/10/buletin-informativ-10-08-2020")</f>
        <v>http://www.ms.ro/2020/08/10/buletin-informativ-10-08-2020</v>
      </c>
      <c r="U1319" s="5"/>
      <c r="V1319" s="5"/>
      <c r="W1319" s="5"/>
      <c r="X1319" s="5"/>
      <c r="Y1319" s="5"/>
      <c r="Z1319" s="5"/>
      <c r="AA1319" s="5"/>
      <c r="AB1319" s="5"/>
      <c r="AC1319" s="5"/>
    </row>
    <row r="1320" spans="1:29" ht="12.5">
      <c r="A1320" s="5">
        <f ca="1">IFERROR(__xludf.DUMMYFUNCTION("""COMPUTED_VALUE"""),61878)</f>
        <v>61878</v>
      </c>
      <c r="B1320" s="5"/>
      <c r="C1320" s="5" t="str">
        <f ca="1">IFERROR(__xludf.DUMMYFUNCTION("""COMPUTED_VALUE"""),"Bihor")</f>
        <v>Bihor</v>
      </c>
      <c r="D1320" s="13">
        <f ca="1">IFERROR(__xludf.DUMMYFUNCTION("""COMPUTED_VALUE"""),44053)</f>
        <v>44053</v>
      </c>
      <c r="E1320" s="5" t="str">
        <f ca="1">IFERROR(__xludf.DUMMYFUNCTION("""COMPUTED_VALUE"""),"Nu")</f>
        <v>Nu</v>
      </c>
      <c r="F1320" s="5"/>
      <c r="G1320" s="5"/>
      <c r="H1320" s="6"/>
      <c r="I1320" s="5"/>
      <c r="J1320" s="5"/>
      <c r="K1320" s="7" t="str">
        <f ca="1">IFERROR(__xludf.DUMMYFUNCTION("""COMPUTED_VALUE"""),"https://www.ebihoreanul.ro/stiri/nc-un-deces-i-37-de-noi-mbolnviri-de-covid-19-n-bihor-o-parte-a-spitalului-din-beiu-va-trata-bolnavi-cu-covid-din-cauza-cazurilor-multe-din-zon-158138.html")</f>
        <v>https://www.ebihoreanul.ro/stiri/nc-un-deces-i-37-de-noi-mbolnviri-de-covid-19-n-bihor-o-parte-a-spitalului-din-beiu-va-trata-bolnavi-cu-covid-din-cauza-cazurilor-multe-din-zon-158138.html</v>
      </c>
      <c r="L1320" s="5"/>
      <c r="M1320" s="5"/>
      <c r="N1320" s="5"/>
      <c r="O1320" s="5" t="str">
        <f ca="1">IFERROR(__xludf.DUMMYFUNCTION("""COMPUTED_VALUE"""),"Oșorhei")</f>
        <v>Oșorhei</v>
      </c>
      <c r="P1320" s="5"/>
      <c r="Q1320" s="5"/>
      <c r="R1320" s="5" t="str">
        <f ca="1">IFERROR(__xludf.DUMMYFUNCTION("""COMPUTED_VALUE"""),"România")</f>
        <v>România</v>
      </c>
      <c r="S1320" s="5" t="str">
        <f ca="1">IFERROR(__xludf.DUMMYFUNCTION("""COMPUTED_VALUE"""),"Octavian")</f>
        <v>Octavian</v>
      </c>
      <c r="T1320" s="7" t="str">
        <f ca="1">IFERROR(__xludf.DUMMYFUNCTION("""COMPUTED_VALUE"""),"http://www.ms.ro/2020/08/10/buletin-informativ-10-08-2020")</f>
        <v>http://www.ms.ro/2020/08/10/buletin-informativ-10-08-2020</v>
      </c>
      <c r="U1320" s="5"/>
      <c r="V1320" s="5"/>
      <c r="W1320" s="5"/>
      <c r="X1320" s="5"/>
      <c r="Y1320" s="5"/>
      <c r="Z1320" s="5"/>
      <c r="AA1320" s="5"/>
      <c r="AB1320" s="5"/>
      <c r="AC1320" s="5"/>
    </row>
    <row r="1321" spans="1:29" ht="12.5">
      <c r="A1321" s="5">
        <f ca="1">IFERROR(__xludf.DUMMYFUNCTION("""COMPUTED_VALUE"""),61879)</f>
        <v>61879</v>
      </c>
      <c r="B1321" s="5"/>
      <c r="C1321" s="5" t="str">
        <f ca="1">IFERROR(__xludf.DUMMYFUNCTION("""COMPUTED_VALUE"""),"Bihor")</f>
        <v>Bihor</v>
      </c>
      <c r="D1321" s="13">
        <f ca="1">IFERROR(__xludf.DUMMYFUNCTION("""COMPUTED_VALUE"""),44053)</f>
        <v>44053</v>
      </c>
      <c r="E1321" s="5" t="str">
        <f ca="1">IFERROR(__xludf.DUMMYFUNCTION("""COMPUTED_VALUE"""),"Nu")</f>
        <v>Nu</v>
      </c>
      <c r="F1321" s="5"/>
      <c r="G1321" s="5"/>
      <c r="H1321" s="6"/>
      <c r="I1321" s="5"/>
      <c r="J1321" s="5"/>
      <c r="K1321" s="7" t="str">
        <f ca="1">IFERROR(__xludf.DUMMYFUNCTION("""COMPUTED_VALUE"""),"https://www.ebihoreanul.ro/stiri/nc-un-deces-i-37-de-noi-mbolnviri-de-covid-19-n-bihor-o-parte-a-spitalului-din-beiu-va-trata-bolnavi-cu-covid-din-cauza-cazurilor-multe-din-zon-158138.html")</f>
        <v>https://www.ebihoreanul.ro/stiri/nc-un-deces-i-37-de-noi-mbolnviri-de-covid-19-n-bihor-o-parte-a-spitalului-din-beiu-va-trata-bolnavi-cu-covid-din-cauza-cazurilor-multe-din-zon-158138.html</v>
      </c>
      <c r="L1321" s="5"/>
      <c r="M1321" s="5"/>
      <c r="N1321" s="5"/>
      <c r="O1321" s="5" t="str">
        <f ca="1">IFERROR(__xludf.DUMMYFUNCTION("""COMPUTED_VALUE"""),"Batâr")</f>
        <v>Batâr</v>
      </c>
      <c r="P1321" s="5"/>
      <c r="Q1321" s="5"/>
      <c r="R1321" s="5" t="str">
        <f ca="1">IFERROR(__xludf.DUMMYFUNCTION("""COMPUTED_VALUE"""),"România")</f>
        <v>România</v>
      </c>
      <c r="S1321" s="5" t="str">
        <f ca="1">IFERROR(__xludf.DUMMYFUNCTION("""COMPUTED_VALUE"""),"Octavian")</f>
        <v>Octavian</v>
      </c>
      <c r="T1321" s="7" t="str">
        <f ca="1">IFERROR(__xludf.DUMMYFUNCTION("""COMPUTED_VALUE"""),"http://www.ms.ro/2020/08/10/buletin-informativ-10-08-2020")</f>
        <v>http://www.ms.ro/2020/08/10/buletin-informativ-10-08-2020</v>
      </c>
      <c r="U1321" s="5"/>
      <c r="V1321" s="5"/>
      <c r="W1321" s="5"/>
      <c r="X1321" s="5"/>
      <c r="Y1321" s="5"/>
      <c r="Z1321" s="5"/>
      <c r="AA1321" s="5"/>
      <c r="AB1321" s="5"/>
      <c r="AC1321" s="5"/>
    </row>
    <row r="1322" spans="1:29" ht="12.5">
      <c r="A1322" s="5">
        <f ca="1">IFERROR(__xludf.DUMMYFUNCTION("""COMPUTED_VALUE"""),61880)</f>
        <v>61880</v>
      </c>
      <c r="B1322" s="5"/>
      <c r="C1322" s="5" t="str">
        <f ca="1">IFERROR(__xludf.DUMMYFUNCTION("""COMPUTED_VALUE"""),"Bihor")</f>
        <v>Bihor</v>
      </c>
      <c r="D1322" s="13">
        <f ca="1">IFERROR(__xludf.DUMMYFUNCTION("""COMPUTED_VALUE"""),44053)</f>
        <v>44053</v>
      </c>
      <c r="E1322" s="5" t="str">
        <f ca="1">IFERROR(__xludf.DUMMYFUNCTION("""COMPUTED_VALUE"""),"Nu")</f>
        <v>Nu</v>
      </c>
      <c r="F1322" s="5"/>
      <c r="G1322" s="5"/>
      <c r="H1322" s="6"/>
      <c r="I1322" s="5"/>
      <c r="J1322" s="5"/>
      <c r="K1322" s="7" t="str">
        <f ca="1">IFERROR(__xludf.DUMMYFUNCTION("""COMPUTED_VALUE"""),"https://www.ebihoreanul.ro/stiri/nc-un-deces-i-37-de-noi-mbolnviri-de-covid-19-n-bihor-o-parte-a-spitalului-din-beiu-va-trata-bolnavi-cu-covid-din-cauza-cazurilor-multe-din-zon-158138.html")</f>
        <v>https://www.ebihoreanul.ro/stiri/nc-un-deces-i-37-de-noi-mbolnviri-de-covid-19-n-bihor-o-parte-a-spitalului-din-beiu-va-trata-bolnavi-cu-covid-din-cauza-cazurilor-multe-din-zon-158138.html</v>
      </c>
      <c r="L1322" s="5"/>
      <c r="M1322" s="5"/>
      <c r="N1322" s="5"/>
      <c r="O1322" s="5"/>
      <c r="P1322" s="5"/>
      <c r="Q1322" s="5"/>
      <c r="R1322" s="5" t="str">
        <f ca="1">IFERROR(__xludf.DUMMYFUNCTION("""COMPUTED_VALUE"""),"România")</f>
        <v>România</v>
      </c>
      <c r="S1322" s="5" t="str">
        <f ca="1">IFERROR(__xludf.DUMMYFUNCTION("""COMPUTED_VALUE"""),"Octavian")</f>
        <v>Octavian</v>
      </c>
      <c r="T1322" s="7" t="str">
        <f ca="1">IFERROR(__xludf.DUMMYFUNCTION("""COMPUTED_VALUE"""),"http://www.ms.ro/2020/08/10/buletin-informativ-10-08-2020")</f>
        <v>http://www.ms.ro/2020/08/10/buletin-informativ-10-08-2020</v>
      </c>
      <c r="U1322" s="5"/>
      <c r="V1322" s="5"/>
      <c r="W1322" s="5"/>
      <c r="X1322" s="5"/>
      <c r="Y1322" s="5"/>
      <c r="Z1322" s="5"/>
      <c r="AA1322" s="5"/>
      <c r="AB1322" s="5"/>
      <c r="AC1322" s="5"/>
    </row>
    <row r="1323" spans="1:29" ht="12.5">
      <c r="A1323" s="5">
        <f ca="1">IFERROR(__xludf.DUMMYFUNCTION("""COMPUTED_VALUE"""),61881)</f>
        <v>61881</v>
      </c>
      <c r="B1323" s="5"/>
      <c r="C1323" s="5" t="str">
        <f ca="1">IFERROR(__xludf.DUMMYFUNCTION("""COMPUTED_VALUE"""),"Bihor")</f>
        <v>Bihor</v>
      </c>
      <c r="D1323" s="13">
        <f ca="1">IFERROR(__xludf.DUMMYFUNCTION("""COMPUTED_VALUE"""),44053)</f>
        <v>44053</v>
      </c>
      <c r="E1323" s="5" t="str">
        <f ca="1">IFERROR(__xludf.DUMMYFUNCTION("""COMPUTED_VALUE"""),"Nu")</f>
        <v>Nu</v>
      </c>
      <c r="F1323" s="5"/>
      <c r="G1323" s="5"/>
      <c r="H1323" s="6"/>
      <c r="I1323" s="5"/>
      <c r="J1323" s="5"/>
      <c r="K1323" s="7" t="str">
        <f ca="1">IFERROR(__xludf.DUMMYFUNCTION("""COMPUTED_VALUE"""),"https://www.ebihoreanul.ro/stiri/nc-un-deces-i-37-de-noi-mbolnviri-de-covid-19-n-bihor-o-parte-a-spitalului-din-beiu-va-trata-bolnavi-cu-covid-din-cauza-cazurilor-multe-din-zon-158138.html")</f>
        <v>https://www.ebihoreanul.ro/stiri/nc-un-deces-i-37-de-noi-mbolnviri-de-covid-19-n-bihor-o-parte-a-spitalului-din-beiu-va-trata-bolnavi-cu-covid-din-cauza-cazurilor-multe-din-zon-158138.html</v>
      </c>
      <c r="L1323" s="5"/>
      <c r="M1323" s="5"/>
      <c r="N1323" s="5"/>
      <c r="O1323" s="5"/>
      <c r="P1323" s="5"/>
      <c r="Q1323" s="5"/>
      <c r="R1323" s="5" t="str">
        <f ca="1">IFERROR(__xludf.DUMMYFUNCTION("""COMPUTED_VALUE"""),"România")</f>
        <v>România</v>
      </c>
      <c r="S1323" s="5" t="str">
        <f ca="1">IFERROR(__xludf.DUMMYFUNCTION("""COMPUTED_VALUE"""),"Octavian")</f>
        <v>Octavian</v>
      </c>
      <c r="T1323" s="7" t="str">
        <f ca="1">IFERROR(__xludf.DUMMYFUNCTION("""COMPUTED_VALUE"""),"http://www.ms.ro/2020/08/10/buletin-informativ-10-08-2020")</f>
        <v>http://www.ms.ro/2020/08/10/buletin-informativ-10-08-2020</v>
      </c>
      <c r="U1323" s="5"/>
      <c r="V1323" s="5"/>
      <c r="W1323" s="5"/>
      <c r="X1323" s="5"/>
      <c r="Y1323" s="5"/>
      <c r="Z1323" s="5"/>
      <c r="AA1323" s="5"/>
      <c r="AB1323" s="5"/>
      <c r="AC1323" s="5"/>
    </row>
    <row r="1324" spans="1:29" ht="12.5">
      <c r="A1324" s="5">
        <f ca="1">IFERROR(__xludf.DUMMYFUNCTION("""COMPUTED_VALUE"""),61882)</f>
        <v>61882</v>
      </c>
      <c r="B1324" s="5"/>
      <c r="C1324" s="5" t="str">
        <f ca="1">IFERROR(__xludf.DUMMYFUNCTION("""COMPUTED_VALUE"""),"Bihor")</f>
        <v>Bihor</v>
      </c>
      <c r="D1324" s="13">
        <f ca="1">IFERROR(__xludf.DUMMYFUNCTION("""COMPUTED_VALUE"""),44053)</f>
        <v>44053</v>
      </c>
      <c r="E1324" s="5" t="str">
        <f ca="1">IFERROR(__xludf.DUMMYFUNCTION("""COMPUTED_VALUE"""),"Nu")</f>
        <v>Nu</v>
      </c>
      <c r="F1324" s="5"/>
      <c r="G1324" s="5"/>
      <c r="H1324" s="6"/>
      <c r="I1324" s="5"/>
      <c r="J1324" s="5"/>
      <c r="K1324" s="7" t="str">
        <f ca="1">IFERROR(__xludf.DUMMYFUNCTION("""COMPUTED_VALUE"""),"https://www.ebihoreanul.ro/stiri/nc-un-deces-i-37-de-noi-mbolnviri-de-covid-19-n-bihor-o-parte-a-spitalului-din-beiu-va-trata-bolnavi-cu-covid-din-cauza-cazurilor-multe-din-zon-158138.html")</f>
        <v>https://www.ebihoreanul.ro/stiri/nc-un-deces-i-37-de-noi-mbolnviri-de-covid-19-n-bihor-o-parte-a-spitalului-din-beiu-va-trata-bolnavi-cu-covid-din-cauza-cazurilor-multe-din-zon-158138.html</v>
      </c>
      <c r="L1324" s="5"/>
      <c r="M1324" s="5"/>
      <c r="N1324" s="5"/>
      <c r="O1324" s="5"/>
      <c r="P1324" s="5"/>
      <c r="Q1324" s="5"/>
      <c r="R1324" s="5" t="str">
        <f ca="1">IFERROR(__xludf.DUMMYFUNCTION("""COMPUTED_VALUE"""),"România")</f>
        <v>România</v>
      </c>
      <c r="S1324" s="5" t="str">
        <f ca="1">IFERROR(__xludf.DUMMYFUNCTION("""COMPUTED_VALUE"""),"Octavian")</f>
        <v>Octavian</v>
      </c>
      <c r="T1324" s="7" t="str">
        <f ca="1">IFERROR(__xludf.DUMMYFUNCTION("""COMPUTED_VALUE"""),"http://www.ms.ro/2020/08/10/buletin-informativ-10-08-2020")</f>
        <v>http://www.ms.ro/2020/08/10/buletin-informativ-10-08-2020</v>
      </c>
      <c r="U1324" s="5"/>
      <c r="V1324" s="5"/>
      <c r="W1324" s="5"/>
      <c r="X1324" s="5"/>
      <c r="Y1324" s="5"/>
      <c r="Z1324" s="5"/>
      <c r="AA1324" s="5"/>
      <c r="AB1324" s="5"/>
      <c r="AC1324" s="5"/>
    </row>
    <row r="1325" spans="1:29" ht="12.5">
      <c r="A1325" s="5">
        <f ca="1">IFERROR(__xludf.DUMMYFUNCTION("""COMPUTED_VALUE"""),61883)</f>
        <v>61883</v>
      </c>
      <c r="B1325" s="5"/>
      <c r="C1325" s="5" t="str">
        <f ca="1">IFERROR(__xludf.DUMMYFUNCTION("""COMPUTED_VALUE"""),"Bihor")</f>
        <v>Bihor</v>
      </c>
      <c r="D1325" s="13">
        <f ca="1">IFERROR(__xludf.DUMMYFUNCTION("""COMPUTED_VALUE"""),44053)</f>
        <v>44053</v>
      </c>
      <c r="E1325" s="5" t="str">
        <f ca="1">IFERROR(__xludf.DUMMYFUNCTION("""COMPUTED_VALUE"""),"Nu")</f>
        <v>Nu</v>
      </c>
      <c r="F1325" s="5"/>
      <c r="G1325" s="5"/>
      <c r="H1325" s="6"/>
      <c r="I1325" s="5"/>
      <c r="J1325" s="5"/>
      <c r="K1325" s="7" t="str">
        <f ca="1">IFERROR(__xludf.DUMMYFUNCTION("""COMPUTED_VALUE"""),"https://www.ebihoreanul.ro/stiri/nc-un-deces-i-37-de-noi-mbolnviri-de-covid-19-n-bihor-o-parte-a-spitalului-din-beiu-va-trata-bolnavi-cu-covid-din-cauza-cazurilor-multe-din-zon-158138.html")</f>
        <v>https://www.ebihoreanul.ro/stiri/nc-un-deces-i-37-de-noi-mbolnviri-de-covid-19-n-bihor-o-parte-a-spitalului-din-beiu-va-trata-bolnavi-cu-covid-din-cauza-cazurilor-multe-din-zon-158138.html</v>
      </c>
      <c r="L1325" s="5"/>
      <c r="M1325" s="5"/>
      <c r="N1325" s="5"/>
      <c r="O1325" s="5"/>
      <c r="P1325" s="5"/>
      <c r="Q1325" s="5"/>
      <c r="R1325" s="5" t="str">
        <f ca="1">IFERROR(__xludf.DUMMYFUNCTION("""COMPUTED_VALUE"""),"România")</f>
        <v>România</v>
      </c>
      <c r="S1325" s="5" t="str">
        <f ca="1">IFERROR(__xludf.DUMMYFUNCTION("""COMPUTED_VALUE"""),"Octavian")</f>
        <v>Octavian</v>
      </c>
      <c r="T1325" s="7" t="str">
        <f ca="1">IFERROR(__xludf.DUMMYFUNCTION("""COMPUTED_VALUE"""),"http://www.ms.ro/2020/08/10/buletin-informativ-10-08-2020")</f>
        <v>http://www.ms.ro/2020/08/10/buletin-informativ-10-08-2020</v>
      </c>
      <c r="U1325" s="5"/>
      <c r="V1325" s="5"/>
      <c r="W1325" s="5"/>
      <c r="X1325" s="5"/>
      <c r="Y1325" s="5"/>
      <c r="Z1325" s="5"/>
      <c r="AA1325" s="5"/>
      <c r="AB1325" s="5"/>
      <c r="AC1325" s="5"/>
    </row>
    <row r="1326" spans="1:29" ht="12.5">
      <c r="A1326" s="5">
        <f ca="1">IFERROR(__xludf.DUMMYFUNCTION("""COMPUTED_VALUE"""),61884)</f>
        <v>61884</v>
      </c>
      <c r="B1326" s="5"/>
      <c r="C1326" s="5" t="str">
        <f ca="1">IFERROR(__xludf.DUMMYFUNCTION("""COMPUTED_VALUE"""),"Bihor")</f>
        <v>Bihor</v>
      </c>
      <c r="D1326" s="13">
        <f ca="1">IFERROR(__xludf.DUMMYFUNCTION("""COMPUTED_VALUE"""),44053)</f>
        <v>44053</v>
      </c>
      <c r="E1326" s="5" t="str">
        <f ca="1">IFERROR(__xludf.DUMMYFUNCTION("""COMPUTED_VALUE"""),"Nu")</f>
        <v>Nu</v>
      </c>
      <c r="F1326" s="5"/>
      <c r="G1326" s="5"/>
      <c r="H1326" s="6"/>
      <c r="I1326" s="5"/>
      <c r="J1326" s="5"/>
      <c r="K1326" s="7" t="str">
        <f ca="1">IFERROR(__xludf.DUMMYFUNCTION("""COMPUTED_VALUE"""),"https://www.ebihoreanul.ro/stiri/nc-un-deces-i-37-de-noi-mbolnviri-de-covid-19-n-bihor-o-parte-a-spitalului-din-beiu-va-trata-bolnavi-cu-covid-din-cauza-cazurilor-multe-din-zon-158138.html")</f>
        <v>https://www.ebihoreanul.ro/stiri/nc-un-deces-i-37-de-noi-mbolnviri-de-covid-19-n-bihor-o-parte-a-spitalului-din-beiu-va-trata-bolnavi-cu-covid-din-cauza-cazurilor-multe-din-zon-158138.html</v>
      </c>
      <c r="L1326" s="5"/>
      <c r="M1326" s="5"/>
      <c r="N1326" s="5"/>
      <c r="O1326" s="5"/>
      <c r="P1326" s="5"/>
      <c r="Q1326" s="5"/>
      <c r="R1326" s="5" t="str">
        <f ca="1">IFERROR(__xludf.DUMMYFUNCTION("""COMPUTED_VALUE"""),"România")</f>
        <v>România</v>
      </c>
      <c r="S1326" s="5" t="str">
        <f ca="1">IFERROR(__xludf.DUMMYFUNCTION("""COMPUTED_VALUE"""),"Octavian")</f>
        <v>Octavian</v>
      </c>
      <c r="T1326" s="7" t="str">
        <f ca="1">IFERROR(__xludf.DUMMYFUNCTION("""COMPUTED_VALUE"""),"http://www.ms.ro/2020/08/10/buletin-informativ-10-08-2020")</f>
        <v>http://www.ms.ro/2020/08/10/buletin-informativ-10-08-2020</v>
      </c>
      <c r="U1326" s="5"/>
      <c r="V1326" s="5"/>
      <c r="W1326" s="5"/>
      <c r="X1326" s="5"/>
      <c r="Y1326" s="5"/>
      <c r="Z1326" s="5"/>
      <c r="AA1326" s="5"/>
      <c r="AB1326" s="5"/>
      <c r="AC1326" s="5"/>
    </row>
    <row r="1327" spans="1:29" ht="12.5">
      <c r="A1327" s="5">
        <f ca="1">IFERROR(__xludf.DUMMYFUNCTION("""COMPUTED_VALUE"""),61885)</f>
        <v>61885</v>
      </c>
      <c r="B1327" s="5"/>
      <c r="C1327" s="5" t="str">
        <f ca="1">IFERROR(__xludf.DUMMYFUNCTION("""COMPUTED_VALUE"""),"Bihor")</f>
        <v>Bihor</v>
      </c>
      <c r="D1327" s="13">
        <f ca="1">IFERROR(__xludf.DUMMYFUNCTION("""COMPUTED_VALUE"""),44053)</f>
        <v>44053</v>
      </c>
      <c r="E1327" s="5" t="str">
        <f ca="1">IFERROR(__xludf.DUMMYFUNCTION("""COMPUTED_VALUE"""),"Nu")</f>
        <v>Nu</v>
      </c>
      <c r="F1327" s="5"/>
      <c r="G1327" s="5"/>
      <c r="H1327" s="6"/>
      <c r="I1327" s="5"/>
      <c r="J1327" s="5"/>
      <c r="K1327" s="7" t="str">
        <f ca="1">IFERROR(__xludf.DUMMYFUNCTION("""COMPUTED_VALUE"""),"https://www.ebihoreanul.ro/stiri/nc-un-deces-i-37-de-noi-mbolnviri-de-covid-19-n-bihor-o-parte-a-spitalului-din-beiu-va-trata-bolnavi-cu-covid-din-cauza-cazurilor-multe-din-zon-158138.html")</f>
        <v>https://www.ebihoreanul.ro/stiri/nc-un-deces-i-37-de-noi-mbolnviri-de-covid-19-n-bihor-o-parte-a-spitalului-din-beiu-va-trata-bolnavi-cu-covid-din-cauza-cazurilor-multe-din-zon-158138.html</v>
      </c>
      <c r="L1327" s="5"/>
      <c r="M1327" s="5"/>
      <c r="N1327" s="5"/>
      <c r="O1327" s="5"/>
      <c r="P1327" s="5"/>
      <c r="Q1327" s="5"/>
      <c r="R1327" s="5" t="str">
        <f ca="1">IFERROR(__xludf.DUMMYFUNCTION("""COMPUTED_VALUE"""),"România")</f>
        <v>România</v>
      </c>
      <c r="S1327" s="5" t="str">
        <f ca="1">IFERROR(__xludf.DUMMYFUNCTION("""COMPUTED_VALUE"""),"Octavian")</f>
        <v>Octavian</v>
      </c>
      <c r="T1327" s="7" t="str">
        <f ca="1">IFERROR(__xludf.DUMMYFUNCTION("""COMPUTED_VALUE"""),"http://www.ms.ro/2020/08/10/buletin-informativ-10-08-2020")</f>
        <v>http://www.ms.ro/2020/08/10/buletin-informativ-10-08-2020</v>
      </c>
      <c r="U1327" s="5"/>
      <c r="V1327" s="5"/>
      <c r="W1327" s="5"/>
      <c r="X1327" s="5"/>
      <c r="Y1327" s="5"/>
      <c r="Z1327" s="5"/>
      <c r="AA1327" s="5"/>
      <c r="AB1327" s="5"/>
      <c r="AC1327" s="5"/>
    </row>
    <row r="1328" spans="1:29" ht="12.5">
      <c r="A1328" s="5">
        <f ca="1">IFERROR(__xludf.DUMMYFUNCTION("""COMPUTED_VALUE"""),61886)</f>
        <v>61886</v>
      </c>
      <c r="B1328" s="5"/>
      <c r="C1328" s="5" t="str">
        <f ca="1">IFERROR(__xludf.DUMMYFUNCTION("""COMPUTED_VALUE"""),"Bihor")</f>
        <v>Bihor</v>
      </c>
      <c r="D1328" s="13">
        <f ca="1">IFERROR(__xludf.DUMMYFUNCTION("""COMPUTED_VALUE"""),44053)</f>
        <v>44053</v>
      </c>
      <c r="E1328" s="5" t="str">
        <f ca="1">IFERROR(__xludf.DUMMYFUNCTION("""COMPUTED_VALUE"""),"Nu")</f>
        <v>Nu</v>
      </c>
      <c r="F1328" s="5"/>
      <c r="G1328" s="5"/>
      <c r="H1328" s="6"/>
      <c r="I1328" s="5"/>
      <c r="J1328" s="5"/>
      <c r="K1328" s="7" t="str">
        <f ca="1">IFERROR(__xludf.DUMMYFUNCTION("""COMPUTED_VALUE"""),"https://www.ebihoreanul.ro/stiri/nc-un-deces-i-37-de-noi-mbolnviri-de-covid-19-n-bihor-o-parte-a-spitalului-din-beiu-va-trata-bolnavi-cu-covid-din-cauza-cazurilor-multe-din-zon-158138.html")</f>
        <v>https://www.ebihoreanul.ro/stiri/nc-un-deces-i-37-de-noi-mbolnviri-de-covid-19-n-bihor-o-parte-a-spitalului-din-beiu-va-trata-bolnavi-cu-covid-din-cauza-cazurilor-multe-din-zon-158138.html</v>
      </c>
      <c r="L1328" s="5"/>
      <c r="M1328" s="5"/>
      <c r="N1328" s="5"/>
      <c r="O1328" s="5"/>
      <c r="P1328" s="5"/>
      <c r="Q1328" s="5"/>
      <c r="R1328" s="5" t="str">
        <f ca="1">IFERROR(__xludf.DUMMYFUNCTION("""COMPUTED_VALUE"""),"România")</f>
        <v>România</v>
      </c>
      <c r="S1328" s="5" t="str">
        <f ca="1">IFERROR(__xludf.DUMMYFUNCTION("""COMPUTED_VALUE"""),"Octavian")</f>
        <v>Octavian</v>
      </c>
      <c r="T1328" s="7" t="str">
        <f ca="1">IFERROR(__xludf.DUMMYFUNCTION("""COMPUTED_VALUE"""),"http://www.ms.ro/2020/08/10/buletin-informativ-10-08-2020")</f>
        <v>http://www.ms.ro/2020/08/10/buletin-informativ-10-08-2020</v>
      </c>
      <c r="U1328" s="5"/>
      <c r="V1328" s="5"/>
      <c r="W1328" s="5"/>
      <c r="X1328" s="5"/>
      <c r="Y1328" s="5"/>
      <c r="Z1328" s="5"/>
      <c r="AA1328" s="5"/>
      <c r="AB1328" s="5"/>
      <c r="AC1328" s="5"/>
    </row>
    <row r="1329" spans="1:29" ht="12.5">
      <c r="A1329" s="5">
        <f ca="1">IFERROR(__xludf.DUMMYFUNCTION("""COMPUTED_VALUE"""),62660)</f>
        <v>62660</v>
      </c>
      <c r="B1329" s="5"/>
      <c r="C1329" s="5" t="str">
        <f ca="1">IFERROR(__xludf.DUMMYFUNCTION("""COMPUTED_VALUE"""),"Bihor")</f>
        <v>Bihor</v>
      </c>
      <c r="D1329" s="13">
        <f ca="1">IFERROR(__xludf.DUMMYFUNCTION("""COMPUTED_VALUE"""),44054)</f>
        <v>44054</v>
      </c>
      <c r="E1329" s="5" t="str">
        <f ca="1">IFERROR(__xludf.DUMMYFUNCTION("""COMPUTED_VALUE"""),"Nu")</f>
        <v>Nu</v>
      </c>
      <c r="F1329" s="5"/>
      <c r="G1329" s="5"/>
      <c r="H1329" s="6"/>
      <c r="I1329" s="5"/>
      <c r="J1329" s="5"/>
      <c r="K1329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29" s="5"/>
      <c r="M1329" s="5" t="str">
        <f ca="1">IFERROR(__xludf.DUMMYFUNCTION("""COMPUTED_VALUE"""),"Oradea")</f>
        <v>Oradea</v>
      </c>
      <c r="N1329" s="5"/>
      <c r="O1329" s="5"/>
      <c r="P1329" s="5" t="str">
        <f ca="1">IFERROR(__xludf.DUMMYFUNCTION("""COMPUTED_VALUE"""),"SJU Oradea, pacient.")</f>
        <v>SJU Oradea, pacient.</v>
      </c>
      <c r="Q1329" s="5" t="str">
        <f ca="1">IFERROR(__xludf.DUMMYFUNCTION("""COMPUTED_VALUE"""),"Medical")</f>
        <v>Medical</v>
      </c>
      <c r="R1329" s="5" t="str">
        <f ca="1">IFERROR(__xludf.DUMMYFUNCTION("""COMPUTED_VALUE"""),"România")</f>
        <v>România</v>
      </c>
      <c r="S1329" s="5" t="str">
        <f ca="1">IFERROR(__xludf.DUMMYFUNCTION("""COMPUTED_VALUE"""),"Octavian")</f>
        <v>Octavian</v>
      </c>
      <c r="T1329" s="7" t="str">
        <f ca="1">IFERROR(__xludf.DUMMYFUNCTION("""COMPUTED_VALUE"""),"http://www.ms.ro/2020/08/11/buletin-informativ-11-08-2020")</f>
        <v>http://www.ms.ro/2020/08/11/buletin-informativ-11-08-2020</v>
      </c>
      <c r="U1329" s="5"/>
      <c r="V1329" s="5"/>
      <c r="W1329" s="5"/>
      <c r="X1329" s="5"/>
      <c r="Y1329" s="5"/>
      <c r="Z1329" s="5"/>
      <c r="AA1329" s="5"/>
      <c r="AB1329" s="5"/>
      <c r="AC1329" s="5"/>
    </row>
    <row r="1330" spans="1:29" ht="12.5">
      <c r="A1330" s="5">
        <f ca="1">IFERROR(__xludf.DUMMYFUNCTION("""COMPUTED_VALUE"""),62661)</f>
        <v>62661</v>
      </c>
      <c r="B1330" s="5">
        <f ca="1">IFERROR(__xludf.DUMMYFUNCTION("""COMPUTED_VALUE"""),62660)</f>
        <v>62660</v>
      </c>
      <c r="C1330" s="5" t="str">
        <f ca="1">IFERROR(__xludf.DUMMYFUNCTION("""COMPUTED_VALUE"""),"Bihor")</f>
        <v>Bihor</v>
      </c>
      <c r="D1330" s="13">
        <f ca="1">IFERROR(__xludf.DUMMYFUNCTION("""COMPUTED_VALUE"""),44054)</f>
        <v>44054</v>
      </c>
      <c r="E1330" s="5" t="str">
        <f ca="1">IFERROR(__xludf.DUMMYFUNCTION("""COMPUTED_VALUE"""),"Nu")</f>
        <v>Nu</v>
      </c>
      <c r="F1330" s="5"/>
      <c r="G1330" s="5"/>
      <c r="H1330" s="6"/>
      <c r="I1330" s="5"/>
      <c r="J1330" s="5"/>
      <c r="K1330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30" s="5"/>
      <c r="M1330" s="5" t="str">
        <f ca="1">IFERROR(__xludf.DUMMYFUNCTION("""COMPUTED_VALUE"""),"Oradea")</f>
        <v>Oradea</v>
      </c>
      <c r="N1330" s="5"/>
      <c r="O1330" s="5"/>
      <c r="P1330" s="5" t="str">
        <f ca="1">IFERROR(__xludf.DUMMYFUNCTION("""COMPUTED_VALUE"""),"SJU Oradea, pacient.")</f>
        <v>SJU Oradea, pacient.</v>
      </c>
      <c r="Q1330" s="5" t="str">
        <f ca="1">IFERROR(__xludf.DUMMYFUNCTION("""COMPUTED_VALUE"""),"Medical")</f>
        <v>Medical</v>
      </c>
      <c r="R1330" s="5" t="str">
        <f ca="1">IFERROR(__xludf.DUMMYFUNCTION("""COMPUTED_VALUE"""),"România")</f>
        <v>România</v>
      </c>
      <c r="S1330" s="5" t="str">
        <f ca="1">IFERROR(__xludf.DUMMYFUNCTION("""COMPUTED_VALUE"""),"Octavian")</f>
        <v>Octavian</v>
      </c>
      <c r="T1330" s="7" t="str">
        <f ca="1">IFERROR(__xludf.DUMMYFUNCTION("""COMPUTED_VALUE"""),"http://www.ms.ro/2020/08/11/buletin-informativ-11-08-2020")</f>
        <v>http://www.ms.ro/2020/08/11/buletin-informativ-11-08-2020</v>
      </c>
      <c r="U1330" s="5"/>
      <c r="V1330" s="5"/>
      <c r="W1330" s="5"/>
      <c r="X1330" s="5"/>
      <c r="Y1330" s="5"/>
      <c r="Z1330" s="5"/>
      <c r="AA1330" s="5"/>
      <c r="AB1330" s="5"/>
      <c r="AC1330" s="5"/>
    </row>
    <row r="1331" spans="1:29" ht="12.5">
      <c r="A1331" s="5">
        <f ca="1">IFERROR(__xludf.DUMMYFUNCTION("""COMPUTED_VALUE"""),62662)</f>
        <v>62662</v>
      </c>
      <c r="B1331" s="5">
        <f ca="1">IFERROR(__xludf.DUMMYFUNCTION("""COMPUTED_VALUE"""),62660)</f>
        <v>62660</v>
      </c>
      <c r="C1331" s="5" t="str">
        <f ca="1">IFERROR(__xludf.DUMMYFUNCTION("""COMPUTED_VALUE"""),"Bihor")</f>
        <v>Bihor</v>
      </c>
      <c r="D1331" s="13">
        <f ca="1">IFERROR(__xludf.DUMMYFUNCTION("""COMPUTED_VALUE"""),44054)</f>
        <v>44054</v>
      </c>
      <c r="E1331" s="5" t="str">
        <f ca="1">IFERROR(__xludf.DUMMYFUNCTION("""COMPUTED_VALUE"""),"Nu")</f>
        <v>Nu</v>
      </c>
      <c r="F1331" s="5"/>
      <c r="G1331" s="5"/>
      <c r="H1331" s="6"/>
      <c r="I1331" s="5"/>
      <c r="J1331" s="5"/>
      <c r="K1331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31" s="5"/>
      <c r="M1331" s="5" t="str">
        <f ca="1">IFERROR(__xludf.DUMMYFUNCTION("""COMPUTED_VALUE"""),"Oradea")</f>
        <v>Oradea</v>
      </c>
      <c r="N1331" s="5"/>
      <c r="O1331" s="5"/>
      <c r="P1331" s="5" t="str">
        <f ca="1">IFERROR(__xludf.DUMMYFUNCTION("""COMPUTED_VALUE"""),"SJU Oradea, pacient.")</f>
        <v>SJU Oradea, pacient.</v>
      </c>
      <c r="Q1331" s="5" t="str">
        <f ca="1">IFERROR(__xludf.DUMMYFUNCTION("""COMPUTED_VALUE"""),"Medical")</f>
        <v>Medical</v>
      </c>
      <c r="R1331" s="5" t="str">
        <f ca="1">IFERROR(__xludf.DUMMYFUNCTION("""COMPUTED_VALUE"""),"România")</f>
        <v>România</v>
      </c>
      <c r="S1331" s="5" t="str">
        <f ca="1">IFERROR(__xludf.DUMMYFUNCTION("""COMPUTED_VALUE"""),"Octavian")</f>
        <v>Octavian</v>
      </c>
      <c r="T1331" s="7" t="str">
        <f ca="1">IFERROR(__xludf.DUMMYFUNCTION("""COMPUTED_VALUE"""),"http://www.ms.ro/2020/08/11/buletin-informativ-11-08-2020")</f>
        <v>http://www.ms.ro/2020/08/11/buletin-informativ-11-08-2020</v>
      </c>
      <c r="U1331" s="5"/>
      <c r="V1331" s="5"/>
      <c r="W1331" s="5"/>
      <c r="X1331" s="5"/>
      <c r="Y1331" s="5"/>
      <c r="Z1331" s="5"/>
      <c r="AA1331" s="5"/>
      <c r="AB1331" s="5"/>
      <c r="AC1331" s="5"/>
    </row>
    <row r="1332" spans="1:29" ht="12.5">
      <c r="A1332" s="5">
        <f ca="1">IFERROR(__xludf.DUMMYFUNCTION("""COMPUTED_VALUE"""),62663)</f>
        <v>62663</v>
      </c>
      <c r="B1332" s="5"/>
      <c r="C1332" s="5" t="str">
        <f ca="1">IFERROR(__xludf.DUMMYFUNCTION("""COMPUTED_VALUE"""),"Bihor")</f>
        <v>Bihor</v>
      </c>
      <c r="D1332" s="13">
        <f ca="1">IFERROR(__xludf.DUMMYFUNCTION("""COMPUTED_VALUE"""),44054)</f>
        <v>44054</v>
      </c>
      <c r="E1332" s="5" t="str">
        <f ca="1">IFERROR(__xludf.DUMMYFUNCTION("""COMPUTED_VALUE"""),"Nu")</f>
        <v>Nu</v>
      </c>
      <c r="F1332" s="5"/>
      <c r="G1332" s="5"/>
      <c r="H1332" s="6"/>
      <c r="I1332" s="5"/>
      <c r="J1332" s="5"/>
      <c r="K1332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32" s="5"/>
      <c r="M1332" s="5" t="str">
        <f ca="1">IFERROR(__xludf.DUMMYFUNCTION("""COMPUTED_VALUE"""),"Beiuș")</f>
        <v>Beiuș</v>
      </c>
      <c r="N1332" s="5"/>
      <c r="O1332" s="5"/>
      <c r="P1332" s="5" t="str">
        <f ca="1">IFERROR(__xludf.DUMMYFUNCTION("""COMPUTED_VALUE"""),"Spital Beiuș, pacient.")</f>
        <v>Spital Beiuș, pacient.</v>
      </c>
      <c r="Q1332" s="5" t="str">
        <f ca="1">IFERROR(__xludf.DUMMYFUNCTION("""COMPUTED_VALUE"""),"Medical")</f>
        <v>Medical</v>
      </c>
      <c r="R1332" s="5" t="str">
        <f ca="1">IFERROR(__xludf.DUMMYFUNCTION("""COMPUTED_VALUE"""),"România")</f>
        <v>România</v>
      </c>
      <c r="S1332" s="5" t="str">
        <f ca="1">IFERROR(__xludf.DUMMYFUNCTION("""COMPUTED_VALUE"""),"Octavian")</f>
        <v>Octavian</v>
      </c>
      <c r="T1332" s="7" t="str">
        <f ca="1">IFERROR(__xludf.DUMMYFUNCTION("""COMPUTED_VALUE"""),"http://www.ms.ro/2020/08/11/buletin-informativ-11-08-2020")</f>
        <v>http://www.ms.ro/2020/08/11/buletin-informativ-11-08-2020</v>
      </c>
      <c r="U1332" s="5"/>
      <c r="V1332" s="5"/>
      <c r="W1332" s="5"/>
      <c r="X1332" s="5"/>
      <c r="Y1332" s="5"/>
      <c r="Z1332" s="5"/>
      <c r="AA1332" s="5"/>
      <c r="AB1332" s="5"/>
      <c r="AC1332" s="5"/>
    </row>
    <row r="1333" spans="1:29" ht="12.5">
      <c r="A1333" s="5">
        <f ca="1">IFERROR(__xludf.DUMMYFUNCTION("""COMPUTED_VALUE"""),62664)</f>
        <v>62664</v>
      </c>
      <c r="B1333" s="5">
        <f ca="1">IFERROR(__xludf.DUMMYFUNCTION("""COMPUTED_VALUE"""),62663)</f>
        <v>62663</v>
      </c>
      <c r="C1333" s="5" t="str">
        <f ca="1">IFERROR(__xludf.DUMMYFUNCTION("""COMPUTED_VALUE"""),"Bihor")</f>
        <v>Bihor</v>
      </c>
      <c r="D1333" s="13">
        <f ca="1">IFERROR(__xludf.DUMMYFUNCTION("""COMPUTED_VALUE"""),44054)</f>
        <v>44054</v>
      </c>
      <c r="E1333" s="5" t="str">
        <f ca="1">IFERROR(__xludf.DUMMYFUNCTION("""COMPUTED_VALUE"""),"Nu")</f>
        <v>Nu</v>
      </c>
      <c r="F1333" s="5"/>
      <c r="G1333" s="5"/>
      <c r="H1333" s="6"/>
      <c r="I1333" s="5"/>
      <c r="J1333" s="5"/>
      <c r="K1333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33" s="5"/>
      <c r="M1333" s="5" t="str">
        <f ca="1">IFERROR(__xludf.DUMMYFUNCTION("""COMPUTED_VALUE"""),"Beiuș")</f>
        <v>Beiuș</v>
      </c>
      <c r="N1333" s="5"/>
      <c r="O1333" s="5"/>
      <c r="P1333" s="5" t="str">
        <f ca="1">IFERROR(__xludf.DUMMYFUNCTION("""COMPUTED_VALUE"""),"Spital Beiuș, pacient.")</f>
        <v>Spital Beiuș, pacient.</v>
      </c>
      <c r="Q1333" s="5" t="str">
        <f ca="1">IFERROR(__xludf.DUMMYFUNCTION("""COMPUTED_VALUE"""),"Medical")</f>
        <v>Medical</v>
      </c>
      <c r="R1333" s="5" t="str">
        <f ca="1">IFERROR(__xludf.DUMMYFUNCTION("""COMPUTED_VALUE"""),"România")</f>
        <v>România</v>
      </c>
      <c r="S1333" s="5" t="str">
        <f ca="1">IFERROR(__xludf.DUMMYFUNCTION("""COMPUTED_VALUE"""),"Octavian")</f>
        <v>Octavian</v>
      </c>
      <c r="T1333" s="7" t="str">
        <f ca="1">IFERROR(__xludf.DUMMYFUNCTION("""COMPUTED_VALUE"""),"http://www.ms.ro/2020/08/11/buletin-informativ-11-08-2020")</f>
        <v>http://www.ms.ro/2020/08/11/buletin-informativ-11-08-2020</v>
      </c>
      <c r="U1333" s="5"/>
      <c r="V1333" s="5"/>
      <c r="W1333" s="5"/>
      <c r="X1333" s="5"/>
      <c r="Y1333" s="5"/>
      <c r="Z1333" s="5"/>
      <c r="AA1333" s="5"/>
      <c r="AB1333" s="5"/>
      <c r="AC1333" s="5"/>
    </row>
    <row r="1334" spans="1:29" ht="12.5">
      <c r="A1334" s="5">
        <f ca="1">IFERROR(__xludf.DUMMYFUNCTION("""COMPUTED_VALUE"""),62665)</f>
        <v>62665</v>
      </c>
      <c r="B1334" s="5">
        <f ca="1">IFERROR(__xludf.DUMMYFUNCTION("""COMPUTED_VALUE"""),62663)</f>
        <v>62663</v>
      </c>
      <c r="C1334" s="5" t="str">
        <f ca="1">IFERROR(__xludf.DUMMYFUNCTION("""COMPUTED_VALUE"""),"Bihor")</f>
        <v>Bihor</v>
      </c>
      <c r="D1334" s="13">
        <f ca="1">IFERROR(__xludf.DUMMYFUNCTION("""COMPUTED_VALUE"""),44054)</f>
        <v>44054</v>
      </c>
      <c r="E1334" s="5" t="str">
        <f ca="1">IFERROR(__xludf.DUMMYFUNCTION("""COMPUTED_VALUE"""),"Nu")</f>
        <v>Nu</v>
      </c>
      <c r="F1334" s="5"/>
      <c r="G1334" s="5"/>
      <c r="H1334" s="6"/>
      <c r="I1334" s="5"/>
      <c r="J1334" s="5"/>
      <c r="K1334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34" s="5"/>
      <c r="M1334" s="5" t="str">
        <f ca="1">IFERROR(__xludf.DUMMYFUNCTION("""COMPUTED_VALUE"""),"Beiuș")</f>
        <v>Beiuș</v>
      </c>
      <c r="N1334" s="5"/>
      <c r="O1334" s="5"/>
      <c r="P1334" s="5" t="str">
        <f ca="1">IFERROR(__xludf.DUMMYFUNCTION("""COMPUTED_VALUE"""),"Spital Beiuș, pacient.")</f>
        <v>Spital Beiuș, pacient.</v>
      </c>
      <c r="Q1334" s="5" t="str">
        <f ca="1">IFERROR(__xludf.DUMMYFUNCTION("""COMPUTED_VALUE"""),"Medical")</f>
        <v>Medical</v>
      </c>
      <c r="R1334" s="5" t="str">
        <f ca="1">IFERROR(__xludf.DUMMYFUNCTION("""COMPUTED_VALUE"""),"România")</f>
        <v>România</v>
      </c>
      <c r="S1334" s="5" t="str">
        <f ca="1">IFERROR(__xludf.DUMMYFUNCTION("""COMPUTED_VALUE"""),"Octavian")</f>
        <v>Octavian</v>
      </c>
      <c r="T1334" s="7" t="str">
        <f ca="1">IFERROR(__xludf.DUMMYFUNCTION("""COMPUTED_VALUE"""),"http://www.ms.ro/2020/08/11/buletin-informativ-11-08-2020")</f>
        <v>http://www.ms.ro/2020/08/11/buletin-informativ-11-08-2020</v>
      </c>
      <c r="U1334" s="5"/>
      <c r="V1334" s="5"/>
      <c r="W1334" s="5"/>
      <c r="X1334" s="5"/>
      <c r="Y1334" s="5"/>
      <c r="Z1334" s="5"/>
      <c r="AA1334" s="5"/>
      <c r="AB1334" s="5"/>
      <c r="AC1334" s="5"/>
    </row>
    <row r="1335" spans="1:29" ht="12.5">
      <c r="A1335" s="5">
        <f ca="1">IFERROR(__xludf.DUMMYFUNCTION("""COMPUTED_VALUE"""),62666)</f>
        <v>62666</v>
      </c>
      <c r="B1335" s="5">
        <f ca="1">IFERROR(__xludf.DUMMYFUNCTION("""COMPUTED_VALUE"""),62663)</f>
        <v>62663</v>
      </c>
      <c r="C1335" s="5" t="str">
        <f ca="1">IFERROR(__xludf.DUMMYFUNCTION("""COMPUTED_VALUE"""),"Bihor")</f>
        <v>Bihor</v>
      </c>
      <c r="D1335" s="13">
        <f ca="1">IFERROR(__xludf.DUMMYFUNCTION("""COMPUTED_VALUE"""),44054)</f>
        <v>44054</v>
      </c>
      <c r="E1335" s="5" t="str">
        <f ca="1">IFERROR(__xludf.DUMMYFUNCTION("""COMPUTED_VALUE"""),"Nu")</f>
        <v>Nu</v>
      </c>
      <c r="F1335" s="5"/>
      <c r="G1335" s="5"/>
      <c r="H1335" s="6"/>
      <c r="I1335" s="5"/>
      <c r="J1335" s="5"/>
      <c r="K1335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35" s="5"/>
      <c r="M1335" s="5" t="str">
        <f ca="1">IFERROR(__xludf.DUMMYFUNCTION("""COMPUTED_VALUE"""),"Beiuș")</f>
        <v>Beiuș</v>
      </c>
      <c r="N1335" s="5"/>
      <c r="O1335" s="5"/>
      <c r="P1335" s="5" t="str">
        <f ca="1">IFERROR(__xludf.DUMMYFUNCTION("""COMPUTED_VALUE"""),"Spital Beiuș, pacient.")</f>
        <v>Spital Beiuș, pacient.</v>
      </c>
      <c r="Q1335" s="5" t="str">
        <f ca="1">IFERROR(__xludf.DUMMYFUNCTION("""COMPUTED_VALUE"""),"Medical")</f>
        <v>Medical</v>
      </c>
      <c r="R1335" s="5" t="str">
        <f ca="1">IFERROR(__xludf.DUMMYFUNCTION("""COMPUTED_VALUE"""),"România")</f>
        <v>România</v>
      </c>
      <c r="S1335" s="5" t="str">
        <f ca="1">IFERROR(__xludf.DUMMYFUNCTION("""COMPUTED_VALUE"""),"Octavian")</f>
        <v>Octavian</v>
      </c>
      <c r="T1335" s="7" t="str">
        <f ca="1">IFERROR(__xludf.DUMMYFUNCTION("""COMPUTED_VALUE"""),"http://www.ms.ro/2020/08/11/buletin-informativ-11-08-2020")</f>
        <v>http://www.ms.ro/2020/08/11/buletin-informativ-11-08-2020</v>
      </c>
      <c r="U1335" s="5"/>
      <c r="V1335" s="5"/>
      <c r="W1335" s="5"/>
      <c r="X1335" s="5"/>
      <c r="Y1335" s="5"/>
      <c r="Z1335" s="5"/>
      <c r="AA1335" s="5"/>
      <c r="AB1335" s="5"/>
      <c r="AC1335" s="5"/>
    </row>
    <row r="1336" spans="1:29" ht="12.5">
      <c r="A1336" s="5">
        <f ca="1">IFERROR(__xludf.DUMMYFUNCTION("""COMPUTED_VALUE"""),62667)</f>
        <v>62667</v>
      </c>
      <c r="B1336" s="5">
        <f ca="1">IFERROR(__xludf.DUMMYFUNCTION("""COMPUTED_VALUE"""),62663)</f>
        <v>62663</v>
      </c>
      <c r="C1336" s="5" t="str">
        <f ca="1">IFERROR(__xludf.DUMMYFUNCTION("""COMPUTED_VALUE"""),"Bihor")</f>
        <v>Bihor</v>
      </c>
      <c r="D1336" s="13">
        <f ca="1">IFERROR(__xludf.DUMMYFUNCTION("""COMPUTED_VALUE"""),44054)</f>
        <v>44054</v>
      </c>
      <c r="E1336" s="5" t="str">
        <f ca="1">IFERROR(__xludf.DUMMYFUNCTION("""COMPUTED_VALUE"""),"Nu")</f>
        <v>Nu</v>
      </c>
      <c r="F1336" s="5"/>
      <c r="G1336" s="5"/>
      <c r="H1336" s="6"/>
      <c r="I1336" s="5"/>
      <c r="J1336" s="5"/>
      <c r="K1336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36" s="5"/>
      <c r="M1336" s="5" t="str">
        <f ca="1">IFERROR(__xludf.DUMMYFUNCTION("""COMPUTED_VALUE"""),"Beiuș")</f>
        <v>Beiuș</v>
      </c>
      <c r="N1336" s="5"/>
      <c r="O1336" s="5"/>
      <c r="P1336" s="5" t="str">
        <f ca="1">IFERROR(__xludf.DUMMYFUNCTION("""COMPUTED_VALUE"""),"Spital Beiuș, pacient.")</f>
        <v>Spital Beiuș, pacient.</v>
      </c>
      <c r="Q1336" s="5" t="str">
        <f ca="1">IFERROR(__xludf.DUMMYFUNCTION("""COMPUTED_VALUE"""),"Medical")</f>
        <v>Medical</v>
      </c>
      <c r="R1336" s="5" t="str">
        <f ca="1">IFERROR(__xludf.DUMMYFUNCTION("""COMPUTED_VALUE"""),"România")</f>
        <v>România</v>
      </c>
      <c r="S1336" s="5" t="str">
        <f ca="1">IFERROR(__xludf.DUMMYFUNCTION("""COMPUTED_VALUE"""),"Octavian")</f>
        <v>Octavian</v>
      </c>
      <c r="T1336" s="7" t="str">
        <f ca="1">IFERROR(__xludf.DUMMYFUNCTION("""COMPUTED_VALUE"""),"http://www.ms.ro/2020/08/11/buletin-informativ-11-08-2020")</f>
        <v>http://www.ms.ro/2020/08/11/buletin-informativ-11-08-2020</v>
      </c>
      <c r="U1336" s="5"/>
      <c r="V1336" s="5"/>
      <c r="W1336" s="5"/>
      <c r="X1336" s="5"/>
      <c r="Y1336" s="5"/>
      <c r="Z1336" s="5"/>
      <c r="AA1336" s="5"/>
      <c r="AB1336" s="5"/>
      <c r="AC1336" s="5"/>
    </row>
    <row r="1337" spans="1:29" ht="12.5">
      <c r="A1337" s="5">
        <f ca="1">IFERROR(__xludf.DUMMYFUNCTION("""COMPUTED_VALUE"""),62668)</f>
        <v>62668</v>
      </c>
      <c r="B1337" s="5">
        <f ca="1">IFERROR(__xludf.DUMMYFUNCTION("""COMPUTED_VALUE"""),62663)</f>
        <v>62663</v>
      </c>
      <c r="C1337" s="5" t="str">
        <f ca="1">IFERROR(__xludf.DUMMYFUNCTION("""COMPUTED_VALUE"""),"Bihor")</f>
        <v>Bihor</v>
      </c>
      <c r="D1337" s="13">
        <f ca="1">IFERROR(__xludf.DUMMYFUNCTION("""COMPUTED_VALUE"""),44054)</f>
        <v>44054</v>
      </c>
      <c r="E1337" s="5" t="str">
        <f ca="1">IFERROR(__xludf.DUMMYFUNCTION("""COMPUTED_VALUE"""),"Nu")</f>
        <v>Nu</v>
      </c>
      <c r="F1337" s="5"/>
      <c r="G1337" s="5"/>
      <c r="H1337" s="6"/>
      <c r="I1337" s="5"/>
      <c r="J1337" s="5"/>
      <c r="K1337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37" s="5"/>
      <c r="M1337" s="5" t="str">
        <f ca="1">IFERROR(__xludf.DUMMYFUNCTION("""COMPUTED_VALUE"""),"Beiuș")</f>
        <v>Beiuș</v>
      </c>
      <c r="N1337" s="5"/>
      <c r="O1337" s="5"/>
      <c r="P1337" s="5" t="str">
        <f ca="1">IFERROR(__xludf.DUMMYFUNCTION("""COMPUTED_VALUE"""),"Spital Beiuș, pacient.")</f>
        <v>Spital Beiuș, pacient.</v>
      </c>
      <c r="Q1337" s="5" t="str">
        <f ca="1">IFERROR(__xludf.DUMMYFUNCTION("""COMPUTED_VALUE"""),"Medical")</f>
        <v>Medical</v>
      </c>
      <c r="R1337" s="5" t="str">
        <f ca="1">IFERROR(__xludf.DUMMYFUNCTION("""COMPUTED_VALUE"""),"România")</f>
        <v>România</v>
      </c>
      <c r="S1337" s="5" t="str">
        <f ca="1">IFERROR(__xludf.DUMMYFUNCTION("""COMPUTED_VALUE"""),"Octavian")</f>
        <v>Octavian</v>
      </c>
      <c r="T1337" s="7" t="str">
        <f ca="1">IFERROR(__xludf.DUMMYFUNCTION("""COMPUTED_VALUE"""),"http://www.ms.ro/2020/08/11/buletin-informativ-11-08-2020")</f>
        <v>http://www.ms.ro/2020/08/11/buletin-informativ-11-08-2020</v>
      </c>
      <c r="U1337" s="5"/>
      <c r="V1337" s="5"/>
      <c r="W1337" s="5"/>
      <c r="X1337" s="5"/>
      <c r="Y1337" s="5"/>
      <c r="Z1337" s="5"/>
      <c r="AA1337" s="5"/>
      <c r="AB1337" s="5"/>
      <c r="AC1337" s="5"/>
    </row>
    <row r="1338" spans="1:29" ht="12.5">
      <c r="A1338" s="5">
        <f ca="1">IFERROR(__xludf.DUMMYFUNCTION("""COMPUTED_VALUE"""),62669)</f>
        <v>62669</v>
      </c>
      <c r="B1338" s="5">
        <f ca="1">IFERROR(__xludf.DUMMYFUNCTION("""COMPUTED_VALUE"""),62663)</f>
        <v>62663</v>
      </c>
      <c r="C1338" s="5" t="str">
        <f ca="1">IFERROR(__xludf.DUMMYFUNCTION("""COMPUTED_VALUE"""),"Bihor")</f>
        <v>Bihor</v>
      </c>
      <c r="D1338" s="13">
        <f ca="1">IFERROR(__xludf.DUMMYFUNCTION("""COMPUTED_VALUE"""),44054)</f>
        <v>44054</v>
      </c>
      <c r="E1338" s="5" t="str">
        <f ca="1">IFERROR(__xludf.DUMMYFUNCTION("""COMPUTED_VALUE"""),"Nu")</f>
        <v>Nu</v>
      </c>
      <c r="F1338" s="5"/>
      <c r="G1338" s="5"/>
      <c r="H1338" s="6"/>
      <c r="I1338" s="5"/>
      <c r="J1338" s="5"/>
      <c r="K1338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38" s="5"/>
      <c r="M1338" s="5" t="str">
        <f ca="1">IFERROR(__xludf.DUMMYFUNCTION("""COMPUTED_VALUE"""),"Beiuș")</f>
        <v>Beiuș</v>
      </c>
      <c r="N1338" s="5"/>
      <c r="O1338" s="5"/>
      <c r="P1338" s="5" t="str">
        <f ca="1">IFERROR(__xludf.DUMMYFUNCTION("""COMPUTED_VALUE"""),"Spital Beiuș, pacient.")</f>
        <v>Spital Beiuș, pacient.</v>
      </c>
      <c r="Q1338" s="5" t="str">
        <f ca="1">IFERROR(__xludf.DUMMYFUNCTION("""COMPUTED_VALUE"""),"Medical")</f>
        <v>Medical</v>
      </c>
      <c r="R1338" s="5" t="str">
        <f ca="1">IFERROR(__xludf.DUMMYFUNCTION("""COMPUTED_VALUE"""),"România")</f>
        <v>România</v>
      </c>
      <c r="S1338" s="5" t="str">
        <f ca="1">IFERROR(__xludf.DUMMYFUNCTION("""COMPUTED_VALUE"""),"Octavian")</f>
        <v>Octavian</v>
      </c>
      <c r="T1338" s="7" t="str">
        <f ca="1">IFERROR(__xludf.DUMMYFUNCTION("""COMPUTED_VALUE"""),"http://www.ms.ro/2020/08/11/buletin-informativ-11-08-2020")</f>
        <v>http://www.ms.ro/2020/08/11/buletin-informativ-11-08-2020</v>
      </c>
      <c r="U1338" s="5"/>
      <c r="V1338" s="5"/>
      <c r="W1338" s="5"/>
      <c r="X1338" s="5"/>
      <c r="Y1338" s="5"/>
      <c r="Z1338" s="5"/>
      <c r="AA1338" s="5"/>
      <c r="AB1338" s="5"/>
      <c r="AC1338" s="5"/>
    </row>
    <row r="1339" spans="1:29" ht="12.5">
      <c r="A1339" s="5">
        <f ca="1">IFERROR(__xludf.DUMMYFUNCTION("""COMPUTED_VALUE"""),62670)</f>
        <v>62670</v>
      </c>
      <c r="B1339" s="5">
        <f ca="1">IFERROR(__xludf.DUMMYFUNCTION("""COMPUTED_VALUE"""),62663)</f>
        <v>62663</v>
      </c>
      <c r="C1339" s="5" t="str">
        <f ca="1">IFERROR(__xludf.DUMMYFUNCTION("""COMPUTED_VALUE"""),"Bihor")</f>
        <v>Bihor</v>
      </c>
      <c r="D1339" s="13">
        <f ca="1">IFERROR(__xludf.DUMMYFUNCTION("""COMPUTED_VALUE"""),44054)</f>
        <v>44054</v>
      </c>
      <c r="E1339" s="5" t="str">
        <f ca="1">IFERROR(__xludf.DUMMYFUNCTION("""COMPUTED_VALUE"""),"Nu")</f>
        <v>Nu</v>
      </c>
      <c r="F1339" s="5"/>
      <c r="G1339" s="5"/>
      <c r="H1339" s="6"/>
      <c r="I1339" s="5"/>
      <c r="J1339" s="5"/>
      <c r="K1339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39" s="5"/>
      <c r="M1339" s="5" t="str">
        <f ca="1">IFERROR(__xludf.DUMMYFUNCTION("""COMPUTED_VALUE"""),"Beiuș")</f>
        <v>Beiuș</v>
      </c>
      <c r="N1339" s="5"/>
      <c r="O1339" s="5"/>
      <c r="P1339" s="5" t="str">
        <f ca="1">IFERROR(__xludf.DUMMYFUNCTION("""COMPUTED_VALUE"""),"Spital Beiuș, pacient.")</f>
        <v>Spital Beiuș, pacient.</v>
      </c>
      <c r="Q1339" s="5" t="str">
        <f ca="1">IFERROR(__xludf.DUMMYFUNCTION("""COMPUTED_VALUE"""),"Medical")</f>
        <v>Medical</v>
      </c>
      <c r="R1339" s="5" t="str">
        <f ca="1">IFERROR(__xludf.DUMMYFUNCTION("""COMPUTED_VALUE"""),"România")</f>
        <v>România</v>
      </c>
      <c r="S1339" s="5" t="str">
        <f ca="1">IFERROR(__xludf.DUMMYFUNCTION("""COMPUTED_VALUE"""),"Octavian")</f>
        <v>Octavian</v>
      </c>
      <c r="T1339" s="7" t="str">
        <f ca="1">IFERROR(__xludf.DUMMYFUNCTION("""COMPUTED_VALUE"""),"http://www.ms.ro/2020/08/11/buletin-informativ-11-08-2020")</f>
        <v>http://www.ms.ro/2020/08/11/buletin-informativ-11-08-2020</v>
      </c>
      <c r="U1339" s="5"/>
      <c r="V1339" s="5"/>
      <c r="W1339" s="5"/>
      <c r="X1339" s="5"/>
      <c r="Y1339" s="5"/>
      <c r="Z1339" s="5"/>
      <c r="AA1339" s="5"/>
      <c r="AB1339" s="5"/>
      <c r="AC1339" s="5"/>
    </row>
    <row r="1340" spans="1:29" ht="12.5">
      <c r="A1340" s="5">
        <f ca="1">IFERROR(__xludf.DUMMYFUNCTION("""COMPUTED_VALUE"""),62671)</f>
        <v>62671</v>
      </c>
      <c r="B1340" s="5">
        <f ca="1">IFERROR(__xludf.DUMMYFUNCTION("""COMPUTED_VALUE"""),62663)</f>
        <v>62663</v>
      </c>
      <c r="C1340" s="5" t="str">
        <f ca="1">IFERROR(__xludf.DUMMYFUNCTION("""COMPUTED_VALUE"""),"Bihor")</f>
        <v>Bihor</v>
      </c>
      <c r="D1340" s="13">
        <f ca="1">IFERROR(__xludf.DUMMYFUNCTION("""COMPUTED_VALUE"""),44054)</f>
        <v>44054</v>
      </c>
      <c r="E1340" s="5" t="str">
        <f ca="1">IFERROR(__xludf.DUMMYFUNCTION("""COMPUTED_VALUE"""),"Nu")</f>
        <v>Nu</v>
      </c>
      <c r="F1340" s="5"/>
      <c r="G1340" s="5"/>
      <c r="H1340" s="6"/>
      <c r="I1340" s="5"/>
      <c r="J1340" s="5"/>
      <c r="K1340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40" s="5"/>
      <c r="M1340" s="5" t="str">
        <f ca="1">IFERROR(__xludf.DUMMYFUNCTION("""COMPUTED_VALUE"""),"Beiuș")</f>
        <v>Beiuș</v>
      </c>
      <c r="N1340" s="5"/>
      <c r="O1340" s="5"/>
      <c r="P1340" s="5" t="str">
        <f ca="1">IFERROR(__xludf.DUMMYFUNCTION("""COMPUTED_VALUE"""),"Spital Beiuș, pacient.")</f>
        <v>Spital Beiuș, pacient.</v>
      </c>
      <c r="Q1340" s="5" t="str">
        <f ca="1">IFERROR(__xludf.DUMMYFUNCTION("""COMPUTED_VALUE"""),"Medical")</f>
        <v>Medical</v>
      </c>
      <c r="R1340" s="5" t="str">
        <f ca="1">IFERROR(__xludf.DUMMYFUNCTION("""COMPUTED_VALUE"""),"România")</f>
        <v>România</v>
      </c>
      <c r="S1340" s="5" t="str">
        <f ca="1">IFERROR(__xludf.DUMMYFUNCTION("""COMPUTED_VALUE"""),"Octavian")</f>
        <v>Octavian</v>
      </c>
      <c r="T1340" s="7" t="str">
        <f ca="1">IFERROR(__xludf.DUMMYFUNCTION("""COMPUTED_VALUE"""),"http://www.ms.ro/2020/08/11/buletin-informativ-11-08-2020")</f>
        <v>http://www.ms.ro/2020/08/11/buletin-informativ-11-08-2020</v>
      </c>
      <c r="U1340" s="5"/>
      <c r="V1340" s="5"/>
      <c r="W1340" s="5"/>
      <c r="X1340" s="5"/>
      <c r="Y1340" s="5"/>
      <c r="Z1340" s="5"/>
      <c r="AA1340" s="5"/>
      <c r="AB1340" s="5"/>
      <c r="AC1340" s="5"/>
    </row>
    <row r="1341" spans="1:29" ht="12.5">
      <c r="A1341" s="5">
        <f ca="1">IFERROR(__xludf.DUMMYFUNCTION("""COMPUTED_VALUE"""),62672)</f>
        <v>62672</v>
      </c>
      <c r="B1341" s="5">
        <f ca="1">IFERROR(__xludf.DUMMYFUNCTION("""COMPUTED_VALUE"""),62663)</f>
        <v>62663</v>
      </c>
      <c r="C1341" s="5" t="str">
        <f ca="1">IFERROR(__xludf.DUMMYFUNCTION("""COMPUTED_VALUE"""),"Bihor")</f>
        <v>Bihor</v>
      </c>
      <c r="D1341" s="13">
        <f ca="1">IFERROR(__xludf.DUMMYFUNCTION("""COMPUTED_VALUE"""),44054)</f>
        <v>44054</v>
      </c>
      <c r="E1341" s="5" t="str">
        <f ca="1">IFERROR(__xludf.DUMMYFUNCTION("""COMPUTED_VALUE"""),"Nu")</f>
        <v>Nu</v>
      </c>
      <c r="F1341" s="5"/>
      <c r="G1341" s="5"/>
      <c r="H1341" s="6"/>
      <c r="I1341" s="5"/>
      <c r="J1341" s="5"/>
      <c r="K1341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41" s="5"/>
      <c r="M1341" s="5" t="str">
        <f ca="1">IFERROR(__xludf.DUMMYFUNCTION("""COMPUTED_VALUE"""),"Beiuș")</f>
        <v>Beiuș</v>
      </c>
      <c r="N1341" s="5"/>
      <c r="O1341" s="5"/>
      <c r="P1341" s="5" t="str">
        <f ca="1">IFERROR(__xludf.DUMMYFUNCTION("""COMPUTED_VALUE"""),"Spital Beiuș, pacient.")</f>
        <v>Spital Beiuș, pacient.</v>
      </c>
      <c r="Q1341" s="5" t="str">
        <f ca="1">IFERROR(__xludf.DUMMYFUNCTION("""COMPUTED_VALUE"""),"Medical")</f>
        <v>Medical</v>
      </c>
      <c r="R1341" s="5" t="str">
        <f ca="1">IFERROR(__xludf.DUMMYFUNCTION("""COMPUTED_VALUE"""),"România")</f>
        <v>România</v>
      </c>
      <c r="S1341" s="5" t="str">
        <f ca="1">IFERROR(__xludf.DUMMYFUNCTION("""COMPUTED_VALUE"""),"Octavian")</f>
        <v>Octavian</v>
      </c>
      <c r="T1341" s="7" t="str">
        <f ca="1">IFERROR(__xludf.DUMMYFUNCTION("""COMPUTED_VALUE"""),"http://www.ms.ro/2020/08/11/buletin-informativ-11-08-2020")</f>
        <v>http://www.ms.ro/2020/08/11/buletin-informativ-11-08-2020</v>
      </c>
      <c r="U1341" s="5"/>
      <c r="V1341" s="5"/>
      <c r="W1341" s="5"/>
      <c r="X1341" s="5"/>
      <c r="Y1341" s="5"/>
      <c r="Z1341" s="5"/>
      <c r="AA1341" s="5"/>
      <c r="AB1341" s="5"/>
      <c r="AC1341" s="5"/>
    </row>
    <row r="1342" spans="1:29" ht="12.5">
      <c r="A1342" s="5">
        <f ca="1">IFERROR(__xludf.DUMMYFUNCTION("""COMPUTED_VALUE"""),62673)</f>
        <v>62673</v>
      </c>
      <c r="B1342" s="5"/>
      <c r="C1342" s="5" t="str">
        <f ca="1">IFERROR(__xludf.DUMMYFUNCTION("""COMPUTED_VALUE"""),"Bihor")</f>
        <v>Bihor</v>
      </c>
      <c r="D1342" s="13">
        <f ca="1">IFERROR(__xludf.DUMMYFUNCTION("""COMPUTED_VALUE"""),44054)</f>
        <v>44054</v>
      </c>
      <c r="E1342" s="5" t="str">
        <f ca="1">IFERROR(__xludf.DUMMYFUNCTION("""COMPUTED_VALUE"""),"Nu")</f>
        <v>Nu</v>
      </c>
      <c r="F1342" s="5"/>
      <c r="G1342" s="5"/>
      <c r="H1342" s="6"/>
      <c r="I1342" s="5"/>
      <c r="J1342" s="5"/>
      <c r="K1342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42" s="5"/>
      <c r="M1342" s="5" t="str">
        <f ca="1">IFERROR(__xludf.DUMMYFUNCTION("""COMPUTED_VALUE"""),"Ștei")</f>
        <v>Ștei</v>
      </c>
      <c r="N1342" s="5"/>
      <c r="O1342" s="5"/>
      <c r="P1342" s="5" t="str">
        <f ca="1">IFERROR(__xludf.DUMMYFUNCTION("""COMPUTED_VALUE"""),"Spital Ștei, pacient.")</f>
        <v>Spital Ștei, pacient.</v>
      </c>
      <c r="Q1342" s="5" t="str">
        <f ca="1">IFERROR(__xludf.DUMMYFUNCTION("""COMPUTED_VALUE"""),"Medical")</f>
        <v>Medical</v>
      </c>
      <c r="R1342" s="5" t="str">
        <f ca="1">IFERROR(__xludf.DUMMYFUNCTION("""COMPUTED_VALUE"""),"România")</f>
        <v>România</v>
      </c>
      <c r="S1342" s="5" t="str">
        <f ca="1">IFERROR(__xludf.DUMMYFUNCTION("""COMPUTED_VALUE"""),"Octavian")</f>
        <v>Octavian</v>
      </c>
      <c r="T1342" s="7" t="str">
        <f ca="1">IFERROR(__xludf.DUMMYFUNCTION("""COMPUTED_VALUE"""),"http://www.ms.ro/2020/08/11/buletin-informativ-11-08-2020")</f>
        <v>http://www.ms.ro/2020/08/11/buletin-informativ-11-08-2020</v>
      </c>
      <c r="U1342" s="5"/>
      <c r="V1342" s="5"/>
      <c r="W1342" s="5"/>
      <c r="X1342" s="5"/>
      <c r="Y1342" s="5"/>
      <c r="Z1342" s="5"/>
      <c r="AA1342" s="5"/>
      <c r="AB1342" s="5"/>
      <c r="AC1342" s="5"/>
    </row>
    <row r="1343" spans="1:29" ht="12.5">
      <c r="A1343" s="5">
        <f ca="1">IFERROR(__xludf.DUMMYFUNCTION("""COMPUTED_VALUE"""),62674)</f>
        <v>62674</v>
      </c>
      <c r="B1343" s="5">
        <f ca="1">IFERROR(__xludf.DUMMYFUNCTION("""COMPUTED_VALUE"""),62673)</f>
        <v>62673</v>
      </c>
      <c r="C1343" s="5" t="str">
        <f ca="1">IFERROR(__xludf.DUMMYFUNCTION("""COMPUTED_VALUE"""),"Bihor")</f>
        <v>Bihor</v>
      </c>
      <c r="D1343" s="13">
        <f ca="1">IFERROR(__xludf.DUMMYFUNCTION("""COMPUTED_VALUE"""),44054)</f>
        <v>44054</v>
      </c>
      <c r="E1343" s="5" t="str">
        <f ca="1">IFERROR(__xludf.DUMMYFUNCTION("""COMPUTED_VALUE"""),"Nu")</f>
        <v>Nu</v>
      </c>
      <c r="F1343" s="5"/>
      <c r="G1343" s="5"/>
      <c r="H1343" s="6"/>
      <c r="I1343" s="5"/>
      <c r="J1343" s="5"/>
      <c r="K1343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43" s="5"/>
      <c r="M1343" s="5" t="str">
        <f ca="1">IFERROR(__xludf.DUMMYFUNCTION("""COMPUTED_VALUE"""),"Ștei")</f>
        <v>Ștei</v>
      </c>
      <c r="N1343" s="5"/>
      <c r="O1343" s="5"/>
      <c r="P1343" s="5" t="str">
        <f ca="1">IFERROR(__xludf.DUMMYFUNCTION("""COMPUTED_VALUE"""),"Spital Ștei, pacient.")</f>
        <v>Spital Ștei, pacient.</v>
      </c>
      <c r="Q1343" s="5" t="str">
        <f ca="1">IFERROR(__xludf.DUMMYFUNCTION("""COMPUTED_VALUE"""),"Medical")</f>
        <v>Medical</v>
      </c>
      <c r="R1343" s="5" t="str">
        <f ca="1">IFERROR(__xludf.DUMMYFUNCTION("""COMPUTED_VALUE"""),"România")</f>
        <v>România</v>
      </c>
      <c r="S1343" s="5" t="str">
        <f ca="1">IFERROR(__xludf.DUMMYFUNCTION("""COMPUTED_VALUE"""),"Octavian")</f>
        <v>Octavian</v>
      </c>
      <c r="T1343" s="7" t="str">
        <f ca="1">IFERROR(__xludf.DUMMYFUNCTION("""COMPUTED_VALUE"""),"http://www.ms.ro/2020/08/11/buletin-informativ-11-08-2020")</f>
        <v>http://www.ms.ro/2020/08/11/buletin-informativ-11-08-2020</v>
      </c>
      <c r="U1343" s="5"/>
      <c r="V1343" s="5"/>
      <c r="W1343" s="5"/>
      <c r="X1343" s="5"/>
      <c r="Y1343" s="5"/>
      <c r="Z1343" s="5"/>
      <c r="AA1343" s="5"/>
      <c r="AB1343" s="5"/>
      <c r="AC1343" s="5"/>
    </row>
    <row r="1344" spans="1:29" ht="12.5">
      <c r="A1344" s="5">
        <f ca="1">IFERROR(__xludf.DUMMYFUNCTION("""COMPUTED_VALUE"""),62675)</f>
        <v>62675</v>
      </c>
      <c r="B1344" s="5">
        <f ca="1">IFERROR(__xludf.DUMMYFUNCTION("""COMPUTED_VALUE"""),62673)</f>
        <v>62673</v>
      </c>
      <c r="C1344" s="5" t="str">
        <f ca="1">IFERROR(__xludf.DUMMYFUNCTION("""COMPUTED_VALUE"""),"Bihor")</f>
        <v>Bihor</v>
      </c>
      <c r="D1344" s="13">
        <f ca="1">IFERROR(__xludf.DUMMYFUNCTION("""COMPUTED_VALUE"""),44054)</f>
        <v>44054</v>
      </c>
      <c r="E1344" s="5" t="str">
        <f ca="1">IFERROR(__xludf.DUMMYFUNCTION("""COMPUTED_VALUE"""),"Nu")</f>
        <v>Nu</v>
      </c>
      <c r="F1344" s="5"/>
      <c r="G1344" s="5"/>
      <c r="H1344" s="6"/>
      <c r="I1344" s="5"/>
      <c r="J1344" s="5"/>
      <c r="K1344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44" s="5"/>
      <c r="M1344" s="5" t="str">
        <f ca="1">IFERROR(__xludf.DUMMYFUNCTION("""COMPUTED_VALUE"""),"Ștei")</f>
        <v>Ștei</v>
      </c>
      <c r="N1344" s="5"/>
      <c r="O1344" s="5"/>
      <c r="P1344" s="5" t="str">
        <f ca="1">IFERROR(__xludf.DUMMYFUNCTION("""COMPUTED_VALUE"""),"Spital Ștei, pacient.")</f>
        <v>Spital Ștei, pacient.</v>
      </c>
      <c r="Q1344" s="5" t="str">
        <f ca="1">IFERROR(__xludf.DUMMYFUNCTION("""COMPUTED_VALUE"""),"Medical")</f>
        <v>Medical</v>
      </c>
      <c r="R1344" s="5" t="str">
        <f ca="1">IFERROR(__xludf.DUMMYFUNCTION("""COMPUTED_VALUE"""),"România")</f>
        <v>România</v>
      </c>
      <c r="S1344" s="5" t="str">
        <f ca="1">IFERROR(__xludf.DUMMYFUNCTION("""COMPUTED_VALUE"""),"Octavian")</f>
        <v>Octavian</v>
      </c>
      <c r="T1344" s="7" t="str">
        <f ca="1">IFERROR(__xludf.DUMMYFUNCTION("""COMPUTED_VALUE"""),"http://www.ms.ro/2020/08/11/buletin-informativ-11-08-2020")</f>
        <v>http://www.ms.ro/2020/08/11/buletin-informativ-11-08-2020</v>
      </c>
      <c r="U1344" s="5"/>
      <c r="V1344" s="5"/>
      <c r="W1344" s="5"/>
      <c r="X1344" s="5"/>
      <c r="Y1344" s="5"/>
      <c r="Z1344" s="5"/>
      <c r="AA1344" s="5"/>
      <c r="AB1344" s="5"/>
      <c r="AC1344" s="5"/>
    </row>
    <row r="1345" spans="1:29" ht="12.5">
      <c r="A1345" s="5">
        <f ca="1">IFERROR(__xludf.DUMMYFUNCTION("""COMPUTED_VALUE"""),62676)</f>
        <v>62676</v>
      </c>
      <c r="B1345" s="5">
        <f ca="1">IFERROR(__xludf.DUMMYFUNCTION("""COMPUTED_VALUE"""),62673)</f>
        <v>62673</v>
      </c>
      <c r="C1345" s="5" t="str">
        <f ca="1">IFERROR(__xludf.DUMMYFUNCTION("""COMPUTED_VALUE"""),"Bihor")</f>
        <v>Bihor</v>
      </c>
      <c r="D1345" s="13">
        <f ca="1">IFERROR(__xludf.DUMMYFUNCTION("""COMPUTED_VALUE"""),44054)</f>
        <v>44054</v>
      </c>
      <c r="E1345" s="5" t="str">
        <f ca="1">IFERROR(__xludf.DUMMYFUNCTION("""COMPUTED_VALUE"""),"Nu")</f>
        <v>Nu</v>
      </c>
      <c r="F1345" s="5"/>
      <c r="G1345" s="5"/>
      <c r="H1345" s="6"/>
      <c r="I1345" s="5"/>
      <c r="J1345" s="5"/>
      <c r="K1345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45" s="5"/>
      <c r="M1345" s="5" t="str">
        <f ca="1">IFERROR(__xludf.DUMMYFUNCTION("""COMPUTED_VALUE"""),"Ștei")</f>
        <v>Ștei</v>
      </c>
      <c r="N1345" s="5"/>
      <c r="O1345" s="5"/>
      <c r="P1345" s="5" t="str">
        <f ca="1">IFERROR(__xludf.DUMMYFUNCTION("""COMPUTED_VALUE"""),"Spital Ștei, pacient.")</f>
        <v>Spital Ștei, pacient.</v>
      </c>
      <c r="Q1345" s="5" t="str">
        <f ca="1">IFERROR(__xludf.DUMMYFUNCTION("""COMPUTED_VALUE"""),"Medical")</f>
        <v>Medical</v>
      </c>
      <c r="R1345" s="5" t="str">
        <f ca="1">IFERROR(__xludf.DUMMYFUNCTION("""COMPUTED_VALUE"""),"România")</f>
        <v>România</v>
      </c>
      <c r="S1345" s="5" t="str">
        <f ca="1">IFERROR(__xludf.DUMMYFUNCTION("""COMPUTED_VALUE"""),"Octavian")</f>
        <v>Octavian</v>
      </c>
      <c r="T1345" s="7" t="str">
        <f ca="1">IFERROR(__xludf.DUMMYFUNCTION("""COMPUTED_VALUE"""),"http://www.ms.ro/2020/08/11/buletin-informativ-11-08-2020")</f>
        <v>http://www.ms.ro/2020/08/11/buletin-informativ-11-08-2020</v>
      </c>
      <c r="U1345" s="5"/>
      <c r="V1345" s="5"/>
      <c r="W1345" s="5"/>
      <c r="X1345" s="5"/>
      <c r="Y1345" s="5"/>
      <c r="Z1345" s="5"/>
      <c r="AA1345" s="5"/>
      <c r="AB1345" s="5"/>
      <c r="AC1345" s="5"/>
    </row>
    <row r="1346" spans="1:29" ht="12.5">
      <c r="A1346" s="5">
        <f ca="1">IFERROR(__xludf.DUMMYFUNCTION("""COMPUTED_VALUE"""),62677)</f>
        <v>62677</v>
      </c>
      <c r="B1346" s="5">
        <f ca="1">IFERROR(__xludf.DUMMYFUNCTION("""COMPUTED_VALUE"""),62673)</f>
        <v>62673</v>
      </c>
      <c r="C1346" s="5" t="str">
        <f ca="1">IFERROR(__xludf.DUMMYFUNCTION("""COMPUTED_VALUE"""),"Bihor")</f>
        <v>Bihor</v>
      </c>
      <c r="D1346" s="13">
        <f ca="1">IFERROR(__xludf.DUMMYFUNCTION("""COMPUTED_VALUE"""),44054)</f>
        <v>44054</v>
      </c>
      <c r="E1346" s="5" t="str">
        <f ca="1">IFERROR(__xludf.DUMMYFUNCTION("""COMPUTED_VALUE"""),"Nu")</f>
        <v>Nu</v>
      </c>
      <c r="F1346" s="5"/>
      <c r="G1346" s="5"/>
      <c r="H1346" s="6"/>
      <c r="I1346" s="5"/>
      <c r="J1346" s="5"/>
      <c r="K1346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46" s="5"/>
      <c r="M1346" s="5" t="str">
        <f ca="1">IFERROR(__xludf.DUMMYFUNCTION("""COMPUTED_VALUE"""),"Ștei")</f>
        <v>Ștei</v>
      </c>
      <c r="N1346" s="5"/>
      <c r="O1346" s="5"/>
      <c r="P1346" s="5" t="str">
        <f ca="1">IFERROR(__xludf.DUMMYFUNCTION("""COMPUTED_VALUE"""),"Spital Ștei, pacient.")</f>
        <v>Spital Ștei, pacient.</v>
      </c>
      <c r="Q1346" s="5" t="str">
        <f ca="1">IFERROR(__xludf.DUMMYFUNCTION("""COMPUTED_VALUE"""),"Medical")</f>
        <v>Medical</v>
      </c>
      <c r="R1346" s="5" t="str">
        <f ca="1">IFERROR(__xludf.DUMMYFUNCTION("""COMPUTED_VALUE"""),"România")</f>
        <v>România</v>
      </c>
      <c r="S1346" s="5" t="str">
        <f ca="1">IFERROR(__xludf.DUMMYFUNCTION("""COMPUTED_VALUE"""),"Octavian")</f>
        <v>Octavian</v>
      </c>
      <c r="T1346" s="7" t="str">
        <f ca="1">IFERROR(__xludf.DUMMYFUNCTION("""COMPUTED_VALUE"""),"http://www.ms.ro/2020/08/11/buletin-informativ-11-08-2020")</f>
        <v>http://www.ms.ro/2020/08/11/buletin-informativ-11-08-2020</v>
      </c>
      <c r="U1346" s="5"/>
      <c r="V1346" s="5"/>
      <c r="W1346" s="5"/>
      <c r="X1346" s="5"/>
      <c r="Y1346" s="5"/>
      <c r="Z1346" s="5"/>
      <c r="AA1346" s="5"/>
      <c r="AB1346" s="5"/>
      <c r="AC1346" s="5"/>
    </row>
    <row r="1347" spans="1:29" ht="12.5">
      <c r="A1347" s="5">
        <f ca="1">IFERROR(__xludf.DUMMYFUNCTION("""COMPUTED_VALUE"""),62678)</f>
        <v>62678</v>
      </c>
      <c r="B1347" s="5">
        <f ca="1">IFERROR(__xludf.DUMMYFUNCTION("""COMPUTED_VALUE"""),62673)</f>
        <v>62673</v>
      </c>
      <c r="C1347" s="5" t="str">
        <f ca="1">IFERROR(__xludf.DUMMYFUNCTION("""COMPUTED_VALUE"""),"Bihor")</f>
        <v>Bihor</v>
      </c>
      <c r="D1347" s="13">
        <f ca="1">IFERROR(__xludf.DUMMYFUNCTION("""COMPUTED_VALUE"""),44054)</f>
        <v>44054</v>
      </c>
      <c r="E1347" s="5" t="str">
        <f ca="1">IFERROR(__xludf.DUMMYFUNCTION("""COMPUTED_VALUE"""),"Nu")</f>
        <v>Nu</v>
      </c>
      <c r="F1347" s="5"/>
      <c r="G1347" s="5"/>
      <c r="H1347" s="6"/>
      <c r="I1347" s="5"/>
      <c r="J1347" s="5"/>
      <c r="K1347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47" s="5"/>
      <c r="M1347" s="5" t="str">
        <f ca="1">IFERROR(__xludf.DUMMYFUNCTION("""COMPUTED_VALUE"""),"Ștei")</f>
        <v>Ștei</v>
      </c>
      <c r="N1347" s="5"/>
      <c r="O1347" s="5"/>
      <c r="P1347" s="5" t="str">
        <f ca="1">IFERROR(__xludf.DUMMYFUNCTION("""COMPUTED_VALUE"""),"Spital Ștei, pacient.")</f>
        <v>Spital Ștei, pacient.</v>
      </c>
      <c r="Q1347" s="5" t="str">
        <f ca="1">IFERROR(__xludf.DUMMYFUNCTION("""COMPUTED_VALUE"""),"Medical")</f>
        <v>Medical</v>
      </c>
      <c r="R1347" s="5" t="str">
        <f ca="1">IFERROR(__xludf.DUMMYFUNCTION("""COMPUTED_VALUE"""),"România")</f>
        <v>România</v>
      </c>
      <c r="S1347" s="5" t="str">
        <f ca="1">IFERROR(__xludf.DUMMYFUNCTION("""COMPUTED_VALUE"""),"Octavian")</f>
        <v>Octavian</v>
      </c>
      <c r="T1347" s="7" t="str">
        <f ca="1">IFERROR(__xludf.DUMMYFUNCTION("""COMPUTED_VALUE"""),"http://www.ms.ro/2020/08/11/buletin-informativ-11-08-2020")</f>
        <v>http://www.ms.ro/2020/08/11/buletin-informativ-11-08-2020</v>
      </c>
      <c r="U1347" s="5"/>
      <c r="V1347" s="5"/>
      <c r="W1347" s="5"/>
      <c r="X1347" s="5"/>
      <c r="Y1347" s="5"/>
      <c r="Z1347" s="5"/>
      <c r="AA1347" s="5"/>
      <c r="AB1347" s="5"/>
      <c r="AC1347" s="5"/>
    </row>
    <row r="1348" spans="1:29" ht="12.5">
      <c r="A1348" s="5">
        <f ca="1">IFERROR(__xludf.DUMMYFUNCTION("""COMPUTED_VALUE"""),62679)</f>
        <v>62679</v>
      </c>
      <c r="B1348" s="5">
        <f ca="1">IFERROR(__xludf.DUMMYFUNCTION("""COMPUTED_VALUE"""),62673)</f>
        <v>62673</v>
      </c>
      <c r="C1348" s="5" t="str">
        <f ca="1">IFERROR(__xludf.DUMMYFUNCTION("""COMPUTED_VALUE"""),"Bihor")</f>
        <v>Bihor</v>
      </c>
      <c r="D1348" s="13">
        <f ca="1">IFERROR(__xludf.DUMMYFUNCTION("""COMPUTED_VALUE"""),44054)</f>
        <v>44054</v>
      </c>
      <c r="E1348" s="5" t="str">
        <f ca="1">IFERROR(__xludf.DUMMYFUNCTION("""COMPUTED_VALUE"""),"Nu")</f>
        <v>Nu</v>
      </c>
      <c r="F1348" s="5"/>
      <c r="G1348" s="5"/>
      <c r="H1348" s="6"/>
      <c r="I1348" s="5"/>
      <c r="J1348" s="5"/>
      <c r="K1348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48" s="5"/>
      <c r="M1348" s="5" t="str">
        <f ca="1">IFERROR(__xludf.DUMMYFUNCTION("""COMPUTED_VALUE"""),"Ștei")</f>
        <v>Ștei</v>
      </c>
      <c r="N1348" s="5"/>
      <c r="O1348" s="5"/>
      <c r="P1348" s="5" t="str">
        <f ca="1">IFERROR(__xludf.DUMMYFUNCTION("""COMPUTED_VALUE"""),"Spital Ștei, pacient.")</f>
        <v>Spital Ștei, pacient.</v>
      </c>
      <c r="Q1348" s="5" t="str">
        <f ca="1">IFERROR(__xludf.DUMMYFUNCTION("""COMPUTED_VALUE"""),"Medical")</f>
        <v>Medical</v>
      </c>
      <c r="R1348" s="5" t="str">
        <f ca="1">IFERROR(__xludf.DUMMYFUNCTION("""COMPUTED_VALUE"""),"România")</f>
        <v>România</v>
      </c>
      <c r="S1348" s="5" t="str">
        <f ca="1">IFERROR(__xludf.DUMMYFUNCTION("""COMPUTED_VALUE"""),"Octavian")</f>
        <v>Octavian</v>
      </c>
      <c r="T1348" s="7" t="str">
        <f ca="1">IFERROR(__xludf.DUMMYFUNCTION("""COMPUTED_VALUE"""),"http://www.ms.ro/2020/08/11/buletin-informativ-11-08-2020")</f>
        <v>http://www.ms.ro/2020/08/11/buletin-informativ-11-08-2020</v>
      </c>
      <c r="U1348" s="5"/>
      <c r="V1348" s="5"/>
      <c r="W1348" s="5"/>
      <c r="X1348" s="5"/>
      <c r="Y1348" s="5"/>
      <c r="Z1348" s="5"/>
      <c r="AA1348" s="5"/>
      <c r="AB1348" s="5"/>
      <c r="AC1348" s="5"/>
    </row>
    <row r="1349" spans="1:29" ht="12.5">
      <c r="A1349" s="5">
        <f ca="1">IFERROR(__xludf.DUMMYFUNCTION("""COMPUTED_VALUE"""),62680)</f>
        <v>62680</v>
      </c>
      <c r="B1349" s="5">
        <f ca="1">IFERROR(__xludf.DUMMYFUNCTION("""COMPUTED_VALUE"""),62673)</f>
        <v>62673</v>
      </c>
      <c r="C1349" s="5" t="str">
        <f ca="1">IFERROR(__xludf.DUMMYFUNCTION("""COMPUTED_VALUE"""),"Bihor")</f>
        <v>Bihor</v>
      </c>
      <c r="D1349" s="13">
        <f ca="1">IFERROR(__xludf.DUMMYFUNCTION("""COMPUTED_VALUE"""),44054)</f>
        <v>44054</v>
      </c>
      <c r="E1349" s="5" t="str">
        <f ca="1">IFERROR(__xludf.DUMMYFUNCTION("""COMPUTED_VALUE"""),"Nu")</f>
        <v>Nu</v>
      </c>
      <c r="F1349" s="5"/>
      <c r="G1349" s="5"/>
      <c r="H1349" s="6"/>
      <c r="I1349" s="5"/>
      <c r="J1349" s="5"/>
      <c r="K1349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49" s="5"/>
      <c r="M1349" s="5" t="str">
        <f ca="1">IFERROR(__xludf.DUMMYFUNCTION("""COMPUTED_VALUE"""),"Ștei")</f>
        <v>Ștei</v>
      </c>
      <c r="N1349" s="5"/>
      <c r="O1349" s="5"/>
      <c r="P1349" s="5" t="str">
        <f ca="1">IFERROR(__xludf.DUMMYFUNCTION("""COMPUTED_VALUE"""),"Spital Ștei, pacient.")</f>
        <v>Spital Ștei, pacient.</v>
      </c>
      <c r="Q1349" s="5" t="str">
        <f ca="1">IFERROR(__xludf.DUMMYFUNCTION("""COMPUTED_VALUE"""),"Medical")</f>
        <v>Medical</v>
      </c>
      <c r="R1349" s="5" t="str">
        <f ca="1">IFERROR(__xludf.DUMMYFUNCTION("""COMPUTED_VALUE"""),"România")</f>
        <v>România</v>
      </c>
      <c r="S1349" s="5" t="str">
        <f ca="1">IFERROR(__xludf.DUMMYFUNCTION("""COMPUTED_VALUE"""),"Octavian")</f>
        <v>Octavian</v>
      </c>
      <c r="T1349" s="7" t="str">
        <f ca="1">IFERROR(__xludf.DUMMYFUNCTION("""COMPUTED_VALUE"""),"http://www.ms.ro/2020/08/11/buletin-informativ-11-08-2020")</f>
        <v>http://www.ms.ro/2020/08/11/buletin-informativ-11-08-2020</v>
      </c>
      <c r="U1349" s="5"/>
      <c r="V1349" s="5"/>
      <c r="W1349" s="5"/>
      <c r="X1349" s="5"/>
      <c r="Y1349" s="5"/>
      <c r="Z1349" s="5"/>
      <c r="AA1349" s="5"/>
      <c r="AB1349" s="5"/>
      <c r="AC1349" s="5"/>
    </row>
    <row r="1350" spans="1:29" ht="12.5">
      <c r="A1350" s="5">
        <f ca="1">IFERROR(__xludf.DUMMYFUNCTION("""COMPUTED_VALUE"""),62681)</f>
        <v>62681</v>
      </c>
      <c r="B1350" s="5"/>
      <c r="C1350" s="5" t="str">
        <f ca="1">IFERROR(__xludf.DUMMYFUNCTION("""COMPUTED_VALUE"""),"Bihor")</f>
        <v>Bihor</v>
      </c>
      <c r="D1350" s="13">
        <f ca="1">IFERROR(__xludf.DUMMYFUNCTION("""COMPUTED_VALUE"""),44054)</f>
        <v>44054</v>
      </c>
      <c r="E1350" s="5" t="str">
        <f ca="1">IFERROR(__xludf.DUMMYFUNCTION("""COMPUTED_VALUE"""),"Nu")</f>
        <v>Nu</v>
      </c>
      <c r="F1350" s="5"/>
      <c r="G1350" s="5"/>
      <c r="H1350" s="6"/>
      <c r="I1350" s="5"/>
      <c r="J1350" s="5"/>
      <c r="K1350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50" s="5"/>
      <c r="M1350" s="5" t="str">
        <f ca="1">IFERROR(__xludf.DUMMYFUNCTION("""COMPUTED_VALUE"""),"Marghita")</f>
        <v>Marghita</v>
      </c>
      <c r="N1350" s="5"/>
      <c r="O1350" s="5"/>
      <c r="P1350" s="5" t="str">
        <f ca="1">IFERROR(__xludf.DUMMYFUNCTION("""COMPUTED_VALUE"""),"Spital Marghita, pacient.")</f>
        <v>Spital Marghita, pacient.</v>
      </c>
      <c r="Q1350" s="5" t="str">
        <f ca="1">IFERROR(__xludf.DUMMYFUNCTION("""COMPUTED_VALUE"""),"Medical")</f>
        <v>Medical</v>
      </c>
      <c r="R1350" s="5" t="str">
        <f ca="1">IFERROR(__xludf.DUMMYFUNCTION("""COMPUTED_VALUE"""),"România")</f>
        <v>România</v>
      </c>
      <c r="S1350" s="5" t="str">
        <f ca="1">IFERROR(__xludf.DUMMYFUNCTION("""COMPUTED_VALUE"""),"Octavian")</f>
        <v>Octavian</v>
      </c>
      <c r="T1350" s="7" t="str">
        <f ca="1">IFERROR(__xludf.DUMMYFUNCTION("""COMPUTED_VALUE"""),"http://www.ms.ro/2020/08/11/buletin-informativ-11-08-2020")</f>
        <v>http://www.ms.ro/2020/08/11/buletin-informativ-11-08-2020</v>
      </c>
      <c r="U1350" s="5"/>
      <c r="V1350" s="5"/>
      <c r="W1350" s="5"/>
      <c r="X1350" s="5"/>
      <c r="Y1350" s="5"/>
      <c r="Z1350" s="5"/>
      <c r="AA1350" s="5"/>
      <c r="AB1350" s="5"/>
      <c r="AC1350" s="5"/>
    </row>
    <row r="1351" spans="1:29" ht="12.5">
      <c r="A1351" s="5">
        <f ca="1">IFERROR(__xludf.DUMMYFUNCTION("""COMPUTED_VALUE"""),62682)</f>
        <v>62682</v>
      </c>
      <c r="B1351" s="5">
        <f ca="1">IFERROR(__xludf.DUMMYFUNCTION("""COMPUTED_VALUE"""),62681)</f>
        <v>62681</v>
      </c>
      <c r="C1351" s="5" t="str">
        <f ca="1">IFERROR(__xludf.DUMMYFUNCTION("""COMPUTED_VALUE"""),"Bihor")</f>
        <v>Bihor</v>
      </c>
      <c r="D1351" s="13">
        <f ca="1">IFERROR(__xludf.DUMMYFUNCTION("""COMPUTED_VALUE"""),44054)</f>
        <v>44054</v>
      </c>
      <c r="E1351" s="5" t="str">
        <f ca="1">IFERROR(__xludf.DUMMYFUNCTION("""COMPUTED_VALUE"""),"Nu")</f>
        <v>Nu</v>
      </c>
      <c r="F1351" s="5"/>
      <c r="G1351" s="5"/>
      <c r="H1351" s="6"/>
      <c r="I1351" s="5"/>
      <c r="J1351" s="5"/>
      <c r="K1351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51" s="5"/>
      <c r="M1351" s="5" t="str">
        <f ca="1">IFERROR(__xludf.DUMMYFUNCTION("""COMPUTED_VALUE"""),"Marghita")</f>
        <v>Marghita</v>
      </c>
      <c r="N1351" s="5"/>
      <c r="O1351" s="5"/>
      <c r="P1351" s="5" t="str">
        <f ca="1">IFERROR(__xludf.DUMMYFUNCTION("""COMPUTED_VALUE"""),"Spital Marghita, pacient.")</f>
        <v>Spital Marghita, pacient.</v>
      </c>
      <c r="Q1351" s="5" t="str">
        <f ca="1">IFERROR(__xludf.DUMMYFUNCTION("""COMPUTED_VALUE"""),"Medical")</f>
        <v>Medical</v>
      </c>
      <c r="R1351" s="5" t="str">
        <f ca="1">IFERROR(__xludf.DUMMYFUNCTION("""COMPUTED_VALUE"""),"România")</f>
        <v>România</v>
      </c>
      <c r="S1351" s="5" t="str">
        <f ca="1">IFERROR(__xludf.DUMMYFUNCTION("""COMPUTED_VALUE"""),"Octavian")</f>
        <v>Octavian</v>
      </c>
      <c r="T1351" s="7" t="str">
        <f ca="1">IFERROR(__xludf.DUMMYFUNCTION("""COMPUTED_VALUE"""),"http://www.ms.ro/2020/08/11/buletin-informativ-11-08-2020")</f>
        <v>http://www.ms.ro/2020/08/11/buletin-informativ-11-08-2020</v>
      </c>
      <c r="U1351" s="5"/>
      <c r="V1351" s="5"/>
      <c r="W1351" s="5"/>
      <c r="X1351" s="5"/>
      <c r="Y1351" s="5"/>
      <c r="Z1351" s="5"/>
      <c r="AA1351" s="5"/>
      <c r="AB1351" s="5"/>
      <c r="AC1351" s="5"/>
    </row>
    <row r="1352" spans="1:29" ht="12.5">
      <c r="A1352" s="5">
        <f ca="1">IFERROR(__xludf.DUMMYFUNCTION("""COMPUTED_VALUE"""),62683)</f>
        <v>62683</v>
      </c>
      <c r="B1352" s="5">
        <f ca="1">IFERROR(__xludf.DUMMYFUNCTION("""COMPUTED_VALUE"""),62681)</f>
        <v>62681</v>
      </c>
      <c r="C1352" s="5" t="str">
        <f ca="1">IFERROR(__xludf.DUMMYFUNCTION("""COMPUTED_VALUE"""),"Bihor")</f>
        <v>Bihor</v>
      </c>
      <c r="D1352" s="13">
        <f ca="1">IFERROR(__xludf.DUMMYFUNCTION("""COMPUTED_VALUE"""),44054)</f>
        <v>44054</v>
      </c>
      <c r="E1352" s="5" t="str">
        <f ca="1">IFERROR(__xludf.DUMMYFUNCTION("""COMPUTED_VALUE"""),"Nu")</f>
        <v>Nu</v>
      </c>
      <c r="F1352" s="5"/>
      <c r="G1352" s="5"/>
      <c r="H1352" s="6"/>
      <c r="I1352" s="5"/>
      <c r="J1352" s="5"/>
      <c r="K1352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52" s="5"/>
      <c r="M1352" s="5" t="str">
        <f ca="1">IFERROR(__xludf.DUMMYFUNCTION("""COMPUTED_VALUE"""),"Marghita")</f>
        <v>Marghita</v>
      </c>
      <c r="N1352" s="5"/>
      <c r="O1352" s="5"/>
      <c r="P1352" s="5" t="str">
        <f ca="1">IFERROR(__xludf.DUMMYFUNCTION("""COMPUTED_VALUE"""),"Spital Marghita, pacient.")</f>
        <v>Spital Marghita, pacient.</v>
      </c>
      <c r="Q1352" s="5" t="str">
        <f ca="1">IFERROR(__xludf.DUMMYFUNCTION("""COMPUTED_VALUE"""),"Medical")</f>
        <v>Medical</v>
      </c>
      <c r="R1352" s="5" t="str">
        <f ca="1">IFERROR(__xludf.DUMMYFUNCTION("""COMPUTED_VALUE"""),"România")</f>
        <v>România</v>
      </c>
      <c r="S1352" s="5" t="str">
        <f ca="1">IFERROR(__xludf.DUMMYFUNCTION("""COMPUTED_VALUE"""),"Octavian")</f>
        <v>Octavian</v>
      </c>
      <c r="T1352" s="7" t="str">
        <f ca="1">IFERROR(__xludf.DUMMYFUNCTION("""COMPUTED_VALUE"""),"http://www.ms.ro/2020/08/11/buletin-informativ-11-08-2020")</f>
        <v>http://www.ms.ro/2020/08/11/buletin-informativ-11-08-2020</v>
      </c>
      <c r="U1352" s="5"/>
      <c r="V1352" s="5"/>
      <c r="W1352" s="5"/>
      <c r="X1352" s="5"/>
      <c r="Y1352" s="5"/>
      <c r="Z1352" s="5"/>
      <c r="AA1352" s="5"/>
      <c r="AB1352" s="5"/>
      <c r="AC1352" s="5"/>
    </row>
    <row r="1353" spans="1:29" ht="12.5">
      <c r="A1353" s="5">
        <f ca="1">IFERROR(__xludf.DUMMYFUNCTION("""COMPUTED_VALUE"""),62684)</f>
        <v>62684</v>
      </c>
      <c r="B1353" s="5">
        <f ca="1">IFERROR(__xludf.DUMMYFUNCTION("""COMPUTED_VALUE"""),62681)</f>
        <v>62681</v>
      </c>
      <c r="C1353" s="5" t="str">
        <f ca="1">IFERROR(__xludf.DUMMYFUNCTION("""COMPUTED_VALUE"""),"Bihor")</f>
        <v>Bihor</v>
      </c>
      <c r="D1353" s="13">
        <f ca="1">IFERROR(__xludf.DUMMYFUNCTION("""COMPUTED_VALUE"""),44054)</f>
        <v>44054</v>
      </c>
      <c r="E1353" s="5" t="str">
        <f ca="1">IFERROR(__xludf.DUMMYFUNCTION("""COMPUTED_VALUE"""),"Nu")</f>
        <v>Nu</v>
      </c>
      <c r="F1353" s="5"/>
      <c r="G1353" s="5"/>
      <c r="H1353" s="6"/>
      <c r="I1353" s="5"/>
      <c r="J1353" s="5"/>
      <c r="K1353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53" s="5"/>
      <c r="M1353" s="5" t="str">
        <f ca="1">IFERROR(__xludf.DUMMYFUNCTION("""COMPUTED_VALUE"""),"Marghita")</f>
        <v>Marghita</v>
      </c>
      <c r="N1353" s="5"/>
      <c r="O1353" s="5"/>
      <c r="P1353" s="5" t="str">
        <f ca="1">IFERROR(__xludf.DUMMYFUNCTION("""COMPUTED_VALUE"""),"Spital Marghita, pacient.")</f>
        <v>Spital Marghita, pacient.</v>
      </c>
      <c r="Q1353" s="5" t="str">
        <f ca="1">IFERROR(__xludf.DUMMYFUNCTION("""COMPUTED_VALUE"""),"Medical")</f>
        <v>Medical</v>
      </c>
      <c r="R1353" s="5" t="str">
        <f ca="1">IFERROR(__xludf.DUMMYFUNCTION("""COMPUTED_VALUE"""),"România")</f>
        <v>România</v>
      </c>
      <c r="S1353" s="5" t="str">
        <f ca="1">IFERROR(__xludf.DUMMYFUNCTION("""COMPUTED_VALUE"""),"Octavian")</f>
        <v>Octavian</v>
      </c>
      <c r="T1353" s="7" t="str">
        <f ca="1">IFERROR(__xludf.DUMMYFUNCTION("""COMPUTED_VALUE"""),"http://www.ms.ro/2020/08/11/buletin-informativ-11-08-2020")</f>
        <v>http://www.ms.ro/2020/08/11/buletin-informativ-11-08-2020</v>
      </c>
      <c r="U1353" s="5"/>
      <c r="V1353" s="5"/>
      <c r="W1353" s="5"/>
      <c r="X1353" s="5"/>
      <c r="Y1353" s="5"/>
      <c r="Z1353" s="5"/>
      <c r="AA1353" s="5"/>
      <c r="AB1353" s="5"/>
      <c r="AC1353" s="5"/>
    </row>
    <row r="1354" spans="1:29" ht="12.5">
      <c r="A1354" s="5">
        <f ca="1">IFERROR(__xludf.DUMMYFUNCTION("""COMPUTED_VALUE"""),62685)</f>
        <v>62685</v>
      </c>
      <c r="B1354" s="5"/>
      <c r="C1354" s="5" t="str">
        <f ca="1">IFERROR(__xludf.DUMMYFUNCTION("""COMPUTED_VALUE"""),"Bihor")</f>
        <v>Bihor</v>
      </c>
      <c r="D1354" s="13">
        <f ca="1">IFERROR(__xludf.DUMMYFUNCTION("""COMPUTED_VALUE"""),44054)</f>
        <v>44054</v>
      </c>
      <c r="E1354" s="5" t="str">
        <f ca="1">IFERROR(__xludf.DUMMYFUNCTION("""COMPUTED_VALUE"""),"Nu")</f>
        <v>Nu</v>
      </c>
      <c r="F1354" s="5"/>
      <c r="G1354" s="5"/>
      <c r="H1354" s="6"/>
      <c r="I1354" s="5"/>
      <c r="J1354" s="5"/>
      <c r="K1354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54" s="5"/>
      <c r="M1354" s="5" t="str">
        <f ca="1">IFERROR(__xludf.DUMMYFUNCTION("""COMPUTED_VALUE"""),"Aleșd")</f>
        <v>Aleșd</v>
      </c>
      <c r="N1354" s="5"/>
      <c r="O1354" s="5"/>
      <c r="P1354" s="5" t="str">
        <f ca="1">IFERROR(__xludf.DUMMYFUNCTION("""COMPUTED_VALUE"""),"Spital Aleșd, pacient.")</f>
        <v>Spital Aleșd, pacient.</v>
      </c>
      <c r="Q1354" s="5" t="str">
        <f ca="1">IFERROR(__xludf.DUMMYFUNCTION("""COMPUTED_VALUE"""),"Medical")</f>
        <v>Medical</v>
      </c>
      <c r="R1354" s="5" t="str">
        <f ca="1">IFERROR(__xludf.DUMMYFUNCTION("""COMPUTED_VALUE"""),"România")</f>
        <v>România</v>
      </c>
      <c r="S1354" s="5" t="str">
        <f ca="1">IFERROR(__xludf.DUMMYFUNCTION("""COMPUTED_VALUE"""),"Octavian")</f>
        <v>Octavian</v>
      </c>
      <c r="T1354" s="7" t="str">
        <f ca="1">IFERROR(__xludf.DUMMYFUNCTION("""COMPUTED_VALUE"""),"http://www.ms.ro/2020/08/11/buletin-informativ-11-08-2020")</f>
        <v>http://www.ms.ro/2020/08/11/buletin-informativ-11-08-2020</v>
      </c>
      <c r="U1354" s="5"/>
      <c r="V1354" s="5"/>
      <c r="W1354" s="5"/>
      <c r="X1354" s="5"/>
      <c r="Y1354" s="5"/>
      <c r="Z1354" s="5"/>
      <c r="AA1354" s="5"/>
      <c r="AB1354" s="5"/>
      <c r="AC1354" s="5"/>
    </row>
    <row r="1355" spans="1:29" ht="12.5">
      <c r="A1355" s="5">
        <f ca="1">IFERROR(__xludf.DUMMYFUNCTION("""COMPUTED_VALUE"""),62686)</f>
        <v>62686</v>
      </c>
      <c r="B1355" s="5"/>
      <c r="C1355" s="5" t="str">
        <f ca="1">IFERROR(__xludf.DUMMYFUNCTION("""COMPUTED_VALUE"""),"Bihor")</f>
        <v>Bihor</v>
      </c>
      <c r="D1355" s="13">
        <f ca="1">IFERROR(__xludf.DUMMYFUNCTION("""COMPUTED_VALUE"""),44054)</f>
        <v>44054</v>
      </c>
      <c r="E1355" s="5" t="str">
        <f ca="1">IFERROR(__xludf.DUMMYFUNCTION("""COMPUTED_VALUE"""),"Nu")</f>
        <v>Nu</v>
      </c>
      <c r="F1355" s="5"/>
      <c r="G1355" s="5"/>
      <c r="H1355" s="6"/>
      <c r="I1355" s="5"/>
      <c r="J1355" s="5"/>
      <c r="K1355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55" s="5"/>
      <c r="M1355" s="5" t="str">
        <f ca="1">IFERROR(__xludf.DUMMYFUNCTION("""COMPUTED_VALUE"""),"Salonta")</f>
        <v>Salonta</v>
      </c>
      <c r="N1355" s="5"/>
      <c r="O1355" s="5"/>
      <c r="P1355" s="5" t="str">
        <f ca="1">IFERROR(__xludf.DUMMYFUNCTION("""COMPUTED_VALUE"""),"Spital Salonta, pacient.")</f>
        <v>Spital Salonta, pacient.</v>
      </c>
      <c r="Q1355" s="5" t="str">
        <f ca="1">IFERROR(__xludf.DUMMYFUNCTION("""COMPUTED_VALUE"""),"Medical")</f>
        <v>Medical</v>
      </c>
      <c r="R1355" s="5" t="str">
        <f ca="1">IFERROR(__xludf.DUMMYFUNCTION("""COMPUTED_VALUE"""),"România")</f>
        <v>România</v>
      </c>
      <c r="S1355" s="5" t="str">
        <f ca="1">IFERROR(__xludf.DUMMYFUNCTION("""COMPUTED_VALUE"""),"Octavian")</f>
        <v>Octavian</v>
      </c>
      <c r="T1355" s="7" t="str">
        <f ca="1">IFERROR(__xludf.DUMMYFUNCTION("""COMPUTED_VALUE"""),"http://www.ms.ro/2020/08/11/buletin-informativ-11-08-2020")</f>
        <v>http://www.ms.ro/2020/08/11/buletin-informativ-11-08-2020</v>
      </c>
      <c r="U1355" s="5"/>
      <c r="V1355" s="5"/>
      <c r="W1355" s="5"/>
      <c r="X1355" s="5"/>
      <c r="Y1355" s="5"/>
      <c r="Z1355" s="5"/>
      <c r="AA1355" s="5"/>
      <c r="AB1355" s="5"/>
      <c r="AC1355" s="5"/>
    </row>
    <row r="1356" spans="1:29" ht="12.5">
      <c r="A1356" s="5">
        <f ca="1">IFERROR(__xludf.DUMMYFUNCTION("""COMPUTED_VALUE"""),62687)</f>
        <v>62687</v>
      </c>
      <c r="B1356" s="5"/>
      <c r="C1356" s="5" t="str">
        <f ca="1">IFERROR(__xludf.DUMMYFUNCTION("""COMPUTED_VALUE"""),"Bihor")</f>
        <v>Bihor</v>
      </c>
      <c r="D1356" s="13">
        <f ca="1">IFERROR(__xludf.DUMMYFUNCTION("""COMPUTED_VALUE"""),44054)</f>
        <v>44054</v>
      </c>
      <c r="E1356" s="5" t="str">
        <f ca="1">IFERROR(__xludf.DUMMYFUNCTION("""COMPUTED_VALUE"""),"Nu")</f>
        <v>Nu</v>
      </c>
      <c r="F1356" s="5"/>
      <c r="G1356" s="5"/>
      <c r="H1356" s="6"/>
      <c r="I1356" s="5"/>
      <c r="J1356" s="5"/>
      <c r="K1356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56" s="5"/>
      <c r="M1356" s="5" t="str">
        <f ca="1">IFERROR(__xludf.DUMMYFUNCTION("""COMPUTED_VALUE"""),"Osorhei")</f>
        <v>Osorhei</v>
      </c>
      <c r="N1356" s="5"/>
      <c r="O1356" s="5"/>
      <c r="P1356" s="5" t="str">
        <f ca="1">IFERROR(__xludf.DUMMYFUNCTION("""COMPUTED_VALUE""")," ")</f>
        <v xml:space="preserve"> </v>
      </c>
      <c r="Q1356" s="5"/>
      <c r="R1356" s="5" t="str">
        <f ca="1">IFERROR(__xludf.DUMMYFUNCTION("""COMPUTED_VALUE"""),"România")</f>
        <v>România</v>
      </c>
      <c r="S1356" s="5" t="str">
        <f ca="1">IFERROR(__xludf.DUMMYFUNCTION("""COMPUTED_VALUE"""),"Octavian")</f>
        <v>Octavian</v>
      </c>
      <c r="T1356" s="7" t="str">
        <f ca="1">IFERROR(__xludf.DUMMYFUNCTION("""COMPUTED_VALUE"""),"http://www.ms.ro/2020/08/11/buletin-informativ-11-08-2020")</f>
        <v>http://www.ms.ro/2020/08/11/buletin-informativ-11-08-2020</v>
      </c>
      <c r="U1356" s="5"/>
      <c r="V1356" s="5"/>
      <c r="W1356" s="5"/>
      <c r="X1356" s="5"/>
      <c r="Y1356" s="5"/>
      <c r="Z1356" s="5"/>
      <c r="AA1356" s="5"/>
      <c r="AB1356" s="5"/>
      <c r="AC1356" s="5"/>
    </row>
    <row r="1357" spans="1:29" ht="12.5">
      <c r="A1357" s="5">
        <f ca="1">IFERROR(__xludf.DUMMYFUNCTION("""COMPUTED_VALUE"""),62688)</f>
        <v>62688</v>
      </c>
      <c r="B1357" s="5"/>
      <c r="C1357" s="5" t="str">
        <f ca="1">IFERROR(__xludf.DUMMYFUNCTION("""COMPUTED_VALUE"""),"Bihor")</f>
        <v>Bihor</v>
      </c>
      <c r="D1357" s="13">
        <f ca="1">IFERROR(__xludf.DUMMYFUNCTION("""COMPUTED_VALUE"""),44054)</f>
        <v>44054</v>
      </c>
      <c r="E1357" s="5" t="str">
        <f ca="1">IFERROR(__xludf.DUMMYFUNCTION("""COMPUTED_VALUE"""),"Nu")</f>
        <v>Nu</v>
      </c>
      <c r="F1357" s="5"/>
      <c r="G1357" s="5"/>
      <c r="H1357" s="6"/>
      <c r="I1357" s="5"/>
      <c r="J1357" s="5"/>
      <c r="K1357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57" s="5"/>
      <c r="M1357" s="5" t="str">
        <f ca="1">IFERROR(__xludf.DUMMYFUNCTION("""COMPUTED_VALUE"""),"Copăcel")</f>
        <v>Copăcel</v>
      </c>
      <c r="N1357" s="5"/>
      <c r="O1357" s="5"/>
      <c r="P1357" s="5"/>
      <c r="Q1357" s="5"/>
      <c r="R1357" s="5" t="str">
        <f ca="1">IFERROR(__xludf.DUMMYFUNCTION("""COMPUTED_VALUE"""),"România")</f>
        <v>România</v>
      </c>
      <c r="S1357" s="5" t="str">
        <f ca="1">IFERROR(__xludf.DUMMYFUNCTION("""COMPUTED_VALUE"""),"Octavian")</f>
        <v>Octavian</v>
      </c>
      <c r="T1357" s="7" t="str">
        <f ca="1">IFERROR(__xludf.DUMMYFUNCTION("""COMPUTED_VALUE"""),"http://www.ms.ro/2020/08/11/buletin-informativ-11-08-2020")</f>
        <v>http://www.ms.ro/2020/08/11/buletin-informativ-11-08-2020</v>
      </c>
      <c r="U1357" s="5"/>
      <c r="V1357" s="5"/>
      <c r="W1357" s="5"/>
      <c r="X1357" s="5"/>
      <c r="Y1357" s="5"/>
      <c r="Z1357" s="5"/>
      <c r="AA1357" s="5"/>
      <c r="AB1357" s="5"/>
      <c r="AC1357" s="5"/>
    </row>
    <row r="1358" spans="1:29" ht="12.5">
      <c r="A1358" s="5">
        <f ca="1">IFERROR(__xludf.DUMMYFUNCTION("""COMPUTED_VALUE"""),62689)</f>
        <v>62689</v>
      </c>
      <c r="B1358" s="5"/>
      <c r="C1358" s="5" t="str">
        <f ca="1">IFERROR(__xludf.DUMMYFUNCTION("""COMPUTED_VALUE"""),"Bihor")</f>
        <v>Bihor</v>
      </c>
      <c r="D1358" s="13">
        <f ca="1">IFERROR(__xludf.DUMMYFUNCTION("""COMPUTED_VALUE"""),44054)</f>
        <v>44054</v>
      </c>
      <c r="E1358" s="5" t="str">
        <f ca="1">IFERROR(__xludf.DUMMYFUNCTION("""COMPUTED_VALUE"""),"Nu")</f>
        <v>Nu</v>
      </c>
      <c r="F1358" s="5"/>
      <c r="G1358" s="5"/>
      <c r="H1358" s="6"/>
      <c r="I1358" s="5"/>
      <c r="J1358" s="5"/>
      <c r="K1358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58" s="5"/>
      <c r="M1358" s="5" t="str">
        <f ca="1">IFERROR(__xludf.DUMMYFUNCTION("""COMPUTED_VALUE"""),"Batâr")</f>
        <v>Batâr</v>
      </c>
      <c r="N1358" s="5"/>
      <c r="O1358" s="5"/>
      <c r="P1358" s="5"/>
      <c r="Q1358" s="5"/>
      <c r="R1358" s="5" t="str">
        <f ca="1">IFERROR(__xludf.DUMMYFUNCTION("""COMPUTED_VALUE"""),"România")</f>
        <v>România</v>
      </c>
      <c r="S1358" s="5" t="str">
        <f ca="1">IFERROR(__xludf.DUMMYFUNCTION("""COMPUTED_VALUE"""),"Octavian")</f>
        <v>Octavian</v>
      </c>
      <c r="T1358" s="7" t="str">
        <f ca="1">IFERROR(__xludf.DUMMYFUNCTION("""COMPUTED_VALUE"""),"http://www.ms.ro/2020/08/11/buletin-informativ-11-08-2020")</f>
        <v>http://www.ms.ro/2020/08/11/buletin-informativ-11-08-2020</v>
      </c>
      <c r="U1358" s="5"/>
      <c r="V1358" s="5"/>
      <c r="W1358" s="5"/>
      <c r="X1358" s="5"/>
      <c r="Y1358" s="5"/>
      <c r="Z1358" s="5"/>
      <c r="AA1358" s="5"/>
      <c r="AB1358" s="5"/>
      <c r="AC1358" s="5"/>
    </row>
    <row r="1359" spans="1:29" ht="12.5">
      <c r="A1359" s="5">
        <f ca="1">IFERROR(__xludf.DUMMYFUNCTION("""COMPUTED_VALUE"""),62690)</f>
        <v>62690</v>
      </c>
      <c r="B1359" s="5"/>
      <c r="C1359" s="5" t="str">
        <f ca="1">IFERROR(__xludf.DUMMYFUNCTION("""COMPUTED_VALUE"""),"Bihor")</f>
        <v>Bihor</v>
      </c>
      <c r="D1359" s="13">
        <f ca="1">IFERROR(__xludf.DUMMYFUNCTION("""COMPUTED_VALUE"""),44054)</f>
        <v>44054</v>
      </c>
      <c r="E1359" s="5" t="str">
        <f ca="1">IFERROR(__xludf.DUMMYFUNCTION("""COMPUTED_VALUE"""),"Nu")</f>
        <v>Nu</v>
      </c>
      <c r="F1359" s="5"/>
      <c r="G1359" s="5"/>
      <c r="H1359" s="6"/>
      <c r="I1359" s="5"/>
      <c r="J1359" s="5"/>
      <c r="K1359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59" s="5"/>
      <c r="M1359" s="5" t="str">
        <f ca="1">IFERROR(__xludf.DUMMYFUNCTION("""COMPUTED_VALUE"""),"Aștileu")</f>
        <v>Aștileu</v>
      </c>
      <c r="N1359" s="5"/>
      <c r="O1359" s="5"/>
      <c r="P1359" s="5"/>
      <c r="Q1359" s="5"/>
      <c r="R1359" s="5" t="str">
        <f ca="1">IFERROR(__xludf.DUMMYFUNCTION("""COMPUTED_VALUE"""),"România")</f>
        <v>România</v>
      </c>
      <c r="S1359" s="5" t="str">
        <f ca="1">IFERROR(__xludf.DUMMYFUNCTION("""COMPUTED_VALUE"""),"Octavian")</f>
        <v>Octavian</v>
      </c>
      <c r="T1359" s="7" t="str">
        <f ca="1">IFERROR(__xludf.DUMMYFUNCTION("""COMPUTED_VALUE"""),"http://www.ms.ro/2020/08/11/buletin-informativ-11-08-2020")</f>
        <v>http://www.ms.ro/2020/08/11/buletin-informativ-11-08-2020</v>
      </c>
      <c r="U1359" s="5"/>
      <c r="V1359" s="5"/>
      <c r="W1359" s="5"/>
      <c r="X1359" s="5"/>
      <c r="Y1359" s="5"/>
      <c r="Z1359" s="5"/>
      <c r="AA1359" s="5"/>
      <c r="AB1359" s="5"/>
      <c r="AC1359" s="5"/>
    </row>
    <row r="1360" spans="1:29" ht="12.5">
      <c r="A1360" s="5">
        <f ca="1">IFERROR(__xludf.DUMMYFUNCTION("""COMPUTED_VALUE"""),62691)</f>
        <v>62691</v>
      </c>
      <c r="B1360" s="5"/>
      <c r="C1360" s="5" t="str">
        <f ca="1">IFERROR(__xludf.DUMMYFUNCTION("""COMPUTED_VALUE"""),"Bihor")</f>
        <v>Bihor</v>
      </c>
      <c r="D1360" s="13">
        <f ca="1">IFERROR(__xludf.DUMMYFUNCTION("""COMPUTED_VALUE"""),44054)</f>
        <v>44054</v>
      </c>
      <c r="E1360" s="5" t="str">
        <f ca="1">IFERROR(__xludf.DUMMYFUNCTION("""COMPUTED_VALUE"""),"Nu")</f>
        <v>Nu</v>
      </c>
      <c r="F1360" s="5"/>
      <c r="G1360" s="5"/>
      <c r="H1360" s="6"/>
      <c r="I1360" s="5"/>
      <c r="J1360" s="5"/>
      <c r="K1360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60" s="5"/>
      <c r="M1360" s="5" t="str">
        <f ca="1">IFERROR(__xludf.DUMMYFUNCTION("""COMPUTED_VALUE"""),"Șinteu")</f>
        <v>Șinteu</v>
      </c>
      <c r="N1360" s="5"/>
      <c r="O1360" s="5"/>
      <c r="P1360" s="5"/>
      <c r="Q1360" s="5"/>
      <c r="R1360" s="5" t="str">
        <f ca="1">IFERROR(__xludf.DUMMYFUNCTION("""COMPUTED_VALUE"""),"România")</f>
        <v>România</v>
      </c>
      <c r="S1360" s="5" t="str">
        <f ca="1">IFERROR(__xludf.DUMMYFUNCTION("""COMPUTED_VALUE"""),"Octavian")</f>
        <v>Octavian</v>
      </c>
      <c r="T1360" s="7" t="str">
        <f ca="1">IFERROR(__xludf.DUMMYFUNCTION("""COMPUTED_VALUE"""),"http://www.ms.ro/2020/08/11/buletin-informativ-11-08-2020")</f>
        <v>http://www.ms.ro/2020/08/11/buletin-informativ-11-08-2020</v>
      </c>
      <c r="U1360" s="5"/>
      <c r="V1360" s="5"/>
      <c r="W1360" s="5"/>
      <c r="X1360" s="5"/>
      <c r="Y1360" s="5"/>
      <c r="Z1360" s="5"/>
      <c r="AA1360" s="5"/>
      <c r="AB1360" s="5"/>
      <c r="AC1360" s="5"/>
    </row>
    <row r="1361" spans="1:29" ht="12.5">
      <c r="A1361" s="5">
        <f ca="1">IFERROR(__xludf.DUMMYFUNCTION("""COMPUTED_VALUE"""),62692)</f>
        <v>62692</v>
      </c>
      <c r="B1361" s="5"/>
      <c r="C1361" s="5" t="str">
        <f ca="1">IFERROR(__xludf.DUMMYFUNCTION("""COMPUTED_VALUE"""),"Bihor")</f>
        <v>Bihor</v>
      </c>
      <c r="D1361" s="13">
        <f ca="1">IFERROR(__xludf.DUMMYFUNCTION("""COMPUTED_VALUE"""),44054)</f>
        <v>44054</v>
      </c>
      <c r="E1361" s="5" t="str">
        <f ca="1">IFERROR(__xludf.DUMMYFUNCTION("""COMPUTED_VALUE"""),"Nu")</f>
        <v>Nu</v>
      </c>
      <c r="F1361" s="5"/>
      <c r="G1361" s="5"/>
      <c r="H1361" s="6"/>
      <c r="I1361" s="5"/>
      <c r="J1361" s="5"/>
      <c r="K1361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61" s="5"/>
      <c r="M1361" s="5" t="str">
        <f ca="1">IFERROR(__xludf.DUMMYFUNCTION("""COMPUTED_VALUE"""),"Dobrești")</f>
        <v>Dobrești</v>
      </c>
      <c r="N1361" s="5"/>
      <c r="O1361" s="5"/>
      <c r="P1361" s="5"/>
      <c r="Q1361" s="5"/>
      <c r="R1361" s="5" t="str">
        <f ca="1">IFERROR(__xludf.DUMMYFUNCTION("""COMPUTED_VALUE"""),"România")</f>
        <v>România</v>
      </c>
      <c r="S1361" s="5" t="str">
        <f ca="1">IFERROR(__xludf.DUMMYFUNCTION("""COMPUTED_VALUE"""),"Octavian")</f>
        <v>Octavian</v>
      </c>
      <c r="T1361" s="7" t="str">
        <f ca="1">IFERROR(__xludf.DUMMYFUNCTION("""COMPUTED_VALUE"""),"http://www.ms.ro/2020/08/11/buletin-informativ-11-08-2020")</f>
        <v>http://www.ms.ro/2020/08/11/buletin-informativ-11-08-2020</v>
      </c>
      <c r="U1361" s="5"/>
      <c r="V1361" s="5"/>
      <c r="W1361" s="5"/>
      <c r="X1361" s="5"/>
      <c r="Y1361" s="5"/>
      <c r="Z1361" s="5"/>
      <c r="AA1361" s="5"/>
      <c r="AB1361" s="5"/>
      <c r="AC1361" s="5"/>
    </row>
    <row r="1362" spans="1:29" ht="12.5">
      <c r="A1362" s="5">
        <f ca="1">IFERROR(__xludf.DUMMYFUNCTION("""COMPUTED_VALUE"""),62693)</f>
        <v>62693</v>
      </c>
      <c r="B1362" s="5"/>
      <c r="C1362" s="5" t="str">
        <f ca="1">IFERROR(__xludf.DUMMYFUNCTION("""COMPUTED_VALUE"""),"Bihor")</f>
        <v>Bihor</v>
      </c>
      <c r="D1362" s="13">
        <f ca="1">IFERROR(__xludf.DUMMYFUNCTION("""COMPUTED_VALUE"""),44054)</f>
        <v>44054</v>
      </c>
      <c r="E1362" s="5" t="str">
        <f ca="1">IFERROR(__xludf.DUMMYFUNCTION("""COMPUTED_VALUE"""),"Nu")</f>
        <v>Nu</v>
      </c>
      <c r="F1362" s="5"/>
      <c r="G1362" s="5"/>
      <c r="H1362" s="6"/>
      <c r="I1362" s="5"/>
      <c r="J1362" s="5"/>
      <c r="K1362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62" s="5"/>
      <c r="M1362" s="5" t="str">
        <f ca="1">IFERROR(__xludf.DUMMYFUNCTION("""COMPUTED_VALUE"""),"Cărpinet")</f>
        <v>Cărpinet</v>
      </c>
      <c r="N1362" s="5"/>
      <c r="O1362" s="5"/>
      <c r="P1362" s="5"/>
      <c r="Q1362" s="5"/>
      <c r="R1362" s="5" t="str">
        <f ca="1">IFERROR(__xludf.DUMMYFUNCTION("""COMPUTED_VALUE"""),"România")</f>
        <v>România</v>
      </c>
      <c r="S1362" s="5" t="str">
        <f ca="1">IFERROR(__xludf.DUMMYFUNCTION("""COMPUTED_VALUE"""),"Octavian")</f>
        <v>Octavian</v>
      </c>
      <c r="T1362" s="7" t="str">
        <f ca="1">IFERROR(__xludf.DUMMYFUNCTION("""COMPUTED_VALUE"""),"http://www.ms.ro/2020/08/11/buletin-informativ-11-08-2020")</f>
        <v>http://www.ms.ro/2020/08/11/buletin-informativ-11-08-2020</v>
      </c>
      <c r="U1362" s="5"/>
      <c r="V1362" s="5"/>
      <c r="W1362" s="5"/>
      <c r="X1362" s="5"/>
      <c r="Y1362" s="5"/>
      <c r="Z1362" s="5"/>
      <c r="AA1362" s="5"/>
      <c r="AB1362" s="5"/>
      <c r="AC1362" s="5"/>
    </row>
    <row r="1363" spans="1:29" ht="12.5">
      <c r="A1363" s="5">
        <f ca="1">IFERROR(__xludf.DUMMYFUNCTION("""COMPUTED_VALUE"""),62694)</f>
        <v>62694</v>
      </c>
      <c r="B1363" s="5"/>
      <c r="C1363" s="5" t="str">
        <f ca="1">IFERROR(__xludf.DUMMYFUNCTION("""COMPUTED_VALUE"""),"Bihor")</f>
        <v>Bihor</v>
      </c>
      <c r="D1363" s="13">
        <f ca="1">IFERROR(__xludf.DUMMYFUNCTION("""COMPUTED_VALUE"""),44054)</f>
        <v>44054</v>
      </c>
      <c r="E1363" s="5" t="str">
        <f ca="1">IFERROR(__xludf.DUMMYFUNCTION("""COMPUTED_VALUE"""),"Nu")</f>
        <v>Nu</v>
      </c>
      <c r="F1363" s="5"/>
      <c r="G1363" s="5"/>
      <c r="H1363" s="6"/>
      <c r="I1363" s="5"/>
      <c r="J1363" s="5"/>
      <c r="K1363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63" s="5"/>
      <c r="M1363" s="5" t="str">
        <f ca="1">IFERROR(__xludf.DUMMYFUNCTION("""COMPUTED_VALUE"""),"Răbăgani")</f>
        <v>Răbăgani</v>
      </c>
      <c r="N1363" s="5"/>
      <c r="O1363" s="5"/>
      <c r="P1363" s="5"/>
      <c r="Q1363" s="5"/>
      <c r="R1363" s="5" t="str">
        <f ca="1">IFERROR(__xludf.DUMMYFUNCTION("""COMPUTED_VALUE"""),"România")</f>
        <v>România</v>
      </c>
      <c r="S1363" s="5" t="str">
        <f ca="1">IFERROR(__xludf.DUMMYFUNCTION("""COMPUTED_VALUE"""),"Octavian")</f>
        <v>Octavian</v>
      </c>
      <c r="T1363" s="7" t="str">
        <f ca="1">IFERROR(__xludf.DUMMYFUNCTION("""COMPUTED_VALUE"""),"http://www.ms.ro/2020/08/11/buletin-informativ-11-08-2020")</f>
        <v>http://www.ms.ro/2020/08/11/buletin-informativ-11-08-2020</v>
      </c>
      <c r="U1363" s="5"/>
      <c r="V1363" s="5"/>
      <c r="W1363" s="5"/>
      <c r="X1363" s="5"/>
      <c r="Y1363" s="5"/>
      <c r="Z1363" s="5"/>
      <c r="AA1363" s="5"/>
      <c r="AB1363" s="5"/>
      <c r="AC1363" s="5"/>
    </row>
    <row r="1364" spans="1:29" ht="12.5">
      <c r="A1364" s="5">
        <f ca="1">IFERROR(__xludf.DUMMYFUNCTION("""COMPUTED_VALUE"""),62695)</f>
        <v>62695</v>
      </c>
      <c r="B1364" s="5"/>
      <c r="C1364" s="5" t="str">
        <f ca="1">IFERROR(__xludf.DUMMYFUNCTION("""COMPUTED_VALUE"""),"Bihor")</f>
        <v>Bihor</v>
      </c>
      <c r="D1364" s="13">
        <f ca="1">IFERROR(__xludf.DUMMYFUNCTION("""COMPUTED_VALUE"""),44054)</f>
        <v>44054</v>
      </c>
      <c r="E1364" s="5" t="str">
        <f ca="1">IFERROR(__xludf.DUMMYFUNCTION("""COMPUTED_VALUE"""),"Nu")</f>
        <v>Nu</v>
      </c>
      <c r="F1364" s="5"/>
      <c r="G1364" s="5"/>
      <c r="H1364" s="6"/>
      <c r="I1364" s="5"/>
      <c r="J1364" s="5"/>
      <c r="K1364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64" s="5"/>
      <c r="M1364" s="5" t="str">
        <f ca="1">IFERROR(__xludf.DUMMYFUNCTION("""COMPUTED_VALUE"""),"Buntești")</f>
        <v>Buntești</v>
      </c>
      <c r="N1364" s="5"/>
      <c r="O1364" s="5"/>
      <c r="P1364" s="5"/>
      <c r="Q1364" s="5"/>
      <c r="R1364" s="5" t="str">
        <f ca="1">IFERROR(__xludf.DUMMYFUNCTION("""COMPUTED_VALUE"""),"România")</f>
        <v>România</v>
      </c>
      <c r="S1364" s="5" t="str">
        <f ca="1">IFERROR(__xludf.DUMMYFUNCTION("""COMPUTED_VALUE"""),"Octavian")</f>
        <v>Octavian</v>
      </c>
      <c r="T1364" s="7" t="str">
        <f ca="1">IFERROR(__xludf.DUMMYFUNCTION("""COMPUTED_VALUE"""),"http://www.ms.ro/2020/08/11/buletin-informativ-11-08-2020")</f>
        <v>http://www.ms.ro/2020/08/11/buletin-informativ-11-08-2020</v>
      </c>
      <c r="U1364" s="5"/>
      <c r="V1364" s="5"/>
      <c r="W1364" s="5"/>
      <c r="X1364" s="5"/>
      <c r="Y1364" s="5"/>
      <c r="Z1364" s="5"/>
      <c r="AA1364" s="5"/>
      <c r="AB1364" s="5"/>
      <c r="AC1364" s="5"/>
    </row>
    <row r="1365" spans="1:29" ht="12.5">
      <c r="A1365" s="5">
        <f ca="1">IFERROR(__xludf.DUMMYFUNCTION("""COMPUTED_VALUE"""),62696)</f>
        <v>62696</v>
      </c>
      <c r="B1365" s="5"/>
      <c r="C1365" s="5" t="str">
        <f ca="1">IFERROR(__xludf.DUMMYFUNCTION("""COMPUTED_VALUE"""),"Bihor")</f>
        <v>Bihor</v>
      </c>
      <c r="D1365" s="13">
        <f ca="1">IFERROR(__xludf.DUMMYFUNCTION("""COMPUTED_VALUE"""),44054)</f>
        <v>44054</v>
      </c>
      <c r="E1365" s="5" t="str">
        <f ca="1">IFERROR(__xludf.DUMMYFUNCTION("""COMPUTED_VALUE"""),"Nu")</f>
        <v>Nu</v>
      </c>
      <c r="F1365" s="5"/>
      <c r="G1365" s="5"/>
      <c r="H1365" s="6"/>
      <c r="I1365" s="5"/>
      <c r="J1365" s="5"/>
      <c r="K1365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65" s="5"/>
      <c r="M1365" s="5" t="str">
        <f ca="1">IFERROR(__xludf.DUMMYFUNCTION("""COMPUTED_VALUE"""),"Popești")</f>
        <v>Popești</v>
      </c>
      <c r="N1365" s="5"/>
      <c r="O1365" s="5"/>
      <c r="P1365" s="5"/>
      <c r="Q1365" s="5"/>
      <c r="R1365" s="5" t="str">
        <f ca="1">IFERROR(__xludf.DUMMYFUNCTION("""COMPUTED_VALUE"""),"România")</f>
        <v>România</v>
      </c>
      <c r="S1365" s="5" t="str">
        <f ca="1">IFERROR(__xludf.DUMMYFUNCTION("""COMPUTED_VALUE"""),"Octavian")</f>
        <v>Octavian</v>
      </c>
      <c r="T1365" s="7" t="str">
        <f ca="1">IFERROR(__xludf.DUMMYFUNCTION("""COMPUTED_VALUE"""),"http://www.ms.ro/2020/08/11/buletin-informativ-11-08-2020")</f>
        <v>http://www.ms.ro/2020/08/11/buletin-informativ-11-08-2020</v>
      </c>
      <c r="U1365" s="5"/>
      <c r="V1365" s="5"/>
      <c r="W1365" s="5"/>
      <c r="X1365" s="5"/>
      <c r="Y1365" s="5"/>
      <c r="Z1365" s="5"/>
      <c r="AA1365" s="5"/>
      <c r="AB1365" s="5"/>
      <c r="AC1365" s="5"/>
    </row>
    <row r="1366" spans="1:29" ht="12.5">
      <c r="A1366" s="5">
        <f ca="1">IFERROR(__xludf.DUMMYFUNCTION("""COMPUTED_VALUE"""),62697)</f>
        <v>62697</v>
      </c>
      <c r="B1366" s="5"/>
      <c r="C1366" s="5" t="str">
        <f ca="1">IFERROR(__xludf.DUMMYFUNCTION("""COMPUTED_VALUE"""),"Bihor")</f>
        <v>Bihor</v>
      </c>
      <c r="D1366" s="13">
        <f ca="1">IFERROR(__xludf.DUMMYFUNCTION("""COMPUTED_VALUE"""),44054)</f>
        <v>44054</v>
      </c>
      <c r="E1366" s="5" t="str">
        <f ca="1">IFERROR(__xludf.DUMMYFUNCTION("""COMPUTED_VALUE"""),"Nu")</f>
        <v>Nu</v>
      </c>
      <c r="F1366" s="5"/>
      <c r="G1366" s="5"/>
      <c r="H1366" s="6"/>
      <c r="I1366" s="5"/>
      <c r="J1366" s="5"/>
      <c r="K1366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66" s="5"/>
      <c r="M1366" s="5" t="str">
        <f ca="1">IFERROR(__xludf.DUMMYFUNCTION("""COMPUTED_VALUE"""),"Tinca")</f>
        <v>Tinca</v>
      </c>
      <c r="N1366" s="5"/>
      <c r="O1366" s="5"/>
      <c r="P1366" s="5"/>
      <c r="Q1366" s="5"/>
      <c r="R1366" s="5" t="str">
        <f ca="1">IFERROR(__xludf.DUMMYFUNCTION("""COMPUTED_VALUE"""),"România")</f>
        <v>România</v>
      </c>
      <c r="S1366" s="5" t="str">
        <f ca="1">IFERROR(__xludf.DUMMYFUNCTION("""COMPUTED_VALUE"""),"Octavian")</f>
        <v>Octavian</v>
      </c>
      <c r="T1366" s="7" t="str">
        <f ca="1">IFERROR(__xludf.DUMMYFUNCTION("""COMPUTED_VALUE"""),"http://www.ms.ro/2020/08/11/buletin-informativ-11-08-2020")</f>
        <v>http://www.ms.ro/2020/08/11/buletin-informativ-11-08-2020</v>
      </c>
      <c r="U1366" s="5"/>
      <c r="V1366" s="5"/>
      <c r="W1366" s="5"/>
      <c r="X1366" s="5"/>
      <c r="Y1366" s="5"/>
      <c r="Z1366" s="5"/>
      <c r="AA1366" s="5"/>
      <c r="AB1366" s="5"/>
      <c r="AC1366" s="5"/>
    </row>
    <row r="1367" spans="1:29" ht="12.5">
      <c r="A1367" s="5">
        <f ca="1">IFERROR(__xludf.DUMMYFUNCTION("""COMPUTED_VALUE"""),62698)</f>
        <v>62698</v>
      </c>
      <c r="B1367" s="5"/>
      <c r="C1367" s="5" t="str">
        <f ca="1">IFERROR(__xludf.DUMMYFUNCTION("""COMPUTED_VALUE"""),"Bihor")</f>
        <v>Bihor</v>
      </c>
      <c r="D1367" s="13">
        <f ca="1">IFERROR(__xludf.DUMMYFUNCTION("""COMPUTED_VALUE"""),44054)</f>
        <v>44054</v>
      </c>
      <c r="E1367" s="5" t="str">
        <f ca="1">IFERROR(__xludf.DUMMYFUNCTION("""COMPUTED_VALUE"""),"Nu")</f>
        <v>Nu</v>
      </c>
      <c r="F1367" s="5"/>
      <c r="G1367" s="5"/>
      <c r="H1367" s="6"/>
      <c r="I1367" s="5"/>
      <c r="J1367" s="5"/>
      <c r="K1367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67" s="5"/>
      <c r="M1367" s="5" t="str">
        <f ca="1">IFERROR(__xludf.DUMMYFUNCTION("""COMPUTED_VALUE"""),"Lunca")</f>
        <v>Lunca</v>
      </c>
      <c r="N1367" s="5"/>
      <c r="O1367" s="5"/>
      <c r="P1367" s="5"/>
      <c r="Q1367" s="5"/>
      <c r="R1367" s="5" t="str">
        <f ca="1">IFERROR(__xludf.DUMMYFUNCTION("""COMPUTED_VALUE"""),"România")</f>
        <v>România</v>
      </c>
      <c r="S1367" s="5" t="str">
        <f ca="1">IFERROR(__xludf.DUMMYFUNCTION("""COMPUTED_VALUE"""),"Octavian")</f>
        <v>Octavian</v>
      </c>
      <c r="T1367" s="7" t="str">
        <f ca="1">IFERROR(__xludf.DUMMYFUNCTION("""COMPUTED_VALUE"""),"http://www.ms.ro/2020/08/11/buletin-informativ-11-08-2020")</f>
        <v>http://www.ms.ro/2020/08/11/buletin-informativ-11-08-2020</v>
      </c>
      <c r="U1367" s="5"/>
      <c r="V1367" s="5"/>
      <c r="W1367" s="5"/>
      <c r="X1367" s="5"/>
      <c r="Y1367" s="5"/>
      <c r="Z1367" s="5"/>
      <c r="AA1367" s="5"/>
      <c r="AB1367" s="5"/>
      <c r="AC1367" s="5"/>
    </row>
    <row r="1368" spans="1:29" ht="12.5">
      <c r="A1368" s="5">
        <f ca="1">IFERROR(__xludf.DUMMYFUNCTION("""COMPUTED_VALUE"""),62699)</f>
        <v>62699</v>
      </c>
      <c r="B1368" s="5"/>
      <c r="C1368" s="5" t="str">
        <f ca="1">IFERROR(__xludf.DUMMYFUNCTION("""COMPUTED_VALUE"""),"Bihor")</f>
        <v>Bihor</v>
      </c>
      <c r="D1368" s="13">
        <f ca="1">IFERROR(__xludf.DUMMYFUNCTION("""COMPUTED_VALUE"""),44054)</f>
        <v>44054</v>
      </c>
      <c r="E1368" s="5" t="str">
        <f ca="1">IFERROR(__xludf.DUMMYFUNCTION("""COMPUTED_VALUE"""),"Nu")</f>
        <v>Nu</v>
      </c>
      <c r="F1368" s="5"/>
      <c r="G1368" s="5"/>
      <c r="H1368" s="6"/>
      <c r="I1368" s="5"/>
      <c r="J1368" s="5"/>
      <c r="K1368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68" s="5"/>
      <c r="M1368" s="5" t="str">
        <f ca="1">IFERROR(__xludf.DUMMYFUNCTION("""COMPUTED_VALUE"""),"Dosig")</f>
        <v>Dosig</v>
      </c>
      <c r="N1368" s="5"/>
      <c r="O1368" s="5"/>
      <c r="P1368" s="5"/>
      <c r="Q1368" s="5"/>
      <c r="R1368" s="5" t="str">
        <f ca="1">IFERROR(__xludf.DUMMYFUNCTION("""COMPUTED_VALUE"""),"România")</f>
        <v>România</v>
      </c>
      <c r="S1368" s="5" t="str">
        <f ca="1">IFERROR(__xludf.DUMMYFUNCTION("""COMPUTED_VALUE"""),"Octavian")</f>
        <v>Octavian</v>
      </c>
      <c r="T1368" s="7" t="str">
        <f ca="1">IFERROR(__xludf.DUMMYFUNCTION("""COMPUTED_VALUE"""),"http://www.ms.ro/2020/08/11/buletin-informativ-11-08-2020")</f>
        <v>http://www.ms.ro/2020/08/11/buletin-informativ-11-08-2020</v>
      </c>
      <c r="U1368" s="5"/>
      <c r="V1368" s="5"/>
      <c r="W1368" s="5"/>
      <c r="X1368" s="5"/>
      <c r="Y1368" s="5"/>
      <c r="Z1368" s="5"/>
      <c r="AA1368" s="5"/>
      <c r="AB1368" s="5"/>
      <c r="AC1368" s="5"/>
    </row>
    <row r="1369" spans="1:29" ht="12.5">
      <c r="A1369" s="5">
        <f ca="1">IFERROR(__xludf.DUMMYFUNCTION("""COMPUTED_VALUE"""),62700)</f>
        <v>62700</v>
      </c>
      <c r="B1369" s="5"/>
      <c r="C1369" s="5" t="str">
        <f ca="1">IFERROR(__xludf.DUMMYFUNCTION("""COMPUTED_VALUE"""),"Bihor")</f>
        <v>Bihor</v>
      </c>
      <c r="D1369" s="13">
        <f ca="1">IFERROR(__xludf.DUMMYFUNCTION("""COMPUTED_VALUE"""),44054)</f>
        <v>44054</v>
      </c>
      <c r="E1369" s="5" t="str">
        <f ca="1">IFERROR(__xludf.DUMMYFUNCTION("""COMPUTED_VALUE"""),"Nu")</f>
        <v>Nu</v>
      </c>
      <c r="F1369" s="5"/>
      <c r="G1369" s="5"/>
      <c r="H1369" s="6"/>
      <c r="I1369" s="5"/>
      <c r="J1369" s="5"/>
      <c r="K1369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69" s="5"/>
      <c r="M1369" s="5" t="str">
        <f ca="1">IFERROR(__xludf.DUMMYFUNCTION("""COMPUTED_VALUE"""),"Cristișoru de Jos")</f>
        <v>Cristișoru de Jos</v>
      </c>
      <c r="N1369" s="5"/>
      <c r="O1369" s="5"/>
      <c r="P1369" s="5"/>
      <c r="Q1369" s="5"/>
      <c r="R1369" s="5" t="str">
        <f ca="1">IFERROR(__xludf.DUMMYFUNCTION("""COMPUTED_VALUE"""),"România")</f>
        <v>România</v>
      </c>
      <c r="S1369" s="5" t="str">
        <f ca="1">IFERROR(__xludf.DUMMYFUNCTION("""COMPUTED_VALUE"""),"Octavian")</f>
        <v>Octavian</v>
      </c>
      <c r="T1369" s="7" t="str">
        <f ca="1">IFERROR(__xludf.DUMMYFUNCTION("""COMPUTED_VALUE"""),"http://www.ms.ro/2020/08/11/buletin-informativ-11-08-2020")</f>
        <v>http://www.ms.ro/2020/08/11/buletin-informativ-11-08-2020</v>
      </c>
      <c r="U1369" s="5"/>
      <c r="V1369" s="5"/>
      <c r="W1369" s="5"/>
      <c r="X1369" s="5"/>
      <c r="Y1369" s="5"/>
      <c r="Z1369" s="5"/>
      <c r="AA1369" s="5"/>
      <c r="AB1369" s="5"/>
      <c r="AC1369" s="5"/>
    </row>
    <row r="1370" spans="1:29" ht="12.5">
      <c r="A1370" s="5">
        <f ca="1">IFERROR(__xludf.DUMMYFUNCTION("""COMPUTED_VALUE"""),62701)</f>
        <v>62701</v>
      </c>
      <c r="B1370" s="5"/>
      <c r="C1370" s="5" t="str">
        <f ca="1">IFERROR(__xludf.DUMMYFUNCTION("""COMPUTED_VALUE"""),"Bihor")</f>
        <v>Bihor</v>
      </c>
      <c r="D1370" s="13">
        <f ca="1">IFERROR(__xludf.DUMMYFUNCTION("""COMPUTED_VALUE"""),44054)</f>
        <v>44054</v>
      </c>
      <c r="E1370" s="5" t="str">
        <f ca="1">IFERROR(__xludf.DUMMYFUNCTION("""COMPUTED_VALUE"""),"Nu")</f>
        <v>Nu</v>
      </c>
      <c r="F1370" s="5"/>
      <c r="G1370" s="5"/>
      <c r="H1370" s="6"/>
      <c r="I1370" s="5"/>
      <c r="J1370" s="5"/>
      <c r="K1370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70" s="5"/>
      <c r="M1370" s="5" t="str">
        <f ca="1">IFERROR(__xludf.DUMMYFUNCTION("""COMPUTED_VALUE"""),"Rieni")</f>
        <v>Rieni</v>
      </c>
      <c r="N1370" s="5"/>
      <c r="O1370" s="5"/>
      <c r="P1370" s="5"/>
      <c r="Q1370" s="5"/>
      <c r="R1370" s="5" t="str">
        <f ca="1">IFERROR(__xludf.DUMMYFUNCTION("""COMPUTED_VALUE"""),"România")</f>
        <v>România</v>
      </c>
      <c r="S1370" s="5" t="str">
        <f ca="1">IFERROR(__xludf.DUMMYFUNCTION("""COMPUTED_VALUE"""),"Octavian")</f>
        <v>Octavian</v>
      </c>
      <c r="T1370" s="7" t="str">
        <f ca="1">IFERROR(__xludf.DUMMYFUNCTION("""COMPUTED_VALUE"""),"http://www.ms.ro/2020/08/11/buletin-informativ-11-08-2020")</f>
        <v>http://www.ms.ro/2020/08/11/buletin-informativ-11-08-2020</v>
      </c>
      <c r="U1370" s="5"/>
      <c r="V1370" s="5"/>
      <c r="W1370" s="5"/>
      <c r="X1370" s="5"/>
      <c r="Y1370" s="5"/>
      <c r="Z1370" s="5"/>
      <c r="AA1370" s="5"/>
      <c r="AB1370" s="5"/>
      <c r="AC1370" s="5"/>
    </row>
    <row r="1371" spans="1:29" ht="12.5">
      <c r="A1371" s="5">
        <f ca="1">IFERROR(__xludf.DUMMYFUNCTION("""COMPUTED_VALUE"""),62702)</f>
        <v>62702</v>
      </c>
      <c r="B1371" s="5"/>
      <c r="C1371" s="5" t="str">
        <f ca="1">IFERROR(__xludf.DUMMYFUNCTION("""COMPUTED_VALUE"""),"Bihor")</f>
        <v>Bihor</v>
      </c>
      <c r="D1371" s="13">
        <f ca="1">IFERROR(__xludf.DUMMYFUNCTION("""COMPUTED_VALUE"""),44054)</f>
        <v>44054</v>
      </c>
      <c r="E1371" s="5" t="str">
        <f ca="1">IFERROR(__xludf.DUMMYFUNCTION("""COMPUTED_VALUE"""),"Nu")</f>
        <v>Nu</v>
      </c>
      <c r="F1371" s="5"/>
      <c r="G1371" s="5"/>
      <c r="H1371" s="6"/>
      <c r="I1371" s="5"/>
      <c r="J1371" s="5"/>
      <c r="K1371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71" s="5"/>
      <c r="M1371" s="5" t="str">
        <f ca="1">IFERROR(__xludf.DUMMYFUNCTION("""COMPUTED_VALUE"""),"Hidișelu de Jos")</f>
        <v>Hidișelu de Jos</v>
      </c>
      <c r="N1371" s="5"/>
      <c r="O1371" s="5"/>
      <c r="P1371" s="5"/>
      <c r="Q1371" s="5"/>
      <c r="R1371" s="5" t="str">
        <f ca="1">IFERROR(__xludf.DUMMYFUNCTION("""COMPUTED_VALUE"""),"România")</f>
        <v>România</v>
      </c>
      <c r="S1371" s="5" t="str">
        <f ca="1">IFERROR(__xludf.DUMMYFUNCTION("""COMPUTED_VALUE"""),"Octavian")</f>
        <v>Octavian</v>
      </c>
      <c r="T1371" s="7" t="str">
        <f ca="1">IFERROR(__xludf.DUMMYFUNCTION("""COMPUTED_VALUE"""),"http://www.ms.ro/2020/08/11/buletin-informativ-11-08-2020")</f>
        <v>http://www.ms.ro/2020/08/11/buletin-informativ-11-08-2020</v>
      </c>
      <c r="U1371" s="5"/>
      <c r="V1371" s="5"/>
      <c r="W1371" s="5"/>
      <c r="X1371" s="5"/>
      <c r="Y1371" s="5"/>
      <c r="Z1371" s="5"/>
      <c r="AA1371" s="5"/>
      <c r="AB1371" s="5"/>
      <c r="AC1371" s="5"/>
    </row>
    <row r="1372" spans="1:29" ht="12.5">
      <c r="A1372" s="5">
        <f ca="1">IFERROR(__xludf.DUMMYFUNCTION("""COMPUTED_VALUE"""),62703)</f>
        <v>62703</v>
      </c>
      <c r="B1372" s="5"/>
      <c r="C1372" s="5" t="str">
        <f ca="1">IFERROR(__xludf.DUMMYFUNCTION("""COMPUTED_VALUE"""),"Bihor")</f>
        <v>Bihor</v>
      </c>
      <c r="D1372" s="13">
        <f ca="1">IFERROR(__xludf.DUMMYFUNCTION("""COMPUTED_VALUE"""),44054)</f>
        <v>44054</v>
      </c>
      <c r="E1372" s="5" t="str">
        <f ca="1">IFERROR(__xludf.DUMMYFUNCTION("""COMPUTED_VALUE"""),"Nu")</f>
        <v>Nu</v>
      </c>
      <c r="F1372" s="5"/>
      <c r="G1372" s="5"/>
      <c r="H1372" s="6"/>
      <c r="I1372" s="5"/>
      <c r="J1372" s="5"/>
      <c r="K1372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72" s="5"/>
      <c r="M1372" s="5" t="str">
        <f ca="1">IFERROR(__xludf.DUMMYFUNCTION("""COMPUTED_VALUE"""),"Bratca")</f>
        <v>Bratca</v>
      </c>
      <c r="N1372" s="5"/>
      <c r="O1372" s="5"/>
      <c r="P1372" s="5"/>
      <c r="Q1372" s="5"/>
      <c r="R1372" s="5" t="str">
        <f ca="1">IFERROR(__xludf.DUMMYFUNCTION("""COMPUTED_VALUE"""),"România")</f>
        <v>România</v>
      </c>
      <c r="S1372" s="5" t="str">
        <f ca="1">IFERROR(__xludf.DUMMYFUNCTION("""COMPUTED_VALUE"""),"Octavian")</f>
        <v>Octavian</v>
      </c>
      <c r="T1372" s="7" t="str">
        <f ca="1">IFERROR(__xludf.DUMMYFUNCTION("""COMPUTED_VALUE"""),"http://www.ms.ro/2020/08/11/buletin-informativ-11-08-2020")</f>
        <v>http://www.ms.ro/2020/08/11/buletin-informativ-11-08-2020</v>
      </c>
      <c r="U1372" s="5"/>
      <c r="V1372" s="5"/>
      <c r="W1372" s="5"/>
      <c r="X1372" s="5"/>
      <c r="Y1372" s="5"/>
      <c r="Z1372" s="5"/>
      <c r="AA1372" s="5"/>
      <c r="AB1372" s="5"/>
      <c r="AC1372" s="5"/>
    </row>
    <row r="1373" spans="1:29" ht="12.5">
      <c r="A1373" s="5">
        <f ca="1">IFERROR(__xludf.DUMMYFUNCTION("""COMPUTED_VALUE"""),62704)</f>
        <v>62704</v>
      </c>
      <c r="B1373" s="5"/>
      <c r="C1373" s="5" t="str">
        <f ca="1">IFERROR(__xludf.DUMMYFUNCTION("""COMPUTED_VALUE"""),"Bihor")</f>
        <v>Bihor</v>
      </c>
      <c r="D1373" s="13">
        <f ca="1">IFERROR(__xludf.DUMMYFUNCTION("""COMPUTED_VALUE"""),44054)</f>
        <v>44054</v>
      </c>
      <c r="E1373" s="5" t="str">
        <f ca="1">IFERROR(__xludf.DUMMYFUNCTION("""COMPUTED_VALUE"""),"Nu")</f>
        <v>Nu</v>
      </c>
      <c r="F1373" s="5"/>
      <c r="G1373" s="5"/>
      <c r="H1373" s="6"/>
      <c r="I1373" s="5"/>
      <c r="J1373" s="5"/>
      <c r="K1373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73" s="5"/>
      <c r="M1373" s="5"/>
      <c r="N1373" s="5"/>
      <c r="O1373" s="5"/>
      <c r="P1373" s="5"/>
      <c r="Q1373" s="5"/>
      <c r="R1373" s="5" t="str">
        <f ca="1">IFERROR(__xludf.DUMMYFUNCTION("""COMPUTED_VALUE"""),"România")</f>
        <v>România</v>
      </c>
      <c r="S1373" s="5" t="str">
        <f ca="1">IFERROR(__xludf.DUMMYFUNCTION("""COMPUTED_VALUE"""),"Octavian")</f>
        <v>Octavian</v>
      </c>
      <c r="T1373" s="7" t="str">
        <f ca="1">IFERROR(__xludf.DUMMYFUNCTION("""COMPUTED_VALUE"""),"http://www.ms.ro/2020/08/11/buletin-informativ-11-08-2020")</f>
        <v>http://www.ms.ro/2020/08/11/buletin-informativ-11-08-2020</v>
      </c>
      <c r="U1373" s="5"/>
      <c r="V1373" s="5"/>
      <c r="W1373" s="5"/>
      <c r="X1373" s="5"/>
      <c r="Y1373" s="5"/>
      <c r="Z1373" s="5"/>
      <c r="AA1373" s="5"/>
      <c r="AB1373" s="5"/>
      <c r="AC1373" s="5"/>
    </row>
    <row r="1374" spans="1:29" ht="12.5">
      <c r="A1374" s="5">
        <f ca="1">IFERROR(__xludf.DUMMYFUNCTION("""COMPUTED_VALUE"""),62705)</f>
        <v>62705</v>
      </c>
      <c r="B1374" s="5"/>
      <c r="C1374" s="5" t="str">
        <f ca="1">IFERROR(__xludf.DUMMYFUNCTION("""COMPUTED_VALUE"""),"Bihor")</f>
        <v>Bihor</v>
      </c>
      <c r="D1374" s="13">
        <f ca="1">IFERROR(__xludf.DUMMYFUNCTION("""COMPUTED_VALUE"""),44054)</f>
        <v>44054</v>
      </c>
      <c r="E1374" s="5" t="str">
        <f ca="1">IFERROR(__xludf.DUMMYFUNCTION("""COMPUTED_VALUE"""),"Nu")</f>
        <v>Nu</v>
      </c>
      <c r="F1374" s="5"/>
      <c r="G1374" s="5"/>
      <c r="H1374" s="6"/>
      <c r="I1374" s="5"/>
      <c r="J1374" s="5"/>
      <c r="K1374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74" s="5"/>
      <c r="M1374" s="5"/>
      <c r="N1374" s="5"/>
      <c r="O1374" s="5"/>
      <c r="P1374" s="5"/>
      <c r="Q1374" s="5"/>
      <c r="R1374" s="5" t="str">
        <f ca="1">IFERROR(__xludf.DUMMYFUNCTION("""COMPUTED_VALUE"""),"România")</f>
        <v>România</v>
      </c>
      <c r="S1374" s="5" t="str">
        <f ca="1">IFERROR(__xludf.DUMMYFUNCTION("""COMPUTED_VALUE"""),"Octavian")</f>
        <v>Octavian</v>
      </c>
      <c r="T1374" s="7" t="str">
        <f ca="1">IFERROR(__xludf.DUMMYFUNCTION("""COMPUTED_VALUE"""),"http://www.ms.ro/2020/08/11/buletin-informativ-11-08-2020")</f>
        <v>http://www.ms.ro/2020/08/11/buletin-informativ-11-08-2020</v>
      </c>
      <c r="U1374" s="5"/>
      <c r="V1374" s="5"/>
      <c r="W1374" s="5"/>
      <c r="X1374" s="5"/>
      <c r="Y1374" s="5"/>
      <c r="Z1374" s="5"/>
      <c r="AA1374" s="5"/>
      <c r="AB1374" s="5"/>
      <c r="AC1374" s="5"/>
    </row>
    <row r="1375" spans="1:29" ht="12.5">
      <c r="A1375" s="5">
        <f ca="1">IFERROR(__xludf.DUMMYFUNCTION("""COMPUTED_VALUE"""),62706)</f>
        <v>62706</v>
      </c>
      <c r="B1375" s="5"/>
      <c r="C1375" s="5" t="str">
        <f ca="1">IFERROR(__xludf.DUMMYFUNCTION("""COMPUTED_VALUE"""),"Bihor")</f>
        <v>Bihor</v>
      </c>
      <c r="D1375" s="13">
        <f ca="1">IFERROR(__xludf.DUMMYFUNCTION("""COMPUTED_VALUE"""),44054)</f>
        <v>44054</v>
      </c>
      <c r="E1375" s="5" t="str">
        <f ca="1">IFERROR(__xludf.DUMMYFUNCTION("""COMPUTED_VALUE"""),"Nu")</f>
        <v>Nu</v>
      </c>
      <c r="F1375" s="5"/>
      <c r="G1375" s="5"/>
      <c r="H1375" s="6"/>
      <c r="I1375" s="5"/>
      <c r="J1375" s="5"/>
      <c r="K1375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75" s="5"/>
      <c r="M1375" s="5"/>
      <c r="N1375" s="5"/>
      <c r="O1375" s="5"/>
      <c r="P1375" s="5"/>
      <c r="Q1375" s="5"/>
      <c r="R1375" s="5" t="str">
        <f ca="1">IFERROR(__xludf.DUMMYFUNCTION("""COMPUTED_VALUE"""),"România")</f>
        <v>România</v>
      </c>
      <c r="S1375" s="5" t="str">
        <f ca="1">IFERROR(__xludf.DUMMYFUNCTION("""COMPUTED_VALUE"""),"Octavian")</f>
        <v>Octavian</v>
      </c>
      <c r="T1375" s="7" t="str">
        <f ca="1">IFERROR(__xludf.DUMMYFUNCTION("""COMPUTED_VALUE"""),"http://www.ms.ro/2020/08/11/buletin-informativ-11-08-2020")</f>
        <v>http://www.ms.ro/2020/08/11/buletin-informativ-11-08-2020</v>
      </c>
      <c r="U1375" s="5"/>
      <c r="V1375" s="5"/>
      <c r="W1375" s="5"/>
      <c r="X1375" s="5"/>
      <c r="Y1375" s="5"/>
      <c r="Z1375" s="5"/>
      <c r="AA1375" s="5"/>
      <c r="AB1375" s="5"/>
      <c r="AC1375" s="5"/>
    </row>
    <row r="1376" spans="1:29" ht="12.5">
      <c r="A1376" s="5">
        <f ca="1">IFERROR(__xludf.DUMMYFUNCTION("""COMPUTED_VALUE"""),62707)</f>
        <v>62707</v>
      </c>
      <c r="B1376" s="5"/>
      <c r="C1376" s="5" t="str">
        <f ca="1">IFERROR(__xludf.DUMMYFUNCTION("""COMPUTED_VALUE"""),"Bihor")</f>
        <v>Bihor</v>
      </c>
      <c r="D1376" s="13">
        <f ca="1">IFERROR(__xludf.DUMMYFUNCTION("""COMPUTED_VALUE"""),44054)</f>
        <v>44054</v>
      </c>
      <c r="E1376" s="5" t="str">
        <f ca="1">IFERROR(__xludf.DUMMYFUNCTION("""COMPUTED_VALUE"""),"Nu")</f>
        <v>Nu</v>
      </c>
      <c r="F1376" s="5"/>
      <c r="G1376" s="5"/>
      <c r="H1376" s="6"/>
      <c r="I1376" s="5"/>
      <c r="J1376" s="5"/>
      <c r="K1376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76" s="5"/>
      <c r="M1376" s="5"/>
      <c r="N1376" s="5"/>
      <c r="O1376" s="5"/>
      <c r="P1376" s="5"/>
      <c r="Q1376" s="5"/>
      <c r="R1376" s="5" t="str">
        <f ca="1">IFERROR(__xludf.DUMMYFUNCTION("""COMPUTED_VALUE"""),"România")</f>
        <v>România</v>
      </c>
      <c r="S1376" s="5" t="str">
        <f ca="1">IFERROR(__xludf.DUMMYFUNCTION("""COMPUTED_VALUE"""),"Octavian")</f>
        <v>Octavian</v>
      </c>
      <c r="T1376" s="7" t="str">
        <f ca="1">IFERROR(__xludf.DUMMYFUNCTION("""COMPUTED_VALUE"""),"http://www.ms.ro/2020/08/11/buletin-informativ-11-08-2020")</f>
        <v>http://www.ms.ro/2020/08/11/buletin-informativ-11-08-2020</v>
      </c>
      <c r="U1376" s="5"/>
      <c r="V1376" s="5"/>
      <c r="W1376" s="5"/>
      <c r="X1376" s="5"/>
      <c r="Y1376" s="5"/>
      <c r="Z1376" s="5"/>
      <c r="AA1376" s="5"/>
      <c r="AB1376" s="5"/>
      <c r="AC1376" s="5"/>
    </row>
    <row r="1377" spans="1:29" ht="12.5">
      <c r="A1377" s="5">
        <f ca="1">IFERROR(__xludf.DUMMYFUNCTION("""COMPUTED_VALUE"""),62708)</f>
        <v>62708</v>
      </c>
      <c r="B1377" s="5"/>
      <c r="C1377" s="5" t="str">
        <f ca="1">IFERROR(__xludf.DUMMYFUNCTION("""COMPUTED_VALUE"""),"Bihor")</f>
        <v>Bihor</v>
      </c>
      <c r="D1377" s="13">
        <f ca="1">IFERROR(__xludf.DUMMYFUNCTION("""COMPUTED_VALUE"""),44054)</f>
        <v>44054</v>
      </c>
      <c r="E1377" s="5" t="str">
        <f ca="1">IFERROR(__xludf.DUMMYFUNCTION("""COMPUTED_VALUE"""),"Nu")</f>
        <v>Nu</v>
      </c>
      <c r="F1377" s="5"/>
      <c r="G1377" s="5"/>
      <c r="H1377" s="6"/>
      <c r="I1377" s="5"/>
      <c r="J1377" s="5"/>
      <c r="K1377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77" s="5"/>
      <c r="M1377" s="5"/>
      <c r="N1377" s="5"/>
      <c r="O1377" s="5"/>
      <c r="P1377" s="5"/>
      <c r="Q1377" s="5"/>
      <c r="R1377" s="5" t="str">
        <f ca="1">IFERROR(__xludf.DUMMYFUNCTION("""COMPUTED_VALUE"""),"România")</f>
        <v>România</v>
      </c>
      <c r="S1377" s="5" t="str">
        <f ca="1">IFERROR(__xludf.DUMMYFUNCTION("""COMPUTED_VALUE"""),"Octavian")</f>
        <v>Octavian</v>
      </c>
      <c r="T1377" s="7" t="str">
        <f ca="1">IFERROR(__xludf.DUMMYFUNCTION("""COMPUTED_VALUE"""),"http://www.ms.ro/2020/08/11/buletin-informativ-11-08-2020")</f>
        <v>http://www.ms.ro/2020/08/11/buletin-informativ-11-08-2020</v>
      </c>
      <c r="U1377" s="5"/>
      <c r="V1377" s="5"/>
      <c r="W1377" s="5"/>
      <c r="X1377" s="5"/>
      <c r="Y1377" s="5"/>
      <c r="Z1377" s="5"/>
      <c r="AA1377" s="5"/>
      <c r="AB1377" s="5"/>
      <c r="AC1377" s="5"/>
    </row>
    <row r="1378" spans="1:29" ht="12.5">
      <c r="A1378" s="5">
        <f ca="1">IFERROR(__xludf.DUMMYFUNCTION("""COMPUTED_VALUE"""),62709)</f>
        <v>62709</v>
      </c>
      <c r="B1378" s="5"/>
      <c r="C1378" s="5" t="str">
        <f ca="1">IFERROR(__xludf.DUMMYFUNCTION("""COMPUTED_VALUE"""),"Bihor")</f>
        <v>Bihor</v>
      </c>
      <c r="D1378" s="13">
        <f ca="1">IFERROR(__xludf.DUMMYFUNCTION("""COMPUTED_VALUE"""),44054)</f>
        <v>44054</v>
      </c>
      <c r="E1378" s="5" t="str">
        <f ca="1">IFERROR(__xludf.DUMMYFUNCTION("""COMPUTED_VALUE"""),"Nu")</f>
        <v>Nu</v>
      </c>
      <c r="F1378" s="5"/>
      <c r="G1378" s="5"/>
      <c r="H1378" s="6"/>
      <c r="I1378" s="5"/>
      <c r="J1378" s="5"/>
      <c r="K1378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78" s="5"/>
      <c r="M1378" s="5"/>
      <c r="N1378" s="5"/>
      <c r="O1378" s="5"/>
      <c r="P1378" s="5"/>
      <c r="Q1378" s="5"/>
      <c r="R1378" s="5" t="str">
        <f ca="1">IFERROR(__xludf.DUMMYFUNCTION("""COMPUTED_VALUE"""),"România")</f>
        <v>România</v>
      </c>
      <c r="S1378" s="5" t="str">
        <f ca="1">IFERROR(__xludf.DUMMYFUNCTION("""COMPUTED_VALUE"""),"Octavian")</f>
        <v>Octavian</v>
      </c>
      <c r="T1378" s="7" t="str">
        <f ca="1">IFERROR(__xludf.DUMMYFUNCTION("""COMPUTED_VALUE"""),"http://www.ms.ro/2020/08/11/buletin-informativ-11-08-2020")</f>
        <v>http://www.ms.ro/2020/08/11/buletin-informativ-11-08-2020</v>
      </c>
      <c r="U1378" s="5"/>
      <c r="V1378" s="5"/>
      <c r="W1378" s="5"/>
      <c r="X1378" s="5"/>
      <c r="Y1378" s="5"/>
      <c r="Z1378" s="5"/>
      <c r="AA1378" s="5"/>
      <c r="AB1378" s="5"/>
      <c r="AC1378" s="5"/>
    </row>
    <row r="1379" spans="1:29" ht="12.5">
      <c r="A1379" s="5">
        <f ca="1">IFERROR(__xludf.DUMMYFUNCTION("""COMPUTED_VALUE"""),62710)</f>
        <v>62710</v>
      </c>
      <c r="B1379" s="5"/>
      <c r="C1379" s="5" t="str">
        <f ca="1">IFERROR(__xludf.DUMMYFUNCTION("""COMPUTED_VALUE"""),"Bihor")</f>
        <v>Bihor</v>
      </c>
      <c r="D1379" s="13">
        <f ca="1">IFERROR(__xludf.DUMMYFUNCTION("""COMPUTED_VALUE"""),44054)</f>
        <v>44054</v>
      </c>
      <c r="E1379" s="5" t="str">
        <f ca="1">IFERROR(__xludf.DUMMYFUNCTION("""COMPUTED_VALUE"""),"Nu")</f>
        <v>Nu</v>
      </c>
      <c r="F1379" s="5"/>
      <c r="G1379" s="5"/>
      <c r="H1379" s="6"/>
      <c r="I1379" s="5"/>
      <c r="J1379" s="5"/>
      <c r="K1379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79" s="5"/>
      <c r="M1379" s="5"/>
      <c r="N1379" s="5"/>
      <c r="O1379" s="5"/>
      <c r="P1379" s="5"/>
      <c r="Q1379" s="5"/>
      <c r="R1379" s="5" t="str">
        <f ca="1">IFERROR(__xludf.DUMMYFUNCTION("""COMPUTED_VALUE"""),"România")</f>
        <v>România</v>
      </c>
      <c r="S1379" s="5" t="str">
        <f ca="1">IFERROR(__xludf.DUMMYFUNCTION("""COMPUTED_VALUE"""),"Octavian")</f>
        <v>Octavian</v>
      </c>
      <c r="T1379" s="7" t="str">
        <f ca="1">IFERROR(__xludf.DUMMYFUNCTION("""COMPUTED_VALUE"""),"http://www.ms.ro/2020/08/11/buletin-informativ-11-08-2020")</f>
        <v>http://www.ms.ro/2020/08/11/buletin-informativ-11-08-2020</v>
      </c>
      <c r="U1379" s="5"/>
      <c r="V1379" s="5"/>
      <c r="W1379" s="5"/>
      <c r="X1379" s="5"/>
      <c r="Y1379" s="5"/>
      <c r="Z1379" s="5"/>
      <c r="AA1379" s="5"/>
      <c r="AB1379" s="5"/>
      <c r="AC1379" s="5"/>
    </row>
    <row r="1380" spans="1:29" ht="12.5">
      <c r="A1380" s="5">
        <f ca="1">IFERROR(__xludf.DUMMYFUNCTION("""COMPUTED_VALUE"""),62711)</f>
        <v>62711</v>
      </c>
      <c r="B1380" s="5"/>
      <c r="C1380" s="5" t="str">
        <f ca="1">IFERROR(__xludf.DUMMYFUNCTION("""COMPUTED_VALUE"""),"Bihor")</f>
        <v>Bihor</v>
      </c>
      <c r="D1380" s="13">
        <f ca="1">IFERROR(__xludf.DUMMYFUNCTION("""COMPUTED_VALUE"""),44054)</f>
        <v>44054</v>
      </c>
      <c r="E1380" s="5" t="str">
        <f ca="1">IFERROR(__xludf.DUMMYFUNCTION("""COMPUTED_VALUE"""),"Nu")</f>
        <v>Nu</v>
      </c>
      <c r="F1380" s="5"/>
      <c r="G1380" s="5"/>
      <c r="H1380" s="6"/>
      <c r="I1380" s="5"/>
      <c r="J1380" s="5"/>
      <c r="K1380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80" s="5"/>
      <c r="M1380" s="5"/>
      <c r="N1380" s="5"/>
      <c r="O1380" s="5"/>
      <c r="P1380" s="5"/>
      <c r="Q1380" s="5"/>
      <c r="R1380" s="5" t="str">
        <f ca="1">IFERROR(__xludf.DUMMYFUNCTION("""COMPUTED_VALUE"""),"România")</f>
        <v>România</v>
      </c>
      <c r="S1380" s="5" t="str">
        <f ca="1">IFERROR(__xludf.DUMMYFUNCTION("""COMPUTED_VALUE"""),"Octavian")</f>
        <v>Octavian</v>
      </c>
      <c r="T1380" s="7" t="str">
        <f ca="1">IFERROR(__xludf.DUMMYFUNCTION("""COMPUTED_VALUE"""),"http://www.ms.ro/2020/08/11/buletin-informativ-11-08-2020")</f>
        <v>http://www.ms.ro/2020/08/11/buletin-informativ-11-08-2020</v>
      </c>
      <c r="U1380" s="5"/>
      <c r="V1380" s="5"/>
      <c r="W1380" s="5"/>
      <c r="X1380" s="5"/>
      <c r="Y1380" s="5"/>
      <c r="Z1380" s="5"/>
      <c r="AA1380" s="5"/>
      <c r="AB1380" s="5"/>
      <c r="AC1380" s="5"/>
    </row>
    <row r="1381" spans="1:29" ht="12.5">
      <c r="A1381" s="5">
        <f ca="1">IFERROR(__xludf.DUMMYFUNCTION("""COMPUTED_VALUE"""),62712)</f>
        <v>62712</v>
      </c>
      <c r="B1381" s="5"/>
      <c r="C1381" s="5" t="str">
        <f ca="1">IFERROR(__xludf.DUMMYFUNCTION("""COMPUTED_VALUE"""),"Bihor")</f>
        <v>Bihor</v>
      </c>
      <c r="D1381" s="13">
        <f ca="1">IFERROR(__xludf.DUMMYFUNCTION("""COMPUTED_VALUE"""),44054)</f>
        <v>44054</v>
      </c>
      <c r="E1381" s="5" t="str">
        <f ca="1">IFERROR(__xludf.DUMMYFUNCTION("""COMPUTED_VALUE"""),"Nu")</f>
        <v>Nu</v>
      </c>
      <c r="F1381" s="5"/>
      <c r="G1381" s="5"/>
      <c r="H1381" s="6"/>
      <c r="I1381" s="5"/>
      <c r="J1381" s="5"/>
      <c r="K1381" s="7" t="str">
        <f ca="1">IFERROR(__xludf.DUMMYFUNCTION("""COMPUTED_VALUE"""),"https://www.ebihoreanul.ro/stiri/pandemia-in-bihor-inca-un-deces-si-peste-50-de-cazuri-noi-de-covid-19-au-fost-raportate-si-multe-vindecari-158157.html")</f>
        <v>https://www.ebihoreanul.ro/stiri/pandemia-in-bihor-inca-un-deces-si-peste-50-de-cazuri-noi-de-covid-19-au-fost-raportate-si-multe-vindecari-158157.html</v>
      </c>
      <c r="L1381" s="5"/>
      <c r="M1381" s="5"/>
      <c r="N1381" s="5"/>
      <c r="O1381" s="5"/>
      <c r="P1381" s="5"/>
      <c r="Q1381" s="5"/>
      <c r="R1381" s="5" t="str">
        <f ca="1">IFERROR(__xludf.DUMMYFUNCTION("""COMPUTED_VALUE"""),"România")</f>
        <v>România</v>
      </c>
      <c r="S1381" s="5" t="str">
        <f ca="1">IFERROR(__xludf.DUMMYFUNCTION("""COMPUTED_VALUE"""),"Octavian")</f>
        <v>Octavian</v>
      </c>
      <c r="T1381" s="7" t="str">
        <f ca="1">IFERROR(__xludf.DUMMYFUNCTION("""COMPUTED_VALUE"""),"http://www.ms.ro/2020/08/11/buletin-informativ-11-08-2020")</f>
        <v>http://www.ms.ro/2020/08/11/buletin-informativ-11-08-2020</v>
      </c>
      <c r="U1381" s="5"/>
      <c r="V1381" s="5"/>
      <c r="W1381" s="5"/>
      <c r="X1381" s="5"/>
      <c r="Y1381" s="5"/>
      <c r="Z1381" s="5"/>
      <c r="AA1381" s="5"/>
      <c r="AB1381" s="5"/>
      <c r="AC1381" s="5"/>
    </row>
    <row r="1382" spans="1:29" ht="12.5">
      <c r="A1382" s="5">
        <f ca="1">IFERROR(__xludf.DUMMYFUNCTION("""COMPUTED_VALUE"""),63931)</f>
        <v>63931</v>
      </c>
      <c r="B1382" s="5"/>
      <c r="C1382" s="5" t="str">
        <f ca="1">IFERROR(__xludf.DUMMYFUNCTION("""COMPUTED_VALUE"""),"Bihor")</f>
        <v>Bihor</v>
      </c>
      <c r="D1382" s="13">
        <f ca="1">IFERROR(__xludf.DUMMYFUNCTION("""COMPUTED_VALUE"""),44055)</f>
        <v>44055</v>
      </c>
      <c r="E1382" s="5" t="str">
        <f ca="1">IFERROR(__xludf.DUMMYFUNCTION("""COMPUTED_VALUE"""),"Nu")</f>
        <v>Nu</v>
      </c>
      <c r="F1382" s="5"/>
      <c r="G1382" s="5"/>
      <c r="H1382" s="6"/>
      <c r="I1382" s="5" t="str">
        <f ca="1">IFERROR(__xludf.DUMMYFUNCTION("""COMPUTED_VALUE"""),"Masculin")</f>
        <v>Masculin</v>
      </c>
      <c r="J1382" s="5"/>
      <c r="K1382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382" s="5"/>
      <c r="M1382" s="5" t="str">
        <f ca="1">IFERROR(__xludf.DUMMYFUNCTION("""COMPUTED_VALUE"""),"Oradea")</f>
        <v>Oradea</v>
      </c>
      <c r="N1382" s="5" t="str">
        <f ca="1">IFERROR(__xludf.DUMMYFUNCTION("""COMPUTED_VALUE"""),"Da")</f>
        <v>Da</v>
      </c>
      <c r="O1382" s="5"/>
      <c r="P1382" s="5" t="str">
        <f ca="1">IFERROR(__xludf.DUMMYFUNCTION("""COMPUTED_VALUE"""),"Spital Pelican, brancardier.")</f>
        <v>Spital Pelican, brancardier.</v>
      </c>
      <c r="Q1382" s="5" t="str">
        <f ca="1">IFERROR(__xludf.DUMMYFUNCTION("""COMPUTED_VALUE"""),"Medical")</f>
        <v>Medical</v>
      </c>
      <c r="R1382" s="5" t="str">
        <f ca="1">IFERROR(__xludf.DUMMYFUNCTION("""COMPUTED_VALUE"""),"România")</f>
        <v>România</v>
      </c>
      <c r="S1382" s="5" t="str">
        <f ca="1">IFERROR(__xludf.DUMMYFUNCTION("""COMPUTED_VALUE"""),"Octavian")</f>
        <v>Octavian</v>
      </c>
      <c r="T1382" s="7" t="str">
        <f ca="1">IFERROR(__xludf.DUMMYFUNCTION("""COMPUTED_VALUE"""),"http://www.ms.ro/2020/08/12/buletin-informativ-12-08-2020")</f>
        <v>http://www.ms.ro/2020/08/12/buletin-informativ-12-08-2020</v>
      </c>
      <c r="U1382" s="5"/>
      <c r="V1382" s="5"/>
      <c r="W1382" s="5"/>
      <c r="X1382" s="5"/>
      <c r="Y1382" s="5"/>
      <c r="Z1382" s="5"/>
      <c r="AA1382" s="5"/>
      <c r="AB1382" s="5"/>
      <c r="AC1382" s="5"/>
    </row>
    <row r="1383" spans="1:29" ht="12.5">
      <c r="A1383" s="5">
        <f ca="1">IFERROR(__xludf.DUMMYFUNCTION("""COMPUTED_VALUE"""),63932)</f>
        <v>63932</v>
      </c>
      <c r="B1383" s="5">
        <f ca="1">IFERROR(__xludf.DUMMYFUNCTION("""COMPUTED_VALUE"""),63931)</f>
        <v>63931</v>
      </c>
      <c r="C1383" s="5" t="str">
        <f ca="1">IFERROR(__xludf.DUMMYFUNCTION("""COMPUTED_VALUE"""),"Bihor")</f>
        <v>Bihor</v>
      </c>
      <c r="D1383" s="13">
        <f ca="1">IFERROR(__xludf.DUMMYFUNCTION("""COMPUTED_VALUE"""),44055)</f>
        <v>44055</v>
      </c>
      <c r="E1383" s="5" t="str">
        <f ca="1">IFERROR(__xludf.DUMMYFUNCTION("""COMPUTED_VALUE"""),"Nu")</f>
        <v>Nu</v>
      </c>
      <c r="F1383" s="5"/>
      <c r="G1383" s="5"/>
      <c r="H1383" s="6"/>
      <c r="I1383" s="5" t="str">
        <f ca="1">IFERROR(__xludf.DUMMYFUNCTION("""COMPUTED_VALUE"""),"Masculin")</f>
        <v>Masculin</v>
      </c>
      <c r="J1383" s="5"/>
      <c r="K1383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383" s="5"/>
      <c r="M1383" s="5" t="str">
        <f ca="1">IFERROR(__xludf.DUMMYFUNCTION("""COMPUTED_VALUE"""),"Oradea")</f>
        <v>Oradea</v>
      </c>
      <c r="N1383" s="5" t="str">
        <f ca="1">IFERROR(__xludf.DUMMYFUNCTION("""COMPUTED_VALUE"""),"Da")</f>
        <v>Da</v>
      </c>
      <c r="O1383" s="5"/>
      <c r="P1383" s="5" t="str">
        <f ca="1">IFERROR(__xludf.DUMMYFUNCTION("""COMPUTED_VALUE"""),"Spital Pelican, brancardier.")</f>
        <v>Spital Pelican, brancardier.</v>
      </c>
      <c r="Q1383" s="5" t="str">
        <f ca="1">IFERROR(__xludf.DUMMYFUNCTION("""COMPUTED_VALUE"""),"Medical")</f>
        <v>Medical</v>
      </c>
      <c r="R1383" s="5" t="str">
        <f ca="1">IFERROR(__xludf.DUMMYFUNCTION("""COMPUTED_VALUE"""),"România")</f>
        <v>România</v>
      </c>
      <c r="S1383" s="5" t="str">
        <f ca="1">IFERROR(__xludf.DUMMYFUNCTION("""COMPUTED_VALUE"""),"Octavian")</f>
        <v>Octavian</v>
      </c>
      <c r="T1383" s="7" t="str">
        <f ca="1">IFERROR(__xludf.DUMMYFUNCTION("""COMPUTED_VALUE"""),"http://www.ms.ro/2020/08/12/buletin-informativ-12-08-2020")</f>
        <v>http://www.ms.ro/2020/08/12/buletin-informativ-12-08-2020</v>
      </c>
      <c r="U1383" s="5"/>
      <c r="V1383" s="5"/>
      <c r="W1383" s="5"/>
      <c r="X1383" s="5"/>
      <c r="Y1383" s="5"/>
      <c r="Z1383" s="5"/>
      <c r="AA1383" s="5"/>
      <c r="AB1383" s="5"/>
      <c r="AC1383" s="5"/>
    </row>
    <row r="1384" spans="1:29" ht="12.5">
      <c r="A1384" s="5">
        <f ca="1">IFERROR(__xludf.DUMMYFUNCTION("""COMPUTED_VALUE"""),63933)</f>
        <v>63933</v>
      </c>
      <c r="B1384" s="5">
        <f ca="1">IFERROR(__xludf.DUMMYFUNCTION("""COMPUTED_VALUE"""),63931)</f>
        <v>63931</v>
      </c>
      <c r="C1384" s="5" t="str">
        <f ca="1">IFERROR(__xludf.DUMMYFUNCTION("""COMPUTED_VALUE"""),"Bihor")</f>
        <v>Bihor</v>
      </c>
      <c r="D1384" s="13">
        <f ca="1">IFERROR(__xludf.DUMMYFUNCTION("""COMPUTED_VALUE"""),44055)</f>
        <v>44055</v>
      </c>
      <c r="E1384" s="5" t="str">
        <f ca="1">IFERROR(__xludf.DUMMYFUNCTION("""COMPUTED_VALUE"""),"Nu")</f>
        <v>Nu</v>
      </c>
      <c r="F1384" s="5"/>
      <c r="G1384" s="5"/>
      <c r="H1384" s="6"/>
      <c r="I1384" s="5" t="str">
        <f ca="1">IFERROR(__xludf.DUMMYFUNCTION("""COMPUTED_VALUE"""),"Masculin")</f>
        <v>Masculin</v>
      </c>
      <c r="J1384" s="5"/>
      <c r="K1384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384" s="5"/>
      <c r="M1384" s="5" t="str">
        <f ca="1">IFERROR(__xludf.DUMMYFUNCTION("""COMPUTED_VALUE"""),"Oradea")</f>
        <v>Oradea</v>
      </c>
      <c r="N1384" s="5" t="str">
        <f ca="1">IFERROR(__xludf.DUMMYFUNCTION("""COMPUTED_VALUE"""),"Da")</f>
        <v>Da</v>
      </c>
      <c r="O1384" s="5"/>
      <c r="P1384" s="5" t="str">
        <f ca="1">IFERROR(__xludf.DUMMYFUNCTION("""COMPUTED_VALUE"""),"Spital Pelican, brancardier.")</f>
        <v>Spital Pelican, brancardier.</v>
      </c>
      <c r="Q1384" s="5" t="str">
        <f ca="1">IFERROR(__xludf.DUMMYFUNCTION("""COMPUTED_VALUE"""),"Medical")</f>
        <v>Medical</v>
      </c>
      <c r="R1384" s="5" t="str">
        <f ca="1">IFERROR(__xludf.DUMMYFUNCTION("""COMPUTED_VALUE"""),"România")</f>
        <v>România</v>
      </c>
      <c r="S1384" s="5" t="str">
        <f ca="1">IFERROR(__xludf.DUMMYFUNCTION("""COMPUTED_VALUE"""),"Octavian")</f>
        <v>Octavian</v>
      </c>
      <c r="T1384" s="7" t="str">
        <f ca="1">IFERROR(__xludf.DUMMYFUNCTION("""COMPUTED_VALUE"""),"http://www.ms.ro/2020/08/12/buletin-informativ-12-08-2020")</f>
        <v>http://www.ms.ro/2020/08/12/buletin-informativ-12-08-2020</v>
      </c>
      <c r="U1384" s="5"/>
      <c r="V1384" s="5"/>
      <c r="W1384" s="5"/>
      <c r="X1384" s="5"/>
      <c r="Y1384" s="5"/>
      <c r="Z1384" s="5"/>
      <c r="AA1384" s="5"/>
      <c r="AB1384" s="5"/>
      <c r="AC1384" s="5"/>
    </row>
    <row r="1385" spans="1:29" ht="12.5">
      <c r="A1385" s="5">
        <f ca="1">IFERROR(__xludf.DUMMYFUNCTION("""COMPUTED_VALUE"""),63934)</f>
        <v>63934</v>
      </c>
      <c r="B1385" s="5">
        <f ca="1">IFERROR(__xludf.DUMMYFUNCTION("""COMPUTED_VALUE"""),63931)</f>
        <v>63931</v>
      </c>
      <c r="C1385" s="5" t="str">
        <f ca="1">IFERROR(__xludf.DUMMYFUNCTION("""COMPUTED_VALUE"""),"Bihor")</f>
        <v>Bihor</v>
      </c>
      <c r="D1385" s="13">
        <f ca="1">IFERROR(__xludf.DUMMYFUNCTION("""COMPUTED_VALUE"""),44055)</f>
        <v>44055</v>
      </c>
      <c r="E1385" s="5" t="str">
        <f ca="1">IFERROR(__xludf.DUMMYFUNCTION("""COMPUTED_VALUE"""),"Nu")</f>
        <v>Nu</v>
      </c>
      <c r="F1385" s="5"/>
      <c r="G1385" s="5"/>
      <c r="H1385" s="6"/>
      <c r="I1385" s="5" t="str">
        <f ca="1">IFERROR(__xludf.DUMMYFUNCTION("""COMPUTED_VALUE"""),"Masculin")</f>
        <v>Masculin</v>
      </c>
      <c r="J1385" s="5"/>
      <c r="K1385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385" s="5"/>
      <c r="M1385" s="5" t="str">
        <f ca="1">IFERROR(__xludf.DUMMYFUNCTION("""COMPUTED_VALUE"""),"Oradea")</f>
        <v>Oradea</v>
      </c>
      <c r="N1385" s="5" t="str">
        <f ca="1">IFERROR(__xludf.DUMMYFUNCTION("""COMPUTED_VALUE"""),"Da")</f>
        <v>Da</v>
      </c>
      <c r="O1385" s="5"/>
      <c r="P1385" s="5" t="str">
        <f ca="1">IFERROR(__xludf.DUMMYFUNCTION("""COMPUTED_VALUE"""),"Spital Pelican, brancardier.")</f>
        <v>Spital Pelican, brancardier.</v>
      </c>
      <c r="Q1385" s="5" t="str">
        <f ca="1">IFERROR(__xludf.DUMMYFUNCTION("""COMPUTED_VALUE"""),"Medical")</f>
        <v>Medical</v>
      </c>
      <c r="R1385" s="5" t="str">
        <f ca="1">IFERROR(__xludf.DUMMYFUNCTION("""COMPUTED_VALUE"""),"România")</f>
        <v>România</v>
      </c>
      <c r="S1385" s="5" t="str">
        <f ca="1">IFERROR(__xludf.DUMMYFUNCTION("""COMPUTED_VALUE"""),"Octavian")</f>
        <v>Octavian</v>
      </c>
      <c r="T1385" s="7" t="str">
        <f ca="1">IFERROR(__xludf.DUMMYFUNCTION("""COMPUTED_VALUE"""),"http://www.ms.ro/2020/08/12/buletin-informativ-12-08-2020")</f>
        <v>http://www.ms.ro/2020/08/12/buletin-informativ-12-08-2020</v>
      </c>
      <c r="U1385" s="5"/>
      <c r="V1385" s="5"/>
      <c r="W1385" s="5"/>
      <c r="X1385" s="5"/>
      <c r="Y1385" s="5"/>
      <c r="Z1385" s="5"/>
      <c r="AA1385" s="5"/>
      <c r="AB1385" s="5"/>
      <c r="AC1385" s="5"/>
    </row>
    <row r="1386" spans="1:29" ht="12.5">
      <c r="A1386" s="5">
        <f ca="1">IFERROR(__xludf.DUMMYFUNCTION("""COMPUTED_VALUE"""),63935)</f>
        <v>63935</v>
      </c>
      <c r="B1386" s="5"/>
      <c r="C1386" s="5" t="str">
        <f ca="1">IFERROR(__xludf.DUMMYFUNCTION("""COMPUTED_VALUE"""),"Bihor")</f>
        <v>Bihor</v>
      </c>
      <c r="D1386" s="13">
        <f ca="1">IFERROR(__xludf.DUMMYFUNCTION("""COMPUTED_VALUE"""),44055)</f>
        <v>44055</v>
      </c>
      <c r="E1386" s="5" t="str">
        <f ca="1">IFERROR(__xludf.DUMMYFUNCTION("""COMPUTED_VALUE"""),"Nu")</f>
        <v>Nu</v>
      </c>
      <c r="F1386" s="5"/>
      <c r="G1386" s="5"/>
      <c r="H1386" s="6"/>
      <c r="I1386" s="5"/>
      <c r="J1386" s="5"/>
      <c r="K1386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386" s="5"/>
      <c r="M1386" s="5" t="str">
        <f ca="1">IFERROR(__xludf.DUMMYFUNCTION("""COMPUTED_VALUE"""),"Țețchea")</f>
        <v>Țețchea</v>
      </c>
      <c r="N1386" s="5"/>
      <c r="O1386" s="5"/>
      <c r="P1386" s="5"/>
      <c r="Q1386" s="5"/>
      <c r="R1386" s="5" t="str">
        <f ca="1">IFERROR(__xludf.DUMMYFUNCTION("""COMPUTED_VALUE"""),"România")</f>
        <v>România</v>
      </c>
      <c r="S1386" s="5" t="str">
        <f ca="1">IFERROR(__xludf.DUMMYFUNCTION("""COMPUTED_VALUE"""),"Octavian")</f>
        <v>Octavian</v>
      </c>
      <c r="T1386" s="7" t="str">
        <f ca="1">IFERROR(__xludf.DUMMYFUNCTION("""COMPUTED_VALUE"""),"http://www.ms.ro/2020/08/12/buletin-informativ-12-08-2020")</f>
        <v>http://www.ms.ro/2020/08/12/buletin-informativ-12-08-2020</v>
      </c>
      <c r="U1386" s="5"/>
      <c r="V1386" s="5"/>
      <c r="W1386" s="5"/>
      <c r="X1386" s="5"/>
      <c r="Y1386" s="5"/>
      <c r="Z1386" s="5"/>
      <c r="AA1386" s="5"/>
      <c r="AB1386" s="5"/>
      <c r="AC1386" s="5"/>
    </row>
    <row r="1387" spans="1:29" ht="12.5">
      <c r="A1387" s="5">
        <f ca="1">IFERROR(__xludf.DUMMYFUNCTION("""COMPUTED_VALUE"""),63936)</f>
        <v>63936</v>
      </c>
      <c r="B1387" s="5"/>
      <c r="C1387" s="5" t="str">
        <f ca="1">IFERROR(__xludf.DUMMYFUNCTION("""COMPUTED_VALUE"""),"Bihor")</f>
        <v>Bihor</v>
      </c>
      <c r="D1387" s="13">
        <f ca="1">IFERROR(__xludf.DUMMYFUNCTION("""COMPUTED_VALUE"""),44055)</f>
        <v>44055</v>
      </c>
      <c r="E1387" s="5" t="str">
        <f ca="1">IFERROR(__xludf.DUMMYFUNCTION("""COMPUTED_VALUE"""),"Nu")</f>
        <v>Nu</v>
      </c>
      <c r="F1387" s="5"/>
      <c r="G1387" s="5"/>
      <c r="H1387" s="6"/>
      <c r="I1387" s="5"/>
      <c r="J1387" s="5"/>
      <c r="K1387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387" s="5"/>
      <c r="M1387" s="5" t="str">
        <f ca="1">IFERROR(__xludf.DUMMYFUNCTION("""COMPUTED_VALUE"""),"Salonta")</f>
        <v>Salonta</v>
      </c>
      <c r="N1387" s="5"/>
      <c r="O1387" s="5"/>
      <c r="P1387" s="5"/>
      <c r="Q1387" s="5"/>
      <c r="R1387" s="5" t="str">
        <f ca="1">IFERROR(__xludf.DUMMYFUNCTION("""COMPUTED_VALUE"""),"România")</f>
        <v>România</v>
      </c>
      <c r="S1387" s="5" t="str">
        <f ca="1">IFERROR(__xludf.DUMMYFUNCTION("""COMPUTED_VALUE"""),"Octavian")</f>
        <v>Octavian</v>
      </c>
      <c r="T1387" s="7" t="str">
        <f ca="1">IFERROR(__xludf.DUMMYFUNCTION("""COMPUTED_VALUE"""),"http://www.ms.ro/2020/08/12/buletin-informativ-12-08-2020")</f>
        <v>http://www.ms.ro/2020/08/12/buletin-informativ-12-08-2020</v>
      </c>
      <c r="U1387" s="5"/>
      <c r="V1387" s="5"/>
      <c r="W1387" s="5"/>
      <c r="X1387" s="5"/>
      <c r="Y1387" s="5"/>
      <c r="Z1387" s="5"/>
      <c r="AA1387" s="5"/>
      <c r="AB1387" s="5"/>
      <c r="AC1387" s="5"/>
    </row>
    <row r="1388" spans="1:29" ht="12.5">
      <c r="A1388" s="5">
        <f ca="1">IFERROR(__xludf.DUMMYFUNCTION("""COMPUTED_VALUE"""),63937)</f>
        <v>63937</v>
      </c>
      <c r="B1388" s="5"/>
      <c r="C1388" s="5" t="str">
        <f ca="1">IFERROR(__xludf.DUMMYFUNCTION("""COMPUTED_VALUE"""),"Bihor")</f>
        <v>Bihor</v>
      </c>
      <c r="D1388" s="13">
        <f ca="1">IFERROR(__xludf.DUMMYFUNCTION("""COMPUTED_VALUE"""),44055)</f>
        <v>44055</v>
      </c>
      <c r="E1388" s="5" t="str">
        <f ca="1">IFERROR(__xludf.DUMMYFUNCTION("""COMPUTED_VALUE"""),"Nu")</f>
        <v>Nu</v>
      </c>
      <c r="F1388" s="5"/>
      <c r="G1388" s="5"/>
      <c r="H1388" s="6"/>
      <c r="I1388" s="5"/>
      <c r="J1388" s="5"/>
      <c r="K1388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388" s="5"/>
      <c r="M1388" s="5" t="str">
        <f ca="1">IFERROR(__xludf.DUMMYFUNCTION("""COMPUTED_VALUE"""),"Popești")</f>
        <v>Popești</v>
      </c>
      <c r="N1388" s="5"/>
      <c r="O1388" s="5"/>
      <c r="P1388" s="5"/>
      <c r="Q1388" s="5"/>
      <c r="R1388" s="5" t="str">
        <f ca="1">IFERROR(__xludf.DUMMYFUNCTION("""COMPUTED_VALUE"""),"România")</f>
        <v>România</v>
      </c>
      <c r="S1388" s="5" t="str">
        <f ca="1">IFERROR(__xludf.DUMMYFUNCTION("""COMPUTED_VALUE"""),"Octavian")</f>
        <v>Octavian</v>
      </c>
      <c r="T1388" s="7" t="str">
        <f ca="1">IFERROR(__xludf.DUMMYFUNCTION("""COMPUTED_VALUE"""),"http://www.ms.ro/2020/08/12/buletin-informativ-12-08-2020")</f>
        <v>http://www.ms.ro/2020/08/12/buletin-informativ-12-08-2020</v>
      </c>
      <c r="U1388" s="5"/>
      <c r="V1388" s="5"/>
      <c r="W1388" s="5"/>
      <c r="X1388" s="5"/>
      <c r="Y1388" s="5"/>
      <c r="Z1388" s="5"/>
      <c r="AA1388" s="5"/>
      <c r="AB1388" s="5"/>
      <c r="AC1388" s="5"/>
    </row>
    <row r="1389" spans="1:29" ht="12.5">
      <c r="A1389" s="5">
        <f ca="1">IFERROR(__xludf.DUMMYFUNCTION("""COMPUTED_VALUE"""),63938)</f>
        <v>63938</v>
      </c>
      <c r="B1389" s="5"/>
      <c r="C1389" s="5" t="str">
        <f ca="1">IFERROR(__xludf.DUMMYFUNCTION("""COMPUTED_VALUE"""),"Bihor")</f>
        <v>Bihor</v>
      </c>
      <c r="D1389" s="13">
        <f ca="1">IFERROR(__xludf.DUMMYFUNCTION("""COMPUTED_VALUE"""),44055)</f>
        <v>44055</v>
      </c>
      <c r="E1389" s="5" t="str">
        <f ca="1">IFERROR(__xludf.DUMMYFUNCTION("""COMPUTED_VALUE"""),"Nu")</f>
        <v>Nu</v>
      </c>
      <c r="F1389" s="5"/>
      <c r="G1389" s="5"/>
      <c r="H1389" s="6"/>
      <c r="I1389" s="5"/>
      <c r="J1389" s="5"/>
      <c r="K1389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389" s="5"/>
      <c r="M1389" s="5" t="str">
        <f ca="1">IFERROR(__xludf.DUMMYFUNCTION("""COMPUTED_VALUE"""),"Lăzăreni")</f>
        <v>Lăzăreni</v>
      </c>
      <c r="N1389" s="5"/>
      <c r="O1389" s="5"/>
      <c r="P1389" s="5"/>
      <c r="Q1389" s="5"/>
      <c r="R1389" s="5" t="str">
        <f ca="1">IFERROR(__xludf.DUMMYFUNCTION("""COMPUTED_VALUE"""),"România")</f>
        <v>România</v>
      </c>
      <c r="S1389" s="5" t="str">
        <f ca="1">IFERROR(__xludf.DUMMYFUNCTION("""COMPUTED_VALUE"""),"Octavian")</f>
        <v>Octavian</v>
      </c>
      <c r="T1389" s="7" t="str">
        <f ca="1">IFERROR(__xludf.DUMMYFUNCTION("""COMPUTED_VALUE"""),"http://www.ms.ro/2020/08/12/buletin-informativ-12-08-2020")</f>
        <v>http://www.ms.ro/2020/08/12/buletin-informativ-12-08-2020</v>
      </c>
      <c r="U1389" s="5"/>
      <c r="V1389" s="5"/>
      <c r="W1389" s="5"/>
      <c r="X1389" s="5"/>
      <c r="Y1389" s="5"/>
      <c r="Z1389" s="5"/>
      <c r="AA1389" s="5"/>
      <c r="AB1389" s="5"/>
      <c r="AC1389" s="5"/>
    </row>
    <row r="1390" spans="1:29" ht="12.5">
      <c r="A1390" s="5">
        <f ca="1">IFERROR(__xludf.DUMMYFUNCTION("""COMPUTED_VALUE"""),63939)</f>
        <v>63939</v>
      </c>
      <c r="B1390" s="5"/>
      <c r="C1390" s="5" t="str">
        <f ca="1">IFERROR(__xludf.DUMMYFUNCTION("""COMPUTED_VALUE"""),"Bihor")</f>
        <v>Bihor</v>
      </c>
      <c r="D1390" s="13">
        <f ca="1">IFERROR(__xludf.DUMMYFUNCTION("""COMPUTED_VALUE"""),44055)</f>
        <v>44055</v>
      </c>
      <c r="E1390" s="5" t="str">
        <f ca="1">IFERROR(__xludf.DUMMYFUNCTION("""COMPUTED_VALUE"""),"Nu")</f>
        <v>Nu</v>
      </c>
      <c r="F1390" s="5"/>
      <c r="G1390" s="5"/>
      <c r="H1390" s="6"/>
      <c r="I1390" s="5"/>
      <c r="J1390" s="5"/>
      <c r="K1390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390" s="5"/>
      <c r="M1390" s="5" t="str">
        <f ca="1">IFERROR(__xludf.DUMMYFUNCTION("""COMPUTED_VALUE"""),"Dobrești")</f>
        <v>Dobrești</v>
      </c>
      <c r="N1390" s="5"/>
      <c r="O1390" s="5"/>
      <c r="P1390" s="5"/>
      <c r="Q1390" s="5"/>
      <c r="R1390" s="5" t="str">
        <f ca="1">IFERROR(__xludf.DUMMYFUNCTION("""COMPUTED_VALUE"""),"România")</f>
        <v>România</v>
      </c>
      <c r="S1390" s="5" t="str">
        <f ca="1">IFERROR(__xludf.DUMMYFUNCTION("""COMPUTED_VALUE"""),"Octavian")</f>
        <v>Octavian</v>
      </c>
      <c r="T1390" s="7" t="str">
        <f ca="1">IFERROR(__xludf.DUMMYFUNCTION("""COMPUTED_VALUE"""),"http://www.ms.ro/2020/08/12/buletin-informativ-12-08-2020")</f>
        <v>http://www.ms.ro/2020/08/12/buletin-informativ-12-08-2020</v>
      </c>
      <c r="U1390" s="5"/>
      <c r="V1390" s="5"/>
      <c r="W1390" s="5"/>
      <c r="X1390" s="5"/>
      <c r="Y1390" s="5"/>
      <c r="Z1390" s="5"/>
      <c r="AA1390" s="5"/>
      <c r="AB1390" s="5"/>
      <c r="AC1390" s="5"/>
    </row>
    <row r="1391" spans="1:29" ht="12.5">
      <c r="A1391" s="5">
        <f ca="1">IFERROR(__xludf.DUMMYFUNCTION("""COMPUTED_VALUE"""),63940)</f>
        <v>63940</v>
      </c>
      <c r="B1391" s="5"/>
      <c r="C1391" s="5" t="str">
        <f ca="1">IFERROR(__xludf.DUMMYFUNCTION("""COMPUTED_VALUE"""),"Bihor")</f>
        <v>Bihor</v>
      </c>
      <c r="D1391" s="13">
        <f ca="1">IFERROR(__xludf.DUMMYFUNCTION("""COMPUTED_VALUE"""),44055)</f>
        <v>44055</v>
      </c>
      <c r="E1391" s="5" t="str">
        <f ca="1">IFERROR(__xludf.DUMMYFUNCTION("""COMPUTED_VALUE"""),"Nu")</f>
        <v>Nu</v>
      </c>
      <c r="F1391" s="5"/>
      <c r="G1391" s="5"/>
      <c r="H1391" s="6"/>
      <c r="I1391" s="5"/>
      <c r="J1391" s="5"/>
      <c r="K1391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391" s="5"/>
      <c r="M1391" s="5" t="str">
        <f ca="1">IFERROR(__xludf.DUMMYFUNCTION("""COMPUTED_VALUE"""),"Sârbi")</f>
        <v>Sârbi</v>
      </c>
      <c r="N1391" s="5"/>
      <c r="O1391" s="5"/>
      <c r="P1391" s="5"/>
      <c r="Q1391" s="5"/>
      <c r="R1391" s="5" t="str">
        <f ca="1">IFERROR(__xludf.DUMMYFUNCTION("""COMPUTED_VALUE"""),"România")</f>
        <v>România</v>
      </c>
      <c r="S1391" s="5" t="str">
        <f ca="1">IFERROR(__xludf.DUMMYFUNCTION("""COMPUTED_VALUE"""),"Octavian")</f>
        <v>Octavian</v>
      </c>
      <c r="T1391" s="7" t="str">
        <f ca="1">IFERROR(__xludf.DUMMYFUNCTION("""COMPUTED_VALUE"""),"http://www.ms.ro/2020/08/12/buletin-informativ-12-08-2020")</f>
        <v>http://www.ms.ro/2020/08/12/buletin-informativ-12-08-2020</v>
      </c>
      <c r="U1391" s="5"/>
      <c r="V1391" s="5"/>
      <c r="W1391" s="5"/>
      <c r="X1391" s="5"/>
      <c r="Y1391" s="5"/>
      <c r="Z1391" s="5"/>
      <c r="AA1391" s="5"/>
      <c r="AB1391" s="5"/>
      <c r="AC1391" s="5"/>
    </row>
    <row r="1392" spans="1:29" ht="12.5">
      <c r="A1392" s="5">
        <f ca="1">IFERROR(__xludf.DUMMYFUNCTION("""COMPUTED_VALUE"""),63941)</f>
        <v>63941</v>
      </c>
      <c r="B1392" s="5"/>
      <c r="C1392" s="5" t="str">
        <f ca="1">IFERROR(__xludf.DUMMYFUNCTION("""COMPUTED_VALUE"""),"Bihor")</f>
        <v>Bihor</v>
      </c>
      <c r="D1392" s="13">
        <f ca="1">IFERROR(__xludf.DUMMYFUNCTION("""COMPUTED_VALUE"""),44055)</f>
        <v>44055</v>
      </c>
      <c r="E1392" s="5" t="str">
        <f ca="1">IFERROR(__xludf.DUMMYFUNCTION("""COMPUTED_VALUE"""),"Nu")</f>
        <v>Nu</v>
      </c>
      <c r="F1392" s="5"/>
      <c r="G1392" s="5"/>
      <c r="H1392" s="6"/>
      <c r="I1392" s="5"/>
      <c r="J1392" s="5"/>
      <c r="K1392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392" s="5"/>
      <c r="M1392" s="5" t="str">
        <f ca="1">IFERROR(__xludf.DUMMYFUNCTION("""COMPUTED_VALUE"""),"Copăcel")</f>
        <v>Copăcel</v>
      </c>
      <c r="N1392" s="5"/>
      <c r="O1392" s="5"/>
      <c r="P1392" s="5"/>
      <c r="Q1392" s="5"/>
      <c r="R1392" s="5" t="str">
        <f ca="1">IFERROR(__xludf.DUMMYFUNCTION("""COMPUTED_VALUE"""),"România")</f>
        <v>România</v>
      </c>
      <c r="S1392" s="5" t="str">
        <f ca="1">IFERROR(__xludf.DUMMYFUNCTION("""COMPUTED_VALUE"""),"Octavian")</f>
        <v>Octavian</v>
      </c>
      <c r="T1392" s="7" t="str">
        <f ca="1">IFERROR(__xludf.DUMMYFUNCTION("""COMPUTED_VALUE"""),"http://www.ms.ro/2020/08/12/buletin-informativ-12-08-2020")</f>
        <v>http://www.ms.ro/2020/08/12/buletin-informativ-12-08-2020</v>
      </c>
      <c r="U1392" s="5"/>
      <c r="V1392" s="5"/>
      <c r="W1392" s="5"/>
      <c r="X1392" s="5"/>
      <c r="Y1392" s="5"/>
      <c r="Z1392" s="5"/>
      <c r="AA1392" s="5"/>
      <c r="AB1392" s="5"/>
      <c r="AC1392" s="5"/>
    </row>
    <row r="1393" spans="1:29" ht="12.5">
      <c r="A1393" s="5">
        <f ca="1">IFERROR(__xludf.DUMMYFUNCTION("""COMPUTED_VALUE"""),63942)</f>
        <v>63942</v>
      </c>
      <c r="B1393" s="5"/>
      <c r="C1393" s="5" t="str">
        <f ca="1">IFERROR(__xludf.DUMMYFUNCTION("""COMPUTED_VALUE"""),"Bihor")</f>
        <v>Bihor</v>
      </c>
      <c r="D1393" s="13">
        <f ca="1">IFERROR(__xludf.DUMMYFUNCTION("""COMPUTED_VALUE"""),44055)</f>
        <v>44055</v>
      </c>
      <c r="E1393" s="5" t="str">
        <f ca="1">IFERROR(__xludf.DUMMYFUNCTION("""COMPUTED_VALUE"""),"Nu")</f>
        <v>Nu</v>
      </c>
      <c r="F1393" s="5"/>
      <c r="G1393" s="5"/>
      <c r="H1393" s="6"/>
      <c r="I1393" s="5"/>
      <c r="J1393" s="5"/>
      <c r="K1393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393" s="5"/>
      <c r="M1393" s="5" t="str">
        <f ca="1">IFERROR(__xludf.DUMMYFUNCTION("""COMPUTED_VALUE"""),"Nojorod")</f>
        <v>Nojorod</v>
      </c>
      <c r="N1393" s="5"/>
      <c r="O1393" s="5"/>
      <c r="P1393" s="5"/>
      <c r="Q1393" s="5"/>
      <c r="R1393" s="5" t="str">
        <f ca="1">IFERROR(__xludf.DUMMYFUNCTION("""COMPUTED_VALUE"""),"România")</f>
        <v>România</v>
      </c>
      <c r="S1393" s="5" t="str">
        <f ca="1">IFERROR(__xludf.DUMMYFUNCTION("""COMPUTED_VALUE"""),"Octavian")</f>
        <v>Octavian</v>
      </c>
      <c r="T1393" s="7" t="str">
        <f ca="1">IFERROR(__xludf.DUMMYFUNCTION("""COMPUTED_VALUE"""),"http://www.ms.ro/2020/08/12/buletin-informativ-12-08-2020")</f>
        <v>http://www.ms.ro/2020/08/12/buletin-informativ-12-08-2020</v>
      </c>
      <c r="U1393" s="5"/>
      <c r="V1393" s="5"/>
      <c r="W1393" s="5"/>
      <c r="X1393" s="5"/>
      <c r="Y1393" s="5"/>
      <c r="Z1393" s="5"/>
      <c r="AA1393" s="5"/>
      <c r="AB1393" s="5"/>
      <c r="AC1393" s="5"/>
    </row>
    <row r="1394" spans="1:29" ht="12.5">
      <c r="A1394" s="5">
        <f ca="1">IFERROR(__xludf.DUMMYFUNCTION("""COMPUTED_VALUE"""),63943)</f>
        <v>63943</v>
      </c>
      <c r="B1394" s="5"/>
      <c r="C1394" s="5" t="str">
        <f ca="1">IFERROR(__xludf.DUMMYFUNCTION("""COMPUTED_VALUE"""),"Bihor")</f>
        <v>Bihor</v>
      </c>
      <c r="D1394" s="13">
        <f ca="1">IFERROR(__xludf.DUMMYFUNCTION("""COMPUTED_VALUE"""),44055)</f>
        <v>44055</v>
      </c>
      <c r="E1394" s="5" t="str">
        <f ca="1">IFERROR(__xludf.DUMMYFUNCTION("""COMPUTED_VALUE"""),"Nu")</f>
        <v>Nu</v>
      </c>
      <c r="F1394" s="5"/>
      <c r="G1394" s="5"/>
      <c r="H1394" s="6"/>
      <c r="I1394" s="5"/>
      <c r="J1394" s="5"/>
      <c r="K1394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394" s="5"/>
      <c r="M1394" s="5" t="str">
        <f ca="1">IFERROR(__xludf.DUMMYFUNCTION("""COMPUTED_VALUE"""),"Nucet")</f>
        <v>Nucet</v>
      </c>
      <c r="N1394" s="5"/>
      <c r="O1394" s="5"/>
      <c r="P1394" s="5"/>
      <c r="Q1394" s="5"/>
      <c r="R1394" s="5" t="str">
        <f ca="1">IFERROR(__xludf.DUMMYFUNCTION("""COMPUTED_VALUE"""),"România")</f>
        <v>România</v>
      </c>
      <c r="S1394" s="5" t="str">
        <f ca="1">IFERROR(__xludf.DUMMYFUNCTION("""COMPUTED_VALUE"""),"Octavian")</f>
        <v>Octavian</v>
      </c>
      <c r="T1394" s="7" t="str">
        <f ca="1">IFERROR(__xludf.DUMMYFUNCTION("""COMPUTED_VALUE"""),"http://www.ms.ro/2020/08/12/buletin-informativ-12-08-2020")</f>
        <v>http://www.ms.ro/2020/08/12/buletin-informativ-12-08-2020</v>
      </c>
      <c r="U1394" s="5"/>
      <c r="V1394" s="5"/>
      <c r="W1394" s="5"/>
      <c r="X1394" s="5"/>
      <c r="Y1394" s="5"/>
      <c r="Z1394" s="5"/>
      <c r="AA1394" s="5"/>
      <c r="AB1394" s="5"/>
      <c r="AC1394" s="5"/>
    </row>
    <row r="1395" spans="1:29" ht="12.5">
      <c r="A1395" s="5">
        <f ca="1">IFERROR(__xludf.DUMMYFUNCTION("""COMPUTED_VALUE"""),63944)</f>
        <v>63944</v>
      </c>
      <c r="B1395" s="5"/>
      <c r="C1395" s="5" t="str">
        <f ca="1">IFERROR(__xludf.DUMMYFUNCTION("""COMPUTED_VALUE"""),"Bihor")</f>
        <v>Bihor</v>
      </c>
      <c r="D1395" s="13">
        <f ca="1">IFERROR(__xludf.DUMMYFUNCTION("""COMPUTED_VALUE"""),44055)</f>
        <v>44055</v>
      </c>
      <c r="E1395" s="5" t="str">
        <f ca="1">IFERROR(__xludf.DUMMYFUNCTION("""COMPUTED_VALUE"""),"Nu")</f>
        <v>Nu</v>
      </c>
      <c r="F1395" s="5"/>
      <c r="G1395" s="5"/>
      <c r="H1395" s="6"/>
      <c r="I1395" s="5"/>
      <c r="J1395" s="5"/>
      <c r="K1395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395" s="5"/>
      <c r="M1395" s="5" t="str">
        <f ca="1">IFERROR(__xludf.DUMMYFUNCTION("""COMPUTED_VALUE"""),"Oșorhei")</f>
        <v>Oșorhei</v>
      </c>
      <c r="N1395" s="5"/>
      <c r="O1395" s="5"/>
      <c r="P1395" s="5"/>
      <c r="Q1395" s="5"/>
      <c r="R1395" s="5" t="str">
        <f ca="1">IFERROR(__xludf.DUMMYFUNCTION("""COMPUTED_VALUE"""),"România")</f>
        <v>România</v>
      </c>
      <c r="S1395" s="5" t="str">
        <f ca="1">IFERROR(__xludf.DUMMYFUNCTION("""COMPUTED_VALUE"""),"Octavian")</f>
        <v>Octavian</v>
      </c>
      <c r="T1395" s="7" t="str">
        <f ca="1">IFERROR(__xludf.DUMMYFUNCTION("""COMPUTED_VALUE"""),"http://www.ms.ro/2020/08/12/buletin-informativ-12-08-2020")</f>
        <v>http://www.ms.ro/2020/08/12/buletin-informativ-12-08-2020</v>
      </c>
      <c r="U1395" s="5"/>
      <c r="V1395" s="5"/>
      <c r="W1395" s="5"/>
      <c r="X1395" s="5"/>
      <c r="Y1395" s="5"/>
      <c r="Z1395" s="5"/>
      <c r="AA1395" s="5"/>
      <c r="AB1395" s="5"/>
      <c r="AC1395" s="5"/>
    </row>
    <row r="1396" spans="1:29" ht="12.5">
      <c r="A1396" s="5">
        <f ca="1">IFERROR(__xludf.DUMMYFUNCTION("""COMPUTED_VALUE"""),63945)</f>
        <v>63945</v>
      </c>
      <c r="B1396" s="5"/>
      <c r="C1396" s="5" t="str">
        <f ca="1">IFERROR(__xludf.DUMMYFUNCTION("""COMPUTED_VALUE"""),"Bihor")</f>
        <v>Bihor</v>
      </c>
      <c r="D1396" s="13">
        <f ca="1">IFERROR(__xludf.DUMMYFUNCTION("""COMPUTED_VALUE"""),44055)</f>
        <v>44055</v>
      </c>
      <c r="E1396" s="5" t="str">
        <f ca="1">IFERROR(__xludf.DUMMYFUNCTION("""COMPUTED_VALUE"""),"Nu")</f>
        <v>Nu</v>
      </c>
      <c r="F1396" s="5"/>
      <c r="G1396" s="5"/>
      <c r="H1396" s="6"/>
      <c r="I1396" s="5"/>
      <c r="J1396" s="5"/>
      <c r="K1396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396" s="5"/>
      <c r="M1396" s="5" t="str">
        <f ca="1">IFERROR(__xludf.DUMMYFUNCTION("""COMPUTED_VALUE"""),"Buntești")</f>
        <v>Buntești</v>
      </c>
      <c r="N1396" s="5"/>
      <c r="O1396" s="5"/>
      <c r="P1396" s="5"/>
      <c r="Q1396" s="5"/>
      <c r="R1396" s="5" t="str">
        <f ca="1">IFERROR(__xludf.DUMMYFUNCTION("""COMPUTED_VALUE"""),"România")</f>
        <v>România</v>
      </c>
      <c r="S1396" s="5" t="str">
        <f ca="1">IFERROR(__xludf.DUMMYFUNCTION("""COMPUTED_VALUE"""),"Octavian")</f>
        <v>Octavian</v>
      </c>
      <c r="T1396" s="7" t="str">
        <f ca="1">IFERROR(__xludf.DUMMYFUNCTION("""COMPUTED_VALUE"""),"http://www.ms.ro/2020/08/12/buletin-informativ-12-08-2020")</f>
        <v>http://www.ms.ro/2020/08/12/buletin-informativ-12-08-2020</v>
      </c>
      <c r="U1396" s="5"/>
      <c r="V1396" s="5"/>
      <c r="W1396" s="5"/>
      <c r="X1396" s="5"/>
      <c r="Y1396" s="5"/>
      <c r="Z1396" s="5"/>
      <c r="AA1396" s="5"/>
      <c r="AB1396" s="5"/>
      <c r="AC1396" s="5"/>
    </row>
    <row r="1397" spans="1:29" ht="12.5">
      <c r="A1397" s="5">
        <f ca="1">IFERROR(__xludf.DUMMYFUNCTION("""COMPUTED_VALUE"""),63946)</f>
        <v>63946</v>
      </c>
      <c r="B1397" s="5"/>
      <c r="C1397" s="5" t="str">
        <f ca="1">IFERROR(__xludf.DUMMYFUNCTION("""COMPUTED_VALUE"""),"Bihor")</f>
        <v>Bihor</v>
      </c>
      <c r="D1397" s="13">
        <f ca="1">IFERROR(__xludf.DUMMYFUNCTION("""COMPUTED_VALUE"""),44055)</f>
        <v>44055</v>
      </c>
      <c r="E1397" s="5" t="str">
        <f ca="1">IFERROR(__xludf.DUMMYFUNCTION("""COMPUTED_VALUE"""),"Nu")</f>
        <v>Nu</v>
      </c>
      <c r="F1397" s="5"/>
      <c r="G1397" s="5"/>
      <c r="H1397" s="6"/>
      <c r="I1397" s="5"/>
      <c r="J1397" s="5"/>
      <c r="K1397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397" s="5"/>
      <c r="M1397" s="5" t="str">
        <f ca="1">IFERROR(__xludf.DUMMYFUNCTION("""COMPUTED_VALUE"""),"Dobrești")</f>
        <v>Dobrești</v>
      </c>
      <c r="N1397" s="5"/>
      <c r="O1397" s="5"/>
      <c r="P1397" s="5"/>
      <c r="Q1397" s="5"/>
      <c r="R1397" s="5" t="str">
        <f ca="1">IFERROR(__xludf.DUMMYFUNCTION("""COMPUTED_VALUE"""),"România")</f>
        <v>România</v>
      </c>
      <c r="S1397" s="5" t="str">
        <f ca="1">IFERROR(__xludf.DUMMYFUNCTION("""COMPUTED_VALUE"""),"Octavian")</f>
        <v>Octavian</v>
      </c>
      <c r="T1397" s="7" t="str">
        <f ca="1">IFERROR(__xludf.DUMMYFUNCTION("""COMPUTED_VALUE"""),"http://www.ms.ro/2020/08/12/buletin-informativ-12-08-2020")</f>
        <v>http://www.ms.ro/2020/08/12/buletin-informativ-12-08-2020</v>
      </c>
      <c r="U1397" s="5"/>
      <c r="V1397" s="5"/>
      <c r="W1397" s="5"/>
      <c r="X1397" s="5"/>
      <c r="Y1397" s="5"/>
      <c r="Z1397" s="5"/>
      <c r="AA1397" s="5"/>
      <c r="AB1397" s="5"/>
      <c r="AC1397" s="5"/>
    </row>
    <row r="1398" spans="1:29" ht="12.5">
      <c r="A1398" s="5">
        <f ca="1">IFERROR(__xludf.DUMMYFUNCTION("""COMPUTED_VALUE"""),63947)</f>
        <v>63947</v>
      </c>
      <c r="B1398" s="5"/>
      <c r="C1398" s="5" t="str">
        <f ca="1">IFERROR(__xludf.DUMMYFUNCTION("""COMPUTED_VALUE"""),"Bihor")</f>
        <v>Bihor</v>
      </c>
      <c r="D1398" s="13">
        <f ca="1">IFERROR(__xludf.DUMMYFUNCTION("""COMPUTED_VALUE"""),44055)</f>
        <v>44055</v>
      </c>
      <c r="E1398" s="5" t="str">
        <f ca="1">IFERROR(__xludf.DUMMYFUNCTION("""COMPUTED_VALUE"""),"Nu")</f>
        <v>Nu</v>
      </c>
      <c r="F1398" s="5"/>
      <c r="G1398" s="5"/>
      <c r="H1398" s="6"/>
      <c r="I1398" s="5"/>
      <c r="J1398" s="5"/>
      <c r="K1398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398" s="5"/>
      <c r="M1398" s="5" t="str">
        <f ca="1">IFERROR(__xludf.DUMMYFUNCTION("""COMPUTED_VALUE"""),"Pomezeu")</f>
        <v>Pomezeu</v>
      </c>
      <c r="N1398" s="5"/>
      <c r="O1398" s="5"/>
      <c r="P1398" s="5"/>
      <c r="Q1398" s="5"/>
      <c r="R1398" s="5" t="str">
        <f ca="1">IFERROR(__xludf.DUMMYFUNCTION("""COMPUTED_VALUE"""),"România")</f>
        <v>România</v>
      </c>
      <c r="S1398" s="5" t="str">
        <f ca="1">IFERROR(__xludf.DUMMYFUNCTION("""COMPUTED_VALUE"""),"Octavian")</f>
        <v>Octavian</v>
      </c>
      <c r="T1398" s="7" t="str">
        <f ca="1">IFERROR(__xludf.DUMMYFUNCTION("""COMPUTED_VALUE"""),"http://www.ms.ro/2020/08/12/buletin-informativ-12-08-2020")</f>
        <v>http://www.ms.ro/2020/08/12/buletin-informativ-12-08-2020</v>
      </c>
      <c r="U1398" s="5"/>
      <c r="V1398" s="5"/>
      <c r="W1398" s="5"/>
      <c r="X1398" s="5"/>
      <c r="Y1398" s="5"/>
      <c r="Z1398" s="5"/>
      <c r="AA1398" s="5"/>
      <c r="AB1398" s="5"/>
      <c r="AC1398" s="5"/>
    </row>
    <row r="1399" spans="1:29" ht="12.5">
      <c r="A1399" s="5">
        <f ca="1">IFERROR(__xludf.DUMMYFUNCTION("""COMPUTED_VALUE"""),63948)</f>
        <v>63948</v>
      </c>
      <c r="B1399" s="5"/>
      <c r="C1399" s="5" t="str">
        <f ca="1">IFERROR(__xludf.DUMMYFUNCTION("""COMPUTED_VALUE"""),"Bihor")</f>
        <v>Bihor</v>
      </c>
      <c r="D1399" s="13">
        <f ca="1">IFERROR(__xludf.DUMMYFUNCTION("""COMPUTED_VALUE"""),44055)</f>
        <v>44055</v>
      </c>
      <c r="E1399" s="5" t="str">
        <f ca="1">IFERROR(__xludf.DUMMYFUNCTION("""COMPUTED_VALUE"""),"Nu")</f>
        <v>Nu</v>
      </c>
      <c r="F1399" s="5"/>
      <c r="G1399" s="5"/>
      <c r="H1399" s="6"/>
      <c r="I1399" s="5"/>
      <c r="J1399" s="5"/>
      <c r="K1399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399" s="5"/>
      <c r="M1399" s="5" t="str">
        <f ca="1">IFERROR(__xludf.DUMMYFUNCTION("""COMPUTED_VALUE"""),"Ștei")</f>
        <v>Ștei</v>
      </c>
      <c r="N1399" s="5"/>
      <c r="O1399" s="5"/>
      <c r="P1399" s="5"/>
      <c r="Q1399" s="5"/>
      <c r="R1399" s="5" t="str">
        <f ca="1">IFERROR(__xludf.DUMMYFUNCTION("""COMPUTED_VALUE"""),"România")</f>
        <v>România</v>
      </c>
      <c r="S1399" s="5" t="str">
        <f ca="1">IFERROR(__xludf.DUMMYFUNCTION("""COMPUTED_VALUE"""),"Octavian")</f>
        <v>Octavian</v>
      </c>
      <c r="T1399" s="7" t="str">
        <f ca="1">IFERROR(__xludf.DUMMYFUNCTION("""COMPUTED_VALUE"""),"http://www.ms.ro/2020/08/12/buletin-informativ-12-08-2020")</f>
        <v>http://www.ms.ro/2020/08/12/buletin-informativ-12-08-2020</v>
      </c>
      <c r="U1399" s="5"/>
      <c r="V1399" s="5"/>
      <c r="W1399" s="5"/>
      <c r="X1399" s="5"/>
      <c r="Y1399" s="5"/>
      <c r="Z1399" s="5"/>
      <c r="AA1399" s="5"/>
      <c r="AB1399" s="5"/>
      <c r="AC1399" s="5"/>
    </row>
    <row r="1400" spans="1:29" ht="12.5">
      <c r="A1400" s="5">
        <f ca="1">IFERROR(__xludf.DUMMYFUNCTION("""COMPUTED_VALUE"""),63949)</f>
        <v>63949</v>
      </c>
      <c r="B1400" s="5"/>
      <c r="C1400" s="5" t="str">
        <f ca="1">IFERROR(__xludf.DUMMYFUNCTION("""COMPUTED_VALUE"""),"Bihor")</f>
        <v>Bihor</v>
      </c>
      <c r="D1400" s="13">
        <f ca="1">IFERROR(__xludf.DUMMYFUNCTION("""COMPUTED_VALUE"""),44055)</f>
        <v>44055</v>
      </c>
      <c r="E1400" s="5" t="str">
        <f ca="1">IFERROR(__xludf.DUMMYFUNCTION("""COMPUTED_VALUE"""),"Nu")</f>
        <v>Nu</v>
      </c>
      <c r="F1400" s="5"/>
      <c r="G1400" s="5"/>
      <c r="H1400" s="6"/>
      <c r="I1400" s="5"/>
      <c r="J1400" s="5"/>
      <c r="K1400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400" s="5"/>
      <c r="M1400" s="5" t="str">
        <f ca="1">IFERROR(__xludf.DUMMYFUNCTION("""COMPUTED_VALUE"""),"Finiș")</f>
        <v>Finiș</v>
      </c>
      <c r="N1400" s="5"/>
      <c r="O1400" s="5"/>
      <c r="P1400" s="5"/>
      <c r="Q1400" s="5"/>
      <c r="R1400" s="5" t="str">
        <f ca="1">IFERROR(__xludf.DUMMYFUNCTION("""COMPUTED_VALUE"""),"România")</f>
        <v>România</v>
      </c>
      <c r="S1400" s="5" t="str">
        <f ca="1">IFERROR(__xludf.DUMMYFUNCTION("""COMPUTED_VALUE"""),"Octavian")</f>
        <v>Octavian</v>
      </c>
      <c r="T1400" s="7" t="str">
        <f ca="1">IFERROR(__xludf.DUMMYFUNCTION("""COMPUTED_VALUE"""),"http://www.ms.ro/2020/08/12/buletin-informativ-12-08-2020")</f>
        <v>http://www.ms.ro/2020/08/12/buletin-informativ-12-08-2020</v>
      </c>
      <c r="U1400" s="5"/>
      <c r="V1400" s="5"/>
      <c r="W1400" s="5"/>
      <c r="X1400" s="5"/>
      <c r="Y1400" s="5"/>
      <c r="Z1400" s="5"/>
      <c r="AA1400" s="5"/>
      <c r="AB1400" s="5"/>
      <c r="AC1400" s="5"/>
    </row>
    <row r="1401" spans="1:29" ht="12.5">
      <c r="A1401" s="5">
        <f ca="1">IFERROR(__xludf.DUMMYFUNCTION("""COMPUTED_VALUE"""),63950)</f>
        <v>63950</v>
      </c>
      <c r="B1401" s="5"/>
      <c r="C1401" s="5" t="str">
        <f ca="1">IFERROR(__xludf.DUMMYFUNCTION("""COMPUTED_VALUE"""),"Bihor")</f>
        <v>Bihor</v>
      </c>
      <c r="D1401" s="13">
        <f ca="1">IFERROR(__xludf.DUMMYFUNCTION("""COMPUTED_VALUE"""),44055)</f>
        <v>44055</v>
      </c>
      <c r="E1401" s="5" t="str">
        <f ca="1">IFERROR(__xludf.DUMMYFUNCTION("""COMPUTED_VALUE"""),"Nu")</f>
        <v>Nu</v>
      </c>
      <c r="F1401" s="5"/>
      <c r="G1401" s="5"/>
      <c r="H1401" s="6"/>
      <c r="I1401" s="5"/>
      <c r="J1401" s="5"/>
      <c r="K1401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401" s="5"/>
      <c r="M1401" s="5" t="str">
        <f ca="1">IFERROR(__xludf.DUMMYFUNCTION("""COMPUTED_VALUE"""),"Ineu")</f>
        <v>Ineu</v>
      </c>
      <c r="N1401" s="5"/>
      <c r="O1401" s="5"/>
      <c r="P1401" s="5"/>
      <c r="Q1401" s="5"/>
      <c r="R1401" s="5" t="str">
        <f ca="1">IFERROR(__xludf.DUMMYFUNCTION("""COMPUTED_VALUE"""),"România")</f>
        <v>România</v>
      </c>
      <c r="S1401" s="5" t="str">
        <f ca="1">IFERROR(__xludf.DUMMYFUNCTION("""COMPUTED_VALUE"""),"Octavian")</f>
        <v>Octavian</v>
      </c>
      <c r="T1401" s="7" t="str">
        <f ca="1">IFERROR(__xludf.DUMMYFUNCTION("""COMPUTED_VALUE"""),"http://www.ms.ro/2020/08/12/buletin-informativ-12-08-2020")</f>
        <v>http://www.ms.ro/2020/08/12/buletin-informativ-12-08-2020</v>
      </c>
      <c r="U1401" s="5"/>
      <c r="V1401" s="5"/>
      <c r="W1401" s="5"/>
      <c r="X1401" s="5"/>
      <c r="Y1401" s="5"/>
      <c r="Z1401" s="5"/>
      <c r="AA1401" s="5"/>
      <c r="AB1401" s="5"/>
      <c r="AC1401" s="5"/>
    </row>
    <row r="1402" spans="1:29" ht="12.5">
      <c r="A1402" s="5">
        <f ca="1">IFERROR(__xludf.DUMMYFUNCTION("""COMPUTED_VALUE"""),63951)</f>
        <v>63951</v>
      </c>
      <c r="B1402" s="5"/>
      <c r="C1402" s="5" t="str">
        <f ca="1">IFERROR(__xludf.DUMMYFUNCTION("""COMPUTED_VALUE"""),"Bihor")</f>
        <v>Bihor</v>
      </c>
      <c r="D1402" s="13">
        <f ca="1">IFERROR(__xludf.DUMMYFUNCTION("""COMPUTED_VALUE"""),44055)</f>
        <v>44055</v>
      </c>
      <c r="E1402" s="5" t="str">
        <f ca="1">IFERROR(__xludf.DUMMYFUNCTION("""COMPUTED_VALUE"""),"Nu")</f>
        <v>Nu</v>
      </c>
      <c r="F1402" s="5"/>
      <c r="G1402" s="5"/>
      <c r="H1402" s="6"/>
      <c r="I1402" s="5"/>
      <c r="J1402" s="5"/>
      <c r="K1402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402" s="5"/>
      <c r="M1402" s="5" t="str">
        <f ca="1">IFERROR(__xludf.DUMMYFUNCTION("""COMPUTED_VALUE"""),"Tinca")</f>
        <v>Tinca</v>
      </c>
      <c r="N1402" s="5"/>
      <c r="O1402" s="5"/>
      <c r="P1402" s="5"/>
      <c r="Q1402" s="5"/>
      <c r="R1402" s="5" t="str">
        <f ca="1">IFERROR(__xludf.DUMMYFUNCTION("""COMPUTED_VALUE"""),"România")</f>
        <v>România</v>
      </c>
      <c r="S1402" s="5" t="str">
        <f ca="1">IFERROR(__xludf.DUMMYFUNCTION("""COMPUTED_VALUE"""),"Octavian")</f>
        <v>Octavian</v>
      </c>
      <c r="T1402" s="7" t="str">
        <f ca="1">IFERROR(__xludf.DUMMYFUNCTION("""COMPUTED_VALUE"""),"http://www.ms.ro/2020/08/12/buletin-informativ-12-08-2020")</f>
        <v>http://www.ms.ro/2020/08/12/buletin-informativ-12-08-2020</v>
      </c>
      <c r="U1402" s="5"/>
      <c r="V1402" s="5"/>
      <c r="W1402" s="5"/>
      <c r="X1402" s="5"/>
      <c r="Y1402" s="5"/>
      <c r="Z1402" s="5"/>
      <c r="AA1402" s="5"/>
      <c r="AB1402" s="5"/>
      <c r="AC1402" s="5"/>
    </row>
    <row r="1403" spans="1:29" ht="12.5">
      <c r="A1403" s="5">
        <f ca="1">IFERROR(__xludf.DUMMYFUNCTION("""COMPUTED_VALUE"""),63952)</f>
        <v>63952</v>
      </c>
      <c r="B1403" s="5"/>
      <c r="C1403" s="5" t="str">
        <f ca="1">IFERROR(__xludf.DUMMYFUNCTION("""COMPUTED_VALUE"""),"Bihor")</f>
        <v>Bihor</v>
      </c>
      <c r="D1403" s="13">
        <f ca="1">IFERROR(__xludf.DUMMYFUNCTION("""COMPUTED_VALUE"""),44055)</f>
        <v>44055</v>
      </c>
      <c r="E1403" s="5" t="str">
        <f ca="1">IFERROR(__xludf.DUMMYFUNCTION("""COMPUTED_VALUE"""),"Nu")</f>
        <v>Nu</v>
      </c>
      <c r="F1403" s="5"/>
      <c r="G1403" s="5"/>
      <c r="H1403" s="6"/>
      <c r="I1403" s="5"/>
      <c r="J1403" s="5"/>
      <c r="K1403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403" s="5"/>
      <c r="M1403" s="5" t="str">
        <f ca="1">IFERROR(__xludf.DUMMYFUNCTION("""COMPUTED_VALUE"""),"Batâr")</f>
        <v>Batâr</v>
      </c>
      <c r="N1403" s="5"/>
      <c r="O1403" s="5"/>
      <c r="P1403" s="5"/>
      <c r="Q1403" s="5"/>
      <c r="R1403" s="5" t="str">
        <f ca="1">IFERROR(__xludf.DUMMYFUNCTION("""COMPUTED_VALUE"""),"România")</f>
        <v>România</v>
      </c>
      <c r="S1403" s="5" t="str">
        <f ca="1">IFERROR(__xludf.DUMMYFUNCTION("""COMPUTED_VALUE"""),"Octavian")</f>
        <v>Octavian</v>
      </c>
      <c r="T1403" s="7" t="str">
        <f ca="1">IFERROR(__xludf.DUMMYFUNCTION("""COMPUTED_VALUE"""),"http://www.ms.ro/2020/08/12/buletin-informativ-12-08-2020")</f>
        <v>http://www.ms.ro/2020/08/12/buletin-informativ-12-08-2020</v>
      </c>
      <c r="U1403" s="5"/>
      <c r="V1403" s="5"/>
      <c r="W1403" s="5"/>
      <c r="X1403" s="5"/>
      <c r="Y1403" s="5"/>
      <c r="Z1403" s="5"/>
      <c r="AA1403" s="5"/>
      <c r="AB1403" s="5"/>
      <c r="AC1403" s="5"/>
    </row>
    <row r="1404" spans="1:29" ht="12.5">
      <c r="A1404" s="5">
        <f ca="1">IFERROR(__xludf.DUMMYFUNCTION("""COMPUTED_VALUE"""),63953)</f>
        <v>63953</v>
      </c>
      <c r="B1404" s="5"/>
      <c r="C1404" s="5" t="str">
        <f ca="1">IFERROR(__xludf.DUMMYFUNCTION("""COMPUTED_VALUE"""),"Bihor")</f>
        <v>Bihor</v>
      </c>
      <c r="D1404" s="13">
        <f ca="1">IFERROR(__xludf.DUMMYFUNCTION("""COMPUTED_VALUE"""),44055)</f>
        <v>44055</v>
      </c>
      <c r="E1404" s="5" t="str">
        <f ca="1">IFERROR(__xludf.DUMMYFUNCTION("""COMPUTED_VALUE"""),"Nu")</f>
        <v>Nu</v>
      </c>
      <c r="F1404" s="5"/>
      <c r="G1404" s="5"/>
      <c r="H1404" s="6"/>
      <c r="I1404" s="5" t="str">
        <f ca="1">IFERROR(__xludf.DUMMYFUNCTION("""COMPUTED_VALUE"""),"Feminin")</f>
        <v>Feminin</v>
      </c>
      <c r="J1404" s="5"/>
      <c r="K1404" s="7" t="str">
        <f ca="1">IFERROR(__xludf.DUMMYFUNCTION("""COMPUTED_VALUE"""),"https://www.ebihoreanul.ro/stiri/o-angajata-de-la-finante-din-oradea-confirmata-cu-covid-19-colegele-ei-trimise-sa-lucreze-de-acasa-158194.html")</f>
        <v>https://www.ebihoreanul.ro/stiri/o-angajata-de-la-finante-din-oradea-confirmata-cu-covid-19-colegele-ei-trimise-sa-lucreze-de-acasa-158194.html</v>
      </c>
      <c r="L1404" s="5"/>
      <c r="M1404" s="5" t="str">
        <f ca="1">IFERROR(__xludf.DUMMYFUNCTION("""COMPUTED_VALUE"""),"Oradea")</f>
        <v>Oradea</v>
      </c>
      <c r="N1404" s="5" t="str">
        <f ca="1">IFERROR(__xludf.DUMMYFUNCTION("""COMPUTED_VALUE"""),"Nu")</f>
        <v>Nu</v>
      </c>
      <c r="O1404" s="5"/>
      <c r="P1404" s="5" t="str">
        <f ca="1">IFERROR(__xludf.DUMMYFUNCTION("""COMPUTED_VALUE"""),"AJFP Bihor-Serviciu Analiză și Sinteză, angajată.")</f>
        <v>AJFP Bihor-Serviciu Analiză și Sinteză, angajată.</v>
      </c>
      <c r="Q1404" s="5"/>
      <c r="R1404" s="5" t="str">
        <f ca="1">IFERROR(__xludf.DUMMYFUNCTION("""COMPUTED_VALUE"""),"România")</f>
        <v>România</v>
      </c>
      <c r="S1404" s="5" t="str">
        <f ca="1">IFERROR(__xludf.DUMMYFUNCTION("""COMPUTED_VALUE"""),"Octavian")</f>
        <v>Octavian</v>
      </c>
      <c r="T1404" s="7" t="str">
        <f ca="1">IFERROR(__xludf.DUMMYFUNCTION("""COMPUTED_VALUE"""),"http://www.ms.ro/2020/08/12/buletin-informativ-12-08-2020")</f>
        <v>http://www.ms.ro/2020/08/12/buletin-informativ-12-08-2020</v>
      </c>
      <c r="U1404" s="5"/>
      <c r="V1404" s="5"/>
      <c r="W1404" s="5"/>
      <c r="X1404" s="5"/>
      <c r="Y1404" s="5"/>
      <c r="Z1404" s="5"/>
      <c r="AA1404" s="5"/>
      <c r="AB1404" s="5"/>
      <c r="AC1404" s="5"/>
    </row>
    <row r="1405" spans="1:29" ht="12.5">
      <c r="A1405" s="5">
        <f ca="1">IFERROR(__xludf.DUMMYFUNCTION("""COMPUTED_VALUE"""),63954)</f>
        <v>63954</v>
      </c>
      <c r="B1405" s="5"/>
      <c r="C1405" s="5" t="str">
        <f ca="1">IFERROR(__xludf.DUMMYFUNCTION("""COMPUTED_VALUE"""),"Bihor")</f>
        <v>Bihor</v>
      </c>
      <c r="D1405" s="13">
        <f ca="1">IFERROR(__xludf.DUMMYFUNCTION("""COMPUTED_VALUE"""),44055)</f>
        <v>44055</v>
      </c>
      <c r="E1405" s="5" t="str">
        <f ca="1">IFERROR(__xludf.DUMMYFUNCTION("""COMPUTED_VALUE"""),"Nu")</f>
        <v>Nu</v>
      </c>
      <c r="F1405" s="5"/>
      <c r="G1405" s="5"/>
      <c r="H1405" s="6"/>
      <c r="I1405" s="5"/>
      <c r="J1405" s="5"/>
      <c r="K1405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405" s="5"/>
      <c r="M1405" s="5"/>
      <c r="N1405" s="5"/>
      <c r="O1405" s="5"/>
      <c r="P1405" s="5"/>
      <c r="Q1405" s="5"/>
      <c r="R1405" s="5" t="str">
        <f ca="1">IFERROR(__xludf.DUMMYFUNCTION("""COMPUTED_VALUE"""),"România")</f>
        <v>România</v>
      </c>
      <c r="S1405" s="5" t="str">
        <f ca="1">IFERROR(__xludf.DUMMYFUNCTION("""COMPUTED_VALUE"""),"Octavian")</f>
        <v>Octavian</v>
      </c>
      <c r="T1405" s="7" t="str">
        <f ca="1">IFERROR(__xludf.DUMMYFUNCTION("""COMPUTED_VALUE"""),"http://www.ms.ro/2020/08/12/buletin-informativ-12-08-2020")</f>
        <v>http://www.ms.ro/2020/08/12/buletin-informativ-12-08-2020</v>
      </c>
      <c r="U1405" s="5"/>
      <c r="V1405" s="5"/>
      <c r="W1405" s="5"/>
      <c r="X1405" s="5"/>
      <c r="Y1405" s="5"/>
      <c r="Z1405" s="5"/>
      <c r="AA1405" s="5"/>
      <c r="AB1405" s="5"/>
      <c r="AC1405" s="5"/>
    </row>
    <row r="1406" spans="1:29" ht="12.5">
      <c r="A1406" s="5">
        <f ca="1">IFERROR(__xludf.DUMMYFUNCTION("""COMPUTED_VALUE"""),63955)</f>
        <v>63955</v>
      </c>
      <c r="B1406" s="5"/>
      <c r="C1406" s="5" t="str">
        <f ca="1">IFERROR(__xludf.DUMMYFUNCTION("""COMPUTED_VALUE"""),"Bihor")</f>
        <v>Bihor</v>
      </c>
      <c r="D1406" s="13">
        <f ca="1">IFERROR(__xludf.DUMMYFUNCTION("""COMPUTED_VALUE"""),44055)</f>
        <v>44055</v>
      </c>
      <c r="E1406" s="5" t="str">
        <f ca="1">IFERROR(__xludf.DUMMYFUNCTION("""COMPUTED_VALUE"""),"Nu")</f>
        <v>Nu</v>
      </c>
      <c r="F1406" s="5"/>
      <c r="G1406" s="5"/>
      <c r="H1406" s="6"/>
      <c r="I1406" s="5"/>
      <c r="J1406" s="5"/>
      <c r="K1406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406" s="5"/>
      <c r="M1406" s="5"/>
      <c r="N1406" s="5"/>
      <c r="O1406" s="5"/>
      <c r="P1406" s="5"/>
      <c r="Q1406" s="5"/>
      <c r="R1406" s="5" t="str">
        <f ca="1">IFERROR(__xludf.DUMMYFUNCTION("""COMPUTED_VALUE"""),"România")</f>
        <v>România</v>
      </c>
      <c r="S1406" s="5" t="str">
        <f ca="1">IFERROR(__xludf.DUMMYFUNCTION("""COMPUTED_VALUE"""),"Octavian")</f>
        <v>Octavian</v>
      </c>
      <c r="T1406" s="7" t="str">
        <f ca="1">IFERROR(__xludf.DUMMYFUNCTION("""COMPUTED_VALUE"""),"http://www.ms.ro/2020/08/12/buletin-informativ-12-08-2020")</f>
        <v>http://www.ms.ro/2020/08/12/buletin-informativ-12-08-2020</v>
      </c>
      <c r="U1406" s="5"/>
      <c r="V1406" s="5"/>
      <c r="W1406" s="5"/>
      <c r="X1406" s="5"/>
      <c r="Y1406" s="5"/>
      <c r="Z1406" s="5"/>
      <c r="AA1406" s="5"/>
      <c r="AB1406" s="5"/>
      <c r="AC1406" s="5"/>
    </row>
    <row r="1407" spans="1:29" ht="12.5">
      <c r="A1407" s="5">
        <f ca="1">IFERROR(__xludf.DUMMYFUNCTION("""COMPUTED_VALUE"""),63956)</f>
        <v>63956</v>
      </c>
      <c r="B1407" s="5"/>
      <c r="C1407" s="5" t="str">
        <f ca="1">IFERROR(__xludf.DUMMYFUNCTION("""COMPUTED_VALUE"""),"Bihor")</f>
        <v>Bihor</v>
      </c>
      <c r="D1407" s="13">
        <f ca="1">IFERROR(__xludf.DUMMYFUNCTION("""COMPUTED_VALUE"""),44055)</f>
        <v>44055</v>
      </c>
      <c r="E1407" s="5" t="str">
        <f ca="1">IFERROR(__xludf.DUMMYFUNCTION("""COMPUTED_VALUE"""),"Nu")</f>
        <v>Nu</v>
      </c>
      <c r="F1407" s="5"/>
      <c r="G1407" s="5"/>
      <c r="H1407" s="6"/>
      <c r="I1407" s="5"/>
      <c r="J1407" s="5"/>
      <c r="K1407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407" s="5"/>
      <c r="M1407" s="5"/>
      <c r="N1407" s="5"/>
      <c r="O1407" s="5"/>
      <c r="P1407" s="5"/>
      <c r="Q1407" s="5"/>
      <c r="R1407" s="5" t="str">
        <f ca="1">IFERROR(__xludf.DUMMYFUNCTION("""COMPUTED_VALUE"""),"România")</f>
        <v>România</v>
      </c>
      <c r="S1407" s="5" t="str">
        <f ca="1">IFERROR(__xludf.DUMMYFUNCTION("""COMPUTED_VALUE"""),"Octavian")</f>
        <v>Octavian</v>
      </c>
      <c r="T1407" s="7" t="str">
        <f ca="1">IFERROR(__xludf.DUMMYFUNCTION("""COMPUTED_VALUE"""),"http://www.ms.ro/2020/08/12/buletin-informativ-12-08-2020")</f>
        <v>http://www.ms.ro/2020/08/12/buletin-informativ-12-08-2020</v>
      </c>
      <c r="U1407" s="5"/>
      <c r="V1407" s="5"/>
      <c r="W1407" s="5"/>
      <c r="X1407" s="5"/>
      <c r="Y1407" s="5"/>
      <c r="Z1407" s="5"/>
      <c r="AA1407" s="5"/>
      <c r="AB1407" s="5"/>
      <c r="AC1407" s="5"/>
    </row>
    <row r="1408" spans="1:29" ht="12.5">
      <c r="A1408" s="5">
        <f ca="1">IFERROR(__xludf.DUMMYFUNCTION("""COMPUTED_VALUE"""),63957)</f>
        <v>63957</v>
      </c>
      <c r="B1408" s="5"/>
      <c r="C1408" s="5" t="str">
        <f ca="1">IFERROR(__xludf.DUMMYFUNCTION("""COMPUTED_VALUE"""),"Bihor")</f>
        <v>Bihor</v>
      </c>
      <c r="D1408" s="13">
        <f ca="1">IFERROR(__xludf.DUMMYFUNCTION("""COMPUTED_VALUE"""),44055)</f>
        <v>44055</v>
      </c>
      <c r="E1408" s="5" t="str">
        <f ca="1">IFERROR(__xludf.DUMMYFUNCTION("""COMPUTED_VALUE"""),"Nu")</f>
        <v>Nu</v>
      </c>
      <c r="F1408" s="5"/>
      <c r="G1408" s="5"/>
      <c r="H1408" s="6"/>
      <c r="I1408" s="5"/>
      <c r="J1408" s="5"/>
      <c r="K1408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408" s="5"/>
      <c r="M1408" s="5"/>
      <c r="N1408" s="5"/>
      <c r="O1408" s="5"/>
      <c r="P1408" s="5"/>
      <c r="Q1408" s="5"/>
      <c r="R1408" s="5" t="str">
        <f ca="1">IFERROR(__xludf.DUMMYFUNCTION("""COMPUTED_VALUE"""),"România")</f>
        <v>România</v>
      </c>
      <c r="S1408" s="5" t="str">
        <f ca="1">IFERROR(__xludf.DUMMYFUNCTION("""COMPUTED_VALUE"""),"Octavian")</f>
        <v>Octavian</v>
      </c>
      <c r="T1408" s="7" t="str">
        <f ca="1">IFERROR(__xludf.DUMMYFUNCTION("""COMPUTED_VALUE"""),"http://www.ms.ro/2020/08/12/buletin-informativ-12-08-2020")</f>
        <v>http://www.ms.ro/2020/08/12/buletin-informativ-12-08-2020</v>
      </c>
      <c r="U1408" s="5"/>
      <c r="V1408" s="5"/>
      <c r="W1408" s="5"/>
      <c r="X1408" s="5"/>
      <c r="Y1408" s="5"/>
      <c r="Z1408" s="5"/>
      <c r="AA1408" s="5"/>
      <c r="AB1408" s="5"/>
      <c r="AC1408" s="5"/>
    </row>
    <row r="1409" spans="1:29" ht="12.5">
      <c r="A1409" s="5">
        <f ca="1">IFERROR(__xludf.DUMMYFUNCTION("""COMPUTED_VALUE"""),63958)</f>
        <v>63958</v>
      </c>
      <c r="B1409" s="5"/>
      <c r="C1409" s="5" t="str">
        <f ca="1">IFERROR(__xludf.DUMMYFUNCTION("""COMPUTED_VALUE"""),"Bihor")</f>
        <v>Bihor</v>
      </c>
      <c r="D1409" s="13">
        <f ca="1">IFERROR(__xludf.DUMMYFUNCTION("""COMPUTED_VALUE"""),44055)</f>
        <v>44055</v>
      </c>
      <c r="E1409" s="5" t="str">
        <f ca="1">IFERROR(__xludf.DUMMYFUNCTION("""COMPUTED_VALUE"""),"Nu")</f>
        <v>Nu</v>
      </c>
      <c r="F1409" s="5"/>
      <c r="G1409" s="5"/>
      <c r="H1409" s="6"/>
      <c r="I1409" s="5"/>
      <c r="J1409" s="5"/>
      <c r="K1409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409" s="5"/>
      <c r="M1409" s="5"/>
      <c r="N1409" s="5"/>
      <c r="O1409" s="5"/>
      <c r="P1409" s="5"/>
      <c r="Q1409" s="5"/>
      <c r="R1409" s="5" t="str">
        <f ca="1">IFERROR(__xludf.DUMMYFUNCTION("""COMPUTED_VALUE"""),"România")</f>
        <v>România</v>
      </c>
      <c r="S1409" s="5" t="str">
        <f ca="1">IFERROR(__xludf.DUMMYFUNCTION("""COMPUTED_VALUE"""),"Octavian")</f>
        <v>Octavian</v>
      </c>
      <c r="T1409" s="7" t="str">
        <f ca="1">IFERROR(__xludf.DUMMYFUNCTION("""COMPUTED_VALUE"""),"http://www.ms.ro/2020/08/12/buletin-informativ-12-08-2020")</f>
        <v>http://www.ms.ro/2020/08/12/buletin-informativ-12-08-2020</v>
      </c>
      <c r="U1409" s="5"/>
      <c r="V1409" s="5"/>
      <c r="W1409" s="5"/>
      <c r="X1409" s="5"/>
      <c r="Y1409" s="5"/>
      <c r="Z1409" s="5"/>
      <c r="AA1409" s="5"/>
      <c r="AB1409" s="5"/>
      <c r="AC1409" s="5"/>
    </row>
    <row r="1410" spans="1:29" ht="12.5">
      <c r="A1410" s="5">
        <f ca="1">IFERROR(__xludf.DUMMYFUNCTION("""COMPUTED_VALUE"""),63959)</f>
        <v>63959</v>
      </c>
      <c r="B1410" s="5"/>
      <c r="C1410" s="5" t="str">
        <f ca="1">IFERROR(__xludf.DUMMYFUNCTION("""COMPUTED_VALUE"""),"Bihor")</f>
        <v>Bihor</v>
      </c>
      <c r="D1410" s="13">
        <f ca="1">IFERROR(__xludf.DUMMYFUNCTION("""COMPUTED_VALUE"""),44055)</f>
        <v>44055</v>
      </c>
      <c r="E1410" s="5" t="str">
        <f ca="1">IFERROR(__xludf.DUMMYFUNCTION("""COMPUTED_VALUE"""),"Nu")</f>
        <v>Nu</v>
      </c>
      <c r="F1410" s="5"/>
      <c r="G1410" s="5"/>
      <c r="H1410" s="6"/>
      <c r="I1410" s="5"/>
      <c r="J1410" s="5"/>
      <c r="K1410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410" s="5"/>
      <c r="M1410" s="5"/>
      <c r="N1410" s="5"/>
      <c r="O1410" s="5"/>
      <c r="P1410" s="5"/>
      <c r="Q1410" s="5"/>
      <c r="R1410" s="5" t="str">
        <f ca="1">IFERROR(__xludf.DUMMYFUNCTION("""COMPUTED_VALUE"""),"România")</f>
        <v>România</v>
      </c>
      <c r="S1410" s="5" t="str">
        <f ca="1">IFERROR(__xludf.DUMMYFUNCTION("""COMPUTED_VALUE"""),"Octavian")</f>
        <v>Octavian</v>
      </c>
      <c r="T1410" s="7" t="str">
        <f ca="1">IFERROR(__xludf.DUMMYFUNCTION("""COMPUTED_VALUE"""),"http://www.ms.ro/2020/08/12/buletin-informativ-12-08-2020")</f>
        <v>http://www.ms.ro/2020/08/12/buletin-informativ-12-08-2020</v>
      </c>
      <c r="U1410" s="5"/>
      <c r="V1410" s="5"/>
      <c r="W1410" s="5"/>
      <c r="X1410" s="5"/>
      <c r="Y1410" s="5"/>
      <c r="Z1410" s="5"/>
      <c r="AA1410" s="5"/>
      <c r="AB1410" s="5"/>
      <c r="AC1410" s="5"/>
    </row>
    <row r="1411" spans="1:29" ht="12.5">
      <c r="A1411" s="5">
        <f ca="1">IFERROR(__xludf.DUMMYFUNCTION("""COMPUTED_VALUE"""),63960)</f>
        <v>63960</v>
      </c>
      <c r="B1411" s="5"/>
      <c r="C1411" s="5" t="str">
        <f ca="1">IFERROR(__xludf.DUMMYFUNCTION("""COMPUTED_VALUE"""),"Bihor")</f>
        <v>Bihor</v>
      </c>
      <c r="D1411" s="13">
        <f ca="1">IFERROR(__xludf.DUMMYFUNCTION("""COMPUTED_VALUE"""),44055)</f>
        <v>44055</v>
      </c>
      <c r="E1411" s="5" t="str">
        <f ca="1">IFERROR(__xludf.DUMMYFUNCTION("""COMPUTED_VALUE"""),"Nu")</f>
        <v>Nu</v>
      </c>
      <c r="F1411" s="5"/>
      <c r="G1411" s="5"/>
      <c r="H1411" s="6"/>
      <c r="I1411" s="5"/>
      <c r="J1411" s="5"/>
      <c r="K1411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411" s="5"/>
      <c r="M1411" s="5"/>
      <c r="N1411" s="5"/>
      <c r="O1411" s="5"/>
      <c r="P1411" s="5"/>
      <c r="Q1411" s="5"/>
      <c r="R1411" s="5" t="str">
        <f ca="1">IFERROR(__xludf.DUMMYFUNCTION("""COMPUTED_VALUE"""),"România")</f>
        <v>România</v>
      </c>
      <c r="S1411" s="5" t="str">
        <f ca="1">IFERROR(__xludf.DUMMYFUNCTION("""COMPUTED_VALUE"""),"Octavian")</f>
        <v>Octavian</v>
      </c>
      <c r="T1411" s="7" t="str">
        <f ca="1">IFERROR(__xludf.DUMMYFUNCTION("""COMPUTED_VALUE"""),"http://www.ms.ro/2020/08/12/buletin-informativ-12-08-2020")</f>
        <v>http://www.ms.ro/2020/08/12/buletin-informativ-12-08-2020</v>
      </c>
      <c r="U1411" s="5"/>
      <c r="V1411" s="5"/>
      <c r="W1411" s="5"/>
      <c r="X1411" s="5"/>
      <c r="Y1411" s="5"/>
      <c r="Z1411" s="5"/>
      <c r="AA1411" s="5"/>
      <c r="AB1411" s="5"/>
      <c r="AC1411" s="5"/>
    </row>
    <row r="1412" spans="1:29" ht="12.5">
      <c r="A1412" s="5">
        <f ca="1">IFERROR(__xludf.DUMMYFUNCTION("""COMPUTED_VALUE"""),63961)</f>
        <v>63961</v>
      </c>
      <c r="B1412" s="5"/>
      <c r="C1412" s="5" t="str">
        <f ca="1">IFERROR(__xludf.DUMMYFUNCTION("""COMPUTED_VALUE"""),"Bihor")</f>
        <v>Bihor</v>
      </c>
      <c r="D1412" s="13">
        <f ca="1">IFERROR(__xludf.DUMMYFUNCTION("""COMPUTED_VALUE"""),44055)</f>
        <v>44055</v>
      </c>
      <c r="E1412" s="5" t="str">
        <f ca="1">IFERROR(__xludf.DUMMYFUNCTION("""COMPUTED_VALUE"""),"Nu")</f>
        <v>Nu</v>
      </c>
      <c r="F1412" s="5"/>
      <c r="G1412" s="5"/>
      <c r="H1412" s="6"/>
      <c r="I1412" s="5"/>
      <c r="J1412" s="5"/>
      <c r="K1412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412" s="5"/>
      <c r="M1412" s="5"/>
      <c r="N1412" s="5"/>
      <c r="O1412" s="5"/>
      <c r="P1412" s="5"/>
      <c r="Q1412" s="5"/>
      <c r="R1412" s="5" t="str">
        <f ca="1">IFERROR(__xludf.DUMMYFUNCTION("""COMPUTED_VALUE"""),"România")</f>
        <v>România</v>
      </c>
      <c r="S1412" s="5" t="str">
        <f ca="1">IFERROR(__xludf.DUMMYFUNCTION("""COMPUTED_VALUE"""),"Octavian")</f>
        <v>Octavian</v>
      </c>
      <c r="T1412" s="7" t="str">
        <f ca="1">IFERROR(__xludf.DUMMYFUNCTION("""COMPUTED_VALUE"""),"http://www.ms.ro/2020/08/12/buletin-informativ-12-08-2020")</f>
        <v>http://www.ms.ro/2020/08/12/buletin-informativ-12-08-2020</v>
      </c>
      <c r="U1412" s="5"/>
      <c r="V1412" s="5"/>
      <c r="W1412" s="5"/>
      <c r="X1412" s="5"/>
      <c r="Y1412" s="5"/>
      <c r="Z1412" s="5"/>
      <c r="AA1412" s="5"/>
      <c r="AB1412" s="5"/>
      <c r="AC1412" s="5"/>
    </row>
    <row r="1413" spans="1:29" ht="12.5">
      <c r="A1413" s="5">
        <f ca="1">IFERROR(__xludf.DUMMYFUNCTION("""COMPUTED_VALUE"""),63962)</f>
        <v>63962</v>
      </c>
      <c r="B1413" s="5"/>
      <c r="C1413" s="5" t="str">
        <f ca="1">IFERROR(__xludf.DUMMYFUNCTION("""COMPUTED_VALUE"""),"Bihor")</f>
        <v>Bihor</v>
      </c>
      <c r="D1413" s="13">
        <f ca="1">IFERROR(__xludf.DUMMYFUNCTION("""COMPUTED_VALUE"""),44055)</f>
        <v>44055</v>
      </c>
      <c r="E1413" s="5" t="str">
        <f ca="1">IFERROR(__xludf.DUMMYFUNCTION("""COMPUTED_VALUE"""),"Nu")</f>
        <v>Nu</v>
      </c>
      <c r="F1413" s="5"/>
      <c r="G1413" s="5"/>
      <c r="H1413" s="6"/>
      <c r="I1413" s="5"/>
      <c r="J1413" s="5"/>
      <c r="K1413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413" s="5"/>
      <c r="M1413" s="5"/>
      <c r="N1413" s="5"/>
      <c r="O1413" s="5"/>
      <c r="P1413" s="5"/>
      <c r="Q1413" s="5"/>
      <c r="R1413" s="5" t="str">
        <f ca="1">IFERROR(__xludf.DUMMYFUNCTION("""COMPUTED_VALUE"""),"România")</f>
        <v>România</v>
      </c>
      <c r="S1413" s="5" t="str">
        <f ca="1">IFERROR(__xludf.DUMMYFUNCTION("""COMPUTED_VALUE"""),"Octavian")</f>
        <v>Octavian</v>
      </c>
      <c r="T1413" s="7" t="str">
        <f ca="1">IFERROR(__xludf.DUMMYFUNCTION("""COMPUTED_VALUE"""),"http://www.ms.ro/2020/08/12/buletin-informativ-12-08-2020")</f>
        <v>http://www.ms.ro/2020/08/12/buletin-informativ-12-08-2020</v>
      </c>
      <c r="U1413" s="5"/>
      <c r="V1413" s="5"/>
      <c r="W1413" s="5"/>
      <c r="X1413" s="5"/>
      <c r="Y1413" s="5"/>
      <c r="Z1413" s="5"/>
      <c r="AA1413" s="5"/>
      <c r="AB1413" s="5"/>
      <c r="AC1413" s="5"/>
    </row>
    <row r="1414" spans="1:29" ht="12.5">
      <c r="A1414" s="5">
        <f ca="1">IFERROR(__xludf.DUMMYFUNCTION("""COMPUTED_VALUE"""),63963)</f>
        <v>63963</v>
      </c>
      <c r="B1414" s="5"/>
      <c r="C1414" s="5" t="str">
        <f ca="1">IFERROR(__xludf.DUMMYFUNCTION("""COMPUTED_VALUE"""),"Bihor")</f>
        <v>Bihor</v>
      </c>
      <c r="D1414" s="13">
        <f ca="1">IFERROR(__xludf.DUMMYFUNCTION("""COMPUTED_VALUE"""),44055)</f>
        <v>44055</v>
      </c>
      <c r="E1414" s="5" t="str">
        <f ca="1">IFERROR(__xludf.DUMMYFUNCTION("""COMPUTED_VALUE"""),"Nu")</f>
        <v>Nu</v>
      </c>
      <c r="F1414" s="5"/>
      <c r="G1414" s="5"/>
      <c r="H1414" s="6"/>
      <c r="I1414" s="5"/>
      <c r="J1414" s="5"/>
      <c r="K1414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414" s="5"/>
      <c r="M1414" s="5"/>
      <c r="N1414" s="5"/>
      <c r="O1414" s="5"/>
      <c r="P1414" s="5"/>
      <c r="Q1414" s="5"/>
      <c r="R1414" s="5" t="str">
        <f ca="1">IFERROR(__xludf.DUMMYFUNCTION("""COMPUTED_VALUE"""),"România")</f>
        <v>România</v>
      </c>
      <c r="S1414" s="5" t="str">
        <f ca="1">IFERROR(__xludf.DUMMYFUNCTION("""COMPUTED_VALUE"""),"Octavian")</f>
        <v>Octavian</v>
      </c>
      <c r="T1414" s="7" t="str">
        <f ca="1">IFERROR(__xludf.DUMMYFUNCTION("""COMPUTED_VALUE"""),"http://www.ms.ro/2020/08/12/buletin-informativ-12-08-2020")</f>
        <v>http://www.ms.ro/2020/08/12/buletin-informativ-12-08-2020</v>
      </c>
      <c r="U1414" s="5"/>
      <c r="V1414" s="5"/>
      <c r="W1414" s="5"/>
      <c r="X1414" s="5"/>
      <c r="Y1414" s="5"/>
      <c r="Z1414" s="5"/>
      <c r="AA1414" s="5"/>
      <c r="AB1414" s="5"/>
      <c r="AC1414" s="5"/>
    </row>
    <row r="1415" spans="1:29" ht="12.5">
      <c r="A1415" s="5">
        <f ca="1">IFERROR(__xludf.DUMMYFUNCTION("""COMPUTED_VALUE"""),63964)</f>
        <v>63964</v>
      </c>
      <c r="B1415" s="5"/>
      <c r="C1415" s="5" t="str">
        <f ca="1">IFERROR(__xludf.DUMMYFUNCTION("""COMPUTED_VALUE"""),"Bihor")</f>
        <v>Bihor</v>
      </c>
      <c r="D1415" s="13">
        <f ca="1">IFERROR(__xludf.DUMMYFUNCTION("""COMPUTED_VALUE"""),44055)</f>
        <v>44055</v>
      </c>
      <c r="E1415" s="5" t="str">
        <f ca="1">IFERROR(__xludf.DUMMYFUNCTION("""COMPUTED_VALUE"""),"Nu")</f>
        <v>Nu</v>
      </c>
      <c r="F1415" s="5"/>
      <c r="G1415" s="5"/>
      <c r="H1415" s="6"/>
      <c r="I1415" s="5"/>
      <c r="J1415" s="5"/>
      <c r="K1415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415" s="5"/>
      <c r="M1415" s="5"/>
      <c r="N1415" s="5"/>
      <c r="O1415" s="5"/>
      <c r="P1415" s="5"/>
      <c r="Q1415" s="5"/>
      <c r="R1415" s="5" t="str">
        <f ca="1">IFERROR(__xludf.DUMMYFUNCTION("""COMPUTED_VALUE"""),"România")</f>
        <v>România</v>
      </c>
      <c r="S1415" s="5" t="str">
        <f ca="1">IFERROR(__xludf.DUMMYFUNCTION("""COMPUTED_VALUE"""),"Octavian")</f>
        <v>Octavian</v>
      </c>
      <c r="T1415" s="7" t="str">
        <f ca="1">IFERROR(__xludf.DUMMYFUNCTION("""COMPUTED_VALUE"""),"http://www.ms.ro/2020/08/12/buletin-informativ-12-08-2020")</f>
        <v>http://www.ms.ro/2020/08/12/buletin-informativ-12-08-2020</v>
      </c>
      <c r="U1415" s="5"/>
      <c r="V1415" s="5"/>
      <c r="W1415" s="5"/>
      <c r="X1415" s="5"/>
      <c r="Y1415" s="5"/>
      <c r="Z1415" s="5"/>
      <c r="AA1415" s="5"/>
      <c r="AB1415" s="5"/>
      <c r="AC1415" s="5"/>
    </row>
    <row r="1416" spans="1:29" ht="12.5">
      <c r="A1416" s="5">
        <f ca="1">IFERROR(__xludf.DUMMYFUNCTION("""COMPUTED_VALUE"""),63965)</f>
        <v>63965</v>
      </c>
      <c r="B1416" s="5"/>
      <c r="C1416" s="5" t="str">
        <f ca="1">IFERROR(__xludf.DUMMYFUNCTION("""COMPUTED_VALUE"""),"Bihor")</f>
        <v>Bihor</v>
      </c>
      <c r="D1416" s="13">
        <f ca="1">IFERROR(__xludf.DUMMYFUNCTION("""COMPUTED_VALUE"""),44055)</f>
        <v>44055</v>
      </c>
      <c r="E1416" s="5" t="str">
        <f ca="1">IFERROR(__xludf.DUMMYFUNCTION("""COMPUTED_VALUE"""),"Nu")</f>
        <v>Nu</v>
      </c>
      <c r="F1416" s="5"/>
      <c r="G1416" s="5"/>
      <c r="H1416" s="6"/>
      <c r="I1416" s="5"/>
      <c r="J1416" s="5"/>
      <c r="K1416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416" s="5"/>
      <c r="M1416" s="5"/>
      <c r="N1416" s="5"/>
      <c r="O1416" s="5"/>
      <c r="P1416" s="5"/>
      <c r="Q1416" s="5"/>
      <c r="R1416" s="5" t="str">
        <f ca="1">IFERROR(__xludf.DUMMYFUNCTION("""COMPUTED_VALUE"""),"România")</f>
        <v>România</v>
      </c>
      <c r="S1416" s="5" t="str">
        <f ca="1">IFERROR(__xludf.DUMMYFUNCTION("""COMPUTED_VALUE"""),"Octavian")</f>
        <v>Octavian</v>
      </c>
      <c r="T1416" s="7" t="str">
        <f ca="1">IFERROR(__xludf.DUMMYFUNCTION("""COMPUTED_VALUE"""),"http://www.ms.ro/2020/08/12/buletin-informativ-12-08-2020")</f>
        <v>http://www.ms.ro/2020/08/12/buletin-informativ-12-08-2020</v>
      </c>
      <c r="U1416" s="5"/>
      <c r="V1416" s="5"/>
      <c r="W1416" s="5"/>
      <c r="X1416" s="5"/>
      <c r="Y1416" s="5"/>
      <c r="Z1416" s="5"/>
      <c r="AA1416" s="5"/>
      <c r="AB1416" s="5"/>
      <c r="AC1416" s="5"/>
    </row>
    <row r="1417" spans="1:29" ht="12.5">
      <c r="A1417" s="5">
        <f ca="1">IFERROR(__xludf.DUMMYFUNCTION("""COMPUTED_VALUE"""),63966)</f>
        <v>63966</v>
      </c>
      <c r="B1417" s="5"/>
      <c r="C1417" s="5" t="str">
        <f ca="1">IFERROR(__xludf.DUMMYFUNCTION("""COMPUTED_VALUE"""),"Bihor")</f>
        <v>Bihor</v>
      </c>
      <c r="D1417" s="13">
        <f ca="1">IFERROR(__xludf.DUMMYFUNCTION("""COMPUTED_VALUE"""),44055)</f>
        <v>44055</v>
      </c>
      <c r="E1417" s="5" t="str">
        <f ca="1">IFERROR(__xludf.DUMMYFUNCTION("""COMPUTED_VALUE"""),"Nu")</f>
        <v>Nu</v>
      </c>
      <c r="F1417" s="5"/>
      <c r="G1417" s="5"/>
      <c r="H1417" s="6"/>
      <c r="I1417" s="5"/>
      <c r="J1417" s="5"/>
      <c r="K1417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417" s="5"/>
      <c r="M1417" s="5"/>
      <c r="N1417" s="5"/>
      <c r="O1417" s="5"/>
      <c r="P1417" s="5"/>
      <c r="Q1417" s="5"/>
      <c r="R1417" s="5" t="str">
        <f ca="1">IFERROR(__xludf.DUMMYFUNCTION("""COMPUTED_VALUE"""),"România")</f>
        <v>România</v>
      </c>
      <c r="S1417" s="5" t="str">
        <f ca="1">IFERROR(__xludf.DUMMYFUNCTION("""COMPUTED_VALUE"""),"Octavian")</f>
        <v>Octavian</v>
      </c>
      <c r="T1417" s="7" t="str">
        <f ca="1">IFERROR(__xludf.DUMMYFUNCTION("""COMPUTED_VALUE"""),"http://www.ms.ro/2020/08/12/buletin-informativ-12-08-2020")</f>
        <v>http://www.ms.ro/2020/08/12/buletin-informativ-12-08-2020</v>
      </c>
      <c r="U1417" s="5"/>
      <c r="V1417" s="5"/>
      <c r="W1417" s="5"/>
      <c r="X1417" s="5"/>
      <c r="Y1417" s="5"/>
      <c r="Z1417" s="5"/>
      <c r="AA1417" s="5"/>
      <c r="AB1417" s="5"/>
      <c r="AC1417" s="5"/>
    </row>
    <row r="1418" spans="1:29" ht="12.5">
      <c r="A1418" s="5">
        <f ca="1">IFERROR(__xludf.DUMMYFUNCTION("""COMPUTED_VALUE"""),63967)</f>
        <v>63967</v>
      </c>
      <c r="B1418" s="5"/>
      <c r="C1418" s="5" t="str">
        <f ca="1">IFERROR(__xludf.DUMMYFUNCTION("""COMPUTED_VALUE"""),"Bihor")</f>
        <v>Bihor</v>
      </c>
      <c r="D1418" s="13">
        <f ca="1">IFERROR(__xludf.DUMMYFUNCTION("""COMPUTED_VALUE"""),44055)</f>
        <v>44055</v>
      </c>
      <c r="E1418" s="5" t="str">
        <f ca="1">IFERROR(__xludf.DUMMYFUNCTION("""COMPUTED_VALUE"""),"Nu")</f>
        <v>Nu</v>
      </c>
      <c r="F1418" s="5"/>
      <c r="G1418" s="5"/>
      <c r="H1418" s="6"/>
      <c r="I1418" s="5"/>
      <c r="J1418" s="5"/>
      <c r="K1418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418" s="5"/>
      <c r="M1418" s="5"/>
      <c r="N1418" s="5"/>
      <c r="O1418" s="5"/>
      <c r="P1418" s="5"/>
      <c r="Q1418" s="5"/>
      <c r="R1418" s="5" t="str">
        <f ca="1">IFERROR(__xludf.DUMMYFUNCTION("""COMPUTED_VALUE"""),"România")</f>
        <v>România</v>
      </c>
      <c r="S1418" s="5" t="str">
        <f ca="1">IFERROR(__xludf.DUMMYFUNCTION("""COMPUTED_VALUE"""),"Octavian")</f>
        <v>Octavian</v>
      </c>
      <c r="T1418" s="7" t="str">
        <f ca="1">IFERROR(__xludf.DUMMYFUNCTION("""COMPUTED_VALUE"""),"http://www.ms.ro/2020/08/12/buletin-informativ-12-08-2020")</f>
        <v>http://www.ms.ro/2020/08/12/buletin-informativ-12-08-2020</v>
      </c>
      <c r="U1418" s="5"/>
      <c r="V1418" s="5"/>
      <c r="W1418" s="5"/>
      <c r="X1418" s="5"/>
      <c r="Y1418" s="5"/>
      <c r="Z1418" s="5"/>
      <c r="AA1418" s="5"/>
      <c r="AB1418" s="5"/>
      <c r="AC1418" s="5"/>
    </row>
    <row r="1419" spans="1:29" ht="12.5">
      <c r="A1419" s="5">
        <f ca="1">IFERROR(__xludf.DUMMYFUNCTION("""COMPUTED_VALUE"""),63968)</f>
        <v>63968</v>
      </c>
      <c r="B1419" s="5"/>
      <c r="C1419" s="5" t="str">
        <f ca="1">IFERROR(__xludf.DUMMYFUNCTION("""COMPUTED_VALUE"""),"Bihor")</f>
        <v>Bihor</v>
      </c>
      <c r="D1419" s="13">
        <f ca="1">IFERROR(__xludf.DUMMYFUNCTION("""COMPUTED_VALUE"""),44055)</f>
        <v>44055</v>
      </c>
      <c r="E1419" s="5" t="str">
        <f ca="1">IFERROR(__xludf.DUMMYFUNCTION("""COMPUTED_VALUE"""),"Nu")</f>
        <v>Nu</v>
      </c>
      <c r="F1419" s="5"/>
      <c r="G1419" s="5"/>
      <c r="H1419" s="6"/>
      <c r="I1419" s="5"/>
      <c r="J1419" s="5"/>
      <c r="K1419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419" s="5"/>
      <c r="M1419" s="5"/>
      <c r="N1419" s="5"/>
      <c r="O1419" s="5"/>
      <c r="P1419" s="5"/>
      <c r="Q1419" s="5"/>
      <c r="R1419" s="5" t="str">
        <f ca="1">IFERROR(__xludf.DUMMYFUNCTION("""COMPUTED_VALUE"""),"România")</f>
        <v>România</v>
      </c>
      <c r="S1419" s="5" t="str">
        <f ca="1">IFERROR(__xludf.DUMMYFUNCTION("""COMPUTED_VALUE"""),"Octavian")</f>
        <v>Octavian</v>
      </c>
      <c r="T1419" s="7" t="str">
        <f ca="1">IFERROR(__xludf.DUMMYFUNCTION("""COMPUTED_VALUE"""),"http://www.ms.ro/2020/08/12/buletin-informativ-12-08-2020")</f>
        <v>http://www.ms.ro/2020/08/12/buletin-informativ-12-08-2020</v>
      </c>
      <c r="U1419" s="5"/>
      <c r="V1419" s="5"/>
      <c r="W1419" s="5"/>
      <c r="X1419" s="5"/>
      <c r="Y1419" s="5"/>
      <c r="Z1419" s="5"/>
      <c r="AA1419" s="5"/>
      <c r="AB1419" s="5"/>
      <c r="AC1419" s="5"/>
    </row>
    <row r="1420" spans="1:29" ht="12.5">
      <c r="A1420" s="5">
        <f ca="1">IFERROR(__xludf.DUMMYFUNCTION("""COMPUTED_VALUE"""),63969)</f>
        <v>63969</v>
      </c>
      <c r="B1420" s="5"/>
      <c r="C1420" s="5" t="str">
        <f ca="1">IFERROR(__xludf.DUMMYFUNCTION("""COMPUTED_VALUE"""),"Bihor")</f>
        <v>Bihor</v>
      </c>
      <c r="D1420" s="13">
        <f ca="1">IFERROR(__xludf.DUMMYFUNCTION("""COMPUTED_VALUE"""),44055)</f>
        <v>44055</v>
      </c>
      <c r="E1420" s="5" t="str">
        <f ca="1">IFERROR(__xludf.DUMMYFUNCTION("""COMPUTED_VALUE"""),"Nu")</f>
        <v>Nu</v>
      </c>
      <c r="F1420" s="5"/>
      <c r="G1420" s="5"/>
      <c r="H1420" s="6"/>
      <c r="I1420" s="5"/>
      <c r="J1420" s="5"/>
      <c r="K1420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420" s="5"/>
      <c r="M1420" s="5"/>
      <c r="N1420" s="5"/>
      <c r="O1420" s="5"/>
      <c r="P1420" s="5"/>
      <c r="Q1420" s="5"/>
      <c r="R1420" s="5" t="str">
        <f ca="1">IFERROR(__xludf.DUMMYFUNCTION("""COMPUTED_VALUE"""),"România")</f>
        <v>România</v>
      </c>
      <c r="S1420" s="5" t="str">
        <f ca="1">IFERROR(__xludf.DUMMYFUNCTION("""COMPUTED_VALUE"""),"Octavian")</f>
        <v>Octavian</v>
      </c>
      <c r="T1420" s="7" t="str">
        <f ca="1">IFERROR(__xludf.DUMMYFUNCTION("""COMPUTED_VALUE"""),"http://www.ms.ro/2020/08/12/buletin-informativ-12-08-2020")</f>
        <v>http://www.ms.ro/2020/08/12/buletin-informativ-12-08-2020</v>
      </c>
      <c r="U1420" s="5"/>
      <c r="V1420" s="5"/>
      <c r="W1420" s="5"/>
      <c r="X1420" s="5"/>
      <c r="Y1420" s="5"/>
      <c r="Z1420" s="5"/>
      <c r="AA1420" s="5"/>
      <c r="AB1420" s="5"/>
      <c r="AC1420" s="5"/>
    </row>
    <row r="1421" spans="1:29" ht="12.5">
      <c r="A1421" s="5">
        <f ca="1">IFERROR(__xludf.DUMMYFUNCTION("""COMPUTED_VALUE"""),63970)</f>
        <v>63970</v>
      </c>
      <c r="B1421" s="5"/>
      <c r="C1421" s="5" t="str">
        <f ca="1">IFERROR(__xludf.DUMMYFUNCTION("""COMPUTED_VALUE"""),"Bihor")</f>
        <v>Bihor</v>
      </c>
      <c r="D1421" s="13">
        <f ca="1">IFERROR(__xludf.DUMMYFUNCTION("""COMPUTED_VALUE"""),44055)</f>
        <v>44055</v>
      </c>
      <c r="E1421" s="5" t="str">
        <f ca="1">IFERROR(__xludf.DUMMYFUNCTION("""COMPUTED_VALUE"""),"Nu")</f>
        <v>Nu</v>
      </c>
      <c r="F1421" s="5"/>
      <c r="G1421" s="5"/>
      <c r="H1421" s="6"/>
      <c r="I1421" s="5"/>
      <c r="J1421" s="5"/>
      <c r="K1421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421" s="5"/>
      <c r="M1421" s="5"/>
      <c r="N1421" s="5"/>
      <c r="O1421" s="5"/>
      <c r="P1421" s="5"/>
      <c r="Q1421" s="5"/>
      <c r="R1421" s="5" t="str">
        <f ca="1">IFERROR(__xludf.DUMMYFUNCTION("""COMPUTED_VALUE"""),"România")</f>
        <v>România</v>
      </c>
      <c r="S1421" s="5" t="str">
        <f ca="1">IFERROR(__xludf.DUMMYFUNCTION("""COMPUTED_VALUE"""),"Octavian")</f>
        <v>Octavian</v>
      </c>
      <c r="T1421" s="7" t="str">
        <f ca="1">IFERROR(__xludf.DUMMYFUNCTION("""COMPUTED_VALUE"""),"http://www.ms.ro/2020/08/12/buletin-informativ-12-08-2020")</f>
        <v>http://www.ms.ro/2020/08/12/buletin-informativ-12-08-2020</v>
      </c>
      <c r="U1421" s="5"/>
      <c r="V1421" s="5"/>
      <c r="W1421" s="5"/>
      <c r="X1421" s="5"/>
      <c r="Y1421" s="5"/>
      <c r="Z1421" s="5"/>
      <c r="AA1421" s="5"/>
      <c r="AB1421" s="5"/>
      <c r="AC1421" s="5"/>
    </row>
    <row r="1422" spans="1:29" ht="12.5">
      <c r="A1422" s="5">
        <f ca="1">IFERROR(__xludf.DUMMYFUNCTION("""COMPUTED_VALUE"""),63971)</f>
        <v>63971</v>
      </c>
      <c r="B1422" s="5"/>
      <c r="C1422" s="5" t="str">
        <f ca="1">IFERROR(__xludf.DUMMYFUNCTION("""COMPUTED_VALUE"""),"Bihor")</f>
        <v>Bihor</v>
      </c>
      <c r="D1422" s="13">
        <f ca="1">IFERROR(__xludf.DUMMYFUNCTION("""COMPUTED_VALUE"""),44055)</f>
        <v>44055</v>
      </c>
      <c r="E1422" s="5" t="str">
        <f ca="1">IFERROR(__xludf.DUMMYFUNCTION("""COMPUTED_VALUE"""),"Nu")</f>
        <v>Nu</v>
      </c>
      <c r="F1422" s="5"/>
      <c r="G1422" s="5"/>
      <c r="H1422" s="6"/>
      <c r="I1422" s="5"/>
      <c r="J1422" s="5"/>
      <c r="K1422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422" s="5"/>
      <c r="M1422" s="5"/>
      <c r="N1422" s="5"/>
      <c r="O1422" s="5"/>
      <c r="P1422" s="5"/>
      <c r="Q1422" s="5"/>
      <c r="R1422" s="5" t="str">
        <f ca="1">IFERROR(__xludf.DUMMYFUNCTION("""COMPUTED_VALUE"""),"România")</f>
        <v>România</v>
      </c>
      <c r="S1422" s="5" t="str">
        <f ca="1">IFERROR(__xludf.DUMMYFUNCTION("""COMPUTED_VALUE"""),"Octavian")</f>
        <v>Octavian</v>
      </c>
      <c r="T1422" s="7" t="str">
        <f ca="1">IFERROR(__xludf.DUMMYFUNCTION("""COMPUTED_VALUE"""),"http://www.ms.ro/2020/08/12/buletin-informativ-12-08-2020")</f>
        <v>http://www.ms.ro/2020/08/12/buletin-informativ-12-08-2020</v>
      </c>
      <c r="U1422" s="5"/>
      <c r="V1422" s="5"/>
      <c r="W1422" s="5"/>
      <c r="X1422" s="5"/>
      <c r="Y1422" s="5"/>
      <c r="Z1422" s="5"/>
      <c r="AA1422" s="5"/>
      <c r="AB1422" s="5"/>
      <c r="AC1422" s="5"/>
    </row>
    <row r="1423" spans="1:29" ht="12.5">
      <c r="A1423" s="5">
        <f ca="1">IFERROR(__xludf.DUMMYFUNCTION("""COMPUTED_VALUE"""),63972)</f>
        <v>63972</v>
      </c>
      <c r="B1423" s="5"/>
      <c r="C1423" s="5" t="str">
        <f ca="1">IFERROR(__xludf.DUMMYFUNCTION("""COMPUTED_VALUE"""),"Bihor")</f>
        <v>Bihor</v>
      </c>
      <c r="D1423" s="13">
        <f ca="1">IFERROR(__xludf.DUMMYFUNCTION("""COMPUTED_VALUE"""),44055)</f>
        <v>44055</v>
      </c>
      <c r="E1423" s="5" t="str">
        <f ca="1">IFERROR(__xludf.DUMMYFUNCTION("""COMPUTED_VALUE"""),"Nu")</f>
        <v>Nu</v>
      </c>
      <c r="F1423" s="5"/>
      <c r="G1423" s="5"/>
      <c r="H1423" s="6"/>
      <c r="I1423" s="5"/>
      <c r="J1423" s="5"/>
      <c r="K1423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423" s="5"/>
      <c r="M1423" s="5"/>
      <c r="N1423" s="5"/>
      <c r="O1423" s="5"/>
      <c r="P1423" s="5"/>
      <c r="Q1423" s="5"/>
      <c r="R1423" s="5" t="str">
        <f ca="1">IFERROR(__xludf.DUMMYFUNCTION("""COMPUTED_VALUE"""),"România")</f>
        <v>România</v>
      </c>
      <c r="S1423" s="5" t="str">
        <f ca="1">IFERROR(__xludf.DUMMYFUNCTION("""COMPUTED_VALUE"""),"Octavian")</f>
        <v>Octavian</v>
      </c>
      <c r="T1423" s="7" t="str">
        <f ca="1">IFERROR(__xludf.DUMMYFUNCTION("""COMPUTED_VALUE"""),"http://www.ms.ro/2020/08/12/buletin-informativ-12-08-2020")</f>
        <v>http://www.ms.ro/2020/08/12/buletin-informativ-12-08-2020</v>
      </c>
      <c r="U1423" s="5"/>
      <c r="V1423" s="5"/>
      <c r="W1423" s="5"/>
      <c r="X1423" s="5"/>
      <c r="Y1423" s="5"/>
      <c r="Z1423" s="5"/>
      <c r="AA1423" s="5"/>
      <c r="AB1423" s="5"/>
      <c r="AC1423" s="5"/>
    </row>
    <row r="1424" spans="1:29" ht="12.5">
      <c r="A1424" s="5">
        <f ca="1">IFERROR(__xludf.DUMMYFUNCTION("""COMPUTED_VALUE"""),63973)</f>
        <v>63973</v>
      </c>
      <c r="B1424" s="5"/>
      <c r="C1424" s="5" t="str">
        <f ca="1">IFERROR(__xludf.DUMMYFUNCTION("""COMPUTED_VALUE"""),"Bihor")</f>
        <v>Bihor</v>
      </c>
      <c r="D1424" s="13">
        <f ca="1">IFERROR(__xludf.DUMMYFUNCTION("""COMPUTED_VALUE"""),44055)</f>
        <v>44055</v>
      </c>
      <c r="E1424" s="5" t="str">
        <f ca="1">IFERROR(__xludf.DUMMYFUNCTION("""COMPUTED_VALUE"""),"Nu")</f>
        <v>Nu</v>
      </c>
      <c r="F1424" s="5"/>
      <c r="G1424" s="5"/>
      <c r="H1424" s="6"/>
      <c r="I1424" s="5"/>
      <c r="J1424" s="5"/>
      <c r="K1424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424" s="5"/>
      <c r="M1424" s="5"/>
      <c r="N1424" s="5"/>
      <c r="O1424" s="5"/>
      <c r="P1424" s="5"/>
      <c r="Q1424" s="5"/>
      <c r="R1424" s="5" t="str">
        <f ca="1">IFERROR(__xludf.DUMMYFUNCTION("""COMPUTED_VALUE"""),"România")</f>
        <v>România</v>
      </c>
      <c r="S1424" s="5" t="str">
        <f ca="1">IFERROR(__xludf.DUMMYFUNCTION("""COMPUTED_VALUE"""),"Octavian")</f>
        <v>Octavian</v>
      </c>
      <c r="T1424" s="7" t="str">
        <f ca="1">IFERROR(__xludf.DUMMYFUNCTION("""COMPUTED_VALUE"""),"http://www.ms.ro/2020/08/12/buletin-informativ-12-08-2020")</f>
        <v>http://www.ms.ro/2020/08/12/buletin-informativ-12-08-2020</v>
      </c>
      <c r="U1424" s="5"/>
      <c r="V1424" s="5"/>
      <c r="W1424" s="5"/>
      <c r="X1424" s="5"/>
      <c r="Y1424" s="5"/>
      <c r="Z1424" s="5"/>
      <c r="AA1424" s="5"/>
      <c r="AB1424" s="5"/>
      <c r="AC1424" s="5"/>
    </row>
    <row r="1425" spans="1:29" ht="12.5">
      <c r="A1425" s="5">
        <f ca="1">IFERROR(__xludf.DUMMYFUNCTION("""COMPUTED_VALUE"""),63974)</f>
        <v>63974</v>
      </c>
      <c r="B1425" s="5"/>
      <c r="C1425" s="5" t="str">
        <f ca="1">IFERROR(__xludf.DUMMYFUNCTION("""COMPUTED_VALUE"""),"Bihor")</f>
        <v>Bihor</v>
      </c>
      <c r="D1425" s="13">
        <f ca="1">IFERROR(__xludf.DUMMYFUNCTION("""COMPUTED_VALUE"""),44055)</f>
        <v>44055</v>
      </c>
      <c r="E1425" s="5" t="str">
        <f ca="1">IFERROR(__xludf.DUMMYFUNCTION("""COMPUTED_VALUE"""),"Nu")</f>
        <v>Nu</v>
      </c>
      <c r="F1425" s="5"/>
      <c r="G1425" s="5"/>
      <c r="H1425" s="6"/>
      <c r="I1425" s="5"/>
      <c r="J1425" s="5"/>
      <c r="K1425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425" s="5"/>
      <c r="M1425" s="5"/>
      <c r="N1425" s="5"/>
      <c r="O1425" s="5"/>
      <c r="P1425" s="5"/>
      <c r="Q1425" s="5"/>
      <c r="R1425" s="5" t="str">
        <f ca="1">IFERROR(__xludf.DUMMYFUNCTION("""COMPUTED_VALUE"""),"România")</f>
        <v>România</v>
      </c>
      <c r="S1425" s="5" t="str">
        <f ca="1">IFERROR(__xludf.DUMMYFUNCTION("""COMPUTED_VALUE"""),"Octavian")</f>
        <v>Octavian</v>
      </c>
      <c r="T1425" s="7" t="str">
        <f ca="1">IFERROR(__xludf.DUMMYFUNCTION("""COMPUTED_VALUE"""),"http://www.ms.ro/2020/08/12/buletin-informativ-12-08-2020")</f>
        <v>http://www.ms.ro/2020/08/12/buletin-informativ-12-08-2020</v>
      </c>
      <c r="U1425" s="5"/>
      <c r="V1425" s="5"/>
      <c r="W1425" s="5"/>
      <c r="X1425" s="5"/>
      <c r="Y1425" s="5"/>
      <c r="Z1425" s="5"/>
      <c r="AA1425" s="5"/>
      <c r="AB1425" s="5"/>
      <c r="AC1425" s="5"/>
    </row>
    <row r="1426" spans="1:29" ht="12.5">
      <c r="A1426" s="5">
        <f ca="1">IFERROR(__xludf.DUMMYFUNCTION("""COMPUTED_VALUE"""),63975)</f>
        <v>63975</v>
      </c>
      <c r="B1426" s="5"/>
      <c r="C1426" s="5" t="str">
        <f ca="1">IFERROR(__xludf.DUMMYFUNCTION("""COMPUTED_VALUE"""),"Bihor")</f>
        <v>Bihor</v>
      </c>
      <c r="D1426" s="13">
        <f ca="1">IFERROR(__xludf.DUMMYFUNCTION("""COMPUTED_VALUE"""),44055)</f>
        <v>44055</v>
      </c>
      <c r="E1426" s="5" t="str">
        <f ca="1">IFERROR(__xludf.DUMMYFUNCTION("""COMPUTED_VALUE"""),"Nu")</f>
        <v>Nu</v>
      </c>
      <c r="F1426" s="5"/>
      <c r="G1426" s="5"/>
      <c r="H1426" s="6"/>
      <c r="I1426" s="5"/>
      <c r="J1426" s="5"/>
      <c r="K1426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426" s="5"/>
      <c r="M1426" s="5"/>
      <c r="N1426" s="5"/>
      <c r="O1426" s="5"/>
      <c r="P1426" s="5"/>
      <c r="Q1426" s="5"/>
      <c r="R1426" s="5" t="str">
        <f ca="1">IFERROR(__xludf.DUMMYFUNCTION("""COMPUTED_VALUE"""),"România")</f>
        <v>România</v>
      </c>
      <c r="S1426" s="5" t="str">
        <f ca="1">IFERROR(__xludf.DUMMYFUNCTION("""COMPUTED_VALUE"""),"Octavian")</f>
        <v>Octavian</v>
      </c>
      <c r="T1426" s="7" t="str">
        <f ca="1">IFERROR(__xludf.DUMMYFUNCTION("""COMPUTED_VALUE"""),"http://www.ms.ro/2020/08/12/buletin-informativ-12-08-2020")</f>
        <v>http://www.ms.ro/2020/08/12/buletin-informativ-12-08-2020</v>
      </c>
      <c r="U1426" s="5"/>
      <c r="V1426" s="5"/>
      <c r="W1426" s="5"/>
      <c r="X1426" s="5"/>
      <c r="Y1426" s="5"/>
      <c r="Z1426" s="5"/>
      <c r="AA1426" s="5"/>
      <c r="AB1426" s="5"/>
      <c r="AC1426" s="5"/>
    </row>
    <row r="1427" spans="1:29" ht="12.5">
      <c r="A1427" s="5">
        <f ca="1">IFERROR(__xludf.DUMMYFUNCTION("""COMPUTED_VALUE"""),63976)</f>
        <v>63976</v>
      </c>
      <c r="B1427" s="5"/>
      <c r="C1427" s="5" t="str">
        <f ca="1">IFERROR(__xludf.DUMMYFUNCTION("""COMPUTED_VALUE"""),"Bihor")</f>
        <v>Bihor</v>
      </c>
      <c r="D1427" s="13">
        <f ca="1">IFERROR(__xludf.DUMMYFUNCTION("""COMPUTED_VALUE"""),44055)</f>
        <v>44055</v>
      </c>
      <c r="E1427" s="5" t="str">
        <f ca="1">IFERROR(__xludf.DUMMYFUNCTION("""COMPUTED_VALUE"""),"Nu")</f>
        <v>Nu</v>
      </c>
      <c r="F1427" s="5"/>
      <c r="G1427" s="5"/>
      <c r="H1427" s="6"/>
      <c r="I1427" s="5"/>
      <c r="J1427" s="5"/>
      <c r="K1427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427" s="5"/>
      <c r="M1427" s="5"/>
      <c r="N1427" s="5"/>
      <c r="O1427" s="5"/>
      <c r="P1427" s="5"/>
      <c r="Q1427" s="5"/>
      <c r="R1427" s="5" t="str">
        <f ca="1">IFERROR(__xludf.DUMMYFUNCTION("""COMPUTED_VALUE"""),"România")</f>
        <v>România</v>
      </c>
      <c r="S1427" s="5" t="str">
        <f ca="1">IFERROR(__xludf.DUMMYFUNCTION("""COMPUTED_VALUE"""),"Octavian")</f>
        <v>Octavian</v>
      </c>
      <c r="T1427" s="7" t="str">
        <f ca="1">IFERROR(__xludf.DUMMYFUNCTION("""COMPUTED_VALUE"""),"http://www.ms.ro/2020/08/12/buletin-informativ-12-08-2020")</f>
        <v>http://www.ms.ro/2020/08/12/buletin-informativ-12-08-2020</v>
      </c>
      <c r="U1427" s="5"/>
      <c r="V1427" s="5"/>
      <c r="W1427" s="5"/>
      <c r="X1427" s="5"/>
      <c r="Y1427" s="5"/>
      <c r="Z1427" s="5"/>
      <c r="AA1427" s="5"/>
      <c r="AB1427" s="5"/>
      <c r="AC1427" s="5"/>
    </row>
    <row r="1428" spans="1:29" ht="12.5">
      <c r="A1428" s="5">
        <f ca="1">IFERROR(__xludf.DUMMYFUNCTION("""COMPUTED_VALUE"""),63977)</f>
        <v>63977</v>
      </c>
      <c r="B1428" s="5"/>
      <c r="C1428" s="5" t="str">
        <f ca="1">IFERROR(__xludf.DUMMYFUNCTION("""COMPUTED_VALUE"""),"Bihor")</f>
        <v>Bihor</v>
      </c>
      <c r="D1428" s="13">
        <f ca="1">IFERROR(__xludf.DUMMYFUNCTION("""COMPUTED_VALUE"""),44055)</f>
        <v>44055</v>
      </c>
      <c r="E1428" s="5" t="str">
        <f ca="1">IFERROR(__xludf.DUMMYFUNCTION("""COMPUTED_VALUE"""),"Nu")</f>
        <v>Nu</v>
      </c>
      <c r="F1428" s="5"/>
      <c r="G1428" s="5"/>
      <c r="H1428" s="6"/>
      <c r="I1428" s="5"/>
      <c r="J1428" s="5"/>
      <c r="K1428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428" s="5"/>
      <c r="M1428" s="5"/>
      <c r="N1428" s="5"/>
      <c r="O1428" s="5"/>
      <c r="P1428" s="5"/>
      <c r="Q1428" s="5"/>
      <c r="R1428" s="5" t="str">
        <f ca="1">IFERROR(__xludf.DUMMYFUNCTION("""COMPUTED_VALUE"""),"România")</f>
        <v>România</v>
      </c>
      <c r="S1428" s="5" t="str">
        <f ca="1">IFERROR(__xludf.DUMMYFUNCTION("""COMPUTED_VALUE"""),"Octavian")</f>
        <v>Octavian</v>
      </c>
      <c r="T1428" s="7" t="str">
        <f ca="1">IFERROR(__xludf.DUMMYFUNCTION("""COMPUTED_VALUE"""),"http://www.ms.ro/2020/08/12/buletin-informativ-12-08-2020")</f>
        <v>http://www.ms.ro/2020/08/12/buletin-informativ-12-08-2020</v>
      </c>
      <c r="U1428" s="5"/>
      <c r="V1428" s="5"/>
      <c r="W1428" s="5"/>
      <c r="X1428" s="5"/>
      <c r="Y1428" s="5"/>
      <c r="Z1428" s="5"/>
      <c r="AA1428" s="5"/>
      <c r="AB1428" s="5"/>
      <c r="AC1428" s="5"/>
    </row>
    <row r="1429" spans="1:29" ht="12.5">
      <c r="A1429" s="5">
        <f ca="1">IFERROR(__xludf.DUMMYFUNCTION("""COMPUTED_VALUE"""),63978)</f>
        <v>63978</v>
      </c>
      <c r="B1429" s="5"/>
      <c r="C1429" s="5" t="str">
        <f ca="1">IFERROR(__xludf.DUMMYFUNCTION("""COMPUTED_VALUE"""),"Bihor")</f>
        <v>Bihor</v>
      </c>
      <c r="D1429" s="13">
        <f ca="1">IFERROR(__xludf.DUMMYFUNCTION("""COMPUTED_VALUE"""),44055)</f>
        <v>44055</v>
      </c>
      <c r="E1429" s="5" t="str">
        <f ca="1">IFERROR(__xludf.DUMMYFUNCTION("""COMPUTED_VALUE"""),"Nu")</f>
        <v>Nu</v>
      </c>
      <c r="F1429" s="5"/>
      <c r="G1429" s="5"/>
      <c r="H1429" s="6"/>
      <c r="I1429" s="5"/>
      <c r="J1429" s="5"/>
      <c r="K1429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429" s="5"/>
      <c r="M1429" s="5"/>
      <c r="N1429" s="5"/>
      <c r="O1429" s="5"/>
      <c r="P1429" s="5"/>
      <c r="Q1429" s="5"/>
      <c r="R1429" s="5" t="str">
        <f ca="1">IFERROR(__xludf.DUMMYFUNCTION("""COMPUTED_VALUE"""),"România")</f>
        <v>România</v>
      </c>
      <c r="S1429" s="5" t="str">
        <f ca="1">IFERROR(__xludf.DUMMYFUNCTION("""COMPUTED_VALUE"""),"Octavian")</f>
        <v>Octavian</v>
      </c>
      <c r="T1429" s="7" t="str">
        <f ca="1">IFERROR(__xludf.DUMMYFUNCTION("""COMPUTED_VALUE"""),"http://www.ms.ro/2020/08/12/buletin-informativ-12-08-2020")</f>
        <v>http://www.ms.ro/2020/08/12/buletin-informativ-12-08-2020</v>
      </c>
      <c r="U1429" s="5"/>
      <c r="V1429" s="5"/>
      <c r="W1429" s="5"/>
      <c r="X1429" s="5"/>
      <c r="Y1429" s="5"/>
      <c r="Z1429" s="5"/>
      <c r="AA1429" s="5"/>
      <c r="AB1429" s="5"/>
      <c r="AC1429" s="5"/>
    </row>
    <row r="1430" spans="1:29" ht="12.5">
      <c r="A1430" s="5">
        <f ca="1">IFERROR(__xludf.DUMMYFUNCTION("""COMPUTED_VALUE"""),63979)</f>
        <v>63979</v>
      </c>
      <c r="B1430" s="5"/>
      <c r="C1430" s="5" t="str">
        <f ca="1">IFERROR(__xludf.DUMMYFUNCTION("""COMPUTED_VALUE"""),"Bihor")</f>
        <v>Bihor</v>
      </c>
      <c r="D1430" s="13">
        <f ca="1">IFERROR(__xludf.DUMMYFUNCTION("""COMPUTED_VALUE"""),44055)</f>
        <v>44055</v>
      </c>
      <c r="E1430" s="5" t="str">
        <f ca="1">IFERROR(__xludf.DUMMYFUNCTION("""COMPUTED_VALUE"""),"Nu")</f>
        <v>Nu</v>
      </c>
      <c r="F1430" s="5"/>
      <c r="G1430" s="5"/>
      <c r="H1430" s="6"/>
      <c r="I1430" s="5"/>
      <c r="J1430" s="5"/>
      <c r="K1430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430" s="5"/>
      <c r="M1430" s="5"/>
      <c r="N1430" s="5"/>
      <c r="O1430" s="5"/>
      <c r="P1430" s="5"/>
      <c r="Q1430" s="5"/>
      <c r="R1430" s="5" t="str">
        <f ca="1">IFERROR(__xludf.DUMMYFUNCTION("""COMPUTED_VALUE"""),"România")</f>
        <v>România</v>
      </c>
      <c r="S1430" s="5" t="str">
        <f ca="1">IFERROR(__xludf.DUMMYFUNCTION("""COMPUTED_VALUE"""),"Octavian")</f>
        <v>Octavian</v>
      </c>
      <c r="T1430" s="7" t="str">
        <f ca="1">IFERROR(__xludf.DUMMYFUNCTION("""COMPUTED_VALUE"""),"http://www.ms.ro/2020/08/12/buletin-informativ-12-08-2020")</f>
        <v>http://www.ms.ro/2020/08/12/buletin-informativ-12-08-2020</v>
      </c>
      <c r="U1430" s="5"/>
      <c r="V1430" s="5"/>
      <c r="W1430" s="5"/>
      <c r="X1430" s="5"/>
      <c r="Y1430" s="5"/>
      <c r="Z1430" s="5"/>
      <c r="AA1430" s="5"/>
      <c r="AB1430" s="5"/>
      <c r="AC1430" s="5"/>
    </row>
    <row r="1431" spans="1:29" ht="12.5">
      <c r="A1431" s="5">
        <f ca="1">IFERROR(__xludf.DUMMYFUNCTION("""COMPUTED_VALUE"""),63980)</f>
        <v>63980</v>
      </c>
      <c r="B1431" s="5"/>
      <c r="C1431" s="5" t="str">
        <f ca="1">IFERROR(__xludf.DUMMYFUNCTION("""COMPUTED_VALUE"""),"Bihor")</f>
        <v>Bihor</v>
      </c>
      <c r="D1431" s="13">
        <f ca="1">IFERROR(__xludf.DUMMYFUNCTION("""COMPUTED_VALUE"""),44055)</f>
        <v>44055</v>
      </c>
      <c r="E1431" s="5" t="str">
        <f ca="1">IFERROR(__xludf.DUMMYFUNCTION("""COMPUTED_VALUE"""),"Nu")</f>
        <v>Nu</v>
      </c>
      <c r="F1431" s="5"/>
      <c r="G1431" s="5"/>
      <c r="H1431" s="6"/>
      <c r="I1431" s="5"/>
      <c r="J1431" s="5"/>
      <c r="K1431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431" s="5"/>
      <c r="M1431" s="5"/>
      <c r="N1431" s="5"/>
      <c r="O1431" s="5"/>
      <c r="P1431" s="5"/>
      <c r="Q1431" s="5"/>
      <c r="R1431" s="5" t="str">
        <f ca="1">IFERROR(__xludf.DUMMYFUNCTION("""COMPUTED_VALUE"""),"România")</f>
        <v>România</v>
      </c>
      <c r="S1431" s="5" t="str">
        <f ca="1">IFERROR(__xludf.DUMMYFUNCTION("""COMPUTED_VALUE"""),"Octavian")</f>
        <v>Octavian</v>
      </c>
      <c r="T1431" s="7" t="str">
        <f ca="1">IFERROR(__xludf.DUMMYFUNCTION("""COMPUTED_VALUE"""),"http://www.ms.ro/2020/08/12/buletin-informativ-12-08-2020")</f>
        <v>http://www.ms.ro/2020/08/12/buletin-informativ-12-08-2020</v>
      </c>
      <c r="U1431" s="5"/>
      <c r="V1431" s="5"/>
      <c r="W1431" s="5"/>
      <c r="X1431" s="5"/>
      <c r="Y1431" s="5"/>
      <c r="Z1431" s="5"/>
      <c r="AA1431" s="5"/>
      <c r="AB1431" s="5"/>
      <c r="AC1431" s="5"/>
    </row>
    <row r="1432" spans="1:29" ht="12.5">
      <c r="A1432" s="5">
        <f ca="1">IFERROR(__xludf.DUMMYFUNCTION("""COMPUTED_VALUE"""),63981)</f>
        <v>63981</v>
      </c>
      <c r="B1432" s="5"/>
      <c r="C1432" s="5" t="str">
        <f ca="1">IFERROR(__xludf.DUMMYFUNCTION("""COMPUTED_VALUE"""),"Bihor")</f>
        <v>Bihor</v>
      </c>
      <c r="D1432" s="13">
        <f ca="1">IFERROR(__xludf.DUMMYFUNCTION("""COMPUTED_VALUE"""),44055)</f>
        <v>44055</v>
      </c>
      <c r="E1432" s="5" t="str">
        <f ca="1">IFERROR(__xludf.DUMMYFUNCTION("""COMPUTED_VALUE"""),"Nu")</f>
        <v>Nu</v>
      </c>
      <c r="F1432" s="5"/>
      <c r="G1432" s="5"/>
      <c r="H1432" s="6"/>
      <c r="I1432" s="5"/>
      <c r="J1432" s="5"/>
      <c r="K1432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432" s="5"/>
      <c r="M1432" s="5"/>
      <c r="N1432" s="5"/>
      <c r="O1432" s="5"/>
      <c r="P1432" s="5"/>
      <c r="Q1432" s="5"/>
      <c r="R1432" s="5" t="str">
        <f ca="1">IFERROR(__xludf.DUMMYFUNCTION("""COMPUTED_VALUE"""),"România")</f>
        <v>România</v>
      </c>
      <c r="S1432" s="5" t="str">
        <f ca="1">IFERROR(__xludf.DUMMYFUNCTION("""COMPUTED_VALUE"""),"Octavian")</f>
        <v>Octavian</v>
      </c>
      <c r="T1432" s="7" t="str">
        <f ca="1">IFERROR(__xludf.DUMMYFUNCTION("""COMPUTED_VALUE"""),"http://www.ms.ro/2020/08/12/buletin-informativ-12-08-2020")</f>
        <v>http://www.ms.ro/2020/08/12/buletin-informativ-12-08-2020</v>
      </c>
      <c r="U1432" s="5"/>
      <c r="V1432" s="5"/>
      <c r="W1432" s="5"/>
      <c r="X1432" s="5"/>
      <c r="Y1432" s="5"/>
      <c r="Z1432" s="5"/>
      <c r="AA1432" s="5"/>
      <c r="AB1432" s="5"/>
      <c r="AC1432" s="5"/>
    </row>
    <row r="1433" spans="1:29" ht="12.5">
      <c r="A1433" s="5">
        <f ca="1">IFERROR(__xludf.DUMMYFUNCTION("""COMPUTED_VALUE"""),63982)</f>
        <v>63982</v>
      </c>
      <c r="B1433" s="5"/>
      <c r="C1433" s="5" t="str">
        <f ca="1">IFERROR(__xludf.DUMMYFUNCTION("""COMPUTED_VALUE"""),"Bihor")</f>
        <v>Bihor</v>
      </c>
      <c r="D1433" s="13">
        <f ca="1">IFERROR(__xludf.DUMMYFUNCTION("""COMPUTED_VALUE"""),44055)</f>
        <v>44055</v>
      </c>
      <c r="E1433" s="5" t="str">
        <f ca="1">IFERROR(__xludf.DUMMYFUNCTION("""COMPUTED_VALUE"""),"Nu")</f>
        <v>Nu</v>
      </c>
      <c r="F1433" s="5"/>
      <c r="G1433" s="5"/>
      <c r="H1433" s="6"/>
      <c r="I1433" s="5"/>
      <c r="J1433" s="5"/>
      <c r="K1433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433" s="5"/>
      <c r="M1433" s="5"/>
      <c r="N1433" s="5"/>
      <c r="O1433" s="5"/>
      <c r="P1433" s="5"/>
      <c r="Q1433" s="5"/>
      <c r="R1433" s="5" t="str">
        <f ca="1">IFERROR(__xludf.DUMMYFUNCTION("""COMPUTED_VALUE"""),"România")</f>
        <v>România</v>
      </c>
      <c r="S1433" s="5" t="str">
        <f ca="1">IFERROR(__xludf.DUMMYFUNCTION("""COMPUTED_VALUE"""),"Octavian")</f>
        <v>Octavian</v>
      </c>
      <c r="T1433" s="7" t="str">
        <f ca="1">IFERROR(__xludf.DUMMYFUNCTION("""COMPUTED_VALUE"""),"http://www.ms.ro/2020/08/12/buletin-informativ-12-08-2020")</f>
        <v>http://www.ms.ro/2020/08/12/buletin-informativ-12-08-2020</v>
      </c>
      <c r="U1433" s="5"/>
      <c r="V1433" s="5"/>
      <c r="W1433" s="5"/>
      <c r="X1433" s="5"/>
      <c r="Y1433" s="5"/>
      <c r="Z1433" s="5"/>
      <c r="AA1433" s="5"/>
      <c r="AB1433" s="5"/>
      <c r="AC1433" s="5"/>
    </row>
    <row r="1434" spans="1:29" ht="12.5">
      <c r="A1434" s="5">
        <f ca="1">IFERROR(__xludf.DUMMYFUNCTION("""COMPUTED_VALUE"""),63983)</f>
        <v>63983</v>
      </c>
      <c r="B1434" s="5"/>
      <c r="C1434" s="5" t="str">
        <f ca="1">IFERROR(__xludf.DUMMYFUNCTION("""COMPUTED_VALUE"""),"Bihor")</f>
        <v>Bihor</v>
      </c>
      <c r="D1434" s="13">
        <f ca="1">IFERROR(__xludf.DUMMYFUNCTION("""COMPUTED_VALUE"""),44055)</f>
        <v>44055</v>
      </c>
      <c r="E1434" s="5" t="str">
        <f ca="1">IFERROR(__xludf.DUMMYFUNCTION("""COMPUTED_VALUE"""),"Nu")</f>
        <v>Nu</v>
      </c>
      <c r="F1434" s="5"/>
      <c r="G1434" s="5"/>
      <c r="H1434" s="6"/>
      <c r="I1434" s="5"/>
      <c r="J1434" s="5"/>
      <c r="K1434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434" s="5"/>
      <c r="M1434" s="5"/>
      <c r="N1434" s="5"/>
      <c r="O1434" s="5"/>
      <c r="P1434" s="5"/>
      <c r="Q1434" s="5"/>
      <c r="R1434" s="5" t="str">
        <f ca="1">IFERROR(__xludf.DUMMYFUNCTION("""COMPUTED_VALUE"""),"România")</f>
        <v>România</v>
      </c>
      <c r="S1434" s="5" t="str">
        <f ca="1">IFERROR(__xludf.DUMMYFUNCTION("""COMPUTED_VALUE"""),"Octavian")</f>
        <v>Octavian</v>
      </c>
      <c r="T1434" s="7" t="str">
        <f ca="1">IFERROR(__xludf.DUMMYFUNCTION("""COMPUTED_VALUE"""),"http://www.ms.ro/2020/08/12/buletin-informativ-12-08-2020")</f>
        <v>http://www.ms.ro/2020/08/12/buletin-informativ-12-08-2020</v>
      </c>
      <c r="U1434" s="5"/>
      <c r="V1434" s="5"/>
      <c r="W1434" s="5"/>
      <c r="X1434" s="5"/>
      <c r="Y1434" s="5"/>
      <c r="Z1434" s="5"/>
      <c r="AA1434" s="5"/>
      <c r="AB1434" s="5"/>
      <c r="AC1434" s="5"/>
    </row>
    <row r="1435" spans="1:29" ht="12.5">
      <c r="A1435" s="5">
        <f ca="1">IFERROR(__xludf.DUMMYFUNCTION("""COMPUTED_VALUE"""),63984)</f>
        <v>63984</v>
      </c>
      <c r="B1435" s="5"/>
      <c r="C1435" s="5" t="str">
        <f ca="1">IFERROR(__xludf.DUMMYFUNCTION("""COMPUTED_VALUE"""),"Bihor")</f>
        <v>Bihor</v>
      </c>
      <c r="D1435" s="13">
        <f ca="1">IFERROR(__xludf.DUMMYFUNCTION("""COMPUTED_VALUE"""),44055)</f>
        <v>44055</v>
      </c>
      <c r="E1435" s="5" t="str">
        <f ca="1">IFERROR(__xludf.DUMMYFUNCTION("""COMPUTED_VALUE"""),"Nu")</f>
        <v>Nu</v>
      </c>
      <c r="F1435" s="5"/>
      <c r="G1435" s="5"/>
      <c r="H1435" s="6"/>
      <c r="I1435" s="5"/>
      <c r="J1435" s="5"/>
      <c r="K1435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435" s="5"/>
      <c r="M1435" s="5"/>
      <c r="N1435" s="5"/>
      <c r="O1435" s="5"/>
      <c r="P1435" s="5"/>
      <c r="Q1435" s="5"/>
      <c r="R1435" s="5" t="str">
        <f ca="1">IFERROR(__xludf.DUMMYFUNCTION("""COMPUTED_VALUE"""),"România")</f>
        <v>România</v>
      </c>
      <c r="S1435" s="5" t="str">
        <f ca="1">IFERROR(__xludf.DUMMYFUNCTION("""COMPUTED_VALUE"""),"Octavian")</f>
        <v>Octavian</v>
      </c>
      <c r="T1435" s="7" t="str">
        <f ca="1">IFERROR(__xludf.DUMMYFUNCTION("""COMPUTED_VALUE"""),"http://www.ms.ro/2020/08/12/buletin-informativ-12-08-2020")</f>
        <v>http://www.ms.ro/2020/08/12/buletin-informativ-12-08-2020</v>
      </c>
      <c r="U1435" s="5"/>
      <c r="V1435" s="5"/>
      <c r="W1435" s="5"/>
      <c r="X1435" s="5"/>
      <c r="Y1435" s="5"/>
      <c r="Z1435" s="5"/>
      <c r="AA1435" s="5"/>
      <c r="AB1435" s="5"/>
      <c r="AC1435" s="5"/>
    </row>
    <row r="1436" spans="1:29" ht="12.5">
      <c r="A1436" s="5">
        <f ca="1">IFERROR(__xludf.DUMMYFUNCTION("""COMPUTED_VALUE"""),63985)</f>
        <v>63985</v>
      </c>
      <c r="B1436" s="5"/>
      <c r="C1436" s="5" t="str">
        <f ca="1">IFERROR(__xludf.DUMMYFUNCTION("""COMPUTED_VALUE"""),"Bihor")</f>
        <v>Bihor</v>
      </c>
      <c r="D1436" s="13">
        <f ca="1">IFERROR(__xludf.DUMMYFUNCTION("""COMPUTED_VALUE"""),44055)</f>
        <v>44055</v>
      </c>
      <c r="E1436" s="5" t="str">
        <f ca="1">IFERROR(__xludf.DUMMYFUNCTION("""COMPUTED_VALUE"""),"Nu")</f>
        <v>Nu</v>
      </c>
      <c r="F1436" s="5"/>
      <c r="G1436" s="5"/>
      <c r="H1436" s="6"/>
      <c r="I1436" s="5"/>
      <c r="J1436" s="5"/>
      <c r="K1436" s="7" t="str">
        <f ca="1">IFERROR(__xludf.DUMMYFUNCTION("""COMPUTED_VALUE"""),"https://www.ebihoreanul.ro/stiri/ziua-si-decesul-inca-un-bihorean-infectat-cu-covid-19-a-murit-55-de-noi-imbolnaviri-inclusiv-in-randul-angajatilor-spitalului-privat-pelican-158174.html")</f>
        <v>https://www.ebihoreanul.ro/stiri/ziua-si-decesul-inca-un-bihorean-infectat-cu-covid-19-a-murit-55-de-noi-imbolnaviri-inclusiv-in-randul-angajatilor-spitalului-privat-pelican-158174.html</v>
      </c>
      <c r="L1436" s="5"/>
      <c r="M1436" s="5"/>
      <c r="N1436" s="5"/>
      <c r="O1436" s="5"/>
      <c r="P1436" s="5"/>
      <c r="Q1436" s="5"/>
      <c r="R1436" s="5" t="str">
        <f ca="1">IFERROR(__xludf.DUMMYFUNCTION("""COMPUTED_VALUE"""),"România")</f>
        <v>România</v>
      </c>
      <c r="S1436" s="5" t="str">
        <f ca="1">IFERROR(__xludf.DUMMYFUNCTION("""COMPUTED_VALUE"""),"Octavian")</f>
        <v>Octavian</v>
      </c>
      <c r="T1436" s="7" t="str">
        <f ca="1">IFERROR(__xludf.DUMMYFUNCTION("""COMPUTED_VALUE"""),"http://www.ms.ro/2020/08/12/buletin-informativ-12-08-2020")</f>
        <v>http://www.ms.ro/2020/08/12/buletin-informativ-12-08-2020</v>
      </c>
      <c r="U1436" s="5"/>
      <c r="V1436" s="5"/>
      <c r="W1436" s="5"/>
      <c r="X1436" s="5"/>
      <c r="Y1436" s="5"/>
      <c r="Z1436" s="5"/>
      <c r="AA1436" s="5"/>
      <c r="AB1436" s="5"/>
      <c r="AC1436" s="5"/>
    </row>
    <row r="1437" spans="1:29" ht="12.5">
      <c r="A1437" s="5">
        <f ca="1">IFERROR(__xludf.DUMMYFUNCTION("""COMPUTED_VALUE"""),65332)</f>
        <v>65332</v>
      </c>
      <c r="B1437" s="5"/>
      <c r="C1437" s="5" t="str">
        <f ca="1">IFERROR(__xludf.DUMMYFUNCTION("""COMPUTED_VALUE"""),"Bihor")</f>
        <v>Bihor</v>
      </c>
      <c r="D1437" s="13">
        <f ca="1">IFERROR(__xludf.DUMMYFUNCTION("""COMPUTED_VALUE"""),44056)</f>
        <v>44056</v>
      </c>
      <c r="E1437" s="5" t="str">
        <f ca="1">IFERROR(__xludf.DUMMYFUNCTION("""COMPUTED_VALUE"""),"Nu")</f>
        <v>Nu</v>
      </c>
      <c r="F1437" s="5"/>
      <c r="G1437" s="5"/>
      <c r="H1437" s="6"/>
      <c r="I1437" s="5"/>
      <c r="J1437" s="5"/>
      <c r="K1437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37" s="5"/>
      <c r="M1437" s="5" t="str">
        <f ca="1">IFERROR(__xludf.DUMMYFUNCTION("""COMPUTED_VALUE"""),"Oradea")</f>
        <v>Oradea</v>
      </c>
      <c r="N1437" s="5"/>
      <c r="O1437" s="5"/>
      <c r="P1437" s="5" t="str">
        <f ca="1">IFERROR(__xludf.DUMMYFUNCTION("""COMPUTED_VALUE"""),"SJU Oradea, pacient.")</f>
        <v>SJU Oradea, pacient.</v>
      </c>
      <c r="Q1437" s="5" t="str">
        <f ca="1">IFERROR(__xludf.DUMMYFUNCTION("""COMPUTED_VALUE"""),"Medical")</f>
        <v>Medical</v>
      </c>
      <c r="R1437" s="5" t="str">
        <f ca="1">IFERROR(__xludf.DUMMYFUNCTION("""COMPUTED_VALUE"""),"România")</f>
        <v>România</v>
      </c>
      <c r="S1437" s="5" t="str">
        <f ca="1">IFERROR(__xludf.DUMMYFUNCTION("""COMPUTED_VALUE"""),"Octavian")</f>
        <v>Octavian</v>
      </c>
      <c r="T1437" s="7" t="str">
        <f ca="1">IFERROR(__xludf.DUMMYFUNCTION("""COMPUTED_VALUE"""),"http://www.ms.ro/2020/08/13/buletin-informativ-13-08-2020")</f>
        <v>http://www.ms.ro/2020/08/13/buletin-informativ-13-08-2020</v>
      </c>
      <c r="U1437" s="5"/>
      <c r="V1437" s="5"/>
      <c r="W1437" s="5"/>
      <c r="X1437" s="5"/>
      <c r="Y1437" s="5"/>
      <c r="Z1437" s="5"/>
      <c r="AA1437" s="5"/>
      <c r="AB1437" s="5"/>
      <c r="AC1437" s="5"/>
    </row>
    <row r="1438" spans="1:29" ht="12.5">
      <c r="A1438" s="5">
        <f ca="1">IFERROR(__xludf.DUMMYFUNCTION("""COMPUTED_VALUE"""),65333)</f>
        <v>65333</v>
      </c>
      <c r="B1438" s="5"/>
      <c r="C1438" s="5" t="str">
        <f ca="1">IFERROR(__xludf.DUMMYFUNCTION("""COMPUTED_VALUE"""),"Bihor")</f>
        <v>Bihor</v>
      </c>
      <c r="D1438" s="13">
        <f ca="1">IFERROR(__xludf.DUMMYFUNCTION("""COMPUTED_VALUE"""),44056)</f>
        <v>44056</v>
      </c>
      <c r="E1438" s="5" t="str">
        <f ca="1">IFERROR(__xludf.DUMMYFUNCTION("""COMPUTED_VALUE"""),"Nu")</f>
        <v>Nu</v>
      </c>
      <c r="F1438" s="5"/>
      <c r="G1438" s="5"/>
      <c r="H1438" s="6"/>
      <c r="I1438" s="5"/>
      <c r="J1438" s="5"/>
      <c r="K1438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38" s="5"/>
      <c r="M1438" s="5" t="str">
        <f ca="1">IFERROR(__xludf.DUMMYFUNCTION("""COMPUTED_VALUE"""),"Oradea")</f>
        <v>Oradea</v>
      </c>
      <c r="N1438" s="5"/>
      <c r="O1438" s="5"/>
      <c r="P1438" s="5" t="str">
        <f ca="1">IFERROR(__xludf.DUMMYFUNCTION("""COMPUTED_VALUE"""),"SJU Oradea, pacient.")</f>
        <v>SJU Oradea, pacient.</v>
      </c>
      <c r="Q1438" s="5" t="str">
        <f ca="1">IFERROR(__xludf.DUMMYFUNCTION("""COMPUTED_VALUE"""),"Medical")</f>
        <v>Medical</v>
      </c>
      <c r="R1438" s="5" t="str">
        <f ca="1">IFERROR(__xludf.DUMMYFUNCTION("""COMPUTED_VALUE"""),"România")</f>
        <v>România</v>
      </c>
      <c r="S1438" s="5" t="str">
        <f ca="1">IFERROR(__xludf.DUMMYFUNCTION("""COMPUTED_VALUE"""),"Octavian")</f>
        <v>Octavian</v>
      </c>
      <c r="T1438" s="7" t="str">
        <f ca="1">IFERROR(__xludf.DUMMYFUNCTION("""COMPUTED_VALUE"""),"http://www.ms.ro/2020/08/13/buletin-informativ-13-08-2020")</f>
        <v>http://www.ms.ro/2020/08/13/buletin-informativ-13-08-2020</v>
      </c>
      <c r="U1438" s="5"/>
      <c r="V1438" s="5"/>
      <c r="W1438" s="5"/>
      <c r="X1438" s="5"/>
      <c r="Y1438" s="5"/>
      <c r="Z1438" s="5"/>
      <c r="AA1438" s="5"/>
      <c r="AB1438" s="5"/>
      <c r="AC1438" s="5"/>
    </row>
    <row r="1439" spans="1:29" ht="12.5">
      <c r="A1439" s="5">
        <f ca="1">IFERROR(__xludf.DUMMYFUNCTION("""COMPUTED_VALUE"""),65334)</f>
        <v>65334</v>
      </c>
      <c r="B1439" s="5"/>
      <c r="C1439" s="5" t="str">
        <f ca="1">IFERROR(__xludf.DUMMYFUNCTION("""COMPUTED_VALUE"""),"Bihor")</f>
        <v>Bihor</v>
      </c>
      <c r="D1439" s="13">
        <f ca="1">IFERROR(__xludf.DUMMYFUNCTION("""COMPUTED_VALUE"""),44056)</f>
        <v>44056</v>
      </c>
      <c r="E1439" s="5" t="str">
        <f ca="1">IFERROR(__xludf.DUMMYFUNCTION("""COMPUTED_VALUE"""),"Nu")</f>
        <v>Nu</v>
      </c>
      <c r="F1439" s="5"/>
      <c r="G1439" s="5"/>
      <c r="H1439" s="6"/>
      <c r="I1439" s="5"/>
      <c r="J1439" s="5"/>
      <c r="K1439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39" s="5"/>
      <c r="M1439" s="5" t="str">
        <f ca="1">IFERROR(__xludf.DUMMYFUNCTION("""COMPUTED_VALUE"""),"Oradea")</f>
        <v>Oradea</v>
      </c>
      <c r="N1439" s="5"/>
      <c r="O1439" s="5"/>
      <c r="P1439" s="5" t="str">
        <f ca="1">IFERROR(__xludf.DUMMYFUNCTION("""COMPUTED_VALUE"""),"SJU Oradea, pacient.")</f>
        <v>SJU Oradea, pacient.</v>
      </c>
      <c r="Q1439" s="5" t="str">
        <f ca="1">IFERROR(__xludf.DUMMYFUNCTION("""COMPUTED_VALUE"""),"Medical")</f>
        <v>Medical</v>
      </c>
      <c r="R1439" s="5" t="str">
        <f ca="1">IFERROR(__xludf.DUMMYFUNCTION("""COMPUTED_VALUE"""),"România")</f>
        <v>România</v>
      </c>
      <c r="S1439" s="5" t="str">
        <f ca="1">IFERROR(__xludf.DUMMYFUNCTION("""COMPUTED_VALUE"""),"Octavian")</f>
        <v>Octavian</v>
      </c>
      <c r="T1439" s="7" t="str">
        <f ca="1">IFERROR(__xludf.DUMMYFUNCTION("""COMPUTED_VALUE"""),"http://www.ms.ro/2020/08/13/buletin-informativ-13-08-2020")</f>
        <v>http://www.ms.ro/2020/08/13/buletin-informativ-13-08-2020</v>
      </c>
      <c r="U1439" s="5"/>
      <c r="V1439" s="5"/>
      <c r="W1439" s="5"/>
      <c r="X1439" s="5"/>
      <c r="Y1439" s="5"/>
      <c r="Z1439" s="5"/>
      <c r="AA1439" s="5"/>
      <c r="AB1439" s="5"/>
      <c r="AC1439" s="5"/>
    </row>
    <row r="1440" spans="1:29" ht="12.5">
      <c r="A1440" s="5">
        <f ca="1">IFERROR(__xludf.DUMMYFUNCTION("""COMPUTED_VALUE"""),65335)</f>
        <v>65335</v>
      </c>
      <c r="B1440" s="5"/>
      <c r="C1440" s="5" t="str">
        <f ca="1">IFERROR(__xludf.DUMMYFUNCTION("""COMPUTED_VALUE"""),"Bihor")</f>
        <v>Bihor</v>
      </c>
      <c r="D1440" s="13">
        <f ca="1">IFERROR(__xludf.DUMMYFUNCTION("""COMPUTED_VALUE"""),44056)</f>
        <v>44056</v>
      </c>
      <c r="E1440" s="5" t="str">
        <f ca="1">IFERROR(__xludf.DUMMYFUNCTION("""COMPUTED_VALUE"""),"Nu")</f>
        <v>Nu</v>
      </c>
      <c r="F1440" s="5"/>
      <c r="G1440" s="5"/>
      <c r="H1440" s="6"/>
      <c r="I1440" s="5"/>
      <c r="J1440" s="5"/>
      <c r="K1440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40" s="5"/>
      <c r="M1440" s="5" t="str">
        <f ca="1">IFERROR(__xludf.DUMMYFUNCTION("""COMPUTED_VALUE"""),"Oradea")</f>
        <v>Oradea</v>
      </c>
      <c r="N1440" s="5"/>
      <c r="O1440" s="5"/>
      <c r="P1440" s="5" t="str">
        <f ca="1">IFERROR(__xludf.DUMMYFUNCTION("""COMPUTED_VALUE"""),"SJU Oradea, pacient.")</f>
        <v>SJU Oradea, pacient.</v>
      </c>
      <c r="Q1440" s="5" t="str">
        <f ca="1">IFERROR(__xludf.DUMMYFUNCTION("""COMPUTED_VALUE"""),"Medical")</f>
        <v>Medical</v>
      </c>
      <c r="R1440" s="5" t="str">
        <f ca="1">IFERROR(__xludf.DUMMYFUNCTION("""COMPUTED_VALUE"""),"România")</f>
        <v>România</v>
      </c>
      <c r="S1440" s="5" t="str">
        <f ca="1">IFERROR(__xludf.DUMMYFUNCTION("""COMPUTED_VALUE"""),"Octavian")</f>
        <v>Octavian</v>
      </c>
      <c r="T1440" s="7" t="str">
        <f ca="1">IFERROR(__xludf.DUMMYFUNCTION("""COMPUTED_VALUE"""),"http://www.ms.ro/2020/08/13/buletin-informativ-13-08-2020")</f>
        <v>http://www.ms.ro/2020/08/13/buletin-informativ-13-08-2020</v>
      </c>
      <c r="U1440" s="5"/>
      <c r="V1440" s="5"/>
      <c r="W1440" s="5"/>
      <c r="X1440" s="5"/>
      <c r="Y1440" s="5"/>
      <c r="Z1440" s="5"/>
      <c r="AA1440" s="5"/>
      <c r="AB1440" s="5"/>
      <c r="AC1440" s="5"/>
    </row>
    <row r="1441" spans="1:29" ht="12.5">
      <c r="A1441" s="5">
        <f ca="1">IFERROR(__xludf.DUMMYFUNCTION("""COMPUTED_VALUE"""),65336)</f>
        <v>65336</v>
      </c>
      <c r="B1441" s="5"/>
      <c r="C1441" s="5" t="str">
        <f ca="1">IFERROR(__xludf.DUMMYFUNCTION("""COMPUTED_VALUE"""),"Bihor")</f>
        <v>Bihor</v>
      </c>
      <c r="D1441" s="13">
        <f ca="1">IFERROR(__xludf.DUMMYFUNCTION("""COMPUTED_VALUE"""),44056)</f>
        <v>44056</v>
      </c>
      <c r="E1441" s="5" t="str">
        <f ca="1">IFERROR(__xludf.DUMMYFUNCTION("""COMPUTED_VALUE"""),"Nu")</f>
        <v>Nu</v>
      </c>
      <c r="F1441" s="5"/>
      <c r="G1441" s="5"/>
      <c r="H1441" s="6"/>
      <c r="I1441" s="5"/>
      <c r="J1441" s="5"/>
      <c r="K1441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41" s="5"/>
      <c r="M1441" s="5" t="str">
        <f ca="1">IFERROR(__xludf.DUMMYFUNCTION("""COMPUTED_VALUE"""),"Oradea")</f>
        <v>Oradea</v>
      </c>
      <c r="N1441" s="5"/>
      <c r="O1441" s="5"/>
      <c r="P1441" s="5" t="str">
        <f ca="1">IFERROR(__xludf.DUMMYFUNCTION("""COMPUTED_VALUE"""),"SJU Oradea, pacient.")</f>
        <v>SJU Oradea, pacient.</v>
      </c>
      <c r="Q1441" s="5" t="str">
        <f ca="1">IFERROR(__xludf.DUMMYFUNCTION("""COMPUTED_VALUE"""),"Medical")</f>
        <v>Medical</v>
      </c>
      <c r="R1441" s="5" t="str">
        <f ca="1">IFERROR(__xludf.DUMMYFUNCTION("""COMPUTED_VALUE"""),"România")</f>
        <v>România</v>
      </c>
      <c r="S1441" s="5" t="str">
        <f ca="1">IFERROR(__xludf.DUMMYFUNCTION("""COMPUTED_VALUE"""),"Octavian")</f>
        <v>Octavian</v>
      </c>
      <c r="T1441" s="7" t="str">
        <f ca="1">IFERROR(__xludf.DUMMYFUNCTION("""COMPUTED_VALUE"""),"http://www.ms.ro/2020/08/13/buletin-informativ-13-08-2020")</f>
        <v>http://www.ms.ro/2020/08/13/buletin-informativ-13-08-2020</v>
      </c>
      <c r="U1441" s="5"/>
      <c r="V1441" s="5"/>
      <c r="W1441" s="5"/>
      <c r="X1441" s="5"/>
      <c r="Y1441" s="5"/>
      <c r="Z1441" s="5"/>
      <c r="AA1441" s="5"/>
      <c r="AB1441" s="5"/>
      <c r="AC1441" s="5"/>
    </row>
    <row r="1442" spans="1:29" ht="12.5">
      <c r="A1442" s="5">
        <f ca="1">IFERROR(__xludf.DUMMYFUNCTION("""COMPUTED_VALUE"""),65337)</f>
        <v>65337</v>
      </c>
      <c r="B1442" s="5"/>
      <c r="C1442" s="5" t="str">
        <f ca="1">IFERROR(__xludf.DUMMYFUNCTION("""COMPUTED_VALUE"""),"Bihor")</f>
        <v>Bihor</v>
      </c>
      <c r="D1442" s="13">
        <f ca="1">IFERROR(__xludf.DUMMYFUNCTION("""COMPUTED_VALUE"""),44056)</f>
        <v>44056</v>
      </c>
      <c r="E1442" s="5" t="str">
        <f ca="1">IFERROR(__xludf.DUMMYFUNCTION("""COMPUTED_VALUE"""),"Nu")</f>
        <v>Nu</v>
      </c>
      <c r="F1442" s="5"/>
      <c r="G1442" s="5"/>
      <c r="H1442" s="6"/>
      <c r="I1442" s="5"/>
      <c r="J1442" s="5"/>
      <c r="K1442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42" s="5"/>
      <c r="M1442" s="5" t="str">
        <f ca="1">IFERROR(__xludf.DUMMYFUNCTION("""COMPUTED_VALUE"""),"Oradea")</f>
        <v>Oradea</v>
      </c>
      <c r="N1442" s="5"/>
      <c r="O1442" s="5"/>
      <c r="P1442" s="5" t="str">
        <f ca="1">IFERROR(__xludf.DUMMYFUNCTION("""COMPUTED_VALUE"""),"SJU Oradea, angajat.")</f>
        <v>SJU Oradea, angajat.</v>
      </c>
      <c r="Q1442" s="5" t="str">
        <f ca="1">IFERROR(__xludf.DUMMYFUNCTION("""COMPUTED_VALUE"""),"Medical")</f>
        <v>Medical</v>
      </c>
      <c r="R1442" s="5" t="str">
        <f ca="1">IFERROR(__xludf.DUMMYFUNCTION("""COMPUTED_VALUE"""),"România")</f>
        <v>România</v>
      </c>
      <c r="S1442" s="5" t="str">
        <f ca="1">IFERROR(__xludf.DUMMYFUNCTION("""COMPUTED_VALUE"""),"Octavian")</f>
        <v>Octavian</v>
      </c>
      <c r="T1442" s="7" t="str">
        <f ca="1">IFERROR(__xludf.DUMMYFUNCTION("""COMPUTED_VALUE"""),"http://www.ms.ro/2020/08/13/buletin-informativ-13-08-2020")</f>
        <v>http://www.ms.ro/2020/08/13/buletin-informativ-13-08-2020</v>
      </c>
      <c r="U1442" s="5"/>
      <c r="V1442" s="5"/>
      <c r="W1442" s="5"/>
      <c r="X1442" s="5"/>
      <c r="Y1442" s="5"/>
      <c r="Z1442" s="5"/>
      <c r="AA1442" s="5"/>
      <c r="AB1442" s="5"/>
      <c r="AC1442" s="5"/>
    </row>
    <row r="1443" spans="1:29" ht="12.5">
      <c r="A1443" s="5">
        <f ca="1">IFERROR(__xludf.DUMMYFUNCTION("""COMPUTED_VALUE"""),65338)</f>
        <v>65338</v>
      </c>
      <c r="B1443" s="5"/>
      <c r="C1443" s="5" t="str">
        <f ca="1">IFERROR(__xludf.DUMMYFUNCTION("""COMPUTED_VALUE"""),"Bihor")</f>
        <v>Bihor</v>
      </c>
      <c r="D1443" s="13">
        <f ca="1">IFERROR(__xludf.DUMMYFUNCTION("""COMPUTED_VALUE"""),44056)</f>
        <v>44056</v>
      </c>
      <c r="E1443" s="5" t="str">
        <f ca="1">IFERROR(__xludf.DUMMYFUNCTION("""COMPUTED_VALUE"""),"Nu")</f>
        <v>Nu</v>
      </c>
      <c r="F1443" s="5"/>
      <c r="G1443" s="5"/>
      <c r="H1443" s="6"/>
      <c r="I1443" s="5"/>
      <c r="J1443" s="5"/>
      <c r="K1443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43" s="5"/>
      <c r="M1443" s="5" t="str">
        <f ca="1">IFERROR(__xludf.DUMMYFUNCTION("""COMPUTED_VALUE"""),"Aleșd")</f>
        <v>Aleșd</v>
      </c>
      <c r="N1443" s="5"/>
      <c r="O1443" s="5"/>
      <c r="P1443" s="5" t="str">
        <f ca="1">IFERROR(__xludf.DUMMYFUNCTION("""COMPUTED_VALUE"""),"Spital Aleșd, pacient.")</f>
        <v>Spital Aleșd, pacient.</v>
      </c>
      <c r="Q1443" s="5" t="str">
        <f ca="1">IFERROR(__xludf.DUMMYFUNCTION("""COMPUTED_VALUE"""),"Medical")</f>
        <v>Medical</v>
      </c>
      <c r="R1443" s="5" t="str">
        <f ca="1">IFERROR(__xludf.DUMMYFUNCTION("""COMPUTED_VALUE"""),"România")</f>
        <v>România</v>
      </c>
      <c r="S1443" s="5" t="str">
        <f ca="1">IFERROR(__xludf.DUMMYFUNCTION("""COMPUTED_VALUE"""),"Octavian")</f>
        <v>Octavian</v>
      </c>
      <c r="T1443" s="7" t="str">
        <f ca="1">IFERROR(__xludf.DUMMYFUNCTION("""COMPUTED_VALUE"""),"http://www.ms.ro/2020/08/13/buletin-informativ-13-08-2020")</f>
        <v>http://www.ms.ro/2020/08/13/buletin-informativ-13-08-2020</v>
      </c>
      <c r="U1443" s="5"/>
      <c r="V1443" s="5"/>
      <c r="W1443" s="5"/>
      <c r="X1443" s="5"/>
      <c r="Y1443" s="5"/>
      <c r="Z1443" s="5"/>
      <c r="AA1443" s="5"/>
      <c r="AB1443" s="5"/>
      <c r="AC1443" s="5"/>
    </row>
    <row r="1444" spans="1:29" ht="12.5">
      <c r="A1444" s="5">
        <f ca="1">IFERROR(__xludf.DUMMYFUNCTION("""COMPUTED_VALUE"""),65339)</f>
        <v>65339</v>
      </c>
      <c r="B1444" s="5"/>
      <c r="C1444" s="5" t="str">
        <f ca="1">IFERROR(__xludf.DUMMYFUNCTION("""COMPUTED_VALUE"""),"Bihor")</f>
        <v>Bihor</v>
      </c>
      <c r="D1444" s="13">
        <f ca="1">IFERROR(__xludf.DUMMYFUNCTION("""COMPUTED_VALUE"""),44056)</f>
        <v>44056</v>
      </c>
      <c r="E1444" s="5" t="str">
        <f ca="1">IFERROR(__xludf.DUMMYFUNCTION("""COMPUTED_VALUE"""),"Nu")</f>
        <v>Nu</v>
      </c>
      <c r="F1444" s="5"/>
      <c r="G1444" s="5"/>
      <c r="H1444" s="6"/>
      <c r="I1444" s="5"/>
      <c r="J1444" s="5"/>
      <c r="K1444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44" s="5"/>
      <c r="M1444" s="5" t="str">
        <f ca="1">IFERROR(__xludf.DUMMYFUNCTION("""COMPUTED_VALUE"""),"Aleșd")</f>
        <v>Aleșd</v>
      </c>
      <c r="N1444" s="5"/>
      <c r="O1444" s="5"/>
      <c r="P1444" s="5" t="str">
        <f ca="1">IFERROR(__xludf.DUMMYFUNCTION("""COMPUTED_VALUE"""),"Spital Aleșd, pacient.")</f>
        <v>Spital Aleșd, pacient.</v>
      </c>
      <c r="Q1444" s="5" t="str">
        <f ca="1">IFERROR(__xludf.DUMMYFUNCTION("""COMPUTED_VALUE"""),"Medical")</f>
        <v>Medical</v>
      </c>
      <c r="R1444" s="5" t="str">
        <f ca="1">IFERROR(__xludf.DUMMYFUNCTION("""COMPUTED_VALUE"""),"România")</f>
        <v>România</v>
      </c>
      <c r="S1444" s="5" t="str">
        <f ca="1">IFERROR(__xludf.DUMMYFUNCTION("""COMPUTED_VALUE"""),"Octavian")</f>
        <v>Octavian</v>
      </c>
      <c r="T1444" s="7" t="str">
        <f ca="1">IFERROR(__xludf.DUMMYFUNCTION("""COMPUTED_VALUE"""),"http://www.ms.ro/2020/08/13/buletin-informativ-13-08-2020")</f>
        <v>http://www.ms.ro/2020/08/13/buletin-informativ-13-08-2020</v>
      </c>
      <c r="U1444" s="5"/>
      <c r="V1444" s="5"/>
      <c r="W1444" s="5"/>
      <c r="X1444" s="5"/>
      <c r="Y1444" s="5"/>
      <c r="Z1444" s="5"/>
      <c r="AA1444" s="5"/>
      <c r="AB1444" s="5"/>
      <c r="AC1444" s="5"/>
    </row>
    <row r="1445" spans="1:29" ht="12.5">
      <c r="A1445" s="5">
        <f ca="1">IFERROR(__xludf.DUMMYFUNCTION("""COMPUTED_VALUE"""),65340)</f>
        <v>65340</v>
      </c>
      <c r="B1445" s="5"/>
      <c r="C1445" s="5" t="str">
        <f ca="1">IFERROR(__xludf.DUMMYFUNCTION("""COMPUTED_VALUE"""),"Bihor")</f>
        <v>Bihor</v>
      </c>
      <c r="D1445" s="13">
        <f ca="1">IFERROR(__xludf.DUMMYFUNCTION("""COMPUTED_VALUE"""),44056)</f>
        <v>44056</v>
      </c>
      <c r="E1445" s="5" t="str">
        <f ca="1">IFERROR(__xludf.DUMMYFUNCTION("""COMPUTED_VALUE"""),"Nu")</f>
        <v>Nu</v>
      </c>
      <c r="F1445" s="5"/>
      <c r="G1445" s="5"/>
      <c r="H1445" s="6"/>
      <c r="I1445" s="5"/>
      <c r="J1445" s="5"/>
      <c r="K1445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45" s="5"/>
      <c r="M1445" s="5" t="str">
        <f ca="1">IFERROR(__xludf.DUMMYFUNCTION("""COMPUTED_VALUE"""),"Aleșd")</f>
        <v>Aleșd</v>
      </c>
      <c r="N1445" s="5"/>
      <c r="O1445" s="5"/>
      <c r="P1445" s="5" t="str">
        <f ca="1">IFERROR(__xludf.DUMMYFUNCTION("""COMPUTED_VALUE"""),"Spital Aleșd, pacient.")</f>
        <v>Spital Aleșd, pacient.</v>
      </c>
      <c r="Q1445" s="5" t="str">
        <f ca="1">IFERROR(__xludf.DUMMYFUNCTION("""COMPUTED_VALUE"""),"Medical")</f>
        <v>Medical</v>
      </c>
      <c r="R1445" s="5" t="str">
        <f ca="1">IFERROR(__xludf.DUMMYFUNCTION("""COMPUTED_VALUE"""),"România")</f>
        <v>România</v>
      </c>
      <c r="S1445" s="5" t="str">
        <f ca="1">IFERROR(__xludf.DUMMYFUNCTION("""COMPUTED_VALUE"""),"Octavian")</f>
        <v>Octavian</v>
      </c>
      <c r="T1445" s="7" t="str">
        <f ca="1">IFERROR(__xludf.DUMMYFUNCTION("""COMPUTED_VALUE"""),"http://www.ms.ro/2020/08/13/buletin-informativ-13-08-2020")</f>
        <v>http://www.ms.ro/2020/08/13/buletin-informativ-13-08-2020</v>
      </c>
      <c r="U1445" s="5"/>
      <c r="V1445" s="5"/>
      <c r="W1445" s="5"/>
      <c r="X1445" s="5"/>
      <c r="Y1445" s="5"/>
      <c r="Z1445" s="5"/>
      <c r="AA1445" s="5"/>
      <c r="AB1445" s="5"/>
      <c r="AC1445" s="5"/>
    </row>
    <row r="1446" spans="1:29" ht="12.5">
      <c r="A1446" s="5">
        <f ca="1">IFERROR(__xludf.DUMMYFUNCTION("""COMPUTED_VALUE"""),65341)</f>
        <v>65341</v>
      </c>
      <c r="B1446" s="5"/>
      <c r="C1446" s="5" t="str">
        <f ca="1">IFERROR(__xludf.DUMMYFUNCTION("""COMPUTED_VALUE"""),"Bihor")</f>
        <v>Bihor</v>
      </c>
      <c r="D1446" s="13">
        <f ca="1">IFERROR(__xludf.DUMMYFUNCTION("""COMPUTED_VALUE"""),44056)</f>
        <v>44056</v>
      </c>
      <c r="E1446" s="5" t="str">
        <f ca="1">IFERROR(__xludf.DUMMYFUNCTION("""COMPUTED_VALUE"""),"Nu")</f>
        <v>Nu</v>
      </c>
      <c r="F1446" s="5"/>
      <c r="G1446" s="5"/>
      <c r="H1446" s="6"/>
      <c r="I1446" s="5"/>
      <c r="J1446" s="5"/>
      <c r="K1446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46" s="5"/>
      <c r="M1446" s="5" t="str">
        <f ca="1">IFERROR(__xludf.DUMMYFUNCTION("""COMPUTED_VALUE"""),"Aleșd")</f>
        <v>Aleșd</v>
      </c>
      <c r="N1446" s="5"/>
      <c r="O1446" s="5"/>
      <c r="P1446" s="5" t="str">
        <f ca="1">IFERROR(__xludf.DUMMYFUNCTION("""COMPUTED_VALUE"""),"Spital Aleșd, pacient.")</f>
        <v>Spital Aleșd, pacient.</v>
      </c>
      <c r="Q1446" s="5" t="str">
        <f ca="1">IFERROR(__xludf.DUMMYFUNCTION("""COMPUTED_VALUE"""),"Medical")</f>
        <v>Medical</v>
      </c>
      <c r="R1446" s="5" t="str">
        <f ca="1">IFERROR(__xludf.DUMMYFUNCTION("""COMPUTED_VALUE"""),"România")</f>
        <v>România</v>
      </c>
      <c r="S1446" s="5" t="str">
        <f ca="1">IFERROR(__xludf.DUMMYFUNCTION("""COMPUTED_VALUE"""),"Octavian")</f>
        <v>Octavian</v>
      </c>
      <c r="T1446" s="7" t="str">
        <f ca="1">IFERROR(__xludf.DUMMYFUNCTION("""COMPUTED_VALUE"""),"http://www.ms.ro/2020/08/13/buletin-informativ-13-08-2020")</f>
        <v>http://www.ms.ro/2020/08/13/buletin-informativ-13-08-2020</v>
      </c>
      <c r="U1446" s="5"/>
      <c r="V1446" s="5"/>
      <c r="W1446" s="5"/>
      <c r="X1446" s="5"/>
      <c r="Y1446" s="5"/>
      <c r="Z1446" s="5"/>
      <c r="AA1446" s="5"/>
      <c r="AB1446" s="5"/>
      <c r="AC1446" s="5"/>
    </row>
    <row r="1447" spans="1:29" ht="12.5">
      <c r="A1447" s="5">
        <f ca="1">IFERROR(__xludf.DUMMYFUNCTION("""COMPUTED_VALUE"""),65342)</f>
        <v>65342</v>
      </c>
      <c r="B1447" s="5"/>
      <c r="C1447" s="5" t="str">
        <f ca="1">IFERROR(__xludf.DUMMYFUNCTION("""COMPUTED_VALUE"""),"Bihor")</f>
        <v>Bihor</v>
      </c>
      <c r="D1447" s="13">
        <f ca="1">IFERROR(__xludf.DUMMYFUNCTION("""COMPUTED_VALUE"""),44056)</f>
        <v>44056</v>
      </c>
      <c r="E1447" s="5" t="str">
        <f ca="1">IFERROR(__xludf.DUMMYFUNCTION("""COMPUTED_VALUE"""),"Nu")</f>
        <v>Nu</v>
      </c>
      <c r="F1447" s="5"/>
      <c r="G1447" s="5"/>
      <c r="H1447" s="6"/>
      <c r="I1447" s="5"/>
      <c r="J1447" s="5"/>
      <c r="K1447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47" s="5"/>
      <c r="M1447" s="5" t="str">
        <f ca="1">IFERROR(__xludf.DUMMYFUNCTION("""COMPUTED_VALUE"""),"Aleșd")</f>
        <v>Aleșd</v>
      </c>
      <c r="N1447" s="5"/>
      <c r="O1447" s="5"/>
      <c r="P1447" s="5" t="str">
        <f ca="1">IFERROR(__xludf.DUMMYFUNCTION("""COMPUTED_VALUE"""),"Spital Aleșd, pacient.")</f>
        <v>Spital Aleșd, pacient.</v>
      </c>
      <c r="Q1447" s="5" t="str">
        <f ca="1">IFERROR(__xludf.DUMMYFUNCTION("""COMPUTED_VALUE"""),"Medical")</f>
        <v>Medical</v>
      </c>
      <c r="R1447" s="5" t="str">
        <f ca="1">IFERROR(__xludf.DUMMYFUNCTION("""COMPUTED_VALUE"""),"România")</f>
        <v>România</v>
      </c>
      <c r="S1447" s="5" t="str">
        <f ca="1">IFERROR(__xludf.DUMMYFUNCTION("""COMPUTED_VALUE"""),"Octavian")</f>
        <v>Octavian</v>
      </c>
      <c r="T1447" s="7" t="str">
        <f ca="1">IFERROR(__xludf.DUMMYFUNCTION("""COMPUTED_VALUE"""),"http://www.ms.ro/2020/08/13/buletin-informativ-13-08-2020")</f>
        <v>http://www.ms.ro/2020/08/13/buletin-informativ-13-08-2020</v>
      </c>
      <c r="U1447" s="5"/>
      <c r="V1447" s="5"/>
      <c r="W1447" s="5"/>
      <c r="X1447" s="5"/>
      <c r="Y1447" s="5"/>
      <c r="Z1447" s="5"/>
      <c r="AA1447" s="5"/>
      <c r="AB1447" s="5"/>
      <c r="AC1447" s="5"/>
    </row>
    <row r="1448" spans="1:29" ht="12.5">
      <c r="A1448" s="5">
        <f ca="1">IFERROR(__xludf.DUMMYFUNCTION("""COMPUTED_VALUE"""),65343)</f>
        <v>65343</v>
      </c>
      <c r="B1448" s="5"/>
      <c r="C1448" s="5" t="str">
        <f ca="1">IFERROR(__xludf.DUMMYFUNCTION("""COMPUTED_VALUE"""),"Bihor")</f>
        <v>Bihor</v>
      </c>
      <c r="D1448" s="13">
        <f ca="1">IFERROR(__xludf.DUMMYFUNCTION("""COMPUTED_VALUE"""),44056)</f>
        <v>44056</v>
      </c>
      <c r="E1448" s="5" t="str">
        <f ca="1">IFERROR(__xludf.DUMMYFUNCTION("""COMPUTED_VALUE"""),"Nu")</f>
        <v>Nu</v>
      </c>
      <c r="F1448" s="5"/>
      <c r="G1448" s="5"/>
      <c r="H1448" s="6"/>
      <c r="I1448" s="5"/>
      <c r="J1448" s="5"/>
      <c r="K1448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48" s="5"/>
      <c r="M1448" s="5" t="str">
        <f ca="1">IFERROR(__xludf.DUMMYFUNCTION("""COMPUTED_VALUE"""),"Beiuș")</f>
        <v>Beiuș</v>
      </c>
      <c r="N1448" s="5"/>
      <c r="O1448" s="5"/>
      <c r="P1448" s="5" t="str">
        <f ca="1">IFERROR(__xludf.DUMMYFUNCTION("""COMPUTED_VALUE"""),"Spital Beiuș, pacient.")</f>
        <v>Spital Beiuș, pacient.</v>
      </c>
      <c r="Q1448" s="5" t="str">
        <f ca="1">IFERROR(__xludf.DUMMYFUNCTION("""COMPUTED_VALUE"""),"Medical")</f>
        <v>Medical</v>
      </c>
      <c r="R1448" s="5" t="str">
        <f ca="1">IFERROR(__xludf.DUMMYFUNCTION("""COMPUTED_VALUE"""),"România")</f>
        <v>România</v>
      </c>
      <c r="S1448" s="5" t="str">
        <f ca="1">IFERROR(__xludf.DUMMYFUNCTION("""COMPUTED_VALUE"""),"Octavian")</f>
        <v>Octavian</v>
      </c>
      <c r="T1448" s="7" t="str">
        <f ca="1">IFERROR(__xludf.DUMMYFUNCTION("""COMPUTED_VALUE"""),"http://www.ms.ro/2020/08/13/buletin-informativ-13-08-2020")</f>
        <v>http://www.ms.ro/2020/08/13/buletin-informativ-13-08-2020</v>
      </c>
      <c r="U1448" s="5"/>
      <c r="V1448" s="5"/>
      <c r="W1448" s="5"/>
      <c r="X1448" s="5"/>
      <c r="Y1448" s="5"/>
      <c r="Z1448" s="5"/>
      <c r="AA1448" s="5"/>
      <c r="AB1448" s="5"/>
      <c r="AC1448" s="5"/>
    </row>
    <row r="1449" spans="1:29" ht="12.5">
      <c r="A1449" s="5">
        <f ca="1">IFERROR(__xludf.DUMMYFUNCTION("""COMPUTED_VALUE"""),65344)</f>
        <v>65344</v>
      </c>
      <c r="B1449" s="5"/>
      <c r="C1449" s="5" t="str">
        <f ca="1">IFERROR(__xludf.DUMMYFUNCTION("""COMPUTED_VALUE"""),"Bihor")</f>
        <v>Bihor</v>
      </c>
      <c r="D1449" s="13">
        <f ca="1">IFERROR(__xludf.DUMMYFUNCTION("""COMPUTED_VALUE"""),44056)</f>
        <v>44056</v>
      </c>
      <c r="E1449" s="5" t="str">
        <f ca="1">IFERROR(__xludf.DUMMYFUNCTION("""COMPUTED_VALUE"""),"Nu")</f>
        <v>Nu</v>
      </c>
      <c r="F1449" s="5"/>
      <c r="G1449" s="5"/>
      <c r="H1449" s="6"/>
      <c r="I1449" s="5"/>
      <c r="J1449" s="5"/>
      <c r="K1449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49" s="5"/>
      <c r="M1449" s="5" t="str">
        <f ca="1">IFERROR(__xludf.DUMMYFUNCTION("""COMPUTED_VALUE"""),"Beiuș")</f>
        <v>Beiuș</v>
      </c>
      <c r="N1449" s="5"/>
      <c r="O1449" s="5"/>
      <c r="P1449" s="5" t="str">
        <f ca="1">IFERROR(__xludf.DUMMYFUNCTION("""COMPUTED_VALUE"""),"Spital Beiuș, pacient.")</f>
        <v>Spital Beiuș, pacient.</v>
      </c>
      <c r="Q1449" s="5" t="str">
        <f ca="1">IFERROR(__xludf.DUMMYFUNCTION("""COMPUTED_VALUE"""),"Medical")</f>
        <v>Medical</v>
      </c>
      <c r="R1449" s="5" t="str">
        <f ca="1">IFERROR(__xludf.DUMMYFUNCTION("""COMPUTED_VALUE"""),"România")</f>
        <v>România</v>
      </c>
      <c r="S1449" s="5" t="str">
        <f ca="1">IFERROR(__xludf.DUMMYFUNCTION("""COMPUTED_VALUE"""),"Octavian")</f>
        <v>Octavian</v>
      </c>
      <c r="T1449" s="7" t="str">
        <f ca="1">IFERROR(__xludf.DUMMYFUNCTION("""COMPUTED_VALUE"""),"http://www.ms.ro/2020/08/13/buletin-informativ-13-08-2020")</f>
        <v>http://www.ms.ro/2020/08/13/buletin-informativ-13-08-2020</v>
      </c>
      <c r="U1449" s="5"/>
      <c r="V1449" s="5"/>
      <c r="W1449" s="5"/>
      <c r="X1449" s="5"/>
      <c r="Y1449" s="5"/>
      <c r="Z1449" s="5"/>
      <c r="AA1449" s="5"/>
      <c r="AB1449" s="5"/>
      <c r="AC1449" s="5"/>
    </row>
    <row r="1450" spans="1:29" ht="12.5">
      <c r="A1450" s="5">
        <f ca="1">IFERROR(__xludf.DUMMYFUNCTION("""COMPUTED_VALUE"""),65345)</f>
        <v>65345</v>
      </c>
      <c r="B1450" s="5"/>
      <c r="C1450" s="5" t="str">
        <f ca="1">IFERROR(__xludf.DUMMYFUNCTION("""COMPUTED_VALUE"""),"Bihor")</f>
        <v>Bihor</v>
      </c>
      <c r="D1450" s="13">
        <f ca="1">IFERROR(__xludf.DUMMYFUNCTION("""COMPUTED_VALUE"""),44056)</f>
        <v>44056</v>
      </c>
      <c r="E1450" s="5" t="str">
        <f ca="1">IFERROR(__xludf.DUMMYFUNCTION("""COMPUTED_VALUE"""),"Nu")</f>
        <v>Nu</v>
      </c>
      <c r="F1450" s="5"/>
      <c r="G1450" s="5"/>
      <c r="H1450" s="6"/>
      <c r="I1450" s="5"/>
      <c r="J1450" s="5"/>
      <c r="K1450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50" s="5"/>
      <c r="M1450" s="5" t="str">
        <f ca="1">IFERROR(__xludf.DUMMYFUNCTION("""COMPUTED_VALUE"""),"Beiuș")</f>
        <v>Beiuș</v>
      </c>
      <c r="N1450" s="5"/>
      <c r="O1450" s="5"/>
      <c r="P1450" s="5" t="str">
        <f ca="1">IFERROR(__xludf.DUMMYFUNCTION("""COMPUTED_VALUE"""),"Spital Beiuș, pacient.")</f>
        <v>Spital Beiuș, pacient.</v>
      </c>
      <c r="Q1450" s="5" t="str">
        <f ca="1">IFERROR(__xludf.DUMMYFUNCTION("""COMPUTED_VALUE"""),"Medical")</f>
        <v>Medical</v>
      </c>
      <c r="R1450" s="5" t="str">
        <f ca="1">IFERROR(__xludf.DUMMYFUNCTION("""COMPUTED_VALUE"""),"România")</f>
        <v>România</v>
      </c>
      <c r="S1450" s="5" t="str">
        <f ca="1">IFERROR(__xludf.DUMMYFUNCTION("""COMPUTED_VALUE"""),"Octavian")</f>
        <v>Octavian</v>
      </c>
      <c r="T1450" s="7" t="str">
        <f ca="1">IFERROR(__xludf.DUMMYFUNCTION("""COMPUTED_VALUE"""),"http://www.ms.ro/2020/08/13/buletin-informativ-13-08-2020")</f>
        <v>http://www.ms.ro/2020/08/13/buletin-informativ-13-08-2020</v>
      </c>
      <c r="U1450" s="5"/>
      <c r="V1450" s="5"/>
      <c r="W1450" s="5"/>
      <c r="X1450" s="5"/>
      <c r="Y1450" s="5"/>
      <c r="Z1450" s="5"/>
      <c r="AA1450" s="5"/>
      <c r="AB1450" s="5"/>
      <c r="AC1450" s="5"/>
    </row>
    <row r="1451" spans="1:29" ht="12.5">
      <c r="A1451" s="5">
        <f ca="1">IFERROR(__xludf.DUMMYFUNCTION("""COMPUTED_VALUE"""),65346)</f>
        <v>65346</v>
      </c>
      <c r="B1451" s="5"/>
      <c r="C1451" s="5" t="str">
        <f ca="1">IFERROR(__xludf.DUMMYFUNCTION("""COMPUTED_VALUE"""),"Bihor")</f>
        <v>Bihor</v>
      </c>
      <c r="D1451" s="13">
        <f ca="1">IFERROR(__xludf.DUMMYFUNCTION("""COMPUTED_VALUE"""),44056)</f>
        <v>44056</v>
      </c>
      <c r="E1451" s="5" t="str">
        <f ca="1">IFERROR(__xludf.DUMMYFUNCTION("""COMPUTED_VALUE"""),"Nu")</f>
        <v>Nu</v>
      </c>
      <c r="F1451" s="5"/>
      <c r="G1451" s="5"/>
      <c r="H1451" s="6"/>
      <c r="I1451" s="5"/>
      <c r="J1451" s="5"/>
      <c r="K1451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51" s="5"/>
      <c r="M1451" s="5" t="str">
        <f ca="1">IFERROR(__xludf.DUMMYFUNCTION("""COMPUTED_VALUE"""),"Beiuș")</f>
        <v>Beiuș</v>
      </c>
      <c r="N1451" s="5"/>
      <c r="O1451" s="5"/>
      <c r="P1451" s="5" t="str">
        <f ca="1">IFERROR(__xludf.DUMMYFUNCTION("""COMPUTED_VALUE"""),"Spital Beiuș, pacient.")</f>
        <v>Spital Beiuș, pacient.</v>
      </c>
      <c r="Q1451" s="5" t="str">
        <f ca="1">IFERROR(__xludf.DUMMYFUNCTION("""COMPUTED_VALUE"""),"Medical")</f>
        <v>Medical</v>
      </c>
      <c r="R1451" s="5" t="str">
        <f ca="1">IFERROR(__xludf.DUMMYFUNCTION("""COMPUTED_VALUE"""),"România")</f>
        <v>România</v>
      </c>
      <c r="S1451" s="5" t="str">
        <f ca="1">IFERROR(__xludf.DUMMYFUNCTION("""COMPUTED_VALUE"""),"Octavian")</f>
        <v>Octavian</v>
      </c>
      <c r="T1451" s="7" t="str">
        <f ca="1">IFERROR(__xludf.DUMMYFUNCTION("""COMPUTED_VALUE"""),"http://www.ms.ro/2020/08/13/buletin-informativ-13-08-2020")</f>
        <v>http://www.ms.ro/2020/08/13/buletin-informativ-13-08-2020</v>
      </c>
      <c r="U1451" s="5"/>
      <c r="V1451" s="5"/>
      <c r="W1451" s="5"/>
      <c r="X1451" s="5"/>
      <c r="Y1451" s="5"/>
      <c r="Z1451" s="5"/>
      <c r="AA1451" s="5"/>
      <c r="AB1451" s="5"/>
      <c r="AC1451" s="5"/>
    </row>
    <row r="1452" spans="1:29" ht="12.5">
      <c r="A1452" s="5">
        <f ca="1">IFERROR(__xludf.DUMMYFUNCTION("""COMPUTED_VALUE"""),65347)</f>
        <v>65347</v>
      </c>
      <c r="B1452" s="5"/>
      <c r="C1452" s="5" t="str">
        <f ca="1">IFERROR(__xludf.DUMMYFUNCTION("""COMPUTED_VALUE"""),"Bihor")</f>
        <v>Bihor</v>
      </c>
      <c r="D1452" s="13">
        <f ca="1">IFERROR(__xludf.DUMMYFUNCTION("""COMPUTED_VALUE"""),44056)</f>
        <v>44056</v>
      </c>
      <c r="E1452" s="5" t="str">
        <f ca="1">IFERROR(__xludf.DUMMYFUNCTION("""COMPUTED_VALUE"""),"Nu")</f>
        <v>Nu</v>
      </c>
      <c r="F1452" s="5"/>
      <c r="G1452" s="5"/>
      <c r="H1452" s="6"/>
      <c r="I1452" s="5"/>
      <c r="J1452" s="5"/>
      <c r="K1452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52" s="5"/>
      <c r="M1452" s="5" t="str">
        <f ca="1">IFERROR(__xludf.DUMMYFUNCTION("""COMPUTED_VALUE"""),"Salonta")</f>
        <v>Salonta</v>
      </c>
      <c r="N1452" s="5"/>
      <c r="O1452" s="5"/>
      <c r="P1452" s="5" t="str">
        <f ca="1">IFERROR(__xludf.DUMMYFUNCTION("""COMPUTED_VALUE"""),"Spital Salonta, pacient.")</f>
        <v>Spital Salonta, pacient.</v>
      </c>
      <c r="Q1452" s="5" t="str">
        <f ca="1">IFERROR(__xludf.DUMMYFUNCTION("""COMPUTED_VALUE"""),"Medical")</f>
        <v>Medical</v>
      </c>
      <c r="R1452" s="5" t="str">
        <f ca="1">IFERROR(__xludf.DUMMYFUNCTION("""COMPUTED_VALUE"""),"România")</f>
        <v>România</v>
      </c>
      <c r="S1452" s="5" t="str">
        <f ca="1">IFERROR(__xludf.DUMMYFUNCTION("""COMPUTED_VALUE"""),"Octavian")</f>
        <v>Octavian</v>
      </c>
      <c r="T1452" s="7" t="str">
        <f ca="1">IFERROR(__xludf.DUMMYFUNCTION("""COMPUTED_VALUE"""),"http://www.ms.ro/2020/08/13/buletin-informativ-13-08-2020")</f>
        <v>http://www.ms.ro/2020/08/13/buletin-informativ-13-08-2020</v>
      </c>
      <c r="U1452" s="5"/>
      <c r="V1452" s="5"/>
      <c r="W1452" s="5"/>
      <c r="X1452" s="5"/>
      <c r="Y1452" s="5"/>
      <c r="Z1452" s="5"/>
      <c r="AA1452" s="5"/>
      <c r="AB1452" s="5"/>
      <c r="AC1452" s="5"/>
    </row>
    <row r="1453" spans="1:29" ht="12.5">
      <c r="A1453" s="5">
        <f ca="1">IFERROR(__xludf.DUMMYFUNCTION("""COMPUTED_VALUE"""),65348)</f>
        <v>65348</v>
      </c>
      <c r="B1453" s="5"/>
      <c r="C1453" s="5" t="str">
        <f ca="1">IFERROR(__xludf.DUMMYFUNCTION("""COMPUTED_VALUE"""),"Bihor")</f>
        <v>Bihor</v>
      </c>
      <c r="D1453" s="13">
        <f ca="1">IFERROR(__xludf.DUMMYFUNCTION("""COMPUTED_VALUE"""),44056)</f>
        <v>44056</v>
      </c>
      <c r="E1453" s="5" t="str">
        <f ca="1">IFERROR(__xludf.DUMMYFUNCTION("""COMPUTED_VALUE"""),"Nu")</f>
        <v>Nu</v>
      </c>
      <c r="F1453" s="5"/>
      <c r="G1453" s="5"/>
      <c r="H1453" s="6"/>
      <c r="I1453" s="5"/>
      <c r="J1453" s="5"/>
      <c r="K1453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53" s="5"/>
      <c r="M1453" s="5" t="str">
        <f ca="1">IFERROR(__xludf.DUMMYFUNCTION("""COMPUTED_VALUE"""),"Salonta")</f>
        <v>Salonta</v>
      </c>
      <c r="N1453" s="5"/>
      <c r="O1453" s="5"/>
      <c r="P1453" s="5" t="str">
        <f ca="1">IFERROR(__xludf.DUMMYFUNCTION("""COMPUTED_VALUE"""),"Spital Salonta, pacient.")</f>
        <v>Spital Salonta, pacient.</v>
      </c>
      <c r="Q1453" s="5" t="str">
        <f ca="1">IFERROR(__xludf.DUMMYFUNCTION("""COMPUTED_VALUE"""),"Medical")</f>
        <v>Medical</v>
      </c>
      <c r="R1453" s="5" t="str">
        <f ca="1">IFERROR(__xludf.DUMMYFUNCTION("""COMPUTED_VALUE"""),"România")</f>
        <v>România</v>
      </c>
      <c r="S1453" s="5" t="str">
        <f ca="1">IFERROR(__xludf.DUMMYFUNCTION("""COMPUTED_VALUE"""),"Octavian")</f>
        <v>Octavian</v>
      </c>
      <c r="T1453" s="7" t="str">
        <f ca="1">IFERROR(__xludf.DUMMYFUNCTION("""COMPUTED_VALUE"""),"http://www.ms.ro/2020/08/13/buletin-informativ-13-08-2020")</f>
        <v>http://www.ms.ro/2020/08/13/buletin-informativ-13-08-2020</v>
      </c>
      <c r="U1453" s="5"/>
      <c r="V1453" s="5"/>
      <c r="W1453" s="5"/>
      <c r="X1453" s="5"/>
      <c r="Y1453" s="5"/>
      <c r="Z1453" s="5"/>
      <c r="AA1453" s="5"/>
      <c r="AB1453" s="5"/>
      <c r="AC1453" s="5"/>
    </row>
    <row r="1454" spans="1:29" ht="12.5">
      <c r="A1454" s="5">
        <f ca="1">IFERROR(__xludf.DUMMYFUNCTION("""COMPUTED_VALUE"""),65349)</f>
        <v>65349</v>
      </c>
      <c r="B1454" s="5"/>
      <c r="C1454" s="5" t="str">
        <f ca="1">IFERROR(__xludf.DUMMYFUNCTION("""COMPUTED_VALUE"""),"Bihor")</f>
        <v>Bihor</v>
      </c>
      <c r="D1454" s="13">
        <f ca="1">IFERROR(__xludf.DUMMYFUNCTION("""COMPUTED_VALUE"""),44056)</f>
        <v>44056</v>
      </c>
      <c r="E1454" s="5" t="str">
        <f ca="1">IFERROR(__xludf.DUMMYFUNCTION("""COMPUTED_VALUE"""),"Nu")</f>
        <v>Nu</v>
      </c>
      <c r="F1454" s="5"/>
      <c r="G1454" s="5"/>
      <c r="H1454" s="6"/>
      <c r="I1454" s="5"/>
      <c r="J1454" s="5"/>
      <c r="K1454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54" s="5"/>
      <c r="M1454" s="5" t="str">
        <f ca="1">IFERROR(__xludf.DUMMYFUNCTION("""COMPUTED_VALUE"""),"Salonta")</f>
        <v>Salonta</v>
      </c>
      <c r="N1454" s="5"/>
      <c r="O1454" s="5"/>
      <c r="P1454" s="5" t="str">
        <f ca="1">IFERROR(__xludf.DUMMYFUNCTION("""COMPUTED_VALUE"""),"Spital Salonta, pacient.")</f>
        <v>Spital Salonta, pacient.</v>
      </c>
      <c r="Q1454" s="5" t="str">
        <f ca="1">IFERROR(__xludf.DUMMYFUNCTION("""COMPUTED_VALUE"""),"Medical")</f>
        <v>Medical</v>
      </c>
      <c r="R1454" s="5" t="str">
        <f ca="1">IFERROR(__xludf.DUMMYFUNCTION("""COMPUTED_VALUE"""),"România")</f>
        <v>România</v>
      </c>
      <c r="S1454" s="5" t="str">
        <f ca="1">IFERROR(__xludf.DUMMYFUNCTION("""COMPUTED_VALUE"""),"Octavian")</f>
        <v>Octavian</v>
      </c>
      <c r="T1454" s="7" t="str">
        <f ca="1">IFERROR(__xludf.DUMMYFUNCTION("""COMPUTED_VALUE"""),"http://www.ms.ro/2020/08/13/buletin-informativ-13-08-2020")</f>
        <v>http://www.ms.ro/2020/08/13/buletin-informativ-13-08-2020</v>
      </c>
      <c r="U1454" s="5"/>
      <c r="V1454" s="5"/>
      <c r="W1454" s="5"/>
      <c r="X1454" s="5"/>
      <c r="Y1454" s="5"/>
      <c r="Z1454" s="5"/>
      <c r="AA1454" s="5"/>
      <c r="AB1454" s="5"/>
      <c r="AC1454" s="5"/>
    </row>
    <row r="1455" spans="1:29" ht="12.5">
      <c r="A1455" s="5">
        <f ca="1">IFERROR(__xludf.DUMMYFUNCTION("""COMPUTED_VALUE"""),65350)</f>
        <v>65350</v>
      </c>
      <c r="B1455" s="5"/>
      <c r="C1455" s="5" t="str">
        <f ca="1">IFERROR(__xludf.DUMMYFUNCTION("""COMPUTED_VALUE"""),"Bihor")</f>
        <v>Bihor</v>
      </c>
      <c r="D1455" s="13">
        <f ca="1">IFERROR(__xludf.DUMMYFUNCTION("""COMPUTED_VALUE"""),44056)</f>
        <v>44056</v>
      </c>
      <c r="E1455" s="5" t="str">
        <f ca="1">IFERROR(__xludf.DUMMYFUNCTION("""COMPUTED_VALUE"""),"Nu")</f>
        <v>Nu</v>
      </c>
      <c r="F1455" s="5"/>
      <c r="G1455" s="5"/>
      <c r="H1455" s="6"/>
      <c r="I1455" s="5"/>
      <c r="J1455" s="5"/>
      <c r="K1455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55" s="5"/>
      <c r="M1455" s="5" t="str">
        <f ca="1">IFERROR(__xludf.DUMMYFUNCTION("""COMPUTED_VALUE"""),"Ștei")</f>
        <v>Ștei</v>
      </c>
      <c r="N1455" s="5"/>
      <c r="O1455" s="5"/>
      <c r="P1455" s="5" t="str">
        <f ca="1">IFERROR(__xludf.DUMMYFUNCTION("""COMPUTED_VALUE"""),"Spital Ștei, pacient.")</f>
        <v>Spital Ștei, pacient.</v>
      </c>
      <c r="Q1455" s="5" t="str">
        <f ca="1">IFERROR(__xludf.DUMMYFUNCTION("""COMPUTED_VALUE"""),"Medical")</f>
        <v>Medical</v>
      </c>
      <c r="R1455" s="5" t="str">
        <f ca="1">IFERROR(__xludf.DUMMYFUNCTION("""COMPUTED_VALUE"""),"România")</f>
        <v>România</v>
      </c>
      <c r="S1455" s="5" t="str">
        <f ca="1">IFERROR(__xludf.DUMMYFUNCTION("""COMPUTED_VALUE"""),"Octavian")</f>
        <v>Octavian</v>
      </c>
      <c r="T1455" s="7" t="str">
        <f ca="1">IFERROR(__xludf.DUMMYFUNCTION("""COMPUTED_VALUE"""),"http://www.ms.ro/2020/08/13/buletin-informativ-13-08-2020")</f>
        <v>http://www.ms.ro/2020/08/13/buletin-informativ-13-08-2020</v>
      </c>
      <c r="U1455" s="5"/>
      <c r="V1455" s="5"/>
      <c r="W1455" s="5"/>
      <c r="X1455" s="5"/>
      <c r="Y1455" s="5"/>
      <c r="Z1455" s="5"/>
      <c r="AA1455" s="5"/>
      <c r="AB1455" s="5"/>
      <c r="AC1455" s="5"/>
    </row>
    <row r="1456" spans="1:29" ht="12.5">
      <c r="A1456" s="5">
        <f ca="1">IFERROR(__xludf.DUMMYFUNCTION("""COMPUTED_VALUE"""),65351)</f>
        <v>65351</v>
      </c>
      <c r="B1456" s="5"/>
      <c r="C1456" s="5" t="str">
        <f ca="1">IFERROR(__xludf.DUMMYFUNCTION("""COMPUTED_VALUE"""),"Bihor")</f>
        <v>Bihor</v>
      </c>
      <c r="D1456" s="13">
        <f ca="1">IFERROR(__xludf.DUMMYFUNCTION("""COMPUTED_VALUE"""),44056)</f>
        <v>44056</v>
      </c>
      <c r="E1456" s="5" t="str">
        <f ca="1">IFERROR(__xludf.DUMMYFUNCTION("""COMPUTED_VALUE"""),"Nu")</f>
        <v>Nu</v>
      </c>
      <c r="F1456" s="5"/>
      <c r="G1456" s="5"/>
      <c r="H1456" s="6"/>
      <c r="I1456" s="5"/>
      <c r="J1456" s="5"/>
      <c r="K1456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56" s="5"/>
      <c r="M1456" s="5" t="str">
        <f ca="1">IFERROR(__xludf.DUMMYFUNCTION("""COMPUTED_VALUE"""),"Ștei")</f>
        <v>Ștei</v>
      </c>
      <c r="N1456" s="5"/>
      <c r="O1456" s="5"/>
      <c r="P1456" s="5" t="str">
        <f ca="1">IFERROR(__xludf.DUMMYFUNCTION("""COMPUTED_VALUE"""),"Spital Ștei, pacient.")</f>
        <v>Spital Ștei, pacient.</v>
      </c>
      <c r="Q1456" s="5" t="str">
        <f ca="1">IFERROR(__xludf.DUMMYFUNCTION("""COMPUTED_VALUE"""),"Medical")</f>
        <v>Medical</v>
      </c>
      <c r="R1456" s="5" t="str">
        <f ca="1">IFERROR(__xludf.DUMMYFUNCTION("""COMPUTED_VALUE"""),"România")</f>
        <v>România</v>
      </c>
      <c r="S1456" s="5" t="str">
        <f ca="1">IFERROR(__xludf.DUMMYFUNCTION("""COMPUTED_VALUE"""),"Octavian")</f>
        <v>Octavian</v>
      </c>
      <c r="T1456" s="7" t="str">
        <f ca="1">IFERROR(__xludf.DUMMYFUNCTION("""COMPUTED_VALUE"""),"http://www.ms.ro/2020/08/13/buletin-informativ-13-08-2020")</f>
        <v>http://www.ms.ro/2020/08/13/buletin-informativ-13-08-2020</v>
      </c>
      <c r="U1456" s="5"/>
      <c r="V1456" s="5"/>
      <c r="W1456" s="5"/>
      <c r="X1456" s="5"/>
      <c r="Y1456" s="5"/>
      <c r="Z1456" s="5"/>
      <c r="AA1456" s="5"/>
      <c r="AB1456" s="5"/>
      <c r="AC1456" s="5"/>
    </row>
    <row r="1457" spans="1:29" ht="12.5">
      <c r="A1457" s="5">
        <f ca="1">IFERROR(__xludf.DUMMYFUNCTION("""COMPUTED_VALUE"""),65352)</f>
        <v>65352</v>
      </c>
      <c r="B1457" s="5"/>
      <c r="C1457" s="5" t="str">
        <f ca="1">IFERROR(__xludf.DUMMYFUNCTION("""COMPUTED_VALUE"""),"Bihor")</f>
        <v>Bihor</v>
      </c>
      <c r="D1457" s="13">
        <f ca="1">IFERROR(__xludf.DUMMYFUNCTION("""COMPUTED_VALUE"""),44056)</f>
        <v>44056</v>
      </c>
      <c r="E1457" s="5" t="str">
        <f ca="1">IFERROR(__xludf.DUMMYFUNCTION("""COMPUTED_VALUE"""),"Nu")</f>
        <v>Nu</v>
      </c>
      <c r="F1457" s="5"/>
      <c r="G1457" s="5"/>
      <c r="H1457" s="6"/>
      <c r="I1457" s="5"/>
      <c r="J1457" s="5"/>
      <c r="K1457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57" s="5"/>
      <c r="M1457" s="5" t="str">
        <f ca="1">IFERROR(__xludf.DUMMYFUNCTION("""COMPUTED_VALUE"""),"Oradea")</f>
        <v>Oradea</v>
      </c>
      <c r="N1457" s="5"/>
      <c r="O1457" s="5"/>
      <c r="P1457" s="5" t="str">
        <f ca="1">IFERROR(__xludf.DUMMYFUNCTION("""COMPUTED_VALUE"""),"Spital Militar, pacient.")</f>
        <v>Spital Militar, pacient.</v>
      </c>
      <c r="Q1457" s="5" t="str">
        <f ca="1">IFERROR(__xludf.DUMMYFUNCTION("""COMPUTED_VALUE"""),"Medical")</f>
        <v>Medical</v>
      </c>
      <c r="R1457" s="5" t="str">
        <f ca="1">IFERROR(__xludf.DUMMYFUNCTION("""COMPUTED_VALUE"""),"România")</f>
        <v>România</v>
      </c>
      <c r="S1457" s="5" t="str">
        <f ca="1">IFERROR(__xludf.DUMMYFUNCTION("""COMPUTED_VALUE"""),"Octavian")</f>
        <v>Octavian</v>
      </c>
      <c r="T1457" s="7" t="str">
        <f ca="1">IFERROR(__xludf.DUMMYFUNCTION("""COMPUTED_VALUE"""),"http://www.ms.ro/2020/08/13/buletin-informativ-13-08-2020")</f>
        <v>http://www.ms.ro/2020/08/13/buletin-informativ-13-08-2020</v>
      </c>
      <c r="U1457" s="5"/>
      <c r="V1457" s="5"/>
      <c r="W1457" s="5"/>
      <c r="X1457" s="5"/>
      <c r="Y1457" s="5"/>
      <c r="Z1457" s="5"/>
      <c r="AA1457" s="5"/>
      <c r="AB1457" s="5"/>
      <c r="AC1457" s="5"/>
    </row>
    <row r="1458" spans="1:29" ht="12.5">
      <c r="A1458" s="5">
        <f ca="1">IFERROR(__xludf.DUMMYFUNCTION("""COMPUTED_VALUE"""),65353)</f>
        <v>65353</v>
      </c>
      <c r="B1458" s="5"/>
      <c r="C1458" s="5" t="str">
        <f ca="1">IFERROR(__xludf.DUMMYFUNCTION("""COMPUTED_VALUE"""),"Bihor")</f>
        <v>Bihor</v>
      </c>
      <c r="D1458" s="13">
        <f ca="1">IFERROR(__xludf.DUMMYFUNCTION("""COMPUTED_VALUE"""),44056)</f>
        <v>44056</v>
      </c>
      <c r="E1458" s="5" t="str">
        <f ca="1">IFERROR(__xludf.DUMMYFUNCTION("""COMPUTED_VALUE"""),"Nu")</f>
        <v>Nu</v>
      </c>
      <c r="F1458" s="5"/>
      <c r="G1458" s="5"/>
      <c r="H1458" s="6"/>
      <c r="I1458" s="5"/>
      <c r="J1458" s="5"/>
      <c r="K1458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58" s="5"/>
      <c r="M1458" s="5" t="str">
        <f ca="1">IFERROR(__xludf.DUMMYFUNCTION("""COMPUTED_VALUE"""),"Oradea")</f>
        <v>Oradea</v>
      </c>
      <c r="N1458" s="5"/>
      <c r="O1458" s="5"/>
      <c r="P1458" s="5" t="str">
        <f ca="1">IFERROR(__xludf.DUMMYFUNCTION("""COMPUTED_VALUE"""),"Plexus, angajat.")</f>
        <v>Plexus, angajat.</v>
      </c>
      <c r="Q1458" s="5"/>
      <c r="R1458" s="5" t="str">
        <f ca="1">IFERROR(__xludf.DUMMYFUNCTION("""COMPUTED_VALUE"""),"România")</f>
        <v>România</v>
      </c>
      <c r="S1458" s="5" t="str">
        <f ca="1">IFERROR(__xludf.DUMMYFUNCTION("""COMPUTED_VALUE"""),"Octavian")</f>
        <v>Octavian</v>
      </c>
      <c r="T1458" s="7" t="str">
        <f ca="1">IFERROR(__xludf.DUMMYFUNCTION("""COMPUTED_VALUE"""),"http://www.ms.ro/2020/08/13/buletin-informativ-13-08-2020")</f>
        <v>http://www.ms.ro/2020/08/13/buletin-informativ-13-08-2020</v>
      </c>
      <c r="U1458" s="5"/>
      <c r="V1458" s="5"/>
      <c r="W1458" s="5"/>
      <c r="X1458" s="5"/>
      <c r="Y1458" s="5"/>
      <c r="Z1458" s="5"/>
      <c r="AA1458" s="5"/>
      <c r="AB1458" s="5"/>
      <c r="AC1458" s="5"/>
    </row>
    <row r="1459" spans="1:29" ht="12.5">
      <c r="A1459" s="5">
        <f ca="1">IFERROR(__xludf.DUMMYFUNCTION("""COMPUTED_VALUE"""),65354)</f>
        <v>65354</v>
      </c>
      <c r="B1459" s="5">
        <f ca="1">IFERROR(__xludf.DUMMYFUNCTION("""COMPUTED_VALUE"""),65353)</f>
        <v>65353</v>
      </c>
      <c r="C1459" s="5" t="str">
        <f ca="1">IFERROR(__xludf.DUMMYFUNCTION("""COMPUTED_VALUE"""),"Bihor")</f>
        <v>Bihor</v>
      </c>
      <c r="D1459" s="13">
        <f ca="1">IFERROR(__xludf.DUMMYFUNCTION("""COMPUTED_VALUE"""),44056)</f>
        <v>44056</v>
      </c>
      <c r="E1459" s="5" t="str">
        <f ca="1">IFERROR(__xludf.DUMMYFUNCTION("""COMPUTED_VALUE"""),"Nu")</f>
        <v>Nu</v>
      </c>
      <c r="F1459" s="5"/>
      <c r="G1459" s="5"/>
      <c r="H1459" s="6"/>
      <c r="I1459" s="5"/>
      <c r="J1459" s="5"/>
      <c r="K1459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59" s="5"/>
      <c r="M1459" s="5" t="str">
        <f ca="1">IFERROR(__xludf.DUMMYFUNCTION("""COMPUTED_VALUE"""),"Oradea")</f>
        <v>Oradea</v>
      </c>
      <c r="N1459" s="5"/>
      <c r="O1459" s="5"/>
      <c r="P1459" s="5" t="str">
        <f ca="1">IFERROR(__xludf.DUMMYFUNCTION("""COMPUTED_VALUE"""),"Plexus, angajat.")</f>
        <v>Plexus, angajat.</v>
      </c>
      <c r="Q1459" s="5"/>
      <c r="R1459" s="5" t="str">
        <f ca="1">IFERROR(__xludf.DUMMYFUNCTION("""COMPUTED_VALUE"""),"România")</f>
        <v>România</v>
      </c>
      <c r="S1459" s="5" t="str">
        <f ca="1">IFERROR(__xludf.DUMMYFUNCTION("""COMPUTED_VALUE"""),"Octavian")</f>
        <v>Octavian</v>
      </c>
      <c r="T1459" s="7" t="str">
        <f ca="1">IFERROR(__xludf.DUMMYFUNCTION("""COMPUTED_VALUE"""),"http://www.ms.ro/2020/08/13/buletin-informativ-13-08-2020")</f>
        <v>http://www.ms.ro/2020/08/13/buletin-informativ-13-08-2020</v>
      </c>
      <c r="U1459" s="5"/>
      <c r="V1459" s="5"/>
      <c r="W1459" s="5"/>
      <c r="X1459" s="5"/>
      <c r="Y1459" s="5"/>
      <c r="Z1459" s="5"/>
      <c r="AA1459" s="5"/>
      <c r="AB1459" s="5"/>
      <c r="AC1459" s="5"/>
    </row>
    <row r="1460" spans="1:29" ht="12.5">
      <c r="A1460" s="5">
        <f ca="1">IFERROR(__xludf.DUMMYFUNCTION("""COMPUTED_VALUE"""),65355)</f>
        <v>65355</v>
      </c>
      <c r="B1460" s="5">
        <f ca="1">IFERROR(__xludf.DUMMYFUNCTION("""COMPUTED_VALUE"""),65353)</f>
        <v>65353</v>
      </c>
      <c r="C1460" s="5" t="str">
        <f ca="1">IFERROR(__xludf.DUMMYFUNCTION("""COMPUTED_VALUE"""),"Bihor")</f>
        <v>Bihor</v>
      </c>
      <c r="D1460" s="13">
        <f ca="1">IFERROR(__xludf.DUMMYFUNCTION("""COMPUTED_VALUE"""),44056)</f>
        <v>44056</v>
      </c>
      <c r="E1460" s="5" t="str">
        <f ca="1">IFERROR(__xludf.DUMMYFUNCTION("""COMPUTED_VALUE"""),"Nu")</f>
        <v>Nu</v>
      </c>
      <c r="F1460" s="5"/>
      <c r="G1460" s="5"/>
      <c r="H1460" s="6"/>
      <c r="I1460" s="5"/>
      <c r="J1460" s="5"/>
      <c r="K1460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60" s="5"/>
      <c r="M1460" s="5" t="str">
        <f ca="1">IFERROR(__xludf.DUMMYFUNCTION("""COMPUTED_VALUE"""),"Oradea")</f>
        <v>Oradea</v>
      </c>
      <c r="N1460" s="5"/>
      <c r="O1460" s="5"/>
      <c r="P1460" s="5" t="str">
        <f ca="1">IFERROR(__xludf.DUMMYFUNCTION("""COMPUTED_VALUE"""),"Plexus, angajat.")</f>
        <v>Plexus, angajat.</v>
      </c>
      <c r="Q1460" s="5"/>
      <c r="R1460" s="5" t="str">
        <f ca="1">IFERROR(__xludf.DUMMYFUNCTION("""COMPUTED_VALUE"""),"România")</f>
        <v>România</v>
      </c>
      <c r="S1460" s="5" t="str">
        <f ca="1">IFERROR(__xludf.DUMMYFUNCTION("""COMPUTED_VALUE"""),"Octavian")</f>
        <v>Octavian</v>
      </c>
      <c r="T1460" s="7" t="str">
        <f ca="1">IFERROR(__xludf.DUMMYFUNCTION("""COMPUTED_VALUE"""),"http://www.ms.ro/2020/08/13/buletin-informativ-13-08-2020")</f>
        <v>http://www.ms.ro/2020/08/13/buletin-informativ-13-08-2020</v>
      </c>
      <c r="U1460" s="5"/>
      <c r="V1460" s="5"/>
      <c r="W1460" s="5"/>
      <c r="X1460" s="5"/>
      <c r="Y1460" s="5"/>
      <c r="Z1460" s="5"/>
      <c r="AA1460" s="5"/>
      <c r="AB1460" s="5"/>
      <c r="AC1460" s="5"/>
    </row>
    <row r="1461" spans="1:29" ht="12.5">
      <c r="A1461" s="5">
        <f ca="1">IFERROR(__xludf.DUMMYFUNCTION("""COMPUTED_VALUE"""),65356)</f>
        <v>65356</v>
      </c>
      <c r="B1461" s="5"/>
      <c r="C1461" s="5" t="str">
        <f ca="1">IFERROR(__xludf.DUMMYFUNCTION("""COMPUTED_VALUE"""),"Bihor")</f>
        <v>Bihor</v>
      </c>
      <c r="D1461" s="13">
        <f ca="1">IFERROR(__xludf.DUMMYFUNCTION("""COMPUTED_VALUE"""),44056)</f>
        <v>44056</v>
      </c>
      <c r="E1461" s="5" t="str">
        <f ca="1">IFERROR(__xludf.DUMMYFUNCTION("""COMPUTED_VALUE"""),"Nu")</f>
        <v>Nu</v>
      </c>
      <c r="F1461" s="5"/>
      <c r="G1461" s="5"/>
      <c r="H1461" s="6"/>
      <c r="I1461" s="5"/>
      <c r="J1461" s="5"/>
      <c r="K1461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61" s="5"/>
      <c r="M1461" s="5" t="str">
        <f ca="1">IFERROR(__xludf.DUMMYFUNCTION("""COMPUTED_VALUE"""),"Nucet")</f>
        <v>Nucet</v>
      </c>
      <c r="N1461" s="5"/>
      <c r="O1461" s="5"/>
      <c r="P1461" s="5"/>
      <c r="Q1461" s="5" t="str">
        <f ca="1">IFERROR(__xludf.DUMMYFUNCTION("""COMPUTED_VALUE"""),"Comunitar")</f>
        <v>Comunitar</v>
      </c>
      <c r="R1461" s="5" t="str">
        <f ca="1">IFERROR(__xludf.DUMMYFUNCTION("""COMPUTED_VALUE"""),"România")</f>
        <v>România</v>
      </c>
      <c r="S1461" s="5" t="str">
        <f ca="1">IFERROR(__xludf.DUMMYFUNCTION("""COMPUTED_VALUE"""),"Octavian")</f>
        <v>Octavian</v>
      </c>
      <c r="T1461" s="7" t="str">
        <f ca="1">IFERROR(__xludf.DUMMYFUNCTION("""COMPUTED_VALUE"""),"http://www.ms.ro/2020/08/13/buletin-informativ-13-08-2020")</f>
        <v>http://www.ms.ro/2020/08/13/buletin-informativ-13-08-2020</v>
      </c>
      <c r="U1461" s="5"/>
      <c r="V1461" s="5"/>
      <c r="W1461" s="5"/>
      <c r="X1461" s="5"/>
      <c r="Y1461" s="5"/>
      <c r="Z1461" s="5"/>
      <c r="AA1461" s="5"/>
      <c r="AB1461" s="5"/>
      <c r="AC1461" s="5"/>
    </row>
    <row r="1462" spans="1:29" ht="12.5">
      <c r="A1462" s="5">
        <f ca="1">IFERROR(__xludf.DUMMYFUNCTION("""COMPUTED_VALUE"""),65357)</f>
        <v>65357</v>
      </c>
      <c r="B1462" s="5">
        <f ca="1">IFERROR(__xludf.DUMMYFUNCTION("""COMPUTED_VALUE"""),65356)</f>
        <v>65356</v>
      </c>
      <c r="C1462" s="5" t="str">
        <f ca="1">IFERROR(__xludf.DUMMYFUNCTION("""COMPUTED_VALUE"""),"Bihor")</f>
        <v>Bihor</v>
      </c>
      <c r="D1462" s="13">
        <f ca="1">IFERROR(__xludf.DUMMYFUNCTION("""COMPUTED_VALUE"""),44056)</f>
        <v>44056</v>
      </c>
      <c r="E1462" s="5" t="str">
        <f ca="1">IFERROR(__xludf.DUMMYFUNCTION("""COMPUTED_VALUE"""),"Nu")</f>
        <v>Nu</v>
      </c>
      <c r="F1462" s="5"/>
      <c r="G1462" s="5"/>
      <c r="H1462" s="6"/>
      <c r="I1462" s="5"/>
      <c r="J1462" s="5"/>
      <c r="K1462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62" s="5"/>
      <c r="M1462" s="5" t="str">
        <f ca="1">IFERROR(__xludf.DUMMYFUNCTION("""COMPUTED_VALUE"""),"Nucet")</f>
        <v>Nucet</v>
      </c>
      <c r="N1462" s="5"/>
      <c r="O1462" s="5"/>
      <c r="P1462" s="5"/>
      <c r="Q1462" s="5" t="str">
        <f ca="1">IFERROR(__xludf.DUMMYFUNCTION("""COMPUTED_VALUE"""),"Comunitar")</f>
        <v>Comunitar</v>
      </c>
      <c r="R1462" s="5" t="str">
        <f ca="1">IFERROR(__xludf.DUMMYFUNCTION("""COMPUTED_VALUE"""),"România")</f>
        <v>România</v>
      </c>
      <c r="S1462" s="5" t="str">
        <f ca="1">IFERROR(__xludf.DUMMYFUNCTION("""COMPUTED_VALUE"""),"Octavian")</f>
        <v>Octavian</v>
      </c>
      <c r="T1462" s="7" t="str">
        <f ca="1">IFERROR(__xludf.DUMMYFUNCTION("""COMPUTED_VALUE"""),"http://www.ms.ro/2020/08/13/buletin-informativ-13-08-2020")</f>
        <v>http://www.ms.ro/2020/08/13/buletin-informativ-13-08-2020</v>
      </c>
      <c r="U1462" s="5"/>
      <c r="V1462" s="5"/>
      <c r="W1462" s="5"/>
      <c r="X1462" s="5"/>
      <c r="Y1462" s="5"/>
      <c r="Z1462" s="5"/>
      <c r="AA1462" s="5"/>
      <c r="AB1462" s="5"/>
      <c r="AC1462" s="5"/>
    </row>
    <row r="1463" spans="1:29" ht="12.5">
      <c r="A1463" s="5">
        <f ca="1">IFERROR(__xludf.DUMMYFUNCTION("""COMPUTED_VALUE"""),65358)</f>
        <v>65358</v>
      </c>
      <c r="B1463" s="5">
        <f ca="1">IFERROR(__xludf.DUMMYFUNCTION("""COMPUTED_VALUE"""),65356)</f>
        <v>65356</v>
      </c>
      <c r="C1463" s="5" t="str">
        <f ca="1">IFERROR(__xludf.DUMMYFUNCTION("""COMPUTED_VALUE"""),"Bihor")</f>
        <v>Bihor</v>
      </c>
      <c r="D1463" s="13">
        <f ca="1">IFERROR(__xludf.DUMMYFUNCTION("""COMPUTED_VALUE"""),44056)</f>
        <v>44056</v>
      </c>
      <c r="E1463" s="5" t="str">
        <f ca="1">IFERROR(__xludf.DUMMYFUNCTION("""COMPUTED_VALUE"""),"Nu")</f>
        <v>Nu</v>
      </c>
      <c r="F1463" s="5"/>
      <c r="G1463" s="5"/>
      <c r="H1463" s="6"/>
      <c r="I1463" s="5"/>
      <c r="J1463" s="5"/>
      <c r="K1463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63" s="5"/>
      <c r="M1463" s="5" t="str">
        <f ca="1">IFERROR(__xludf.DUMMYFUNCTION("""COMPUTED_VALUE"""),"Nucet")</f>
        <v>Nucet</v>
      </c>
      <c r="N1463" s="5"/>
      <c r="O1463" s="5"/>
      <c r="P1463" s="5"/>
      <c r="Q1463" s="5" t="str">
        <f ca="1">IFERROR(__xludf.DUMMYFUNCTION("""COMPUTED_VALUE"""),"Comunitar")</f>
        <v>Comunitar</v>
      </c>
      <c r="R1463" s="5" t="str">
        <f ca="1">IFERROR(__xludf.DUMMYFUNCTION("""COMPUTED_VALUE"""),"România")</f>
        <v>România</v>
      </c>
      <c r="S1463" s="5" t="str">
        <f ca="1">IFERROR(__xludf.DUMMYFUNCTION("""COMPUTED_VALUE"""),"Octavian")</f>
        <v>Octavian</v>
      </c>
      <c r="T1463" s="7" t="str">
        <f ca="1">IFERROR(__xludf.DUMMYFUNCTION("""COMPUTED_VALUE"""),"http://www.ms.ro/2020/08/13/buletin-informativ-13-08-2020")</f>
        <v>http://www.ms.ro/2020/08/13/buletin-informativ-13-08-2020</v>
      </c>
      <c r="U1463" s="5"/>
      <c r="V1463" s="5"/>
      <c r="W1463" s="5"/>
      <c r="X1463" s="5"/>
      <c r="Y1463" s="5"/>
      <c r="Z1463" s="5"/>
      <c r="AA1463" s="5"/>
      <c r="AB1463" s="5"/>
      <c r="AC1463" s="5"/>
    </row>
    <row r="1464" spans="1:29" ht="12.5">
      <c r="A1464" s="5">
        <f ca="1">IFERROR(__xludf.DUMMYFUNCTION("""COMPUTED_VALUE"""),65359)</f>
        <v>65359</v>
      </c>
      <c r="B1464" s="5">
        <f ca="1">IFERROR(__xludf.DUMMYFUNCTION("""COMPUTED_VALUE"""),65356)</f>
        <v>65356</v>
      </c>
      <c r="C1464" s="5" t="str">
        <f ca="1">IFERROR(__xludf.DUMMYFUNCTION("""COMPUTED_VALUE"""),"Bihor")</f>
        <v>Bihor</v>
      </c>
      <c r="D1464" s="13">
        <f ca="1">IFERROR(__xludf.DUMMYFUNCTION("""COMPUTED_VALUE"""),44056)</f>
        <v>44056</v>
      </c>
      <c r="E1464" s="5" t="str">
        <f ca="1">IFERROR(__xludf.DUMMYFUNCTION("""COMPUTED_VALUE"""),"Nu")</f>
        <v>Nu</v>
      </c>
      <c r="F1464" s="5"/>
      <c r="G1464" s="5"/>
      <c r="H1464" s="6"/>
      <c r="I1464" s="5"/>
      <c r="J1464" s="5"/>
      <c r="K1464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64" s="5"/>
      <c r="M1464" s="5" t="str">
        <f ca="1">IFERROR(__xludf.DUMMYFUNCTION("""COMPUTED_VALUE"""),"Nucet")</f>
        <v>Nucet</v>
      </c>
      <c r="N1464" s="5"/>
      <c r="O1464" s="5"/>
      <c r="P1464" s="5"/>
      <c r="Q1464" s="5" t="str">
        <f ca="1">IFERROR(__xludf.DUMMYFUNCTION("""COMPUTED_VALUE"""),"Comunitar")</f>
        <v>Comunitar</v>
      </c>
      <c r="R1464" s="5" t="str">
        <f ca="1">IFERROR(__xludf.DUMMYFUNCTION("""COMPUTED_VALUE"""),"România")</f>
        <v>România</v>
      </c>
      <c r="S1464" s="5" t="str">
        <f ca="1">IFERROR(__xludf.DUMMYFUNCTION("""COMPUTED_VALUE"""),"Octavian")</f>
        <v>Octavian</v>
      </c>
      <c r="T1464" s="7" t="str">
        <f ca="1">IFERROR(__xludf.DUMMYFUNCTION("""COMPUTED_VALUE"""),"http://www.ms.ro/2020/08/13/buletin-informativ-13-08-2020")</f>
        <v>http://www.ms.ro/2020/08/13/buletin-informativ-13-08-2020</v>
      </c>
      <c r="U1464" s="5"/>
      <c r="V1464" s="5"/>
      <c r="W1464" s="5"/>
      <c r="X1464" s="5"/>
      <c r="Y1464" s="5"/>
      <c r="Z1464" s="5"/>
      <c r="AA1464" s="5"/>
      <c r="AB1464" s="5"/>
      <c r="AC1464" s="5"/>
    </row>
    <row r="1465" spans="1:29" ht="12.5">
      <c r="A1465" s="5">
        <f ca="1">IFERROR(__xludf.DUMMYFUNCTION("""COMPUTED_VALUE"""),65360)</f>
        <v>65360</v>
      </c>
      <c r="B1465" s="5">
        <f ca="1">IFERROR(__xludf.DUMMYFUNCTION("""COMPUTED_VALUE"""),65356)</f>
        <v>65356</v>
      </c>
      <c r="C1465" s="5" t="str">
        <f ca="1">IFERROR(__xludf.DUMMYFUNCTION("""COMPUTED_VALUE"""),"Bihor")</f>
        <v>Bihor</v>
      </c>
      <c r="D1465" s="13">
        <f ca="1">IFERROR(__xludf.DUMMYFUNCTION("""COMPUTED_VALUE"""),44056)</f>
        <v>44056</v>
      </c>
      <c r="E1465" s="5" t="str">
        <f ca="1">IFERROR(__xludf.DUMMYFUNCTION("""COMPUTED_VALUE"""),"Nu")</f>
        <v>Nu</v>
      </c>
      <c r="F1465" s="5"/>
      <c r="G1465" s="5"/>
      <c r="H1465" s="6"/>
      <c r="I1465" s="5"/>
      <c r="J1465" s="5"/>
      <c r="K1465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65" s="5"/>
      <c r="M1465" s="5" t="str">
        <f ca="1">IFERROR(__xludf.DUMMYFUNCTION("""COMPUTED_VALUE"""),"Nucet")</f>
        <v>Nucet</v>
      </c>
      <c r="N1465" s="5"/>
      <c r="O1465" s="5"/>
      <c r="P1465" s="5"/>
      <c r="Q1465" s="5" t="str">
        <f ca="1">IFERROR(__xludf.DUMMYFUNCTION("""COMPUTED_VALUE"""),"Comunitar")</f>
        <v>Comunitar</v>
      </c>
      <c r="R1465" s="5" t="str">
        <f ca="1">IFERROR(__xludf.DUMMYFUNCTION("""COMPUTED_VALUE"""),"România")</f>
        <v>România</v>
      </c>
      <c r="S1465" s="5" t="str">
        <f ca="1">IFERROR(__xludf.DUMMYFUNCTION("""COMPUTED_VALUE"""),"Octavian")</f>
        <v>Octavian</v>
      </c>
      <c r="T1465" s="7" t="str">
        <f ca="1">IFERROR(__xludf.DUMMYFUNCTION("""COMPUTED_VALUE"""),"http://www.ms.ro/2020/08/13/buletin-informativ-13-08-2020")</f>
        <v>http://www.ms.ro/2020/08/13/buletin-informativ-13-08-2020</v>
      </c>
      <c r="U1465" s="5"/>
      <c r="V1465" s="5"/>
      <c r="W1465" s="5"/>
      <c r="X1465" s="5"/>
      <c r="Y1465" s="5"/>
      <c r="Z1465" s="5"/>
      <c r="AA1465" s="5"/>
      <c r="AB1465" s="5"/>
      <c r="AC1465" s="5"/>
    </row>
    <row r="1466" spans="1:29" ht="12.5">
      <c r="A1466" s="5">
        <f ca="1">IFERROR(__xludf.DUMMYFUNCTION("""COMPUTED_VALUE"""),65361)</f>
        <v>65361</v>
      </c>
      <c r="B1466" s="5">
        <f ca="1">IFERROR(__xludf.DUMMYFUNCTION("""COMPUTED_VALUE"""),65356)</f>
        <v>65356</v>
      </c>
      <c r="C1466" s="5" t="str">
        <f ca="1">IFERROR(__xludf.DUMMYFUNCTION("""COMPUTED_VALUE"""),"Bihor")</f>
        <v>Bihor</v>
      </c>
      <c r="D1466" s="13">
        <f ca="1">IFERROR(__xludf.DUMMYFUNCTION("""COMPUTED_VALUE"""),44056)</f>
        <v>44056</v>
      </c>
      <c r="E1466" s="5" t="str">
        <f ca="1">IFERROR(__xludf.DUMMYFUNCTION("""COMPUTED_VALUE"""),"Nu")</f>
        <v>Nu</v>
      </c>
      <c r="F1466" s="5"/>
      <c r="G1466" s="5"/>
      <c r="H1466" s="6"/>
      <c r="I1466" s="5"/>
      <c r="J1466" s="5"/>
      <c r="K1466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66" s="5"/>
      <c r="M1466" s="5" t="str">
        <f ca="1">IFERROR(__xludf.DUMMYFUNCTION("""COMPUTED_VALUE"""),"Nucet")</f>
        <v>Nucet</v>
      </c>
      <c r="N1466" s="5"/>
      <c r="O1466" s="5"/>
      <c r="P1466" s="5"/>
      <c r="Q1466" s="5" t="str">
        <f ca="1">IFERROR(__xludf.DUMMYFUNCTION("""COMPUTED_VALUE"""),"Comunitar")</f>
        <v>Comunitar</v>
      </c>
      <c r="R1466" s="5" t="str">
        <f ca="1">IFERROR(__xludf.DUMMYFUNCTION("""COMPUTED_VALUE"""),"România")</f>
        <v>România</v>
      </c>
      <c r="S1466" s="5" t="str">
        <f ca="1">IFERROR(__xludf.DUMMYFUNCTION("""COMPUTED_VALUE"""),"Octavian")</f>
        <v>Octavian</v>
      </c>
      <c r="T1466" s="7" t="str">
        <f ca="1">IFERROR(__xludf.DUMMYFUNCTION("""COMPUTED_VALUE"""),"http://www.ms.ro/2020/08/13/buletin-informativ-13-08-2020")</f>
        <v>http://www.ms.ro/2020/08/13/buletin-informativ-13-08-2020</v>
      </c>
      <c r="U1466" s="5"/>
      <c r="V1466" s="5"/>
      <c r="W1466" s="5"/>
      <c r="X1466" s="5"/>
      <c r="Y1466" s="5"/>
      <c r="Z1466" s="5"/>
      <c r="AA1466" s="5"/>
      <c r="AB1466" s="5"/>
      <c r="AC1466" s="5"/>
    </row>
    <row r="1467" spans="1:29" ht="12.5">
      <c r="A1467" s="5">
        <f ca="1">IFERROR(__xludf.DUMMYFUNCTION("""COMPUTED_VALUE"""),65362)</f>
        <v>65362</v>
      </c>
      <c r="B1467" s="5">
        <f ca="1">IFERROR(__xludf.DUMMYFUNCTION("""COMPUTED_VALUE"""),65356)</f>
        <v>65356</v>
      </c>
      <c r="C1467" s="5" t="str">
        <f ca="1">IFERROR(__xludf.DUMMYFUNCTION("""COMPUTED_VALUE"""),"Bihor")</f>
        <v>Bihor</v>
      </c>
      <c r="D1467" s="13">
        <f ca="1">IFERROR(__xludf.DUMMYFUNCTION("""COMPUTED_VALUE"""),44056)</f>
        <v>44056</v>
      </c>
      <c r="E1467" s="5" t="str">
        <f ca="1">IFERROR(__xludf.DUMMYFUNCTION("""COMPUTED_VALUE"""),"Nu")</f>
        <v>Nu</v>
      </c>
      <c r="F1467" s="5"/>
      <c r="G1467" s="5"/>
      <c r="H1467" s="6"/>
      <c r="I1467" s="5"/>
      <c r="J1467" s="5"/>
      <c r="K1467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67" s="5"/>
      <c r="M1467" s="5" t="str">
        <f ca="1">IFERROR(__xludf.DUMMYFUNCTION("""COMPUTED_VALUE"""),"Nucet")</f>
        <v>Nucet</v>
      </c>
      <c r="N1467" s="5"/>
      <c r="O1467" s="5"/>
      <c r="P1467" s="5"/>
      <c r="Q1467" s="5" t="str">
        <f ca="1">IFERROR(__xludf.DUMMYFUNCTION("""COMPUTED_VALUE"""),"Comunitar")</f>
        <v>Comunitar</v>
      </c>
      <c r="R1467" s="5" t="str">
        <f ca="1">IFERROR(__xludf.DUMMYFUNCTION("""COMPUTED_VALUE"""),"România")</f>
        <v>România</v>
      </c>
      <c r="S1467" s="5" t="str">
        <f ca="1">IFERROR(__xludf.DUMMYFUNCTION("""COMPUTED_VALUE"""),"Octavian")</f>
        <v>Octavian</v>
      </c>
      <c r="T1467" s="7" t="str">
        <f ca="1">IFERROR(__xludf.DUMMYFUNCTION("""COMPUTED_VALUE"""),"http://www.ms.ro/2020/08/13/buletin-informativ-13-08-2020")</f>
        <v>http://www.ms.ro/2020/08/13/buletin-informativ-13-08-2020</v>
      </c>
      <c r="U1467" s="5"/>
      <c r="V1467" s="5"/>
      <c r="W1467" s="5"/>
      <c r="X1467" s="5"/>
      <c r="Y1467" s="5"/>
      <c r="Z1467" s="5"/>
      <c r="AA1467" s="5"/>
      <c r="AB1467" s="5"/>
      <c r="AC1467" s="5"/>
    </row>
    <row r="1468" spans="1:29" ht="12.5">
      <c r="A1468" s="5">
        <f ca="1">IFERROR(__xludf.DUMMYFUNCTION("""COMPUTED_VALUE"""),65363)</f>
        <v>65363</v>
      </c>
      <c r="B1468" s="5">
        <f ca="1">IFERROR(__xludf.DUMMYFUNCTION("""COMPUTED_VALUE"""),65356)</f>
        <v>65356</v>
      </c>
      <c r="C1468" s="5" t="str">
        <f ca="1">IFERROR(__xludf.DUMMYFUNCTION("""COMPUTED_VALUE"""),"Bihor")</f>
        <v>Bihor</v>
      </c>
      <c r="D1468" s="13">
        <f ca="1">IFERROR(__xludf.DUMMYFUNCTION("""COMPUTED_VALUE"""),44056)</f>
        <v>44056</v>
      </c>
      <c r="E1468" s="5" t="str">
        <f ca="1">IFERROR(__xludf.DUMMYFUNCTION("""COMPUTED_VALUE"""),"Nu")</f>
        <v>Nu</v>
      </c>
      <c r="F1468" s="5"/>
      <c r="G1468" s="5"/>
      <c r="H1468" s="6"/>
      <c r="I1468" s="5"/>
      <c r="J1468" s="5"/>
      <c r="K1468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68" s="5"/>
      <c r="M1468" s="5" t="str">
        <f ca="1">IFERROR(__xludf.DUMMYFUNCTION("""COMPUTED_VALUE"""),"Nucet")</f>
        <v>Nucet</v>
      </c>
      <c r="N1468" s="5"/>
      <c r="O1468" s="5"/>
      <c r="P1468" s="5"/>
      <c r="Q1468" s="5" t="str">
        <f ca="1">IFERROR(__xludf.DUMMYFUNCTION("""COMPUTED_VALUE"""),"Comunitar")</f>
        <v>Comunitar</v>
      </c>
      <c r="R1468" s="5" t="str">
        <f ca="1">IFERROR(__xludf.DUMMYFUNCTION("""COMPUTED_VALUE"""),"România")</f>
        <v>România</v>
      </c>
      <c r="S1468" s="5" t="str">
        <f ca="1">IFERROR(__xludf.DUMMYFUNCTION("""COMPUTED_VALUE"""),"Octavian")</f>
        <v>Octavian</v>
      </c>
      <c r="T1468" s="7" t="str">
        <f ca="1">IFERROR(__xludf.DUMMYFUNCTION("""COMPUTED_VALUE"""),"http://www.ms.ro/2020/08/13/buletin-informativ-13-08-2020")</f>
        <v>http://www.ms.ro/2020/08/13/buletin-informativ-13-08-2020</v>
      </c>
      <c r="U1468" s="5"/>
      <c r="V1468" s="5"/>
      <c r="W1468" s="5"/>
      <c r="X1468" s="5"/>
      <c r="Y1468" s="5"/>
      <c r="Z1468" s="5"/>
      <c r="AA1468" s="5"/>
      <c r="AB1468" s="5"/>
      <c r="AC1468" s="5"/>
    </row>
    <row r="1469" spans="1:29" ht="12.5">
      <c r="A1469" s="5">
        <f ca="1">IFERROR(__xludf.DUMMYFUNCTION("""COMPUTED_VALUE"""),65364)</f>
        <v>65364</v>
      </c>
      <c r="B1469" s="5">
        <f ca="1">IFERROR(__xludf.DUMMYFUNCTION("""COMPUTED_VALUE"""),65356)</f>
        <v>65356</v>
      </c>
      <c r="C1469" s="5" t="str">
        <f ca="1">IFERROR(__xludf.DUMMYFUNCTION("""COMPUTED_VALUE"""),"Bihor")</f>
        <v>Bihor</v>
      </c>
      <c r="D1469" s="13">
        <f ca="1">IFERROR(__xludf.DUMMYFUNCTION("""COMPUTED_VALUE"""),44056)</f>
        <v>44056</v>
      </c>
      <c r="E1469" s="5" t="str">
        <f ca="1">IFERROR(__xludf.DUMMYFUNCTION("""COMPUTED_VALUE"""),"Nu")</f>
        <v>Nu</v>
      </c>
      <c r="F1469" s="5"/>
      <c r="G1469" s="5"/>
      <c r="H1469" s="6"/>
      <c r="I1469" s="5"/>
      <c r="J1469" s="5"/>
      <c r="K1469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69" s="5"/>
      <c r="M1469" s="5" t="str">
        <f ca="1">IFERROR(__xludf.DUMMYFUNCTION("""COMPUTED_VALUE"""),"Nucet")</f>
        <v>Nucet</v>
      </c>
      <c r="N1469" s="5"/>
      <c r="O1469" s="5"/>
      <c r="P1469" s="5"/>
      <c r="Q1469" s="5" t="str">
        <f ca="1">IFERROR(__xludf.DUMMYFUNCTION("""COMPUTED_VALUE"""),"Comunitar")</f>
        <v>Comunitar</v>
      </c>
      <c r="R1469" s="5" t="str">
        <f ca="1">IFERROR(__xludf.DUMMYFUNCTION("""COMPUTED_VALUE"""),"România")</f>
        <v>România</v>
      </c>
      <c r="S1469" s="5" t="str">
        <f ca="1">IFERROR(__xludf.DUMMYFUNCTION("""COMPUTED_VALUE"""),"Octavian")</f>
        <v>Octavian</v>
      </c>
      <c r="T1469" s="7" t="str">
        <f ca="1">IFERROR(__xludf.DUMMYFUNCTION("""COMPUTED_VALUE"""),"http://www.ms.ro/2020/08/13/buletin-informativ-13-08-2020")</f>
        <v>http://www.ms.ro/2020/08/13/buletin-informativ-13-08-2020</v>
      </c>
      <c r="U1469" s="5"/>
      <c r="V1469" s="5"/>
      <c r="W1469" s="5"/>
      <c r="X1469" s="5"/>
      <c r="Y1469" s="5"/>
      <c r="Z1469" s="5"/>
      <c r="AA1469" s="5"/>
      <c r="AB1469" s="5"/>
      <c r="AC1469" s="5"/>
    </row>
    <row r="1470" spans="1:29" ht="12.5">
      <c r="A1470" s="5">
        <f ca="1">IFERROR(__xludf.DUMMYFUNCTION("""COMPUTED_VALUE"""),65365)</f>
        <v>65365</v>
      </c>
      <c r="B1470" s="5">
        <f ca="1">IFERROR(__xludf.DUMMYFUNCTION("""COMPUTED_VALUE"""),65356)</f>
        <v>65356</v>
      </c>
      <c r="C1470" s="5" t="str">
        <f ca="1">IFERROR(__xludf.DUMMYFUNCTION("""COMPUTED_VALUE"""),"Bihor")</f>
        <v>Bihor</v>
      </c>
      <c r="D1470" s="13">
        <f ca="1">IFERROR(__xludf.DUMMYFUNCTION("""COMPUTED_VALUE"""),44056)</f>
        <v>44056</v>
      </c>
      <c r="E1470" s="5" t="str">
        <f ca="1">IFERROR(__xludf.DUMMYFUNCTION("""COMPUTED_VALUE"""),"Nu")</f>
        <v>Nu</v>
      </c>
      <c r="F1470" s="5"/>
      <c r="G1470" s="5"/>
      <c r="H1470" s="6"/>
      <c r="I1470" s="5"/>
      <c r="J1470" s="5"/>
      <c r="K1470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70" s="5"/>
      <c r="M1470" s="5" t="str">
        <f ca="1">IFERROR(__xludf.DUMMYFUNCTION("""COMPUTED_VALUE"""),"Nucet")</f>
        <v>Nucet</v>
      </c>
      <c r="N1470" s="5"/>
      <c r="O1470" s="5"/>
      <c r="P1470" s="5"/>
      <c r="Q1470" s="5" t="str">
        <f ca="1">IFERROR(__xludf.DUMMYFUNCTION("""COMPUTED_VALUE"""),"Comunitar")</f>
        <v>Comunitar</v>
      </c>
      <c r="R1470" s="5" t="str">
        <f ca="1">IFERROR(__xludf.DUMMYFUNCTION("""COMPUTED_VALUE"""),"România")</f>
        <v>România</v>
      </c>
      <c r="S1470" s="5" t="str">
        <f ca="1">IFERROR(__xludf.DUMMYFUNCTION("""COMPUTED_VALUE"""),"Octavian")</f>
        <v>Octavian</v>
      </c>
      <c r="T1470" s="7" t="str">
        <f ca="1">IFERROR(__xludf.DUMMYFUNCTION("""COMPUTED_VALUE"""),"http://www.ms.ro/2020/08/13/buletin-informativ-13-08-2020")</f>
        <v>http://www.ms.ro/2020/08/13/buletin-informativ-13-08-2020</v>
      </c>
      <c r="U1470" s="5"/>
      <c r="V1470" s="5"/>
      <c r="W1470" s="5"/>
      <c r="X1470" s="5"/>
      <c r="Y1470" s="5"/>
      <c r="Z1470" s="5"/>
      <c r="AA1470" s="5"/>
      <c r="AB1470" s="5"/>
      <c r="AC1470" s="5"/>
    </row>
    <row r="1471" spans="1:29" ht="12.5">
      <c r="A1471" s="5">
        <f ca="1">IFERROR(__xludf.DUMMYFUNCTION("""COMPUTED_VALUE"""),65366)</f>
        <v>65366</v>
      </c>
      <c r="B1471" s="5">
        <f ca="1">IFERROR(__xludf.DUMMYFUNCTION("""COMPUTED_VALUE"""),65356)</f>
        <v>65356</v>
      </c>
      <c r="C1471" s="5" t="str">
        <f ca="1">IFERROR(__xludf.DUMMYFUNCTION("""COMPUTED_VALUE"""),"Bihor")</f>
        <v>Bihor</v>
      </c>
      <c r="D1471" s="13">
        <f ca="1">IFERROR(__xludf.DUMMYFUNCTION("""COMPUTED_VALUE"""),44056)</f>
        <v>44056</v>
      </c>
      <c r="E1471" s="5" t="str">
        <f ca="1">IFERROR(__xludf.DUMMYFUNCTION("""COMPUTED_VALUE"""),"Nu")</f>
        <v>Nu</v>
      </c>
      <c r="F1471" s="5"/>
      <c r="G1471" s="5"/>
      <c r="H1471" s="6"/>
      <c r="I1471" s="5"/>
      <c r="J1471" s="5"/>
      <c r="K1471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71" s="5"/>
      <c r="M1471" s="5" t="str">
        <f ca="1">IFERROR(__xludf.DUMMYFUNCTION("""COMPUTED_VALUE"""),"Nucet")</f>
        <v>Nucet</v>
      </c>
      <c r="N1471" s="5"/>
      <c r="O1471" s="5"/>
      <c r="P1471" s="5"/>
      <c r="Q1471" s="5" t="str">
        <f ca="1">IFERROR(__xludf.DUMMYFUNCTION("""COMPUTED_VALUE"""),"Comunitar")</f>
        <v>Comunitar</v>
      </c>
      <c r="R1471" s="5" t="str">
        <f ca="1">IFERROR(__xludf.DUMMYFUNCTION("""COMPUTED_VALUE"""),"România")</f>
        <v>România</v>
      </c>
      <c r="S1471" s="5" t="str">
        <f ca="1">IFERROR(__xludf.DUMMYFUNCTION("""COMPUTED_VALUE"""),"Octavian")</f>
        <v>Octavian</v>
      </c>
      <c r="T1471" s="7" t="str">
        <f ca="1">IFERROR(__xludf.DUMMYFUNCTION("""COMPUTED_VALUE"""),"http://www.ms.ro/2020/08/13/buletin-informativ-13-08-2020")</f>
        <v>http://www.ms.ro/2020/08/13/buletin-informativ-13-08-2020</v>
      </c>
      <c r="U1471" s="5"/>
      <c r="V1471" s="5"/>
      <c r="W1471" s="5"/>
      <c r="X1471" s="5"/>
      <c r="Y1471" s="5"/>
      <c r="Z1471" s="5"/>
      <c r="AA1471" s="5"/>
      <c r="AB1471" s="5"/>
      <c r="AC1471" s="5"/>
    </row>
    <row r="1472" spans="1:29" ht="12.5">
      <c r="A1472" s="5">
        <f ca="1">IFERROR(__xludf.DUMMYFUNCTION("""COMPUTED_VALUE"""),65367)</f>
        <v>65367</v>
      </c>
      <c r="B1472" s="5">
        <f ca="1">IFERROR(__xludf.DUMMYFUNCTION("""COMPUTED_VALUE"""),65356)</f>
        <v>65356</v>
      </c>
      <c r="C1472" s="5" t="str">
        <f ca="1">IFERROR(__xludf.DUMMYFUNCTION("""COMPUTED_VALUE"""),"Bihor")</f>
        <v>Bihor</v>
      </c>
      <c r="D1472" s="13">
        <f ca="1">IFERROR(__xludf.DUMMYFUNCTION("""COMPUTED_VALUE"""),44056)</f>
        <v>44056</v>
      </c>
      <c r="E1472" s="5" t="str">
        <f ca="1">IFERROR(__xludf.DUMMYFUNCTION("""COMPUTED_VALUE"""),"Nu")</f>
        <v>Nu</v>
      </c>
      <c r="F1472" s="5"/>
      <c r="G1472" s="5"/>
      <c r="H1472" s="6"/>
      <c r="I1472" s="5"/>
      <c r="J1472" s="5"/>
      <c r="K1472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72" s="5"/>
      <c r="M1472" s="5" t="str">
        <f ca="1">IFERROR(__xludf.DUMMYFUNCTION("""COMPUTED_VALUE"""),"Nucet")</f>
        <v>Nucet</v>
      </c>
      <c r="N1472" s="5"/>
      <c r="O1472" s="5"/>
      <c r="P1472" s="5"/>
      <c r="Q1472" s="5" t="str">
        <f ca="1">IFERROR(__xludf.DUMMYFUNCTION("""COMPUTED_VALUE"""),"Comunitar")</f>
        <v>Comunitar</v>
      </c>
      <c r="R1472" s="5" t="str">
        <f ca="1">IFERROR(__xludf.DUMMYFUNCTION("""COMPUTED_VALUE"""),"România")</f>
        <v>România</v>
      </c>
      <c r="S1472" s="5" t="str">
        <f ca="1">IFERROR(__xludf.DUMMYFUNCTION("""COMPUTED_VALUE"""),"Octavian")</f>
        <v>Octavian</v>
      </c>
      <c r="T1472" s="7" t="str">
        <f ca="1">IFERROR(__xludf.DUMMYFUNCTION("""COMPUTED_VALUE"""),"http://www.ms.ro/2020/08/13/buletin-informativ-13-08-2020")</f>
        <v>http://www.ms.ro/2020/08/13/buletin-informativ-13-08-2020</v>
      </c>
      <c r="U1472" s="5"/>
      <c r="V1472" s="5"/>
      <c r="W1472" s="5"/>
      <c r="X1472" s="5"/>
      <c r="Y1472" s="5"/>
      <c r="Z1472" s="5"/>
      <c r="AA1472" s="5"/>
      <c r="AB1472" s="5"/>
      <c r="AC1472" s="5"/>
    </row>
    <row r="1473" spans="1:29" ht="12.5">
      <c r="A1473" s="5">
        <f ca="1">IFERROR(__xludf.DUMMYFUNCTION("""COMPUTED_VALUE"""),65368)</f>
        <v>65368</v>
      </c>
      <c r="B1473" s="5">
        <f ca="1">IFERROR(__xludf.DUMMYFUNCTION("""COMPUTED_VALUE"""),65356)</f>
        <v>65356</v>
      </c>
      <c r="C1473" s="5" t="str">
        <f ca="1">IFERROR(__xludf.DUMMYFUNCTION("""COMPUTED_VALUE"""),"Bihor")</f>
        <v>Bihor</v>
      </c>
      <c r="D1473" s="13">
        <f ca="1">IFERROR(__xludf.DUMMYFUNCTION("""COMPUTED_VALUE"""),44056)</f>
        <v>44056</v>
      </c>
      <c r="E1473" s="5" t="str">
        <f ca="1">IFERROR(__xludf.DUMMYFUNCTION("""COMPUTED_VALUE"""),"Nu")</f>
        <v>Nu</v>
      </c>
      <c r="F1473" s="5"/>
      <c r="G1473" s="5"/>
      <c r="H1473" s="6"/>
      <c r="I1473" s="5"/>
      <c r="J1473" s="5"/>
      <c r="K1473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73" s="5"/>
      <c r="M1473" s="5" t="str">
        <f ca="1">IFERROR(__xludf.DUMMYFUNCTION("""COMPUTED_VALUE"""),"Nucet")</f>
        <v>Nucet</v>
      </c>
      <c r="N1473" s="5"/>
      <c r="O1473" s="5"/>
      <c r="P1473" s="5"/>
      <c r="Q1473" s="5" t="str">
        <f ca="1">IFERROR(__xludf.DUMMYFUNCTION("""COMPUTED_VALUE"""),"Comunitar")</f>
        <v>Comunitar</v>
      </c>
      <c r="R1473" s="5" t="str">
        <f ca="1">IFERROR(__xludf.DUMMYFUNCTION("""COMPUTED_VALUE"""),"România")</f>
        <v>România</v>
      </c>
      <c r="S1473" s="5" t="str">
        <f ca="1">IFERROR(__xludf.DUMMYFUNCTION("""COMPUTED_VALUE"""),"Octavian")</f>
        <v>Octavian</v>
      </c>
      <c r="T1473" s="7" t="str">
        <f ca="1">IFERROR(__xludf.DUMMYFUNCTION("""COMPUTED_VALUE"""),"http://www.ms.ro/2020/08/13/buletin-informativ-13-08-2020")</f>
        <v>http://www.ms.ro/2020/08/13/buletin-informativ-13-08-2020</v>
      </c>
      <c r="U1473" s="5"/>
      <c r="V1473" s="5"/>
      <c r="W1473" s="5"/>
      <c r="X1473" s="5"/>
      <c r="Y1473" s="5"/>
      <c r="Z1473" s="5"/>
      <c r="AA1473" s="5"/>
      <c r="AB1473" s="5"/>
      <c r="AC1473" s="5"/>
    </row>
    <row r="1474" spans="1:29" ht="12.5">
      <c r="A1474" s="5">
        <f ca="1">IFERROR(__xludf.DUMMYFUNCTION("""COMPUTED_VALUE"""),65369)</f>
        <v>65369</v>
      </c>
      <c r="B1474" s="5">
        <f ca="1">IFERROR(__xludf.DUMMYFUNCTION("""COMPUTED_VALUE"""),65356)</f>
        <v>65356</v>
      </c>
      <c r="C1474" s="5" t="str">
        <f ca="1">IFERROR(__xludf.DUMMYFUNCTION("""COMPUTED_VALUE"""),"Bihor")</f>
        <v>Bihor</v>
      </c>
      <c r="D1474" s="13">
        <f ca="1">IFERROR(__xludf.DUMMYFUNCTION("""COMPUTED_VALUE"""),44056)</f>
        <v>44056</v>
      </c>
      <c r="E1474" s="5" t="str">
        <f ca="1">IFERROR(__xludf.DUMMYFUNCTION("""COMPUTED_VALUE"""),"Nu")</f>
        <v>Nu</v>
      </c>
      <c r="F1474" s="5"/>
      <c r="G1474" s="5"/>
      <c r="H1474" s="6"/>
      <c r="I1474" s="5"/>
      <c r="J1474" s="5"/>
      <c r="K1474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74" s="5"/>
      <c r="M1474" s="5" t="str">
        <f ca="1">IFERROR(__xludf.DUMMYFUNCTION("""COMPUTED_VALUE"""),"Nucet")</f>
        <v>Nucet</v>
      </c>
      <c r="N1474" s="5"/>
      <c r="O1474" s="5"/>
      <c r="P1474" s="5"/>
      <c r="Q1474" s="5" t="str">
        <f ca="1">IFERROR(__xludf.DUMMYFUNCTION("""COMPUTED_VALUE"""),"Comunitar")</f>
        <v>Comunitar</v>
      </c>
      <c r="R1474" s="5" t="str">
        <f ca="1">IFERROR(__xludf.DUMMYFUNCTION("""COMPUTED_VALUE"""),"România")</f>
        <v>România</v>
      </c>
      <c r="S1474" s="5" t="str">
        <f ca="1">IFERROR(__xludf.DUMMYFUNCTION("""COMPUTED_VALUE"""),"Octavian")</f>
        <v>Octavian</v>
      </c>
      <c r="T1474" s="7" t="str">
        <f ca="1">IFERROR(__xludf.DUMMYFUNCTION("""COMPUTED_VALUE"""),"http://www.ms.ro/2020/08/13/buletin-informativ-13-08-2020")</f>
        <v>http://www.ms.ro/2020/08/13/buletin-informativ-13-08-2020</v>
      </c>
      <c r="U1474" s="5"/>
      <c r="V1474" s="5"/>
      <c r="W1474" s="5"/>
      <c r="X1474" s="5"/>
      <c r="Y1474" s="5"/>
      <c r="Z1474" s="5"/>
      <c r="AA1474" s="5"/>
      <c r="AB1474" s="5"/>
      <c r="AC1474" s="5"/>
    </row>
    <row r="1475" spans="1:29" ht="12.5">
      <c r="A1475" s="5">
        <f ca="1">IFERROR(__xludf.DUMMYFUNCTION("""COMPUTED_VALUE"""),65370)</f>
        <v>65370</v>
      </c>
      <c r="B1475" s="5"/>
      <c r="C1475" s="5" t="str">
        <f ca="1">IFERROR(__xludf.DUMMYFUNCTION("""COMPUTED_VALUE"""),"Bihor")</f>
        <v>Bihor</v>
      </c>
      <c r="D1475" s="13">
        <f ca="1">IFERROR(__xludf.DUMMYFUNCTION("""COMPUTED_VALUE"""),44056)</f>
        <v>44056</v>
      </c>
      <c r="E1475" s="5" t="str">
        <f ca="1">IFERROR(__xludf.DUMMYFUNCTION("""COMPUTED_VALUE"""),"Nu")</f>
        <v>Nu</v>
      </c>
      <c r="F1475" s="5"/>
      <c r="G1475" s="5"/>
      <c r="H1475" s="6"/>
      <c r="I1475" s="5"/>
      <c r="J1475" s="5"/>
      <c r="K1475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75" s="5"/>
      <c r="M1475" s="5" t="str">
        <f ca="1">IFERROR(__xludf.DUMMYFUNCTION("""COMPUTED_VALUE"""),"Oradea")</f>
        <v>Oradea</v>
      </c>
      <c r="N1475" s="5"/>
      <c r="O1475" s="5"/>
      <c r="P1475" s="5" t="str">
        <f ca="1">IFERROR(__xludf.DUMMYFUNCTION("""COMPUTED_VALUE"""),"Familie neoprotestantă.")</f>
        <v>Familie neoprotestantă.</v>
      </c>
      <c r="Q1475" s="5" t="str">
        <f ca="1">IFERROR(__xludf.DUMMYFUNCTION("""COMPUTED_VALUE"""),"Comunitar")</f>
        <v>Comunitar</v>
      </c>
      <c r="R1475" s="5" t="str">
        <f ca="1">IFERROR(__xludf.DUMMYFUNCTION("""COMPUTED_VALUE"""),"România")</f>
        <v>România</v>
      </c>
      <c r="S1475" s="5" t="str">
        <f ca="1">IFERROR(__xludf.DUMMYFUNCTION("""COMPUTED_VALUE"""),"Octavian")</f>
        <v>Octavian</v>
      </c>
      <c r="T1475" s="7" t="str">
        <f ca="1">IFERROR(__xludf.DUMMYFUNCTION("""COMPUTED_VALUE"""),"http://www.ms.ro/2020/08/13/buletin-informativ-13-08-2020")</f>
        <v>http://www.ms.ro/2020/08/13/buletin-informativ-13-08-2020</v>
      </c>
      <c r="U1475" s="5"/>
      <c r="V1475" s="5"/>
      <c r="W1475" s="5"/>
      <c r="X1475" s="5"/>
      <c r="Y1475" s="5"/>
      <c r="Z1475" s="5"/>
      <c r="AA1475" s="5"/>
      <c r="AB1475" s="5"/>
      <c r="AC1475" s="5"/>
    </row>
    <row r="1476" spans="1:29" ht="12.5">
      <c r="A1476" s="5">
        <f ca="1">IFERROR(__xludf.DUMMYFUNCTION("""COMPUTED_VALUE"""),65371)</f>
        <v>65371</v>
      </c>
      <c r="B1476" s="5">
        <f ca="1">IFERROR(__xludf.DUMMYFUNCTION("""COMPUTED_VALUE"""),65370)</f>
        <v>65370</v>
      </c>
      <c r="C1476" s="5" t="str">
        <f ca="1">IFERROR(__xludf.DUMMYFUNCTION("""COMPUTED_VALUE"""),"Bihor")</f>
        <v>Bihor</v>
      </c>
      <c r="D1476" s="13">
        <f ca="1">IFERROR(__xludf.DUMMYFUNCTION("""COMPUTED_VALUE"""),44056)</f>
        <v>44056</v>
      </c>
      <c r="E1476" s="5" t="str">
        <f ca="1">IFERROR(__xludf.DUMMYFUNCTION("""COMPUTED_VALUE"""),"Nu")</f>
        <v>Nu</v>
      </c>
      <c r="F1476" s="5"/>
      <c r="G1476" s="5"/>
      <c r="H1476" s="6"/>
      <c r="I1476" s="5"/>
      <c r="J1476" s="5"/>
      <c r="K1476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76" s="5"/>
      <c r="M1476" s="5" t="str">
        <f ca="1">IFERROR(__xludf.DUMMYFUNCTION("""COMPUTED_VALUE"""),"Oradea")</f>
        <v>Oradea</v>
      </c>
      <c r="N1476" s="5"/>
      <c r="O1476" s="5"/>
      <c r="P1476" s="5" t="str">
        <f ca="1">IFERROR(__xludf.DUMMYFUNCTION("""COMPUTED_VALUE"""),"Familie neoprotestantă.")</f>
        <v>Familie neoprotestantă.</v>
      </c>
      <c r="Q1476" s="5" t="str">
        <f ca="1">IFERROR(__xludf.DUMMYFUNCTION("""COMPUTED_VALUE"""),"Comunitar")</f>
        <v>Comunitar</v>
      </c>
      <c r="R1476" s="5" t="str">
        <f ca="1">IFERROR(__xludf.DUMMYFUNCTION("""COMPUTED_VALUE"""),"România")</f>
        <v>România</v>
      </c>
      <c r="S1476" s="5" t="str">
        <f ca="1">IFERROR(__xludf.DUMMYFUNCTION("""COMPUTED_VALUE"""),"Octavian")</f>
        <v>Octavian</v>
      </c>
      <c r="T1476" s="7" t="str">
        <f ca="1">IFERROR(__xludf.DUMMYFUNCTION("""COMPUTED_VALUE"""),"http://www.ms.ro/2020/08/13/buletin-informativ-13-08-2020")</f>
        <v>http://www.ms.ro/2020/08/13/buletin-informativ-13-08-2020</v>
      </c>
      <c r="U1476" s="5"/>
      <c r="V1476" s="5"/>
      <c r="W1476" s="5"/>
      <c r="X1476" s="5"/>
      <c r="Y1476" s="5"/>
      <c r="Z1476" s="5"/>
      <c r="AA1476" s="5"/>
      <c r="AB1476" s="5"/>
      <c r="AC1476" s="5"/>
    </row>
    <row r="1477" spans="1:29" ht="12.5">
      <c r="A1477" s="5">
        <f ca="1">IFERROR(__xludf.DUMMYFUNCTION("""COMPUTED_VALUE"""),65372)</f>
        <v>65372</v>
      </c>
      <c r="B1477" s="5">
        <f ca="1">IFERROR(__xludf.DUMMYFUNCTION("""COMPUTED_VALUE"""),65370)</f>
        <v>65370</v>
      </c>
      <c r="C1477" s="5" t="str">
        <f ca="1">IFERROR(__xludf.DUMMYFUNCTION("""COMPUTED_VALUE"""),"Bihor")</f>
        <v>Bihor</v>
      </c>
      <c r="D1477" s="13">
        <f ca="1">IFERROR(__xludf.DUMMYFUNCTION("""COMPUTED_VALUE"""),44056)</f>
        <v>44056</v>
      </c>
      <c r="E1477" s="5" t="str">
        <f ca="1">IFERROR(__xludf.DUMMYFUNCTION("""COMPUTED_VALUE"""),"Nu")</f>
        <v>Nu</v>
      </c>
      <c r="F1477" s="5"/>
      <c r="G1477" s="5"/>
      <c r="H1477" s="6"/>
      <c r="I1477" s="5"/>
      <c r="J1477" s="5"/>
      <c r="K1477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77" s="5"/>
      <c r="M1477" s="5" t="str">
        <f ca="1">IFERROR(__xludf.DUMMYFUNCTION("""COMPUTED_VALUE"""),"Oradea")</f>
        <v>Oradea</v>
      </c>
      <c r="N1477" s="5"/>
      <c r="O1477" s="5"/>
      <c r="P1477" s="5" t="str">
        <f ca="1">IFERROR(__xludf.DUMMYFUNCTION("""COMPUTED_VALUE"""),"Familie neoprotestantă.")</f>
        <v>Familie neoprotestantă.</v>
      </c>
      <c r="Q1477" s="5" t="str">
        <f ca="1">IFERROR(__xludf.DUMMYFUNCTION("""COMPUTED_VALUE"""),"Comunitar")</f>
        <v>Comunitar</v>
      </c>
      <c r="R1477" s="5" t="str">
        <f ca="1">IFERROR(__xludf.DUMMYFUNCTION("""COMPUTED_VALUE"""),"România")</f>
        <v>România</v>
      </c>
      <c r="S1477" s="5" t="str">
        <f ca="1">IFERROR(__xludf.DUMMYFUNCTION("""COMPUTED_VALUE"""),"Octavian")</f>
        <v>Octavian</v>
      </c>
      <c r="T1477" s="7" t="str">
        <f ca="1">IFERROR(__xludf.DUMMYFUNCTION("""COMPUTED_VALUE"""),"http://www.ms.ro/2020/08/13/buletin-informativ-13-08-2020")</f>
        <v>http://www.ms.ro/2020/08/13/buletin-informativ-13-08-2020</v>
      </c>
      <c r="U1477" s="5"/>
      <c r="V1477" s="5"/>
      <c r="W1477" s="5"/>
      <c r="X1477" s="5"/>
      <c r="Y1477" s="5"/>
      <c r="Z1477" s="5"/>
      <c r="AA1477" s="5"/>
      <c r="AB1477" s="5"/>
      <c r="AC1477" s="5"/>
    </row>
    <row r="1478" spans="1:29" ht="12.5">
      <c r="A1478" s="5">
        <f ca="1">IFERROR(__xludf.DUMMYFUNCTION("""COMPUTED_VALUE"""),65373)</f>
        <v>65373</v>
      </c>
      <c r="B1478" s="5">
        <f ca="1">IFERROR(__xludf.DUMMYFUNCTION("""COMPUTED_VALUE"""),65370)</f>
        <v>65370</v>
      </c>
      <c r="C1478" s="5" t="str">
        <f ca="1">IFERROR(__xludf.DUMMYFUNCTION("""COMPUTED_VALUE"""),"Bihor")</f>
        <v>Bihor</v>
      </c>
      <c r="D1478" s="13">
        <f ca="1">IFERROR(__xludf.DUMMYFUNCTION("""COMPUTED_VALUE"""),44056)</f>
        <v>44056</v>
      </c>
      <c r="E1478" s="5" t="str">
        <f ca="1">IFERROR(__xludf.DUMMYFUNCTION("""COMPUTED_VALUE"""),"Nu")</f>
        <v>Nu</v>
      </c>
      <c r="F1478" s="5"/>
      <c r="G1478" s="5"/>
      <c r="H1478" s="6"/>
      <c r="I1478" s="5"/>
      <c r="J1478" s="5"/>
      <c r="K1478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78" s="5"/>
      <c r="M1478" s="5" t="str">
        <f ca="1">IFERROR(__xludf.DUMMYFUNCTION("""COMPUTED_VALUE"""),"Oradea")</f>
        <v>Oradea</v>
      </c>
      <c r="N1478" s="5"/>
      <c r="O1478" s="5"/>
      <c r="P1478" s="5" t="str">
        <f ca="1">IFERROR(__xludf.DUMMYFUNCTION("""COMPUTED_VALUE"""),"Familie neoprotestantă.")</f>
        <v>Familie neoprotestantă.</v>
      </c>
      <c r="Q1478" s="5" t="str">
        <f ca="1">IFERROR(__xludf.DUMMYFUNCTION("""COMPUTED_VALUE"""),"Comunitar")</f>
        <v>Comunitar</v>
      </c>
      <c r="R1478" s="5" t="str">
        <f ca="1">IFERROR(__xludf.DUMMYFUNCTION("""COMPUTED_VALUE"""),"România")</f>
        <v>România</v>
      </c>
      <c r="S1478" s="5" t="str">
        <f ca="1">IFERROR(__xludf.DUMMYFUNCTION("""COMPUTED_VALUE"""),"Octavian")</f>
        <v>Octavian</v>
      </c>
      <c r="T1478" s="7" t="str">
        <f ca="1">IFERROR(__xludf.DUMMYFUNCTION("""COMPUTED_VALUE"""),"http://www.ms.ro/2020/08/13/buletin-informativ-13-08-2020")</f>
        <v>http://www.ms.ro/2020/08/13/buletin-informativ-13-08-2020</v>
      </c>
      <c r="U1478" s="5"/>
      <c r="V1478" s="5"/>
      <c r="W1478" s="5"/>
      <c r="X1478" s="5"/>
      <c r="Y1478" s="5"/>
      <c r="Z1478" s="5"/>
      <c r="AA1478" s="5"/>
      <c r="AB1478" s="5"/>
      <c r="AC1478" s="5"/>
    </row>
    <row r="1479" spans="1:29" ht="12.5">
      <c r="A1479" s="5">
        <f ca="1">IFERROR(__xludf.DUMMYFUNCTION("""COMPUTED_VALUE"""),65374)</f>
        <v>65374</v>
      </c>
      <c r="B1479" s="5">
        <f ca="1">IFERROR(__xludf.DUMMYFUNCTION("""COMPUTED_VALUE"""),65370)</f>
        <v>65370</v>
      </c>
      <c r="C1479" s="5" t="str">
        <f ca="1">IFERROR(__xludf.DUMMYFUNCTION("""COMPUTED_VALUE"""),"Bihor")</f>
        <v>Bihor</v>
      </c>
      <c r="D1479" s="13">
        <f ca="1">IFERROR(__xludf.DUMMYFUNCTION("""COMPUTED_VALUE"""),44056)</f>
        <v>44056</v>
      </c>
      <c r="E1479" s="5" t="str">
        <f ca="1">IFERROR(__xludf.DUMMYFUNCTION("""COMPUTED_VALUE"""),"Nu")</f>
        <v>Nu</v>
      </c>
      <c r="F1479" s="5"/>
      <c r="G1479" s="5"/>
      <c r="H1479" s="6"/>
      <c r="I1479" s="5"/>
      <c r="J1479" s="5"/>
      <c r="K1479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79" s="5"/>
      <c r="M1479" s="5" t="str">
        <f ca="1">IFERROR(__xludf.DUMMYFUNCTION("""COMPUTED_VALUE"""),"Oradea")</f>
        <v>Oradea</v>
      </c>
      <c r="N1479" s="5"/>
      <c r="O1479" s="5"/>
      <c r="P1479" s="5" t="str">
        <f ca="1">IFERROR(__xludf.DUMMYFUNCTION("""COMPUTED_VALUE"""),"Familie neoprotestantă.")</f>
        <v>Familie neoprotestantă.</v>
      </c>
      <c r="Q1479" s="5" t="str">
        <f ca="1">IFERROR(__xludf.DUMMYFUNCTION("""COMPUTED_VALUE"""),"Comunitar")</f>
        <v>Comunitar</v>
      </c>
      <c r="R1479" s="5" t="str">
        <f ca="1">IFERROR(__xludf.DUMMYFUNCTION("""COMPUTED_VALUE"""),"România")</f>
        <v>România</v>
      </c>
      <c r="S1479" s="5" t="str">
        <f ca="1">IFERROR(__xludf.DUMMYFUNCTION("""COMPUTED_VALUE"""),"Octavian")</f>
        <v>Octavian</v>
      </c>
      <c r="T1479" s="7" t="str">
        <f ca="1">IFERROR(__xludf.DUMMYFUNCTION("""COMPUTED_VALUE"""),"http://www.ms.ro/2020/08/13/buletin-informativ-13-08-2020")</f>
        <v>http://www.ms.ro/2020/08/13/buletin-informativ-13-08-2020</v>
      </c>
      <c r="U1479" s="5"/>
      <c r="V1479" s="5"/>
      <c r="W1479" s="5"/>
      <c r="X1479" s="5"/>
      <c r="Y1479" s="5"/>
      <c r="Z1479" s="5"/>
      <c r="AA1479" s="5"/>
      <c r="AB1479" s="5"/>
      <c r="AC1479" s="5"/>
    </row>
    <row r="1480" spans="1:29" ht="12.5">
      <c r="A1480" s="5">
        <f ca="1">IFERROR(__xludf.DUMMYFUNCTION("""COMPUTED_VALUE"""),65375)</f>
        <v>65375</v>
      </c>
      <c r="B1480" s="5">
        <f ca="1">IFERROR(__xludf.DUMMYFUNCTION("""COMPUTED_VALUE"""),65370)</f>
        <v>65370</v>
      </c>
      <c r="C1480" s="5" t="str">
        <f ca="1">IFERROR(__xludf.DUMMYFUNCTION("""COMPUTED_VALUE"""),"Bihor")</f>
        <v>Bihor</v>
      </c>
      <c r="D1480" s="13">
        <f ca="1">IFERROR(__xludf.DUMMYFUNCTION("""COMPUTED_VALUE"""),44056)</f>
        <v>44056</v>
      </c>
      <c r="E1480" s="5" t="str">
        <f ca="1">IFERROR(__xludf.DUMMYFUNCTION("""COMPUTED_VALUE"""),"Nu")</f>
        <v>Nu</v>
      </c>
      <c r="F1480" s="5"/>
      <c r="G1480" s="5"/>
      <c r="H1480" s="6"/>
      <c r="I1480" s="5"/>
      <c r="J1480" s="5"/>
      <c r="K1480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80" s="5"/>
      <c r="M1480" s="5" t="str">
        <f ca="1">IFERROR(__xludf.DUMMYFUNCTION("""COMPUTED_VALUE"""),"Oradea")</f>
        <v>Oradea</v>
      </c>
      <c r="N1480" s="5"/>
      <c r="O1480" s="5"/>
      <c r="P1480" s="5" t="str">
        <f ca="1">IFERROR(__xludf.DUMMYFUNCTION("""COMPUTED_VALUE"""),"Familie neoprotestantă.")</f>
        <v>Familie neoprotestantă.</v>
      </c>
      <c r="Q1480" s="5" t="str">
        <f ca="1">IFERROR(__xludf.DUMMYFUNCTION("""COMPUTED_VALUE"""),"Comunitar")</f>
        <v>Comunitar</v>
      </c>
      <c r="R1480" s="5" t="str">
        <f ca="1">IFERROR(__xludf.DUMMYFUNCTION("""COMPUTED_VALUE"""),"România")</f>
        <v>România</v>
      </c>
      <c r="S1480" s="5" t="str">
        <f ca="1">IFERROR(__xludf.DUMMYFUNCTION("""COMPUTED_VALUE"""),"Octavian")</f>
        <v>Octavian</v>
      </c>
      <c r="T1480" s="7" t="str">
        <f ca="1">IFERROR(__xludf.DUMMYFUNCTION("""COMPUTED_VALUE"""),"http://www.ms.ro/2020/08/13/buletin-informativ-13-08-2020")</f>
        <v>http://www.ms.ro/2020/08/13/buletin-informativ-13-08-2020</v>
      </c>
      <c r="U1480" s="5"/>
      <c r="V1480" s="5"/>
      <c r="W1480" s="5"/>
      <c r="X1480" s="5"/>
      <c r="Y1480" s="5"/>
      <c r="Z1480" s="5"/>
      <c r="AA1480" s="5"/>
      <c r="AB1480" s="5"/>
      <c r="AC1480" s="5"/>
    </row>
    <row r="1481" spans="1:29" ht="12.5">
      <c r="A1481" s="5">
        <f ca="1">IFERROR(__xludf.DUMMYFUNCTION("""COMPUTED_VALUE"""),65376)</f>
        <v>65376</v>
      </c>
      <c r="B1481" s="5">
        <f ca="1">IFERROR(__xludf.DUMMYFUNCTION("""COMPUTED_VALUE"""),65370)</f>
        <v>65370</v>
      </c>
      <c r="C1481" s="5" t="str">
        <f ca="1">IFERROR(__xludf.DUMMYFUNCTION("""COMPUTED_VALUE"""),"Bihor")</f>
        <v>Bihor</v>
      </c>
      <c r="D1481" s="13">
        <f ca="1">IFERROR(__xludf.DUMMYFUNCTION("""COMPUTED_VALUE"""),44056)</f>
        <v>44056</v>
      </c>
      <c r="E1481" s="5" t="str">
        <f ca="1">IFERROR(__xludf.DUMMYFUNCTION("""COMPUTED_VALUE"""),"Nu")</f>
        <v>Nu</v>
      </c>
      <c r="F1481" s="5"/>
      <c r="G1481" s="5"/>
      <c r="H1481" s="6"/>
      <c r="I1481" s="5"/>
      <c r="J1481" s="5"/>
      <c r="K1481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81" s="5"/>
      <c r="M1481" s="5" t="str">
        <f ca="1">IFERROR(__xludf.DUMMYFUNCTION("""COMPUTED_VALUE"""),"Oradea")</f>
        <v>Oradea</v>
      </c>
      <c r="N1481" s="5"/>
      <c r="O1481" s="5"/>
      <c r="P1481" s="5" t="str">
        <f ca="1">IFERROR(__xludf.DUMMYFUNCTION("""COMPUTED_VALUE"""),"Familie neoprotestantă.")</f>
        <v>Familie neoprotestantă.</v>
      </c>
      <c r="Q1481" s="5" t="str">
        <f ca="1">IFERROR(__xludf.DUMMYFUNCTION("""COMPUTED_VALUE"""),"Comunitar")</f>
        <v>Comunitar</v>
      </c>
      <c r="R1481" s="5" t="str">
        <f ca="1">IFERROR(__xludf.DUMMYFUNCTION("""COMPUTED_VALUE"""),"România")</f>
        <v>România</v>
      </c>
      <c r="S1481" s="5" t="str">
        <f ca="1">IFERROR(__xludf.DUMMYFUNCTION("""COMPUTED_VALUE"""),"Octavian")</f>
        <v>Octavian</v>
      </c>
      <c r="T1481" s="7" t="str">
        <f ca="1">IFERROR(__xludf.DUMMYFUNCTION("""COMPUTED_VALUE"""),"http://www.ms.ro/2020/08/13/buletin-informativ-13-08-2020")</f>
        <v>http://www.ms.ro/2020/08/13/buletin-informativ-13-08-2020</v>
      </c>
      <c r="U1481" s="5"/>
      <c r="V1481" s="5"/>
      <c r="W1481" s="5"/>
      <c r="X1481" s="5"/>
      <c r="Y1481" s="5"/>
      <c r="Z1481" s="5"/>
      <c r="AA1481" s="5"/>
      <c r="AB1481" s="5"/>
      <c r="AC1481" s="5"/>
    </row>
    <row r="1482" spans="1:29" ht="12.5">
      <c r="A1482" s="5">
        <f ca="1">IFERROR(__xludf.DUMMYFUNCTION("""COMPUTED_VALUE"""),65377)</f>
        <v>65377</v>
      </c>
      <c r="B1482" s="5">
        <f ca="1">IFERROR(__xludf.DUMMYFUNCTION("""COMPUTED_VALUE"""),65370)</f>
        <v>65370</v>
      </c>
      <c r="C1482" s="5" t="str">
        <f ca="1">IFERROR(__xludf.DUMMYFUNCTION("""COMPUTED_VALUE"""),"Bihor")</f>
        <v>Bihor</v>
      </c>
      <c r="D1482" s="13">
        <f ca="1">IFERROR(__xludf.DUMMYFUNCTION("""COMPUTED_VALUE"""),44056)</f>
        <v>44056</v>
      </c>
      <c r="E1482" s="5" t="str">
        <f ca="1">IFERROR(__xludf.DUMMYFUNCTION("""COMPUTED_VALUE"""),"Nu")</f>
        <v>Nu</v>
      </c>
      <c r="F1482" s="5"/>
      <c r="G1482" s="5"/>
      <c r="H1482" s="6"/>
      <c r="I1482" s="5"/>
      <c r="J1482" s="5"/>
      <c r="K1482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82" s="5"/>
      <c r="M1482" s="5" t="str">
        <f ca="1">IFERROR(__xludf.DUMMYFUNCTION("""COMPUTED_VALUE"""),"Oradea")</f>
        <v>Oradea</v>
      </c>
      <c r="N1482" s="5"/>
      <c r="O1482" s="5"/>
      <c r="P1482" s="5" t="str">
        <f ca="1">IFERROR(__xludf.DUMMYFUNCTION("""COMPUTED_VALUE"""),"Familie neoprotestantă.")</f>
        <v>Familie neoprotestantă.</v>
      </c>
      <c r="Q1482" s="5" t="str">
        <f ca="1">IFERROR(__xludf.DUMMYFUNCTION("""COMPUTED_VALUE"""),"Comunitar")</f>
        <v>Comunitar</v>
      </c>
      <c r="R1482" s="5" t="str">
        <f ca="1">IFERROR(__xludf.DUMMYFUNCTION("""COMPUTED_VALUE"""),"România")</f>
        <v>România</v>
      </c>
      <c r="S1482" s="5" t="str">
        <f ca="1">IFERROR(__xludf.DUMMYFUNCTION("""COMPUTED_VALUE"""),"Octavian")</f>
        <v>Octavian</v>
      </c>
      <c r="T1482" s="7" t="str">
        <f ca="1">IFERROR(__xludf.DUMMYFUNCTION("""COMPUTED_VALUE"""),"http://www.ms.ro/2020/08/13/buletin-informativ-13-08-2020")</f>
        <v>http://www.ms.ro/2020/08/13/buletin-informativ-13-08-2020</v>
      </c>
      <c r="U1482" s="5"/>
      <c r="V1482" s="5"/>
      <c r="W1482" s="5"/>
      <c r="X1482" s="5"/>
      <c r="Y1482" s="5"/>
      <c r="Z1482" s="5"/>
      <c r="AA1482" s="5"/>
      <c r="AB1482" s="5"/>
      <c r="AC1482" s="5"/>
    </row>
    <row r="1483" spans="1:29" ht="12.5">
      <c r="A1483" s="5">
        <f ca="1">IFERROR(__xludf.DUMMYFUNCTION("""COMPUTED_VALUE"""),65378)</f>
        <v>65378</v>
      </c>
      <c r="B1483" s="5"/>
      <c r="C1483" s="5" t="str">
        <f ca="1">IFERROR(__xludf.DUMMYFUNCTION("""COMPUTED_VALUE"""),"Bihor")</f>
        <v>Bihor</v>
      </c>
      <c r="D1483" s="13">
        <f ca="1">IFERROR(__xludf.DUMMYFUNCTION("""COMPUTED_VALUE"""),44056)</f>
        <v>44056</v>
      </c>
      <c r="E1483" s="5" t="str">
        <f ca="1">IFERROR(__xludf.DUMMYFUNCTION("""COMPUTED_VALUE"""),"Nu")</f>
        <v>Nu</v>
      </c>
      <c r="F1483" s="5"/>
      <c r="G1483" s="5"/>
      <c r="H1483" s="6"/>
      <c r="I1483" s="5"/>
      <c r="J1483" s="5"/>
      <c r="K1483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83" s="5"/>
      <c r="M1483" s="5" t="str">
        <f ca="1">IFERROR(__xludf.DUMMYFUNCTION("""COMPUTED_VALUE"""),"Bratca")</f>
        <v>Bratca</v>
      </c>
      <c r="N1483" s="5"/>
      <c r="O1483" s="5"/>
      <c r="P1483" s="5"/>
      <c r="Q1483" s="5"/>
      <c r="R1483" s="5" t="str">
        <f ca="1">IFERROR(__xludf.DUMMYFUNCTION("""COMPUTED_VALUE"""),"România")</f>
        <v>România</v>
      </c>
      <c r="S1483" s="5" t="str">
        <f ca="1">IFERROR(__xludf.DUMMYFUNCTION("""COMPUTED_VALUE"""),"Octavian")</f>
        <v>Octavian</v>
      </c>
      <c r="T1483" s="7" t="str">
        <f ca="1">IFERROR(__xludf.DUMMYFUNCTION("""COMPUTED_VALUE"""),"http://www.ms.ro/2020/08/13/buletin-informativ-13-08-2020")</f>
        <v>http://www.ms.ro/2020/08/13/buletin-informativ-13-08-2020</v>
      </c>
      <c r="U1483" s="5"/>
      <c r="V1483" s="5"/>
      <c r="W1483" s="5"/>
      <c r="X1483" s="5"/>
      <c r="Y1483" s="5"/>
      <c r="Z1483" s="5"/>
      <c r="AA1483" s="5"/>
      <c r="AB1483" s="5"/>
      <c r="AC1483" s="5"/>
    </row>
    <row r="1484" spans="1:29" ht="12.5">
      <c r="A1484" s="5">
        <f ca="1">IFERROR(__xludf.DUMMYFUNCTION("""COMPUTED_VALUE"""),65379)</f>
        <v>65379</v>
      </c>
      <c r="B1484" s="5"/>
      <c r="C1484" s="5" t="str">
        <f ca="1">IFERROR(__xludf.DUMMYFUNCTION("""COMPUTED_VALUE"""),"Bihor")</f>
        <v>Bihor</v>
      </c>
      <c r="D1484" s="13">
        <f ca="1">IFERROR(__xludf.DUMMYFUNCTION("""COMPUTED_VALUE"""),44056)</f>
        <v>44056</v>
      </c>
      <c r="E1484" s="5" t="str">
        <f ca="1">IFERROR(__xludf.DUMMYFUNCTION("""COMPUTED_VALUE"""),"Nu")</f>
        <v>Nu</v>
      </c>
      <c r="F1484" s="5"/>
      <c r="G1484" s="5"/>
      <c r="H1484" s="6"/>
      <c r="I1484" s="5"/>
      <c r="J1484" s="5"/>
      <c r="K1484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84" s="5"/>
      <c r="M1484" s="5" t="str">
        <f ca="1">IFERROR(__xludf.DUMMYFUNCTION("""COMPUTED_VALUE"""),"Popești")</f>
        <v>Popești</v>
      </c>
      <c r="N1484" s="5"/>
      <c r="O1484" s="5"/>
      <c r="P1484" s="5"/>
      <c r="Q1484" s="5"/>
      <c r="R1484" s="5" t="str">
        <f ca="1">IFERROR(__xludf.DUMMYFUNCTION("""COMPUTED_VALUE"""),"România")</f>
        <v>România</v>
      </c>
      <c r="S1484" s="5" t="str">
        <f ca="1">IFERROR(__xludf.DUMMYFUNCTION("""COMPUTED_VALUE"""),"Octavian")</f>
        <v>Octavian</v>
      </c>
      <c r="T1484" s="7" t="str">
        <f ca="1">IFERROR(__xludf.DUMMYFUNCTION("""COMPUTED_VALUE"""),"http://www.ms.ro/2020/08/13/buletin-informativ-13-08-2020")</f>
        <v>http://www.ms.ro/2020/08/13/buletin-informativ-13-08-2020</v>
      </c>
      <c r="U1484" s="5"/>
      <c r="V1484" s="5"/>
      <c r="W1484" s="5"/>
      <c r="X1484" s="5"/>
      <c r="Y1484" s="5"/>
      <c r="Z1484" s="5"/>
      <c r="AA1484" s="5"/>
      <c r="AB1484" s="5"/>
      <c r="AC1484" s="5"/>
    </row>
    <row r="1485" spans="1:29" ht="12.5">
      <c r="A1485" s="5">
        <f ca="1">IFERROR(__xludf.DUMMYFUNCTION("""COMPUTED_VALUE"""),65380)</f>
        <v>65380</v>
      </c>
      <c r="B1485" s="5"/>
      <c r="C1485" s="5" t="str">
        <f ca="1">IFERROR(__xludf.DUMMYFUNCTION("""COMPUTED_VALUE"""),"Bihor")</f>
        <v>Bihor</v>
      </c>
      <c r="D1485" s="13">
        <f ca="1">IFERROR(__xludf.DUMMYFUNCTION("""COMPUTED_VALUE"""),44056)</f>
        <v>44056</v>
      </c>
      <c r="E1485" s="5" t="str">
        <f ca="1">IFERROR(__xludf.DUMMYFUNCTION("""COMPUTED_VALUE"""),"Nu")</f>
        <v>Nu</v>
      </c>
      <c r="F1485" s="5"/>
      <c r="G1485" s="5"/>
      <c r="H1485" s="6"/>
      <c r="I1485" s="5"/>
      <c r="J1485" s="5"/>
      <c r="K1485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85" s="5"/>
      <c r="M1485" s="5" t="str">
        <f ca="1">IFERROR(__xludf.DUMMYFUNCTION("""COMPUTED_VALUE"""),"Lăzăreni")</f>
        <v>Lăzăreni</v>
      </c>
      <c r="N1485" s="5"/>
      <c r="O1485" s="5"/>
      <c r="P1485" s="5"/>
      <c r="Q1485" s="5"/>
      <c r="R1485" s="5" t="str">
        <f ca="1">IFERROR(__xludf.DUMMYFUNCTION("""COMPUTED_VALUE"""),"România")</f>
        <v>România</v>
      </c>
      <c r="S1485" s="5" t="str">
        <f ca="1">IFERROR(__xludf.DUMMYFUNCTION("""COMPUTED_VALUE"""),"Octavian")</f>
        <v>Octavian</v>
      </c>
      <c r="T1485" s="7" t="str">
        <f ca="1">IFERROR(__xludf.DUMMYFUNCTION("""COMPUTED_VALUE"""),"http://www.ms.ro/2020/08/13/buletin-informativ-13-08-2020")</f>
        <v>http://www.ms.ro/2020/08/13/buletin-informativ-13-08-2020</v>
      </c>
      <c r="U1485" s="5"/>
      <c r="V1485" s="5"/>
      <c r="W1485" s="5"/>
      <c r="X1485" s="5"/>
      <c r="Y1485" s="5"/>
      <c r="Z1485" s="5"/>
      <c r="AA1485" s="5"/>
      <c r="AB1485" s="5"/>
      <c r="AC1485" s="5"/>
    </row>
    <row r="1486" spans="1:29" ht="12.5">
      <c r="A1486" s="5">
        <f ca="1">IFERROR(__xludf.DUMMYFUNCTION("""COMPUTED_VALUE"""),65381)</f>
        <v>65381</v>
      </c>
      <c r="B1486" s="5"/>
      <c r="C1486" s="5" t="str">
        <f ca="1">IFERROR(__xludf.DUMMYFUNCTION("""COMPUTED_VALUE"""),"Bihor")</f>
        <v>Bihor</v>
      </c>
      <c r="D1486" s="13">
        <f ca="1">IFERROR(__xludf.DUMMYFUNCTION("""COMPUTED_VALUE"""),44056)</f>
        <v>44056</v>
      </c>
      <c r="E1486" s="5" t="str">
        <f ca="1">IFERROR(__xludf.DUMMYFUNCTION("""COMPUTED_VALUE"""),"Nu")</f>
        <v>Nu</v>
      </c>
      <c r="F1486" s="5"/>
      <c r="G1486" s="5"/>
      <c r="H1486" s="6"/>
      <c r="I1486" s="5"/>
      <c r="J1486" s="5"/>
      <c r="K1486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86" s="5"/>
      <c r="M1486" s="5" t="str">
        <f ca="1">IFERROR(__xludf.DUMMYFUNCTION("""COMPUTED_VALUE"""),"Dobrești")</f>
        <v>Dobrești</v>
      </c>
      <c r="N1486" s="5"/>
      <c r="O1486" s="5"/>
      <c r="P1486" s="5"/>
      <c r="Q1486" s="5"/>
      <c r="R1486" s="5" t="str">
        <f ca="1">IFERROR(__xludf.DUMMYFUNCTION("""COMPUTED_VALUE"""),"România")</f>
        <v>România</v>
      </c>
      <c r="S1486" s="5" t="str">
        <f ca="1">IFERROR(__xludf.DUMMYFUNCTION("""COMPUTED_VALUE"""),"Octavian")</f>
        <v>Octavian</v>
      </c>
      <c r="T1486" s="7" t="str">
        <f ca="1">IFERROR(__xludf.DUMMYFUNCTION("""COMPUTED_VALUE"""),"http://www.ms.ro/2020/08/13/buletin-informativ-13-08-2020")</f>
        <v>http://www.ms.ro/2020/08/13/buletin-informativ-13-08-2020</v>
      </c>
      <c r="U1486" s="5"/>
      <c r="V1486" s="5"/>
      <c r="W1486" s="5"/>
      <c r="X1486" s="5"/>
      <c r="Y1486" s="5"/>
      <c r="Z1486" s="5"/>
      <c r="AA1486" s="5"/>
      <c r="AB1486" s="5"/>
      <c r="AC1486" s="5"/>
    </row>
    <row r="1487" spans="1:29" ht="12.5">
      <c r="A1487" s="5">
        <f ca="1">IFERROR(__xludf.DUMMYFUNCTION("""COMPUTED_VALUE"""),65382)</f>
        <v>65382</v>
      </c>
      <c r="B1487" s="5"/>
      <c r="C1487" s="5" t="str">
        <f ca="1">IFERROR(__xludf.DUMMYFUNCTION("""COMPUTED_VALUE"""),"Bihor")</f>
        <v>Bihor</v>
      </c>
      <c r="D1487" s="13">
        <f ca="1">IFERROR(__xludf.DUMMYFUNCTION("""COMPUTED_VALUE"""),44056)</f>
        <v>44056</v>
      </c>
      <c r="E1487" s="5" t="str">
        <f ca="1">IFERROR(__xludf.DUMMYFUNCTION("""COMPUTED_VALUE"""),"Nu")</f>
        <v>Nu</v>
      </c>
      <c r="F1487" s="5"/>
      <c r="G1487" s="5"/>
      <c r="H1487" s="6"/>
      <c r="I1487" s="5"/>
      <c r="J1487" s="5"/>
      <c r="K1487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87" s="5"/>
      <c r="M1487" s="5" t="str">
        <f ca="1">IFERROR(__xludf.DUMMYFUNCTION("""COMPUTED_VALUE"""),"Sârbi")</f>
        <v>Sârbi</v>
      </c>
      <c r="N1487" s="5"/>
      <c r="O1487" s="5"/>
      <c r="P1487" s="5"/>
      <c r="Q1487" s="5"/>
      <c r="R1487" s="5" t="str">
        <f ca="1">IFERROR(__xludf.DUMMYFUNCTION("""COMPUTED_VALUE"""),"România")</f>
        <v>România</v>
      </c>
      <c r="S1487" s="5" t="str">
        <f ca="1">IFERROR(__xludf.DUMMYFUNCTION("""COMPUTED_VALUE"""),"Octavian")</f>
        <v>Octavian</v>
      </c>
      <c r="T1487" s="7" t="str">
        <f ca="1">IFERROR(__xludf.DUMMYFUNCTION("""COMPUTED_VALUE"""),"http://www.ms.ro/2020/08/13/buletin-informativ-13-08-2020")</f>
        <v>http://www.ms.ro/2020/08/13/buletin-informativ-13-08-2020</v>
      </c>
      <c r="U1487" s="5"/>
      <c r="V1487" s="5"/>
      <c r="W1487" s="5"/>
      <c r="X1487" s="5"/>
      <c r="Y1487" s="5"/>
      <c r="Z1487" s="5"/>
      <c r="AA1487" s="5"/>
      <c r="AB1487" s="5"/>
      <c r="AC1487" s="5"/>
    </row>
    <row r="1488" spans="1:29" ht="12.5">
      <c r="A1488" s="5">
        <f ca="1">IFERROR(__xludf.DUMMYFUNCTION("""COMPUTED_VALUE"""),65383)</f>
        <v>65383</v>
      </c>
      <c r="B1488" s="5"/>
      <c r="C1488" s="5" t="str">
        <f ca="1">IFERROR(__xludf.DUMMYFUNCTION("""COMPUTED_VALUE"""),"Bihor")</f>
        <v>Bihor</v>
      </c>
      <c r="D1488" s="13">
        <f ca="1">IFERROR(__xludf.DUMMYFUNCTION("""COMPUTED_VALUE"""),44056)</f>
        <v>44056</v>
      </c>
      <c r="E1488" s="5" t="str">
        <f ca="1">IFERROR(__xludf.DUMMYFUNCTION("""COMPUTED_VALUE"""),"Nu")</f>
        <v>Nu</v>
      </c>
      <c r="F1488" s="5"/>
      <c r="G1488" s="5"/>
      <c r="H1488" s="6"/>
      <c r="I1488" s="5"/>
      <c r="J1488" s="5"/>
      <c r="K1488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88" s="5"/>
      <c r="M1488" s="5" t="str">
        <f ca="1">IFERROR(__xludf.DUMMYFUNCTION("""COMPUTED_VALUE"""),"Copăcel")</f>
        <v>Copăcel</v>
      </c>
      <c r="N1488" s="5"/>
      <c r="O1488" s="5"/>
      <c r="P1488" s="5"/>
      <c r="Q1488" s="5"/>
      <c r="R1488" s="5" t="str">
        <f ca="1">IFERROR(__xludf.DUMMYFUNCTION("""COMPUTED_VALUE"""),"România")</f>
        <v>România</v>
      </c>
      <c r="S1488" s="5" t="str">
        <f ca="1">IFERROR(__xludf.DUMMYFUNCTION("""COMPUTED_VALUE"""),"Octavian")</f>
        <v>Octavian</v>
      </c>
      <c r="T1488" s="7" t="str">
        <f ca="1">IFERROR(__xludf.DUMMYFUNCTION("""COMPUTED_VALUE"""),"http://www.ms.ro/2020/08/13/buletin-informativ-13-08-2020")</f>
        <v>http://www.ms.ro/2020/08/13/buletin-informativ-13-08-2020</v>
      </c>
      <c r="U1488" s="5"/>
      <c r="V1488" s="5"/>
      <c r="W1488" s="5"/>
      <c r="X1488" s="5"/>
      <c r="Y1488" s="5"/>
      <c r="Z1488" s="5"/>
      <c r="AA1488" s="5"/>
      <c r="AB1488" s="5"/>
      <c r="AC1488" s="5"/>
    </row>
    <row r="1489" spans="1:29" ht="12.5">
      <c r="A1489" s="5">
        <f ca="1">IFERROR(__xludf.DUMMYFUNCTION("""COMPUTED_VALUE"""),65384)</f>
        <v>65384</v>
      </c>
      <c r="B1489" s="5"/>
      <c r="C1489" s="5" t="str">
        <f ca="1">IFERROR(__xludf.DUMMYFUNCTION("""COMPUTED_VALUE"""),"Bihor")</f>
        <v>Bihor</v>
      </c>
      <c r="D1489" s="13">
        <f ca="1">IFERROR(__xludf.DUMMYFUNCTION("""COMPUTED_VALUE"""),44056)</f>
        <v>44056</v>
      </c>
      <c r="E1489" s="5" t="str">
        <f ca="1">IFERROR(__xludf.DUMMYFUNCTION("""COMPUTED_VALUE"""),"Nu")</f>
        <v>Nu</v>
      </c>
      <c r="F1489" s="5"/>
      <c r="G1489" s="5"/>
      <c r="H1489" s="6"/>
      <c r="I1489" s="5"/>
      <c r="J1489" s="5"/>
      <c r="K1489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89" s="5"/>
      <c r="M1489" s="5" t="str">
        <f ca="1">IFERROR(__xludf.DUMMYFUNCTION("""COMPUTED_VALUE"""),"Nojorid")</f>
        <v>Nojorid</v>
      </c>
      <c r="N1489" s="5"/>
      <c r="O1489" s="5"/>
      <c r="P1489" s="5"/>
      <c r="Q1489" s="5"/>
      <c r="R1489" s="5" t="str">
        <f ca="1">IFERROR(__xludf.DUMMYFUNCTION("""COMPUTED_VALUE"""),"România")</f>
        <v>România</v>
      </c>
      <c r="S1489" s="5" t="str">
        <f ca="1">IFERROR(__xludf.DUMMYFUNCTION("""COMPUTED_VALUE"""),"Octavian")</f>
        <v>Octavian</v>
      </c>
      <c r="T1489" s="7" t="str">
        <f ca="1">IFERROR(__xludf.DUMMYFUNCTION("""COMPUTED_VALUE"""),"http://www.ms.ro/2020/08/13/buletin-informativ-13-08-2020")</f>
        <v>http://www.ms.ro/2020/08/13/buletin-informativ-13-08-2020</v>
      </c>
      <c r="U1489" s="5"/>
      <c r="V1489" s="5"/>
      <c r="W1489" s="5"/>
      <c r="X1489" s="5"/>
      <c r="Y1489" s="5"/>
      <c r="Z1489" s="5"/>
      <c r="AA1489" s="5"/>
      <c r="AB1489" s="5"/>
      <c r="AC1489" s="5"/>
    </row>
    <row r="1490" spans="1:29" ht="12.5">
      <c r="A1490" s="5">
        <f ca="1">IFERROR(__xludf.DUMMYFUNCTION("""COMPUTED_VALUE"""),65385)</f>
        <v>65385</v>
      </c>
      <c r="B1490" s="5"/>
      <c r="C1490" s="5" t="str">
        <f ca="1">IFERROR(__xludf.DUMMYFUNCTION("""COMPUTED_VALUE"""),"Bihor")</f>
        <v>Bihor</v>
      </c>
      <c r="D1490" s="13">
        <f ca="1">IFERROR(__xludf.DUMMYFUNCTION("""COMPUTED_VALUE"""),44056)</f>
        <v>44056</v>
      </c>
      <c r="E1490" s="5" t="str">
        <f ca="1">IFERROR(__xludf.DUMMYFUNCTION("""COMPUTED_VALUE"""),"Nu")</f>
        <v>Nu</v>
      </c>
      <c r="F1490" s="5"/>
      <c r="G1490" s="5"/>
      <c r="H1490" s="6"/>
      <c r="I1490" s="5"/>
      <c r="J1490" s="5"/>
      <c r="K1490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90" s="5"/>
      <c r="M1490" s="5" t="str">
        <f ca="1">IFERROR(__xludf.DUMMYFUNCTION("""COMPUTED_VALUE"""),"Oșorhei")</f>
        <v>Oșorhei</v>
      </c>
      <c r="N1490" s="5"/>
      <c r="O1490" s="5"/>
      <c r="P1490" s="5"/>
      <c r="Q1490" s="5"/>
      <c r="R1490" s="5" t="str">
        <f ca="1">IFERROR(__xludf.DUMMYFUNCTION("""COMPUTED_VALUE"""),"România")</f>
        <v>România</v>
      </c>
      <c r="S1490" s="5" t="str">
        <f ca="1">IFERROR(__xludf.DUMMYFUNCTION("""COMPUTED_VALUE"""),"Octavian")</f>
        <v>Octavian</v>
      </c>
      <c r="T1490" s="7" t="str">
        <f ca="1">IFERROR(__xludf.DUMMYFUNCTION("""COMPUTED_VALUE"""),"http://www.ms.ro/2020/08/13/buletin-informativ-13-08-2020")</f>
        <v>http://www.ms.ro/2020/08/13/buletin-informativ-13-08-2020</v>
      </c>
      <c r="U1490" s="5"/>
      <c r="V1490" s="5"/>
      <c r="W1490" s="5"/>
      <c r="X1490" s="5"/>
      <c r="Y1490" s="5"/>
      <c r="Z1490" s="5"/>
      <c r="AA1490" s="5"/>
      <c r="AB1490" s="5"/>
      <c r="AC1490" s="5"/>
    </row>
    <row r="1491" spans="1:29" ht="12.5">
      <c r="A1491" s="5">
        <f ca="1">IFERROR(__xludf.DUMMYFUNCTION("""COMPUTED_VALUE"""),65386)</f>
        <v>65386</v>
      </c>
      <c r="B1491" s="5"/>
      <c r="C1491" s="5" t="str">
        <f ca="1">IFERROR(__xludf.DUMMYFUNCTION("""COMPUTED_VALUE"""),"Bihor")</f>
        <v>Bihor</v>
      </c>
      <c r="D1491" s="13">
        <f ca="1">IFERROR(__xludf.DUMMYFUNCTION("""COMPUTED_VALUE"""),44056)</f>
        <v>44056</v>
      </c>
      <c r="E1491" s="5" t="str">
        <f ca="1">IFERROR(__xludf.DUMMYFUNCTION("""COMPUTED_VALUE"""),"Nu")</f>
        <v>Nu</v>
      </c>
      <c r="F1491" s="5"/>
      <c r="G1491" s="5"/>
      <c r="H1491" s="6"/>
      <c r="I1491" s="5"/>
      <c r="J1491" s="5"/>
      <c r="K1491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91" s="5"/>
      <c r="M1491" s="5" t="str">
        <f ca="1">IFERROR(__xludf.DUMMYFUNCTION("""COMPUTED_VALUE"""),"Buntești")</f>
        <v>Buntești</v>
      </c>
      <c r="N1491" s="5"/>
      <c r="O1491" s="5"/>
      <c r="P1491" s="5"/>
      <c r="Q1491" s="5"/>
      <c r="R1491" s="5" t="str">
        <f ca="1">IFERROR(__xludf.DUMMYFUNCTION("""COMPUTED_VALUE"""),"România")</f>
        <v>România</v>
      </c>
      <c r="S1491" s="5" t="str">
        <f ca="1">IFERROR(__xludf.DUMMYFUNCTION("""COMPUTED_VALUE"""),"Octavian")</f>
        <v>Octavian</v>
      </c>
      <c r="T1491" s="7" t="str">
        <f ca="1">IFERROR(__xludf.DUMMYFUNCTION("""COMPUTED_VALUE"""),"http://www.ms.ro/2020/08/13/buletin-informativ-13-08-2020")</f>
        <v>http://www.ms.ro/2020/08/13/buletin-informativ-13-08-2020</v>
      </c>
      <c r="U1491" s="5"/>
      <c r="V1491" s="5"/>
      <c r="W1491" s="5"/>
      <c r="X1491" s="5"/>
      <c r="Y1491" s="5"/>
      <c r="Z1491" s="5"/>
      <c r="AA1491" s="5"/>
      <c r="AB1491" s="5"/>
      <c r="AC1491" s="5"/>
    </row>
    <row r="1492" spans="1:29" ht="12.5">
      <c r="A1492" s="5">
        <f ca="1">IFERROR(__xludf.DUMMYFUNCTION("""COMPUTED_VALUE"""),65387)</f>
        <v>65387</v>
      </c>
      <c r="B1492" s="5"/>
      <c r="C1492" s="5" t="str">
        <f ca="1">IFERROR(__xludf.DUMMYFUNCTION("""COMPUTED_VALUE"""),"Bihor")</f>
        <v>Bihor</v>
      </c>
      <c r="D1492" s="13">
        <f ca="1">IFERROR(__xludf.DUMMYFUNCTION("""COMPUTED_VALUE"""),44056)</f>
        <v>44056</v>
      </c>
      <c r="E1492" s="5" t="str">
        <f ca="1">IFERROR(__xludf.DUMMYFUNCTION("""COMPUTED_VALUE"""),"Nu")</f>
        <v>Nu</v>
      </c>
      <c r="F1492" s="5"/>
      <c r="G1492" s="5"/>
      <c r="H1492" s="6"/>
      <c r="I1492" s="5"/>
      <c r="J1492" s="5"/>
      <c r="K1492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92" s="5"/>
      <c r="M1492" s="5" t="str">
        <f ca="1">IFERROR(__xludf.DUMMYFUNCTION("""COMPUTED_VALUE"""),"Pomezeu")</f>
        <v>Pomezeu</v>
      </c>
      <c r="N1492" s="5"/>
      <c r="O1492" s="5"/>
      <c r="P1492" s="5"/>
      <c r="Q1492" s="5"/>
      <c r="R1492" s="5" t="str">
        <f ca="1">IFERROR(__xludf.DUMMYFUNCTION("""COMPUTED_VALUE"""),"România")</f>
        <v>România</v>
      </c>
      <c r="S1492" s="5" t="str">
        <f ca="1">IFERROR(__xludf.DUMMYFUNCTION("""COMPUTED_VALUE"""),"Octavian")</f>
        <v>Octavian</v>
      </c>
      <c r="T1492" s="7" t="str">
        <f ca="1">IFERROR(__xludf.DUMMYFUNCTION("""COMPUTED_VALUE"""),"http://www.ms.ro/2020/08/13/buletin-informativ-13-08-2020")</f>
        <v>http://www.ms.ro/2020/08/13/buletin-informativ-13-08-2020</v>
      </c>
      <c r="U1492" s="5"/>
      <c r="V1492" s="5"/>
      <c r="W1492" s="5"/>
      <c r="X1492" s="5"/>
      <c r="Y1492" s="5"/>
      <c r="Z1492" s="5"/>
      <c r="AA1492" s="5"/>
      <c r="AB1492" s="5"/>
      <c r="AC1492" s="5"/>
    </row>
    <row r="1493" spans="1:29" ht="12.5">
      <c r="A1493" s="5">
        <f ca="1">IFERROR(__xludf.DUMMYFUNCTION("""COMPUTED_VALUE"""),65388)</f>
        <v>65388</v>
      </c>
      <c r="B1493" s="5"/>
      <c r="C1493" s="5" t="str">
        <f ca="1">IFERROR(__xludf.DUMMYFUNCTION("""COMPUTED_VALUE"""),"Bihor")</f>
        <v>Bihor</v>
      </c>
      <c r="D1493" s="13">
        <f ca="1">IFERROR(__xludf.DUMMYFUNCTION("""COMPUTED_VALUE"""),44056)</f>
        <v>44056</v>
      </c>
      <c r="E1493" s="5" t="str">
        <f ca="1">IFERROR(__xludf.DUMMYFUNCTION("""COMPUTED_VALUE"""),"Nu")</f>
        <v>Nu</v>
      </c>
      <c r="F1493" s="5"/>
      <c r="G1493" s="5"/>
      <c r="H1493" s="6"/>
      <c r="I1493" s="5"/>
      <c r="J1493" s="5"/>
      <c r="K1493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93" s="5"/>
      <c r="M1493" s="5" t="str">
        <f ca="1">IFERROR(__xludf.DUMMYFUNCTION("""COMPUTED_VALUE"""),"Ineu")</f>
        <v>Ineu</v>
      </c>
      <c r="N1493" s="5"/>
      <c r="O1493" s="5"/>
      <c r="P1493" s="5"/>
      <c r="Q1493" s="5"/>
      <c r="R1493" s="5" t="str">
        <f ca="1">IFERROR(__xludf.DUMMYFUNCTION("""COMPUTED_VALUE"""),"România")</f>
        <v>România</v>
      </c>
      <c r="S1493" s="5" t="str">
        <f ca="1">IFERROR(__xludf.DUMMYFUNCTION("""COMPUTED_VALUE"""),"Octavian")</f>
        <v>Octavian</v>
      </c>
      <c r="T1493" s="7" t="str">
        <f ca="1">IFERROR(__xludf.DUMMYFUNCTION("""COMPUTED_VALUE"""),"http://www.ms.ro/2020/08/13/buletin-informativ-13-08-2020")</f>
        <v>http://www.ms.ro/2020/08/13/buletin-informativ-13-08-2020</v>
      </c>
      <c r="U1493" s="5"/>
      <c r="V1493" s="5"/>
      <c r="W1493" s="5"/>
      <c r="X1493" s="5"/>
      <c r="Y1493" s="5"/>
      <c r="Z1493" s="5"/>
      <c r="AA1493" s="5"/>
      <c r="AB1493" s="5"/>
      <c r="AC1493" s="5"/>
    </row>
    <row r="1494" spans="1:29" ht="12.5">
      <c r="A1494" s="5">
        <f ca="1">IFERROR(__xludf.DUMMYFUNCTION("""COMPUTED_VALUE"""),65389)</f>
        <v>65389</v>
      </c>
      <c r="B1494" s="5"/>
      <c r="C1494" s="5" t="str">
        <f ca="1">IFERROR(__xludf.DUMMYFUNCTION("""COMPUTED_VALUE"""),"Bihor")</f>
        <v>Bihor</v>
      </c>
      <c r="D1494" s="13">
        <f ca="1">IFERROR(__xludf.DUMMYFUNCTION("""COMPUTED_VALUE"""),44056)</f>
        <v>44056</v>
      </c>
      <c r="E1494" s="5" t="str">
        <f ca="1">IFERROR(__xludf.DUMMYFUNCTION("""COMPUTED_VALUE"""),"Nu")</f>
        <v>Nu</v>
      </c>
      <c r="F1494" s="5"/>
      <c r="G1494" s="5"/>
      <c r="H1494" s="6"/>
      <c r="I1494" s="5"/>
      <c r="J1494" s="5"/>
      <c r="K1494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94" s="5"/>
      <c r="M1494" s="5" t="str">
        <f ca="1">IFERROR(__xludf.DUMMYFUNCTION("""COMPUTED_VALUE"""),"Finiș")</f>
        <v>Finiș</v>
      </c>
      <c r="N1494" s="5"/>
      <c r="O1494" s="5"/>
      <c r="P1494" s="5"/>
      <c r="Q1494" s="5"/>
      <c r="R1494" s="5" t="str">
        <f ca="1">IFERROR(__xludf.DUMMYFUNCTION("""COMPUTED_VALUE"""),"România")</f>
        <v>România</v>
      </c>
      <c r="S1494" s="5" t="str">
        <f ca="1">IFERROR(__xludf.DUMMYFUNCTION("""COMPUTED_VALUE"""),"Octavian")</f>
        <v>Octavian</v>
      </c>
      <c r="T1494" s="7" t="str">
        <f ca="1">IFERROR(__xludf.DUMMYFUNCTION("""COMPUTED_VALUE"""),"http://www.ms.ro/2020/08/13/buletin-informativ-13-08-2020")</f>
        <v>http://www.ms.ro/2020/08/13/buletin-informativ-13-08-2020</v>
      </c>
      <c r="U1494" s="5"/>
      <c r="V1494" s="5"/>
      <c r="W1494" s="5"/>
      <c r="X1494" s="5"/>
      <c r="Y1494" s="5"/>
      <c r="Z1494" s="5"/>
      <c r="AA1494" s="5"/>
      <c r="AB1494" s="5"/>
      <c r="AC1494" s="5"/>
    </row>
    <row r="1495" spans="1:29" ht="12.5">
      <c r="A1495" s="5">
        <f ca="1">IFERROR(__xludf.DUMMYFUNCTION("""COMPUTED_VALUE"""),65390)</f>
        <v>65390</v>
      </c>
      <c r="B1495" s="5"/>
      <c r="C1495" s="5" t="str">
        <f ca="1">IFERROR(__xludf.DUMMYFUNCTION("""COMPUTED_VALUE"""),"Bihor")</f>
        <v>Bihor</v>
      </c>
      <c r="D1495" s="13">
        <f ca="1">IFERROR(__xludf.DUMMYFUNCTION("""COMPUTED_VALUE"""),44056)</f>
        <v>44056</v>
      </c>
      <c r="E1495" s="5" t="str">
        <f ca="1">IFERROR(__xludf.DUMMYFUNCTION("""COMPUTED_VALUE"""),"Nu")</f>
        <v>Nu</v>
      </c>
      <c r="F1495" s="5"/>
      <c r="G1495" s="5"/>
      <c r="H1495" s="6"/>
      <c r="I1495" s="5"/>
      <c r="J1495" s="5"/>
      <c r="K1495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95" s="5"/>
      <c r="M1495" s="5" t="str">
        <f ca="1">IFERROR(__xludf.DUMMYFUNCTION("""COMPUTED_VALUE"""),"Tinca")</f>
        <v>Tinca</v>
      </c>
      <c r="N1495" s="5"/>
      <c r="O1495" s="5"/>
      <c r="P1495" s="5"/>
      <c r="Q1495" s="5"/>
      <c r="R1495" s="5" t="str">
        <f ca="1">IFERROR(__xludf.DUMMYFUNCTION("""COMPUTED_VALUE"""),"România")</f>
        <v>România</v>
      </c>
      <c r="S1495" s="5" t="str">
        <f ca="1">IFERROR(__xludf.DUMMYFUNCTION("""COMPUTED_VALUE"""),"Octavian")</f>
        <v>Octavian</v>
      </c>
      <c r="T1495" s="7" t="str">
        <f ca="1">IFERROR(__xludf.DUMMYFUNCTION("""COMPUTED_VALUE"""),"http://www.ms.ro/2020/08/13/buletin-informativ-13-08-2020")</f>
        <v>http://www.ms.ro/2020/08/13/buletin-informativ-13-08-2020</v>
      </c>
      <c r="U1495" s="5"/>
      <c r="V1495" s="5"/>
      <c r="W1495" s="5"/>
      <c r="X1495" s="5"/>
      <c r="Y1495" s="5"/>
      <c r="Z1495" s="5"/>
      <c r="AA1495" s="5"/>
      <c r="AB1495" s="5"/>
      <c r="AC1495" s="5"/>
    </row>
    <row r="1496" spans="1:29" ht="12.5">
      <c r="A1496" s="5">
        <f ca="1">IFERROR(__xludf.DUMMYFUNCTION("""COMPUTED_VALUE"""),65391)</f>
        <v>65391</v>
      </c>
      <c r="B1496" s="5"/>
      <c r="C1496" s="5" t="str">
        <f ca="1">IFERROR(__xludf.DUMMYFUNCTION("""COMPUTED_VALUE"""),"Bihor")</f>
        <v>Bihor</v>
      </c>
      <c r="D1496" s="13">
        <f ca="1">IFERROR(__xludf.DUMMYFUNCTION("""COMPUTED_VALUE"""),44056)</f>
        <v>44056</v>
      </c>
      <c r="E1496" s="5" t="str">
        <f ca="1">IFERROR(__xludf.DUMMYFUNCTION("""COMPUTED_VALUE"""),"Nu")</f>
        <v>Nu</v>
      </c>
      <c r="F1496" s="5"/>
      <c r="G1496" s="5"/>
      <c r="H1496" s="6"/>
      <c r="I1496" s="5"/>
      <c r="J1496" s="5"/>
      <c r="K1496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96" s="5"/>
      <c r="M1496" s="5" t="str">
        <f ca="1">IFERROR(__xludf.DUMMYFUNCTION("""COMPUTED_VALUE"""),"Batăr")</f>
        <v>Batăr</v>
      </c>
      <c r="N1496" s="5"/>
      <c r="O1496" s="5"/>
      <c r="P1496" s="5"/>
      <c r="Q1496" s="5"/>
      <c r="R1496" s="5" t="str">
        <f ca="1">IFERROR(__xludf.DUMMYFUNCTION("""COMPUTED_VALUE"""),"România")</f>
        <v>România</v>
      </c>
      <c r="S1496" s="5" t="str">
        <f ca="1">IFERROR(__xludf.DUMMYFUNCTION("""COMPUTED_VALUE"""),"Octavian")</f>
        <v>Octavian</v>
      </c>
      <c r="T1496" s="7" t="str">
        <f ca="1">IFERROR(__xludf.DUMMYFUNCTION("""COMPUTED_VALUE"""),"http://www.ms.ro/2020/08/13/buletin-informativ-13-08-2020")</f>
        <v>http://www.ms.ro/2020/08/13/buletin-informativ-13-08-2020</v>
      </c>
      <c r="U1496" s="5"/>
      <c r="V1496" s="5"/>
      <c r="W1496" s="5"/>
      <c r="X1496" s="5"/>
      <c r="Y1496" s="5"/>
      <c r="Z1496" s="5"/>
      <c r="AA1496" s="5"/>
      <c r="AB1496" s="5"/>
      <c r="AC1496" s="5"/>
    </row>
    <row r="1497" spans="1:29" ht="12.5">
      <c r="A1497" s="5">
        <f ca="1">IFERROR(__xludf.DUMMYFUNCTION("""COMPUTED_VALUE"""),65392)</f>
        <v>65392</v>
      </c>
      <c r="B1497" s="5"/>
      <c r="C1497" s="5" t="str">
        <f ca="1">IFERROR(__xludf.DUMMYFUNCTION("""COMPUTED_VALUE"""),"Bihor")</f>
        <v>Bihor</v>
      </c>
      <c r="D1497" s="13">
        <f ca="1">IFERROR(__xludf.DUMMYFUNCTION("""COMPUTED_VALUE"""),44056)</f>
        <v>44056</v>
      </c>
      <c r="E1497" s="5" t="str">
        <f ca="1">IFERROR(__xludf.DUMMYFUNCTION("""COMPUTED_VALUE"""),"Nu")</f>
        <v>Nu</v>
      </c>
      <c r="F1497" s="5"/>
      <c r="G1497" s="5"/>
      <c r="H1497" s="6"/>
      <c r="I1497" s="5"/>
      <c r="J1497" s="5"/>
      <c r="K1497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97" s="5"/>
      <c r="M1497" s="5" t="str">
        <f ca="1">IFERROR(__xludf.DUMMYFUNCTION("""COMPUTED_VALUE"""),"Vârciorog")</f>
        <v>Vârciorog</v>
      </c>
      <c r="N1497" s="5"/>
      <c r="O1497" s="5"/>
      <c r="P1497" s="5"/>
      <c r="Q1497" s="5"/>
      <c r="R1497" s="5" t="str">
        <f ca="1">IFERROR(__xludf.DUMMYFUNCTION("""COMPUTED_VALUE"""),"România")</f>
        <v>România</v>
      </c>
      <c r="S1497" s="5" t="str">
        <f ca="1">IFERROR(__xludf.DUMMYFUNCTION("""COMPUTED_VALUE"""),"Octavian")</f>
        <v>Octavian</v>
      </c>
      <c r="T1497" s="7" t="str">
        <f ca="1">IFERROR(__xludf.DUMMYFUNCTION("""COMPUTED_VALUE"""),"http://www.ms.ro/2020/08/13/buletin-informativ-13-08-2020")</f>
        <v>http://www.ms.ro/2020/08/13/buletin-informativ-13-08-2020</v>
      </c>
      <c r="U1497" s="5"/>
      <c r="V1497" s="5"/>
      <c r="W1497" s="5"/>
      <c r="X1497" s="5"/>
      <c r="Y1497" s="5"/>
      <c r="Z1497" s="5"/>
      <c r="AA1497" s="5"/>
      <c r="AB1497" s="5"/>
      <c r="AC1497" s="5"/>
    </row>
    <row r="1498" spans="1:29" ht="12.5">
      <c r="A1498" s="5">
        <f ca="1">IFERROR(__xludf.DUMMYFUNCTION("""COMPUTED_VALUE"""),65393)</f>
        <v>65393</v>
      </c>
      <c r="B1498" s="5"/>
      <c r="C1498" s="5" t="str">
        <f ca="1">IFERROR(__xludf.DUMMYFUNCTION("""COMPUTED_VALUE"""),"Bihor")</f>
        <v>Bihor</v>
      </c>
      <c r="D1498" s="13">
        <f ca="1">IFERROR(__xludf.DUMMYFUNCTION("""COMPUTED_VALUE"""),44056)</f>
        <v>44056</v>
      </c>
      <c r="E1498" s="5" t="str">
        <f ca="1">IFERROR(__xludf.DUMMYFUNCTION("""COMPUTED_VALUE"""),"Nu")</f>
        <v>Nu</v>
      </c>
      <c r="F1498" s="5"/>
      <c r="G1498" s="5"/>
      <c r="H1498" s="6"/>
      <c r="I1498" s="5"/>
      <c r="J1498" s="5"/>
      <c r="K1498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98" s="5"/>
      <c r="M1498" s="5" t="str">
        <f ca="1">IFERROR(__xludf.DUMMYFUNCTION("""COMPUTED_VALUE"""),"Tulca")</f>
        <v>Tulca</v>
      </c>
      <c r="N1498" s="5"/>
      <c r="O1498" s="5"/>
      <c r="P1498" s="5"/>
      <c r="Q1498" s="5"/>
      <c r="R1498" s="5" t="str">
        <f ca="1">IFERROR(__xludf.DUMMYFUNCTION("""COMPUTED_VALUE"""),"România")</f>
        <v>România</v>
      </c>
      <c r="S1498" s="5" t="str">
        <f ca="1">IFERROR(__xludf.DUMMYFUNCTION("""COMPUTED_VALUE"""),"Octavian")</f>
        <v>Octavian</v>
      </c>
      <c r="T1498" s="7" t="str">
        <f ca="1">IFERROR(__xludf.DUMMYFUNCTION("""COMPUTED_VALUE"""),"http://www.ms.ro/2020/08/13/buletin-informativ-13-08-2020")</f>
        <v>http://www.ms.ro/2020/08/13/buletin-informativ-13-08-2020</v>
      </c>
      <c r="U1498" s="5"/>
      <c r="V1498" s="5"/>
      <c r="W1498" s="5"/>
      <c r="X1498" s="5"/>
      <c r="Y1498" s="5"/>
      <c r="Z1498" s="5"/>
      <c r="AA1498" s="5"/>
      <c r="AB1498" s="5"/>
      <c r="AC1498" s="5"/>
    </row>
    <row r="1499" spans="1:29" ht="12.5">
      <c r="A1499" s="5">
        <f ca="1">IFERROR(__xludf.DUMMYFUNCTION("""COMPUTED_VALUE"""),65394)</f>
        <v>65394</v>
      </c>
      <c r="B1499" s="5"/>
      <c r="C1499" s="5" t="str">
        <f ca="1">IFERROR(__xludf.DUMMYFUNCTION("""COMPUTED_VALUE"""),"Bihor")</f>
        <v>Bihor</v>
      </c>
      <c r="D1499" s="13">
        <f ca="1">IFERROR(__xludf.DUMMYFUNCTION("""COMPUTED_VALUE"""),44056)</f>
        <v>44056</v>
      </c>
      <c r="E1499" s="5" t="str">
        <f ca="1">IFERROR(__xludf.DUMMYFUNCTION("""COMPUTED_VALUE"""),"Nu")</f>
        <v>Nu</v>
      </c>
      <c r="F1499" s="5"/>
      <c r="G1499" s="5"/>
      <c r="H1499" s="6"/>
      <c r="I1499" s="5"/>
      <c r="J1499" s="5"/>
      <c r="K1499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499" s="5"/>
      <c r="M1499" s="5" t="str">
        <f ca="1">IFERROR(__xludf.DUMMYFUNCTION("""COMPUTED_VALUE"""),"Pocola")</f>
        <v>Pocola</v>
      </c>
      <c r="N1499" s="5"/>
      <c r="O1499" s="5"/>
      <c r="P1499" s="5"/>
      <c r="Q1499" s="5"/>
      <c r="R1499" s="5" t="str">
        <f ca="1">IFERROR(__xludf.DUMMYFUNCTION("""COMPUTED_VALUE"""),"România")</f>
        <v>România</v>
      </c>
      <c r="S1499" s="5" t="str">
        <f ca="1">IFERROR(__xludf.DUMMYFUNCTION("""COMPUTED_VALUE"""),"Octavian")</f>
        <v>Octavian</v>
      </c>
      <c r="T1499" s="7" t="str">
        <f ca="1">IFERROR(__xludf.DUMMYFUNCTION("""COMPUTED_VALUE"""),"http://www.ms.ro/2020/08/13/buletin-informativ-13-08-2020")</f>
        <v>http://www.ms.ro/2020/08/13/buletin-informativ-13-08-2020</v>
      </c>
      <c r="U1499" s="5"/>
      <c r="V1499" s="5"/>
      <c r="W1499" s="5"/>
      <c r="X1499" s="5"/>
      <c r="Y1499" s="5"/>
      <c r="Z1499" s="5"/>
      <c r="AA1499" s="5"/>
      <c r="AB1499" s="5"/>
      <c r="AC1499" s="5"/>
    </row>
    <row r="1500" spans="1:29" ht="12.5">
      <c r="A1500" s="5">
        <f ca="1">IFERROR(__xludf.DUMMYFUNCTION("""COMPUTED_VALUE"""),65395)</f>
        <v>65395</v>
      </c>
      <c r="B1500" s="5"/>
      <c r="C1500" s="5" t="str">
        <f ca="1">IFERROR(__xludf.DUMMYFUNCTION("""COMPUTED_VALUE"""),"Bihor")</f>
        <v>Bihor</v>
      </c>
      <c r="D1500" s="13">
        <f ca="1">IFERROR(__xludf.DUMMYFUNCTION("""COMPUTED_VALUE"""),44056)</f>
        <v>44056</v>
      </c>
      <c r="E1500" s="5" t="str">
        <f ca="1">IFERROR(__xludf.DUMMYFUNCTION("""COMPUTED_VALUE"""),"Nu")</f>
        <v>Nu</v>
      </c>
      <c r="F1500" s="5"/>
      <c r="G1500" s="5"/>
      <c r="H1500" s="6"/>
      <c r="I1500" s="5"/>
      <c r="J1500" s="5"/>
      <c r="K1500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500" s="5"/>
      <c r="M1500" s="5" t="str">
        <f ca="1">IFERROR(__xludf.DUMMYFUNCTION("""COMPUTED_VALUE"""),"Țețchea")</f>
        <v>Țețchea</v>
      </c>
      <c r="N1500" s="5"/>
      <c r="O1500" s="5"/>
      <c r="P1500" s="5"/>
      <c r="Q1500" s="5"/>
      <c r="R1500" s="5" t="str">
        <f ca="1">IFERROR(__xludf.DUMMYFUNCTION("""COMPUTED_VALUE"""),"România")</f>
        <v>România</v>
      </c>
      <c r="S1500" s="5" t="str">
        <f ca="1">IFERROR(__xludf.DUMMYFUNCTION("""COMPUTED_VALUE"""),"Octavian")</f>
        <v>Octavian</v>
      </c>
      <c r="T1500" s="7" t="str">
        <f ca="1">IFERROR(__xludf.DUMMYFUNCTION("""COMPUTED_VALUE"""),"http://www.ms.ro/2020/08/13/buletin-informativ-13-08-2020")</f>
        <v>http://www.ms.ro/2020/08/13/buletin-informativ-13-08-2020</v>
      </c>
      <c r="U1500" s="5"/>
      <c r="V1500" s="5"/>
      <c r="W1500" s="5"/>
      <c r="X1500" s="5"/>
      <c r="Y1500" s="5"/>
      <c r="Z1500" s="5"/>
      <c r="AA1500" s="5"/>
      <c r="AB1500" s="5"/>
      <c r="AC1500" s="5"/>
    </row>
    <row r="1501" spans="1:29" ht="12.5">
      <c r="A1501" s="5">
        <f ca="1">IFERROR(__xludf.DUMMYFUNCTION("""COMPUTED_VALUE"""),65396)</f>
        <v>65396</v>
      </c>
      <c r="B1501" s="5"/>
      <c r="C1501" s="5" t="str">
        <f ca="1">IFERROR(__xludf.DUMMYFUNCTION("""COMPUTED_VALUE"""),"Bihor")</f>
        <v>Bihor</v>
      </c>
      <c r="D1501" s="13">
        <f ca="1">IFERROR(__xludf.DUMMYFUNCTION("""COMPUTED_VALUE"""),44056)</f>
        <v>44056</v>
      </c>
      <c r="E1501" s="5" t="str">
        <f ca="1">IFERROR(__xludf.DUMMYFUNCTION("""COMPUTED_VALUE"""),"Nu")</f>
        <v>Nu</v>
      </c>
      <c r="F1501" s="5"/>
      <c r="G1501" s="5"/>
      <c r="H1501" s="6"/>
      <c r="I1501" s="5"/>
      <c r="J1501" s="5"/>
      <c r="K1501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501" s="5"/>
      <c r="M1501" s="5" t="str">
        <f ca="1">IFERROR(__xludf.DUMMYFUNCTION("""COMPUTED_VALUE"""),"Lugașu de Jos")</f>
        <v>Lugașu de Jos</v>
      </c>
      <c r="N1501" s="5"/>
      <c r="O1501" s="5"/>
      <c r="P1501" s="5"/>
      <c r="Q1501" s="5"/>
      <c r="R1501" s="5" t="str">
        <f ca="1">IFERROR(__xludf.DUMMYFUNCTION("""COMPUTED_VALUE"""),"România")</f>
        <v>România</v>
      </c>
      <c r="S1501" s="5" t="str">
        <f ca="1">IFERROR(__xludf.DUMMYFUNCTION("""COMPUTED_VALUE"""),"Octavian")</f>
        <v>Octavian</v>
      </c>
      <c r="T1501" s="7" t="str">
        <f ca="1">IFERROR(__xludf.DUMMYFUNCTION("""COMPUTED_VALUE"""),"http://www.ms.ro/2020/08/13/buletin-informativ-13-08-2020")</f>
        <v>http://www.ms.ro/2020/08/13/buletin-informativ-13-08-2020</v>
      </c>
      <c r="U1501" s="5"/>
      <c r="V1501" s="5"/>
      <c r="W1501" s="5"/>
      <c r="X1501" s="5"/>
      <c r="Y1501" s="5"/>
      <c r="Z1501" s="5"/>
      <c r="AA1501" s="5"/>
      <c r="AB1501" s="5"/>
      <c r="AC1501" s="5"/>
    </row>
    <row r="1502" spans="1:29" ht="12.5">
      <c r="A1502" s="5">
        <f ca="1">IFERROR(__xludf.DUMMYFUNCTION("""COMPUTED_VALUE"""),65397)</f>
        <v>65397</v>
      </c>
      <c r="B1502" s="5"/>
      <c r="C1502" s="5" t="str">
        <f ca="1">IFERROR(__xludf.DUMMYFUNCTION("""COMPUTED_VALUE"""),"Bihor")</f>
        <v>Bihor</v>
      </c>
      <c r="D1502" s="13">
        <f ca="1">IFERROR(__xludf.DUMMYFUNCTION("""COMPUTED_VALUE"""),44056)</f>
        <v>44056</v>
      </c>
      <c r="E1502" s="5" t="str">
        <f ca="1">IFERROR(__xludf.DUMMYFUNCTION("""COMPUTED_VALUE"""),"Nu")</f>
        <v>Nu</v>
      </c>
      <c r="F1502" s="5"/>
      <c r="G1502" s="5"/>
      <c r="H1502" s="6"/>
      <c r="I1502" s="5"/>
      <c r="J1502" s="5"/>
      <c r="K1502" s="7" t="str">
        <f ca="1">IFERROR(__xludf.DUMMYFUNCTION("""COMPUTED_VALUE"""),"https://www.ebihoreanul.ro/stiri/3-noi-decese-covid-in-bihor-si-un-nou-record-de-imbolnaviri-66-campion-judetean-este-orasul-nucet-cu-14-cazuri-noi-158195.html")</f>
        <v>https://www.ebihoreanul.ro/stiri/3-noi-decese-covid-in-bihor-si-un-nou-record-de-imbolnaviri-66-campion-judetean-este-orasul-nucet-cu-14-cazuri-noi-158195.html</v>
      </c>
      <c r="L1502" s="5"/>
      <c r="M1502" s="5" t="str">
        <f ca="1">IFERROR(__xludf.DUMMYFUNCTION("""COMPUTED_VALUE"""),"Roșia")</f>
        <v>Roșia</v>
      </c>
      <c r="N1502" s="5"/>
      <c r="O1502" s="5"/>
      <c r="P1502" s="5"/>
      <c r="Q1502" s="5"/>
      <c r="R1502" s="5" t="str">
        <f ca="1">IFERROR(__xludf.DUMMYFUNCTION("""COMPUTED_VALUE"""),"România")</f>
        <v>România</v>
      </c>
      <c r="S1502" s="5" t="str">
        <f ca="1">IFERROR(__xludf.DUMMYFUNCTION("""COMPUTED_VALUE"""),"Octavian")</f>
        <v>Octavian</v>
      </c>
      <c r="T1502" s="7" t="str">
        <f ca="1">IFERROR(__xludf.DUMMYFUNCTION("""COMPUTED_VALUE"""),"http://www.ms.ro/2020/08/13/buletin-informativ-13-08-2020")</f>
        <v>http://www.ms.ro/2020/08/13/buletin-informativ-13-08-2020</v>
      </c>
      <c r="U1502" s="5"/>
      <c r="V1502" s="5"/>
      <c r="W1502" s="5"/>
      <c r="X1502" s="5"/>
      <c r="Y1502" s="5"/>
      <c r="Z1502" s="5"/>
      <c r="AA1502" s="5"/>
      <c r="AB1502" s="5"/>
      <c r="AC1502" s="5"/>
    </row>
    <row r="1503" spans="1:29" ht="12.5">
      <c r="A1503" s="5">
        <f ca="1">IFERROR(__xludf.DUMMYFUNCTION("""COMPUTED_VALUE"""),66794)</f>
        <v>66794</v>
      </c>
      <c r="B1503" s="5"/>
      <c r="C1503" s="5" t="str">
        <f ca="1">IFERROR(__xludf.DUMMYFUNCTION("""COMPUTED_VALUE"""),"Bihor")</f>
        <v>Bihor</v>
      </c>
      <c r="D1503" s="13">
        <f ca="1">IFERROR(__xludf.DUMMYFUNCTION("""COMPUTED_VALUE"""),44057)</f>
        <v>44057</v>
      </c>
      <c r="E1503" s="5" t="str">
        <f ca="1">IFERROR(__xludf.DUMMYFUNCTION("""COMPUTED_VALUE"""),"Nu")</f>
        <v>Nu</v>
      </c>
      <c r="F1503" s="5"/>
      <c r="G1503" s="5"/>
      <c r="H1503" s="6"/>
      <c r="I1503" s="5"/>
      <c r="J1503" s="5"/>
      <c r="K1503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03" s="5"/>
      <c r="M1503" s="5" t="str">
        <f ca="1">IFERROR(__xludf.DUMMYFUNCTION("""COMPUTED_VALUE"""),"Oradea")</f>
        <v>Oradea</v>
      </c>
      <c r="N1503" s="5"/>
      <c r="O1503" s="5"/>
      <c r="P1503" s="5" t="str">
        <f ca="1">IFERROR(__xludf.DUMMYFUNCTION("""COMPUTED_VALUE"""),"SJU Oradea, pacient.")</f>
        <v>SJU Oradea, pacient.</v>
      </c>
      <c r="Q1503" s="5" t="str">
        <f ca="1">IFERROR(__xludf.DUMMYFUNCTION("""COMPUTED_VALUE"""),"Medical")</f>
        <v>Medical</v>
      </c>
      <c r="R1503" s="5" t="str">
        <f ca="1">IFERROR(__xludf.DUMMYFUNCTION("""COMPUTED_VALUE"""),"România")</f>
        <v>România</v>
      </c>
      <c r="S1503" s="5" t="str">
        <f ca="1">IFERROR(__xludf.DUMMYFUNCTION("""COMPUTED_VALUE"""),"Octavian")</f>
        <v>Octavian</v>
      </c>
      <c r="T1503" s="7" t="str">
        <f ca="1">IFERROR(__xludf.DUMMYFUNCTION("""COMPUTED_VALUE"""),"http://www.ms.ro/2020/08/14/buletin-informativ-14-08-2020")</f>
        <v>http://www.ms.ro/2020/08/14/buletin-informativ-14-08-2020</v>
      </c>
      <c r="U1503" s="5"/>
      <c r="V1503" s="5"/>
      <c r="W1503" s="5"/>
      <c r="X1503" s="5"/>
      <c r="Y1503" s="5"/>
      <c r="Z1503" s="5"/>
      <c r="AA1503" s="5"/>
      <c r="AB1503" s="5"/>
      <c r="AC1503" s="5"/>
    </row>
    <row r="1504" spans="1:29" ht="12.5">
      <c r="A1504" s="5">
        <f ca="1">IFERROR(__xludf.DUMMYFUNCTION("""COMPUTED_VALUE"""),66795)</f>
        <v>66795</v>
      </c>
      <c r="B1504" s="5"/>
      <c r="C1504" s="5" t="str">
        <f ca="1">IFERROR(__xludf.DUMMYFUNCTION("""COMPUTED_VALUE"""),"Bihor")</f>
        <v>Bihor</v>
      </c>
      <c r="D1504" s="13">
        <f ca="1">IFERROR(__xludf.DUMMYFUNCTION("""COMPUTED_VALUE"""),44057)</f>
        <v>44057</v>
      </c>
      <c r="E1504" s="5" t="str">
        <f ca="1">IFERROR(__xludf.DUMMYFUNCTION("""COMPUTED_VALUE"""),"Nu")</f>
        <v>Nu</v>
      </c>
      <c r="F1504" s="5"/>
      <c r="G1504" s="5"/>
      <c r="H1504" s="6"/>
      <c r="I1504" s="5"/>
      <c r="J1504" s="5"/>
      <c r="K1504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04" s="5"/>
      <c r="M1504" s="5" t="str">
        <f ca="1">IFERROR(__xludf.DUMMYFUNCTION("""COMPUTED_VALUE"""),"Beiuș")</f>
        <v>Beiuș</v>
      </c>
      <c r="N1504" s="5"/>
      <c r="O1504" s="5"/>
      <c r="P1504" s="5" t="str">
        <f ca="1">IFERROR(__xludf.DUMMYFUNCTION("""COMPUTED_VALUE"""),"Spital Beiuș, pacient.")</f>
        <v>Spital Beiuș, pacient.</v>
      </c>
      <c r="Q1504" s="5" t="str">
        <f ca="1">IFERROR(__xludf.DUMMYFUNCTION("""COMPUTED_VALUE"""),"Medical")</f>
        <v>Medical</v>
      </c>
      <c r="R1504" s="5" t="str">
        <f ca="1">IFERROR(__xludf.DUMMYFUNCTION("""COMPUTED_VALUE"""),"România")</f>
        <v>România</v>
      </c>
      <c r="S1504" s="5" t="str">
        <f ca="1">IFERROR(__xludf.DUMMYFUNCTION("""COMPUTED_VALUE"""),"Octavian")</f>
        <v>Octavian</v>
      </c>
      <c r="T1504" s="7" t="str">
        <f ca="1">IFERROR(__xludf.DUMMYFUNCTION("""COMPUTED_VALUE"""),"http://www.ms.ro/2020/08/14/buletin-informativ-14-08-2020")</f>
        <v>http://www.ms.ro/2020/08/14/buletin-informativ-14-08-2020</v>
      </c>
      <c r="U1504" s="5"/>
      <c r="V1504" s="5"/>
      <c r="W1504" s="5"/>
      <c r="X1504" s="5"/>
      <c r="Y1504" s="5"/>
      <c r="Z1504" s="5"/>
      <c r="AA1504" s="5"/>
      <c r="AB1504" s="5"/>
      <c r="AC1504" s="5"/>
    </row>
    <row r="1505" spans="1:29" ht="12.5">
      <c r="A1505" s="5">
        <f ca="1">IFERROR(__xludf.DUMMYFUNCTION("""COMPUTED_VALUE"""),66796)</f>
        <v>66796</v>
      </c>
      <c r="B1505" s="5"/>
      <c r="C1505" s="5" t="str">
        <f ca="1">IFERROR(__xludf.DUMMYFUNCTION("""COMPUTED_VALUE"""),"Bihor")</f>
        <v>Bihor</v>
      </c>
      <c r="D1505" s="13">
        <f ca="1">IFERROR(__xludf.DUMMYFUNCTION("""COMPUTED_VALUE"""),44057)</f>
        <v>44057</v>
      </c>
      <c r="E1505" s="5" t="str">
        <f ca="1">IFERROR(__xludf.DUMMYFUNCTION("""COMPUTED_VALUE"""),"Nu")</f>
        <v>Nu</v>
      </c>
      <c r="F1505" s="5"/>
      <c r="G1505" s="5"/>
      <c r="H1505" s="6"/>
      <c r="I1505" s="5"/>
      <c r="J1505" s="5"/>
      <c r="K1505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05" s="5"/>
      <c r="M1505" s="5" t="str">
        <f ca="1">IFERROR(__xludf.DUMMYFUNCTION("""COMPUTED_VALUE"""),"Beiuș")</f>
        <v>Beiuș</v>
      </c>
      <c r="N1505" s="5"/>
      <c r="O1505" s="5"/>
      <c r="P1505" s="5" t="str">
        <f ca="1">IFERROR(__xludf.DUMMYFUNCTION("""COMPUTED_VALUE"""),"Spital Beiuș, pacient.")</f>
        <v>Spital Beiuș, pacient.</v>
      </c>
      <c r="Q1505" s="5" t="str">
        <f ca="1">IFERROR(__xludf.DUMMYFUNCTION("""COMPUTED_VALUE"""),"Medical")</f>
        <v>Medical</v>
      </c>
      <c r="R1505" s="5" t="str">
        <f ca="1">IFERROR(__xludf.DUMMYFUNCTION("""COMPUTED_VALUE"""),"România")</f>
        <v>România</v>
      </c>
      <c r="S1505" s="5" t="str">
        <f ca="1">IFERROR(__xludf.DUMMYFUNCTION("""COMPUTED_VALUE"""),"Octavian")</f>
        <v>Octavian</v>
      </c>
      <c r="T1505" s="7" t="str">
        <f ca="1">IFERROR(__xludf.DUMMYFUNCTION("""COMPUTED_VALUE"""),"http://www.ms.ro/2020/08/14/buletin-informativ-14-08-2020")</f>
        <v>http://www.ms.ro/2020/08/14/buletin-informativ-14-08-2020</v>
      </c>
      <c r="U1505" s="5"/>
      <c r="V1505" s="5"/>
      <c r="W1505" s="5"/>
      <c r="X1505" s="5"/>
      <c r="Y1505" s="5"/>
      <c r="Z1505" s="5"/>
      <c r="AA1505" s="5"/>
      <c r="AB1505" s="5"/>
      <c r="AC1505" s="5"/>
    </row>
    <row r="1506" spans="1:29" ht="12.5">
      <c r="A1506" s="5">
        <f ca="1">IFERROR(__xludf.DUMMYFUNCTION("""COMPUTED_VALUE"""),66797)</f>
        <v>66797</v>
      </c>
      <c r="B1506" s="5"/>
      <c r="C1506" s="5" t="str">
        <f ca="1">IFERROR(__xludf.DUMMYFUNCTION("""COMPUTED_VALUE"""),"Bihor")</f>
        <v>Bihor</v>
      </c>
      <c r="D1506" s="13">
        <f ca="1">IFERROR(__xludf.DUMMYFUNCTION("""COMPUTED_VALUE"""),44057)</f>
        <v>44057</v>
      </c>
      <c r="E1506" s="5" t="str">
        <f ca="1">IFERROR(__xludf.DUMMYFUNCTION("""COMPUTED_VALUE"""),"Nu")</f>
        <v>Nu</v>
      </c>
      <c r="F1506" s="5"/>
      <c r="G1506" s="5"/>
      <c r="H1506" s="6"/>
      <c r="I1506" s="5"/>
      <c r="J1506" s="5"/>
      <c r="K1506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06" s="5"/>
      <c r="M1506" s="5" t="str">
        <f ca="1">IFERROR(__xludf.DUMMYFUNCTION("""COMPUTED_VALUE"""),"Beiuș")</f>
        <v>Beiuș</v>
      </c>
      <c r="N1506" s="5"/>
      <c r="O1506" s="5"/>
      <c r="P1506" s="5" t="str">
        <f ca="1">IFERROR(__xludf.DUMMYFUNCTION("""COMPUTED_VALUE"""),"Spital Beiuș, pacient.")</f>
        <v>Spital Beiuș, pacient.</v>
      </c>
      <c r="Q1506" s="5" t="str">
        <f ca="1">IFERROR(__xludf.DUMMYFUNCTION("""COMPUTED_VALUE"""),"Medical")</f>
        <v>Medical</v>
      </c>
      <c r="R1506" s="5" t="str">
        <f ca="1">IFERROR(__xludf.DUMMYFUNCTION("""COMPUTED_VALUE"""),"România")</f>
        <v>România</v>
      </c>
      <c r="S1506" s="5" t="str">
        <f ca="1">IFERROR(__xludf.DUMMYFUNCTION("""COMPUTED_VALUE"""),"Octavian")</f>
        <v>Octavian</v>
      </c>
      <c r="T1506" s="7" t="str">
        <f ca="1">IFERROR(__xludf.DUMMYFUNCTION("""COMPUTED_VALUE"""),"http://www.ms.ro/2020/08/14/buletin-informativ-14-08-2020")</f>
        <v>http://www.ms.ro/2020/08/14/buletin-informativ-14-08-2020</v>
      </c>
      <c r="U1506" s="5"/>
      <c r="V1506" s="5"/>
      <c r="W1506" s="5"/>
      <c r="X1506" s="5"/>
      <c r="Y1506" s="5"/>
      <c r="Z1506" s="5"/>
      <c r="AA1506" s="5"/>
      <c r="AB1506" s="5"/>
      <c r="AC1506" s="5"/>
    </row>
    <row r="1507" spans="1:29" ht="12.5">
      <c r="A1507" s="5">
        <f ca="1">IFERROR(__xludf.DUMMYFUNCTION("""COMPUTED_VALUE"""),66798)</f>
        <v>66798</v>
      </c>
      <c r="B1507" s="5"/>
      <c r="C1507" s="5" t="str">
        <f ca="1">IFERROR(__xludf.DUMMYFUNCTION("""COMPUTED_VALUE"""),"Bihor")</f>
        <v>Bihor</v>
      </c>
      <c r="D1507" s="13">
        <f ca="1">IFERROR(__xludf.DUMMYFUNCTION("""COMPUTED_VALUE"""),44057)</f>
        <v>44057</v>
      </c>
      <c r="E1507" s="5" t="str">
        <f ca="1">IFERROR(__xludf.DUMMYFUNCTION("""COMPUTED_VALUE"""),"Nu")</f>
        <v>Nu</v>
      </c>
      <c r="F1507" s="5"/>
      <c r="G1507" s="5"/>
      <c r="H1507" s="6"/>
      <c r="I1507" s="5"/>
      <c r="J1507" s="5"/>
      <c r="K1507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07" s="5"/>
      <c r="M1507" s="5" t="str">
        <f ca="1">IFERROR(__xludf.DUMMYFUNCTION("""COMPUTED_VALUE"""),"Beiuș")</f>
        <v>Beiuș</v>
      </c>
      <c r="N1507" s="5"/>
      <c r="O1507" s="5"/>
      <c r="P1507" s="5" t="str">
        <f ca="1">IFERROR(__xludf.DUMMYFUNCTION("""COMPUTED_VALUE"""),"Spital Beiuș, pacient.")</f>
        <v>Spital Beiuș, pacient.</v>
      </c>
      <c r="Q1507" s="5" t="str">
        <f ca="1">IFERROR(__xludf.DUMMYFUNCTION("""COMPUTED_VALUE"""),"Medical")</f>
        <v>Medical</v>
      </c>
      <c r="R1507" s="5" t="str">
        <f ca="1">IFERROR(__xludf.DUMMYFUNCTION("""COMPUTED_VALUE"""),"România")</f>
        <v>România</v>
      </c>
      <c r="S1507" s="5" t="str">
        <f ca="1">IFERROR(__xludf.DUMMYFUNCTION("""COMPUTED_VALUE"""),"Octavian")</f>
        <v>Octavian</v>
      </c>
      <c r="T1507" s="7" t="str">
        <f ca="1">IFERROR(__xludf.DUMMYFUNCTION("""COMPUTED_VALUE"""),"http://www.ms.ro/2020/08/14/buletin-informativ-14-08-2020")</f>
        <v>http://www.ms.ro/2020/08/14/buletin-informativ-14-08-2020</v>
      </c>
      <c r="U1507" s="5"/>
      <c r="V1507" s="5"/>
      <c r="W1507" s="5"/>
      <c r="X1507" s="5"/>
      <c r="Y1507" s="5"/>
      <c r="Z1507" s="5"/>
      <c r="AA1507" s="5"/>
      <c r="AB1507" s="5"/>
      <c r="AC1507" s="5"/>
    </row>
    <row r="1508" spans="1:29" ht="12.5">
      <c r="A1508" s="5">
        <f ca="1">IFERROR(__xludf.DUMMYFUNCTION("""COMPUTED_VALUE"""),66799)</f>
        <v>66799</v>
      </c>
      <c r="B1508" s="5"/>
      <c r="C1508" s="5" t="str">
        <f ca="1">IFERROR(__xludf.DUMMYFUNCTION("""COMPUTED_VALUE"""),"Bihor")</f>
        <v>Bihor</v>
      </c>
      <c r="D1508" s="13">
        <f ca="1">IFERROR(__xludf.DUMMYFUNCTION("""COMPUTED_VALUE"""),44057)</f>
        <v>44057</v>
      </c>
      <c r="E1508" s="5" t="str">
        <f ca="1">IFERROR(__xludf.DUMMYFUNCTION("""COMPUTED_VALUE"""),"Nu")</f>
        <v>Nu</v>
      </c>
      <c r="F1508" s="5"/>
      <c r="G1508" s="5"/>
      <c r="H1508" s="6"/>
      <c r="I1508" s="5"/>
      <c r="J1508" s="5"/>
      <c r="K1508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08" s="5"/>
      <c r="M1508" s="5" t="str">
        <f ca="1">IFERROR(__xludf.DUMMYFUNCTION("""COMPUTED_VALUE"""),"Beiuș")</f>
        <v>Beiuș</v>
      </c>
      <c r="N1508" s="5"/>
      <c r="O1508" s="5"/>
      <c r="P1508" s="5" t="str">
        <f ca="1">IFERROR(__xludf.DUMMYFUNCTION("""COMPUTED_VALUE"""),"Spital Beiuș, pacient.")</f>
        <v>Spital Beiuș, pacient.</v>
      </c>
      <c r="Q1508" s="5" t="str">
        <f ca="1">IFERROR(__xludf.DUMMYFUNCTION("""COMPUTED_VALUE"""),"Medical")</f>
        <v>Medical</v>
      </c>
      <c r="R1508" s="5" t="str">
        <f ca="1">IFERROR(__xludf.DUMMYFUNCTION("""COMPUTED_VALUE"""),"România")</f>
        <v>România</v>
      </c>
      <c r="S1508" s="5" t="str">
        <f ca="1">IFERROR(__xludf.DUMMYFUNCTION("""COMPUTED_VALUE"""),"Octavian")</f>
        <v>Octavian</v>
      </c>
      <c r="T1508" s="7" t="str">
        <f ca="1">IFERROR(__xludf.DUMMYFUNCTION("""COMPUTED_VALUE"""),"http://www.ms.ro/2020/08/14/buletin-informativ-14-08-2020")</f>
        <v>http://www.ms.ro/2020/08/14/buletin-informativ-14-08-2020</v>
      </c>
      <c r="U1508" s="5"/>
      <c r="V1508" s="5"/>
      <c r="W1508" s="5"/>
      <c r="X1508" s="5"/>
      <c r="Y1508" s="5"/>
      <c r="Z1508" s="5"/>
      <c r="AA1508" s="5"/>
      <c r="AB1508" s="5"/>
      <c r="AC1508" s="5"/>
    </row>
    <row r="1509" spans="1:29" ht="12.5">
      <c r="A1509" s="5">
        <f ca="1">IFERROR(__xludf.DUMMYFUNCTION("""COMPUTED_VALUE"""),66800)</f>
        <v>66800</v>
      </c>
      <c r="B1509" s="5"/>
      <c r="C1509" s="5" t="str">
        <f ca="1">IFERROR(__xludf.DUMMYFUNCTION("""COMPUTED_VALUE"""),"Bihor")</f>
        <v>Bihor</v>
      </c>
      <c r="D1509" s="13">
        <f ca="1">IFERROR(__xludf.DUMMYFUNCTION("""COMPUTED_VALUE"""),44057)</f>
        <v>44057</v>
      </c>
      <c r="E1509" s="5" t="str">
        <f ca="1">IFERROR(__xludf.DUMMYFUNCTION("""COMPUTED_VALUE"""),"Nu")</f>
        <v>Nu</v>
      </c>
      <c r="F1509" s="5"/>
      <c r="G1509" s="5"/>
      <c r="H1509" s="6"/>
      <c r="I1509" s="5"/>
      <c r="J1509" s="5"/>
      <c r="K1509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09" s="5"/>
      <c r="M1509" s="5" t="str">
        <f ca="1">IFERROR(__xludf.DUMMYFUNCTION("""COMPUTED_VALUE"""),"Salonta")</f>
        <v>Salonta</v>
      </c>
      <c r="N1509" s="5"/>
      <c r="O1509" s="5"/>
      <c r="P1509" s="5" t="str">
        <f ca="1">IFERROR(__xludf.DUMMYFUNCTION("""COMPUTED_VALUE"""),"Spital Salonta, pacient.")</f>
        <v>Spital Salonta, pacient.</v>
      </c>
      <c r="Q1509" s="5" t="str">
        <f ca="1">IFERROR(__xludf.DUMMYFUNCTION("""COMPUTED_VALUE"""),"Medical")</f>
        <v>Medical</v>
      </c>
      <c r="R1509" s="5" t="str">
        <f ca="1">IFERROR(__xludf.DUMMYFUNCTION("""COMPUTED_VALUE"""),"România")</f>
        <v>România</v>
      </c>
      <c r="S1509" s="5" t="str">
        <f ca="1">IFERROR(__xludf.DUMMYFUNCTION("""COMPUTED_VALUE"""),"Octavian")</f>
        <v>Octavian</v>
      </c>
      <c r="T1509" s="7" t="str">
        <f ca="1">IFERROR(__xludf.DUMMYFUNCTION("""COMPUTED_VALUE"""),"http://www.ms.ro/2020/08/14/buletin-informativ-14-08-2020")</f>
        <v>http://www.ms.ro/2020/08/14/buletin-informativ-14-08-2020</v>
      </c>
      <c r="U1509" s="5"/>
      <c r="V1509" s="5"/>
      <c r="W1509" s="5"/>
      <c r="X1509" s="5"/>
      <c r="Y1509" s="5"/>
      <c r="Z1509" s="5"/>
      <c r="AA1509" s="5"/>
      <c r="AB1509" s="5"/>
      <c r="AC1509" s="5"/>
    </row>
    <row r="1510" spans="1:29" ht="12.5">
      <c r="A1510" s="5">
        <f ca="1">IFERROR(__xludf.DUMMYFUNCTION("""COMPUTED_VALUE"""),66801)</f>
        <v>66801</v>
      </c>
      <c r="B1510" s="5"/>
      <c r="C1510" s="5" t="str">
        <f ca="1">IFERROR(__xludf.DUMMYFUNCTION("""COMPUTED_VALUE"""),"Bihor")</f>
        <v>Bihor</v>
      </c>
      <c r="D1510" s="13">
        <f ca="1">IFERROR(__xludf.DUMMYFUNCTION("""COMPUTED_VALUE"""),44057)</f>
        <v>44057</v>
      </c>
      <c r="E1510" s="5" t="str">
        <f ca="1">IFERROR(__xludf.DUMMYFUNCTION("""COMPUTED_VALUE"""),"Nu")</f>
        <v>Nu</v>
      </c>
      <c r="F1510" s="5"/>
      <c r="G1510" s="5"/>
      <c r="H1510" s="6"/>
      <c r="I1510" s="5"/>
      <c r="J1510" s="5"/>
      <c r="K1510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10" s="5"/>
      <c r="M1510" s="5" t="str">
        <f ca="1">IFERROR(__xludf.DUMMYFUNCTION("""COMPUTED_VALUE"""),"Salonta")</f>
        <v>Salonta</v>
      </c>
      <c r="N1510" s="5"/>
      <c r="O1510" s="5"/>
      <c r="P1510" s="5" t="str">
        <f ca="1">IFERROR(__xludf.DUMMYFUNCTION("""COMPUTED_VALUE"""),"Spital Salonta, pacient.")</f>
        <v>Spital Salonta, pacient.</v>
      </c>
      <c r="Q1510" s="5" t="str">
        <f ca="1">IFERROR(__xludf.DUMMYFUNCTION("""COMPUTED_VALUE"""),"Medical")</f>
        <v>Medical</v>
      </c>
      <c r="R1510" s="5" t="str">
        <f ca="1">IFERROR(__xludf.DUMMYFUNCTION("""COMPUTED_VALUE"""),"România")</f>
        <v>România</v>
      </c>
      <c r="S1510" s="5" t="str">
        <f ca="1">IFERROR(__xludf.DUMMYFUNCTION("""COMPUTED_VALUE"""),"Octavian")</f>
        <v>Octavian</v>
      </c>
      <c r="T1510" s="7" t="str">
        <f ca="1">IFERROR(__xludf.DUMMYFUNCTION("""COMPUTED_VALUE"""),"http://www.ms.ro/2020/08/14/buletin-informativ-14-08-2020")</f>
        <v>http://www.ms.ro/2020/08/14/buletin-informativ-14-08-2020</v>
      </c>
      <c r="U1510" s="5"/>
      <c r="V1510" s="5"/>
      <c r="W1510" s="5"/>
      <c r="X1510" s="5"/>
      <c r="Y1510" s="5"/>
      <c r="Z1510" s="5"/>
      <c r="AA1510" s="5"/>
      <c r="AB1510" s="5"/>
      <c r="AC1510" s="5"/>
    </row>
    <row r="1511" spans="1:29" ht="12.5">
      <c r="A1511" s="5">
        <f ca="1">IFERROR(__xludf.DUMMYFUNCTION("""COMPUTED_VALUE"""),66802)</f>
        <v>66802</v>
      </c>
      <c r="B1511" s="5"/>
      <c r="C1511" s="5" t="str">
        <f ca="1">IFERROR(__xludf.DUMMYFUNCTION("""COMPUTED_VALUE"""),"Bihor")</f>
        <v>Bihor</v>
      </c>
      <c r="D1511" s="13">
        <f ca="1">IFERROR(__xludf.DUMMYFUNCTION("""COMPUTED_VALUE"""),44057)</f>
        <v>44057</v>
      </c>
      <c r="E1511" s="5" t="str">
        <f ca="1">IFERROR(__xludf.DUMMYFUNCTION("""COMPUTED_VALUE"""),"Nu")</f>
        <v>Nu</v>
      </c>
      <c r="F1511" s="5"/>
      <c r="G1511" s="5"/>
      <c r="H1511" s="6"/>
      <c r="I1511" s="5"/>
      <c r="J1511" s="5"/>
      <c r="K1511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11" s="5"/>
      <c r="M1511" s="5" t="str">
        <f ca="1">IFERROR(__xludf.DUMMYFUNCTION("""COMPUTED_VALUE"""),"Băița")</f>
        <v>Băița</v>
      </c>
      <c r="N1511" s="5"/>
      <c r="O1511" s="5"/>
      <c r="P1511" s="5" t="str">
        <f ca="1">IFERROR(__xludf.DUMMYFUNCTION("""COMPUTED_VALUE"""),"Cămin bătrâni Băița, beneficiar.")</f>
        <v>Cămin bătrâni Băița, beneficiar.</v>
      </c>
      <c r="Q1511" s="5" t="str">
        <f ca="1">IFERROR(__xludf.DUMMYFUNCTION("""COMPUTED_VALUE"""),"Centre")</f>
        <v>Centre</v>
      </c>
      <c r="R1511" s="5" t="str">
        <f ca="1">IFERROR(__xludf.DUMMYFUNCTION("""COMPUTED_VALUE"""),"România")</f>
        <v>România</v>
      </c>
      <c r="S1511" s="5" t="str">
        <f ca="1">IFERROR(__xludf.DUMMYFUNCTION("""COMPUTED_VALUE"""),"Octavian")</f>
        <v>Octavian</v>
      </c>
      <c r="T1511" s="7" t="str">
        <f ca="1">IFERROR(__xludf.DUMMYFUNCTION("""COMPUTED_VALUE"""),"http://www.ms.ro/2020/08/14/buletin-informativ-14-08-2020")</f>
        <v>http://www.ms.ro/2020/08/14/buletin-informativ-14-08-2020</v>
      </c>
      <c r="U1511" s="5"/>
      <c r="V1511" s="5"/>
      <c r="W1511" s="5"/>
      <c r="X1511" s="5"/>
      <c r="Y1511" s="5"/>
      <c r="Z1511" s="5"/>
      <c r="AA1511" s="5"/>
      <c r="AB1511" s="5"/>
      <c r="AC1511" s="5"/>
    </row>
    <row r="1512" spans="1:29" ht="12.5">
      <c r="A1512" s="5">
        <f ca="1">IFERROR(__xludf.DUMMYFUNCTION("""COMPUTED_VALUE"""),66803)</f>
        <v>66803</v>
      </c>
      <c r="B1512" s="5">
        <f ca="1">IFERROR(__xludf.DUMMYFUNCTION("""COMPUTED_VALUE"""),66802)</f>
        <v>66802</v>
      </c>
      <c r="C1512" s="5" t="str">
        <f ca="1">IFERROR(__xludf.DUMMYFUNCTION("""COMPUTED_VALUE"""),"Bihor")</f>
        <v>Bihor</v>
      </c>
      <c r="D1512" s="13">
        <f ca="1">IFERROR(__xludf.DUMMYFUNCTION("""COMPUTED_VALUE"""),44057)</f>
        <v>44057</v>
      </c>
      <c r="E1512" s="5" t="str">
        <f ca="1">IFERROR(__xludf.DUMMYFUNCTION("""COMPUTED_VALUE"""),"Nu")</f>
        <v>Nu</v>
      </c>
      <c r="F1512" s="5"/>
      <c r="G1512" s="5"/>
      <c r="H1512" s="6"/>
      <c r="I1512" s="5"/>
      <c r="J1512" s="5"/>
      <c r="K1512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12" s="5"/>
      <c r="M1512" s="5" t="str">
        <f ca="1">IFERROR(__xludf.DUMMYFUNCTION("""COMPUTED_VALUE"""),"Băița")</f>
        <v>Băița</v>
      </c>
      <c r="N1512" s="5"/>
      <c r="O1512" s="5"/>
      <c r="P1512" s="5" t="str">
        <f ca="1">IFERROR(__xludf.DUMMYFUNCTION("""COMPUTED_VALUE"""),"Cămin bătrâni Băița, beneficiar.")</f>
        <v>Cămin bătrâni Băița, beneficiar.</v>
      </c>
      <c r="Q1512" s="5" t="str">
        <f ca="1">IFERROR(__xludf.DUMMYFUNCTION("""COMPUTED_VALUE"""),"Centre")</f>
        <v>Centre</v>
      </c>
      <c r="R1512" s="5" t="str">
        <f ca="1">IFERROR(__xludf.DUMMYFUNCTION("""COMPUTED_VALUE"""),"România")</f>
        <v>România</v>
      </c>
      <c r="S1512" s="5" t="str">
        <f ca="1">IFERROR(__xludf.DUMMYFUNCTION("""COMPUTED_VALUE"""),"Octavian")</f>
        <v>Octavian</v>
      </c>
      <c r="T1512" s="7" t="str">
        <f ca="1">IFERROR(__xludf.DUMMYFUNCTION("""COMPUTED_VALUE"""),"http://www.ms.ro/2020/08/14/buletin-informativ-14-08-2020")</f>
        <v>http://www.ms.ro/2020/08/14/buletin-informativ-14-08-2020</v>
      </c>
      <c r="U1512" s="5"/>
      <c r="V1512" s="5"/>
      <c r="W1512" s="5"/>
      <c r="X1512" s="5"/>
      <c r="Y1512" s="5"/>
      <c r="Z1512" s="5"/>
      <c r="AA1512" s="5"/>
      <c r="AB1512" s="5"/>
      <c r="AC1512" s="5"/>
    </row>
    <row r="1513" spans="1:29" ht="12.5">
      <c r="A1513" s="5">
        <f ca="1">IFERROR(__xludf.DUMMYFUNCTION("""COMPUTED_VALUE"""),66804)</f>
        <v>66804</v>
      </c>
      <c r="B1513" s="5">
        <f ca="1">IFERROR(__xludf.DUMMYFUNCTION("""COMPUTED_VALUE"""),66802)</f>
        <v>66802</v>
      </c>
      <c r="C1513" s="5" t="str">
        <f ca="1">IFERROR(__xludf.DUMMYFUNCTION("""COMPUTED_VALUE"""),"Bihor")</f>
        <v>Bihor</v>
      </c>
      <c r="D1513" s="13">
        <f ca="1">IFERROR(__xludf.DUMMYFUNCTION("""COMPUTED_VALUE"""),44057)</f>
        <v>44057</v>
      </c>
      <c r="E1513" s="5" t="str">
        <f ca="1">IFERROR(__xludf.DUMMYFUNCTION("""COMPUTED_VALUE"""),"Nu")</f>
        <v>Nu</v>
      </c>
      <c r="F1513" s="5"/>
      <c r="G1513" s="5"/>
      <c r="H1513" s="6"/>
      <c r="I1513" s="5"/>
      <c r="J1513" s="5"/>
      <c r="K1513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13" s="5"/>
      <c r="M1513" s="5" t="str">
        <f ca="1">IFERROR(__xludf.DUMMYFUNCTION("""COMPUTED_VALUE"""),"Băița")</f>
        <v>Băița</v>
      </c>
      <c r="N1513" s="5"/>
      <c r="O1513" s="5"/>
      <c r="P1513" s="5" t="str">
        <f ca="1">IFERROR(__xludf.DUMMYFUNCTION("""COMPUTED_VALUE"""),"Cămin bătrâni Băița, beneficiar.")</f>
        <v>Cămin bătrâni Băița, beneficiar.</v>
      </c>
      <c r="Q1513" s="5" t="str">
        <f ca="1">IFERROR(__xludf.DUMMYFUNCTION("""COMPUTED_VALUE"""),"Centre")</f>
        <v>Centre</v>
      </c>
      <c r="R1513" s="5" t="str">
        <f ca="1">IFERROR(__xludf.DUMMYFUNCTION("""COMPUTED_VALUE"""),"România")</f>
        <v>România</v>
      </c>
      <c r="S1513" s="5" t="str">
        <f ca="1">IFERROR(__xludf.DUMMYFUNCTION("""COMPUTED_VALUE"""),"Octavian")</f>
        <v>Octavian</v>
      </c>
      <c r="T1513" s="7" t="str">
        <f ca="1">IFERROR(__xludf.DUMMYFUNCTION("""COMPUTED_VALUE"""),"http://www.ms.ro/2020/08/14/buletin-informativ-14-08-2020")</f>
        <v>http://www.ms.ro/2020/08/14/buletin-informativ-14-08-2020</v>
      </c>
      <c r="U1513" s="5"/>
      <c r="V1513" s="5"/>
      <c r="W1513" s="5"/>
      <c r="X1513" s="5"/>
      <c r="Y1513" s="5"/>
      <c r="Z1513" s="5"/>
      <c r="AA1513" s="5"/>
      <c r="AB1513" s="5"/>
      <c r="AC1513" s="5"/>
    </row>
    <row r="1514" spans="1:29" ht="12.5">
      <c r="A1514" s="5">
        <f ca="1">IFERROR(__xludf.DUMMYFUNCTION("""COMPUTED_VALUE"""),66805)</f>
        <v>66805</v>
      </c>
      <c r="B1514" s="5">
        <f ca="1">IFERROR(__xludf.DUMMYFUNCTION("""COMPUTED_VALUE"""),66802)</f>
        <v>66802</v>
      </c>
      <c r="C1514" s="5" t="str">
        <f ca="1">IFERROR(__xludf.DUMMYFUNCTION("""COMPUTED_VALUE"""),"Bihor")</f>
        <v>Bihor</v>
      </c>
      <c r="D1514" s="13">
        <f ca="1">IFERROR(__xludf.DUMMYFUNCTION("""COMPUTED_VALUE"""),44057)</f>
        <v>44057</v>
      </c>
      <c r="E1514" s="5" t="str">
        <f ca="1">IFERROR(__xludf.DUMMYFUNCTION("""COMPUTED_VALUE"""),"Nu")</f>
        <v>Nu</v>
      </c>
      <c r="F1514" s="5"/>
      <c r="G1514" s="5"/>
      <c r="H1514" s="6"/>
      <c r="I1514" s="5"/>
      <c r="J1514" s="5"/>
      <c r="K1514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14" s="5"/>
      <c r="M1514" s="5" t="str">
        <f ca="1">IFERROR(__xludf.DUMMYFUNCTION("""COMPUTED_VALUE"""),"Băița")</f>
        <v>Băița</v>
      </c>
      <c r="N1514" s="5"/>
      <c r="O1514" s="5"/>
      <c r="P1514" s="5" t="str">
        <f ca="1">IFERROR(__xludf.DUMMYFUNCTION("""COMPUTED_VALUE"""),"Cămin bătrâni Băița, beneficiar.")</f>
        <v>Cămin bătrâni Băița, beneficiar.</v>
      </c>
      <c r="Q1514" s="5" t="str">
        <f ca="1">IFERROR(__xludf.DUMMYFUNCTION("""COMPUTED_VALUE"""),"Centre")</f>
        <v>Centre</v>
      </c>
      <c r="R1514" s="5" t="str">
        <f ca="1">IFERROR(__xludf.DUMMYFUNCTION("""COMPUTED_VALUE"""),"România")</f>
        <v>România</v>
      </c>
      <c r="S1514" s="5" t="str">
        <f ca="1">IFERROR(__xludf.DUMMYFUNCTION("""COMPUTED_VALUE"""),"Octavian")</f>
        <v>Octavian</v>
      </c>
      <c r="T1514" s="7" t="str">
        <f ca="1">IFERROR(__xludf.DUMMYFUNCTION("""COMPUTED_VALUE"""),"http://www.ms.ro/2020/08/14/buletin-informativ-14-08-2020")</f>
        <v>http://www.ms.ro/2020/08/14/buletin-informativ-14-08-2020</v>
      </c>
      <c r="U1514" s="5"/>
      <c r="V1514" s="5"/>
      <c r="W1514" s="5"/>
      <c r="X1514" s="5"/>
      <c r="Y1514" s="5"/>
      <c r="Z1514" s="5"/>
      <c r="AA1514" s="5"/>
      <c r="AB1514" s="5"/>
      <c r="AC1514" s="5"/>
    </row>
    <row r="1515" spans="1:29" ht="12.5">
      <c r="A1515" s="5">
        <f ca="1">IFERROR(__xludf.DUMMYFUNCTION("""COMPUTED_VALUE"""),66806)</f>
        <v>66806</v>
      </c>
      <c r="B1515" s="5">
        <f ca="1">IFERROR(__xludf.DUMMYFUNCTION("""COMPUTED_VALUE"""),66802)</f>
        <v>66802</v>
      </c>
      <c r="C1515" s="5" t="str">
        <f ca="1">IFERROR(__xludf.DUMMYFUNCTION("""COMPUTED_VALUE"""),"Bihor")</f>
        <v>Bihor</v>
      </c>
      <c r="D1515" s="13">
        <f ca="1">IFERROR(__xludf.DUMMYFUNCTION("""COMPUTED_VALUE"""),44057)</f>
        <v>44057</v>
      </c>
      <c r="E1515" s="5" t="str">
        <f ca="1">IFERROR(__xludf.DUMMYFUNCTION("""COMPUTED_VALUE"""),"Nu")</f>
        <v>Nu</v>
      </c>
      <c r="F1515" s="5"/>
      <c r="G1515" s="5"/>
      <c r="H1515" s="6"/>
      <c r="I1515" s="5"/>
      <c r="J1515" s="5"/>
      <c r="K1515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15" s="5"/>
      <c r="M1515" s="5" t="str">
        <f ca="1">IFERROR(__xludf.DUMMYFUNCTION("""COMPUTED_VALUE"""),"Băița")</f>
        <v>Băița</v>
      </c>
      <c r="N1515" s="5"/>
      <c r="O1515" s="5"/>
      <c r="P1515" s="5" t="str">
        <f ca="1">IFERROR(__xludf.DUMMYFUNCTION("""COMPUTED_VALUE"""),"Cămin bătrâni Băița, beneficiar.")</f>
        <v>Cămin bătrâni Băița, beneficiar.</v>
      </c>
      <c r="Q1515" s="5" t="str">
        <f ca="1">IFERROR(__xludf.DUMMYFUNCTION("""COMPUTED_VALUE"""),"Centre")</f>
        <v>Centre</v>
      </c>
      <c r="R1515" s="5" t="str">
        <f ca="1">IFERROR(__xludf.DUMMYFUNCTION("""COMPUTED_VALUE"""),"România")</f>
        <v>România</v>
      </c>
      <c r="S1515" s="5" t="str">
        <f ca="1">IFERROR(__xludf.DUMMYFUNCTION("""COMPUTED_VALUE"""),"Octavian")</f>
        <v>Octavian</v>
      </c>
      <c r="T1515" s="7" t="str">
        <f ca="1">IFERROR(__xludf.DUMMYFUNCTION("""COMPUTED_VALUE"""),"http://www.ms.ro/2020/08/14/buletin-informativ-14-08-2020")</f>
        <v>http://www.ms.ro/2020/08/14/buletin-informativ-14-08-2020</v>
      </c>
      <c r="U1515" s="5"/>
      <c r="V1515" s="5"/>
      <c r="W1515" s="5"/>
      <c r="X1515" s="5"/>
      <c r="Y1515" s="5"/>
      <c r="Z1515" s="5"/>
      <c r="AA1515" s="5"/>
      <c r="AB1515" s="5"/>
      <c r="AC1515" s="5"/>
    </row>
    <row r="1516" spans="1:29" ht="12.5">
      <c r="A1516" s="5">
        <f ca="1">IFERROR(__xludf.DUMMYFUNCTION("""COMPUTED_VALUE"""),66807)</f>
        <v>66807</v>
      </c>
      <c r="B1516" s="5">
        <f ca="1">IFERROR(__xludf.DUMMYFUNCTION("""COMPUTED_VALUE"""),66802)</f>
        <v>66802</v>
      </c>
      <c r="C1516" s="5" t="str">
        <f ca="1">IFERROR(__xludf.DUMMYFUNCTION("""COMPUTED_VALUE"""),"Bihor")</f>
        <v>Bihor</v>
      </c>
      <c r="D1516" s="13">
        <f ca="1">IFERROR(__xludf.DUMMYFUNCTION("""COMPUTED_VALUE"""),44057)</f>
        <v>44057</v>
      </c>
      <c r="E1516" s="5" t="str">
        <f ca="1">IFERROR(__xludf.DUMMYFUNCTION("""COMPUTED_VALUE"""),"Nu")</f>
        <v>Nu</v>
      </c>
      <c r="F1516" s="5"/>
      <c r="G1516" s="5"/>
      <c r="H1516" s="6"/>
      <c r="I1516" s="5"/>
      <c r="J1516" s="5"/>
      <c r="K1516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16" s="5"/>
      <c r="M1516" s="5" t="str">
        <f ca="1">IFERROR(__xludf.DUMMYFUNCTION("""COMPUTED_VALUE"""),"Băița")</f>
        <v>Băița</v>
      </c>
      <c r="N1516" s="5"/>
      <c r="O1516" s="5"/>
      <c r="P1516" s="5" t="str">
        <f ca="1">IFERROR(__xludf.DUMMYFUNCTION("""COMPUTED_VALUE"""),"Cămin bătrâni Băița, beneficiar.")</f>
        <v>Cămin bătrâni Băița, beneficiar.</v>
      </c>
      <c r="Q1516" s="5" t="str">
        <f ca="1">IFERROR(__xludf.DUMMYFUNCTION("""COMPUTED_VALUE"""),"Centre")</f>
        <v>Centre</v>
      </c>
      <c r="R1516" s="5" t="str">
        <f ca="1">IFERROR(__xludf.DUMMYFUNCTION("""COMPUTED_VALUE"""),"România")</f>
        <v>România</v>
      </c>
      <c r="S1516" s="5" t="str">
        <f ca="1">IFERROR(__xludf.DUMMYFUNCTION("""COMPUTED_VALUE"""),"Octavian")</f>
        <v>Octavian</v>
      </c>
      <c r="T1516" s="7" t="str">
        <f ca="1">IFERROR(__xludf.DUMMYFUNCTION("""COMPUTED_VALUE"""),"http://www.ms.ro/2020/08/14/buletin-informativ-14-08-2020")</f>
        <v>http://www.ms.ro/2020/08/14/buletin-informativ-14-08-2020</v>
      </c>
      <c r="U1516" s="5"/>
      <c r="V1516" s="5"/>
      <c r="W1516" s="5"/>
      <c r="X1516" s="5"/>
      <c r="Y1516" s="5"/>
      <c r="Z1516" s="5"/>
      <c r="AA1516" s="5"/>
      <c r="AB1516" s="5"/>
      <c r="AC1516" s="5"/>
    </row>
    <row r="1517" spans="1:29" ht="12.5">
      <c r="A1517" s="5">
        <f ca="1">IFERROR(__xludf.DUMMYFUNCTION("""COMPUTED_VALUE"""),66808)</f>
        <v>66808</v>
      </c>
      <c r="B1517" s="5">
        <f ca="1">IFERROR(__xludf.DUMMYFUNCTION("""COMPUTED_VALUE"""),66802)</f>
        <v>66802</v>
      </c>
      <c r="C1517" s="5" t="str">
        <f ca="1">IFERROR(__xludf.DUMMYFUNCTION("""COMPUTED_VALUE"""),"Bihor")</f>
        <v>Bihor</v>
      </c>
      <c r="D1517" s="13">
        <f ca="1">IFERROR(__xludf.DUMMYFUNCTION("""COMPUTED_VALUE"""),44057)</f>
        <v>44057</v>
      </c>
      <c r="E1517" s="5" t="str">
        <f ca="1">IFERROR(__xludf.DUMMYFUNCTION("""COMPUTED_VALUE"""),"Nu")</f>
        <v>Nu</v>
      </c>
      <c r="F1517" s="5"/>
      <c r="G1517" s="5"/>
      <c r="H1517" s="6"/>
      <c r="I1517" s="5"/>
      <c r="J1517" s="5"/>
      <c r="K1517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17" s="5"/>
      <c r="M1517" s="5" t="str">
        <f ca="1">IFERROR(__xludf.DUMMYFUNCTION("""COMPUTED_VALUE"""),"Băița")</f>
        <v>Băița</v>
      </c>
      <c r="N1517" s="5"/>
      <c r="O1517" s="5"/>
      <c r="P1517" s="5" t="str">
        <f ca="1">IFERROR(__xludf.DUMMYFUNCTION("""COMPUTED_VALUE"""),"Cămin bătrâni Băița, beneficiar.")</f>
        <v>Cămin bătrâni Băița, beneficiar.</v>
      </c>
      <c r="Q1517" s="5" t="str">
        <f ca="1">IFERROR(__xludf.DUMMYFUNCTION("""COMPUTED_VALUE"""),"Centre")</f>
        <v>Centre</v>
      </c>
      <c r="R1517" s="5" t="str">
        <f ca="1">IFERROR(__xludf.DUMMYFUNCTION("""COMPUTED_VALUE"""),"România")</f>
        <v>România</v>
      </c>
      <c r="S1517" s="5" t="str">
        <f ca="1">IFERROR(__xludf.DUMMYFUNCTION("""COMPUTED_VALUE"""),"Octavian")</f>
        <v>Octavian</v>
      </c>
      <c r="T1517" s="7" t="str">
        <f ca="1">IFERROR(__xludf.DUMMYFUNCTION("""COMPUTED_VALUE"""),"http://www.ms.ro/2020/08/14/buletin-informativ-14-08-2020")</f>
        <v>http://www.ms.ro/2020/08/14/buletin-informativ-14-08-2020</v>
      </c>
      <c r="U1517" s="5"/>
      <c r="V1517" s="5"/>
      <c r="W1517" s="5"/>
      <c r="X1517" s="5"/>
      <c r="Y1517" s="5"/>
      <c r="Z1517" s="5"/>
      <c r="AA1517" s="5"/>
      <c r="AB1517" s="5"/>
      <c r="AC1517" s="5"/>
    </row>
    <row r="1518" spans="1:29" ht="12.5">
      <c r="A1518" s="5">
        <f ca="1">IFERROR(__xludf.DUMMYFUNCTION("""COMPUTED_VALUE"""),66809)</f>
        <v>66809</v>
      </c>
      <c r="B1518" s="5">
        <f ca="1">IFERROR(__xludf.DUMMYFUNCTION("""COMPUTED_VALUE"""),66802)</f>
        <v>66802</v>
      </c>
      <c r="C1518" s="5" t="str">
        <f ca="1">IFERROR(__xludf.DUMMYFUNCTION("""COMPUTED_VALUE"""),"Bihor")</f>
        <v>Bihor</v>
      </c>
      <c r="D1518" s="13">
        <f ca="1">IFERROR(__xludf.DUMMYFUNCTION("""COMPUTED_VALUE"""),44057)</f>
        <v>44057</v>
      </c>
      <c r="E1518" s="5" t="str">
        <f ca="1">IFERROR(__xludf.DUMMYFUNCTION("""COMPUTED_VALUE"""),"Nu")</f>
        <v>Nu</v>
      </c>
      <c r="F1518" s="5"/>
      <c r="G1518" s="5"/>
      <c r="H1518" s="6"/>
      <c r="I1518" s="5"/>
      <c r="J1518" s="5"/>
      <c r="K1518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18" s="5"/>
      <c r="M1518" s="5" t="str">
        <f ca="1">IFERROR(__xludf.DUMMYFUNCTION("""COMPUTED_VALUE"""),"Băița")</f>
        <v>Băița</v>
      </c>
      <c r="N1518" s="5"/>
      <c r="O1518" s="5"/>
      <c r="P1518" s="5" t="str">
        <f ca="1">IFERROR(__xludf.DUMMYFUNCTION("""COMPUTED_VALUE"""),"Cămin bătrâni Băița, beneficiar.")</f>
        <v>Cămin bătrâni Băița, beneficiar.</v>
      </c>
      <c r="Q1518" s="5" t="str">
        <f ca="1">IFERROR(__xludf.DUMMYFUNCTION("""COMPUTED_VALUE"""),"Centre")</f>
        <v>Centre</v>
      </c>
      <c r="R1518" s="5" t="str">
        <f ca="1">IFERROR(__xludf.DUMMYFUNCTION("""COMPUTED_VALUE"""),"România")</f>
        <v>România</v>
      </c>
      <c r="S1518" s="5" t="str">
        <f ca="1">IFERROR(__xludf.DUMMYFUNCTION("""COMPUTED_VALUE"""),"Octavian")</f>
        <v>Octavian</v>
      </c>
      <c r="T1518" s="7" t="str">
        <f ca="1">IFERROR(__xludf.DUMMYFUNCTION("""COMPUTED_VALUE"""),"http://www.ms.ro/2020/08/14/buletin-informativ-14-08-2020")</f>
        <v>http://www.ms.ro/2020/08/14/buletin-informativ-14-08-2020</v>
      </c>
      <c r="U1518" s="5"/>
      <c r="V1518" s="5"/>
      <c r="W1518" s="5"/>
      <c r="X1518" s="5"/>
      <c r="Y1518" s="5"/>
      <c r="Z1518" s="5"/>
      <c r="AA1518" s="5"/>
      <c r="AB1518" s="5"/>
      <c r="AC1518" s="5"/>
    </row>
    <row r="1519" spans="1:29" ht="12.5">
      <c r="A1519" s="5">
        <f ca="1">IFERROR(__xludf.DUMMYFUNCTION("""COMPUTED_VALUE"""),66810)</f>
        <v>66810</v>
      </c>
      <c r="B1519" s="5">
        <f ca="1">IFERROR(__xludf.DUMMYFUNCTION("""COMPUTED_VALUE"""),66802)</f>
        <v>66802</v>
      </c>
      <c r="C1519" s="5" t="str">
        <f ca="1">IFERROR(__xludf.DUMMYFUNCTION("""COMPUTED_VALUE"""),"Bihor")</f>
        <v>Bihor</v>
      </c>
      <c r="D1519" s="13">
        <f ca="1">IFERROR(__xludf.DUMMYFUNCTION("""COMPUTED_VALUE"""),44057)</f>
        <v>44057</v>
      </c>
      <c r="E1519" s="5" t="str">
        <f ca="1">IFERROR(__xludf.DUMMYFUNCTION("""COMPUTED_VALUE"""),"Nu")</f>
        <v>Nu</v>
      </c>
      <c r="F1519" s="5"/>
      <c r="G1519" s="5"/>
      <c r="H1519" s="6"/>
      <c r="I1519" s="5"/>
      <c r="J1519" s="5"/>
      <c r="K1519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19" s="5"/>
      <c r="M1519" s="5" t="str">
        <f ca="1">IFERROR(__xludf.DUMMYFUNCTION("""COMPUTED_VALUE"""),"Băița")</f>
        <v>Băița</v>
      </c>
      <c r="N1519" s="5"/>
      <c r="O1519" s="5"/>
      <c r="P1519" s="5" t="str">
        <f ca="1">IFERROR(__xludf.DUMMYFUNCTION("""COMPUTED_VALUE"""),"Cămin bătrâni Băița, beneficiar.")</f>
        <v>Cămin bătrâni Băița, beneficiar.</v>
      </c>
      <c r="Q1519" s="5" t="str">
        <f ca="1">IFERROR(__xludf.DUMMYFUNCTION("""COMPUTED_VALUE"""),"Centre")</f>
        <v>Centre</v>
      </c>
      <c r="R1519" s="5" t="str">
        <f ca="1">IFERROR(__xludf.DUMMYFUNCTION("""COMPUTED_VALUE"""),"România")</f>
        <v>România</v>
      </c>
      <c r="S1519" s="5" t="str">
        <f ca="1">IFERROR(__xludf.DUMMYFUNCTION("""COMPUTED_VALUE"""),"Octavian")</f>
        <v>Octavian</v>
      </c>
      <c r="T1519" s="7" t="str">
        <f ca="1">IFERROR(__xludf.DUMMYFUNCTION("""COMPUTED_VALUE"""),"http://www.ms.ro/2020/08/14/buletin-informativ-14-08-2020")</f>
        <v>http://www.ms.ro/2020/08/14/buletin-informativ-14-08-2020</v>
      </c>
      <c r="U1519" s="5"/>
      <c r="V1519" s="5"/>
      <c r="W1519" s="5"/>
      <c r="X1519" s="5"/>
      <c r="Y1519" s="5"/>
      <c r="Z1519" s="5"/>
      <c r="AA1519" s="5"/>
      <c r="AB1519" s="5"/>
      <c r="AC1519" s="5"/>
    </row>
    <row r="1520" spans="1:29" ht="12.5">
      <c r="A1520" s="5">
        <f ca="1">IFERROR(__xludf.DUMMYFUNCTION("""COMPUTED_VALUE"""),66811)</f>
        <v>66811</v>
      </c>
      <c r="B1520" s="5">
        <f ca="1">IFERROR(__xludf.DUMMYFUNCTION("""COMPUTED_VALUE"""),66802)</f>
        <v>66802</v>
      </c>
      <c r="C1520" s="5" t="str">
        <f ca="1">IFERROR(__xludf.DUMMYFUNCTION("""COMPUTED_VALUE"""),"Bihor")</f>
        <v>Bihor</v>
      </c>
      <c r="D1520" s="13">
        <f ca="1">IFERROR(__xludf.DUMMYFUNCTION("""COMPUTED_VALUE"""),44057)</f>
        <v>44057</v>
      </c>
      <c r="E1520" s="5" t="str">
        <f ca="1">IFERROR(__xludf.DUMMYFUNCTION("""COMPUTED_VALUE"""),"Nu")</f>
        <v>Nu</v>
      </c>
      <c r="F1520" s="5"/>
      <c r="G1520" s="5"/>
      <c r="H1520" s="6"/>
      <c r="I1520" s="5"/>
      <c r="J1520" s="5"/>
      <c r="K1520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20" s="5"/>
      <c r="M1520" s="5" t="str">
        <f ca="1">IFERROR(__xludf.DUMMYFUNCTION("""COMPUTED_VALUE"""),"Băița")</f>
        <v>Băița</v>
      </c>
      <c r="N1520" s="5"/>
      <c r="O1520" s="5"/>
      <c r="P1520" s="5" t="str">
        <f ca="1">IFERROR(__xludf.DUMMYFUNCTION("""COMPUTED_VALUE"""),"Cămin bătrâni Băița, beneficiar.")</f>
        <v>Cămin bătrâni Băița, beneficiar.</v>
      </c>
      <c r="Q1520" s="5" t="str">
        <f ca="1">IFERROR(__xludf.DUMMYFUNCTION("""COMPUTED_VALUE"""),"Centre")</f>
        <v>Centre</v>
      </c>
      <c r="R1520" s="5" t="str">
        <f ca="1">IFERROR(__xludf.DUMMYFUNCTION("""COMPUTED_VALUE"""),"România")</f>
        <v>România</v>
      </c>
      <c r="S1520" s="5" t="str">
        <f ca="1">IFERROR(__xludf.DUMMYFUNCTION("""COMPUTED_VALUE"""),"Octavian")</f>
        <v>Octavian</v>
      </c>
      <c r="T1520" s="7" t="str">
        <f ca="1">IFERROR(__xludf.DUMMYFUNCTION("""COMPUTED_VALUE"""),"http://www.ms.ro/2020/08/14/buletin-informativ-14-08-2020")</f>
        <v>http://www.ms.ro/2020/08/14/buletin-informativ-14-08-2020</v>
      </c>
      <c r="U1520" s="5"/>
      <c r="V1520" s="5"/>
      <c r="W1520" s="5"/>
      <c r="X1520" s="5"/>
      <c r="Y1520" s="5"/>
      <c r="Z1520" s="5"/>
      <c r="AA1520" s="5"/>
      <c r="AB1520" s="5"/>
      <c r="AC1520" s="5"/>
    </row>
    <row r="1521" spans="1:29" ht="12.5">
      <c r="A1521" s="5">
        <f ca="1">IFERROR(__xludf.DUMMYFUNCTION("""COMPUTED_VALUE"""),66812)</f>
        <v>66812</v>
      </c>
      <c r="B1521" s="5">
        <f ca="1">IFERROR(__xludf.DUMMYFUNCTION("""COMPUTED_VALUE"""),66802)</f>
        <v>66802</v>
      </c>
      <c r="C1521" s="5" t="str">
        <f ca="1">IFERROR(__xludf.DUMMYFUNCTION("""COMPUTED_VALUE"""),"Bihor")</f>
        <v>Bihor</v>
      </c>
      <c r="D1521" s="13">
        <f ca="1">IFERROR(__xludf.DUMMYFUNCTION("""COMPUTED_VALUE"""),44057)</f>
        <v>44057</v>
      </c>
      <c r="E1521" s="5" t="str">
        <f ca="1">IFERROR(__xludf.DUMMYFUNCTION("""COMPUTED_VALUE"""),"Nu")</f>
        <v>Nu</v>
      </c>
      <c r="F1521" s="5"/>
      <c r="G1521" s="5"/>
      <c r="H1521" s="6"/>
      <c r="I1521" s="5"/>
      <c r="J1521" s="5"/>
      <c r="K1521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21" s="5"/>
      <c r="M1521" s="5" t="str">
        <f ca="1">IFERROR(__xludf.DUMMYFUNCTION("""COMPUTED_VALUE"""),"Băița")</f>
        <v>Băița</v>
      </c>
      <c r="N1521" s="5"/>
      <c r="O1521" s="5"/>
      <c r="P1521" s="5" t="str">
        <f ca="1">IFERROR(__xludf.DUMMYFUNCTION("""COMPUTED_VALUE"""),"Cămin bătrâni Băița, beneficiar.")</f>
        <v>Cămin bătrâni Băița, beneficiar.</v>
      </c>
      <c r="Q1521" s="5" t="str">
        <f ca="1">IFERROR(__xludf.DUMMYFUNCTION("""COMPUTED_VALUE"""),"Centre")</f>
        <v>Centre</v>
      </c>
      <c r="R1521" s="5" t="str">
        <f ca="1">IFERROR(__xludf.DUMMYFUNCTION("""COMPUTED_VALUE"""),"România")</f>
        <v>România</v>
      </c>
      <c r="S1521" s="5" t="str">
        <f ca="1">IFERROR(__xludf.DUMMYFUNCTION("""COMPUTED_VALUE"""),"Octavian")</f>
        <v>Octavian</v>
      </c>
      <c r="T1521" s="7" t="str">
        <f ca="1">IFERROR(__xludf.DUMMYFUNCTION("""COMPUTED_VALUE"""),"http://www.ms.ro/2020/08/14/buletin-informativ-14-08-2020")</f>
        <v>http://www.ms.ro/2020/08/14/buletin-informativ-14-08-2020</v>
      </c>
      <c r="U1521" s="5"/>
      <c r="V1521" s="5"/>
      <c r="W1521" s="5"/>
      <c r="X1521" s="5"/>
      <c r="Y1521" s="5"/>
      <c r="Z1521" s="5"/>
      <c r="AA1521" s="5"/>
      <c r="AB1521" s="5"/>
      <c r="AC1521" s="5"/>
    </row>
    <row r="1522" spans="1:29" ht="12.5">
      <c r="A1522" s="5">
        <f ca="1">IFERROR(__xludf.DUMMYFUNCTION("""COMPUTED_VALUE"""),66813)</f>
        <v>66813</v>
      </c>
      <c r="B1522" s="5">
        <f ca="1">IFERROR(__xludf.DUMMYFUNCTION("""COMPUTED_VALUE"""),66802)</f>
        <v>66802</v>
      </c>
      <c r="C1522" s="5" t="str">
        <f ca="1">IFERROR(__xludf.DUMMYFUNCTION("""COMPUTED_VALUE"""),"Bihor")</f>
        <v>Bihor</v>
      </c>
      <c r="D1522" s="13">
        <f ca="1">IFERROR(__xludf.DUMMYFUNCTION("""COMPUTED_VALUE"""),44057)</f>
        <v>44057</v>
      </c>
      <c r="E1522" s="5" t="str">
        <f ca="1">IFERROR(__xludf.DUMMYFUNCTION("""COMPUTED_VALUE"""),"Nu")</f>
        <v>Nu</v>
      </c>
      <c r="F1522" s="5"/>
      <c r="G1522" s="5"/>
      <c r="H1522" s="6"/>
      <c r="I1522" s="5"/>
      <c r="J1522" s="5"/>
      <c r="K1522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22" s="5"/>
      <c r="M1522" s="5" t="str">
        <f ca="1">IFERROR(__xludf.DUMMYFUNCTION("""COMPUTED_VALUE"""),"Băița")</f>
        <v>Băița</v>
      </c>
      <c r="N1522" s="5"/>
      <c r="O1522" s="5"/>
      <c r="P1522" s="5" t="str">
        <f ca="1">IFERROR(__xludf.DUMMYFUNCTION("""COMPUTED_VALUE"""),"Cămin bătrâni Băița, beneficiar.")</f>
        <v>Cămin bătrâni Băița, beneficiar.</v>
      </c>
      <c r="Q1522" s="5" t="str">
        <f ca="1">IFERROR(__xludf.DUMMYFUNCTION("""COMPUTED_VALUE"""),"Centre")</f>
        <v>Centre</v>
      </c>
      <c r="R1522" s="5" t="str">
        <f ca="1">IFERROR(__xludf.DUMMYFUNCTION("""COMPUTED_VALUE"""),"România")</f>
        <v>România</v>
      </c>
      <c r="S1522" s="5" t="str">
        <f ca="1">IFERROR(__xludf.DUMMYFUNCTION("""COMPUTED_VALUE"""),"Octavian")</f>
        <v>Octavian</v>
      </c>
      <c r="T1522" s="7" t="str">
        <f ca="1">IFERROR(__xludf.DUMMYFUNCTION("""COMPUTED_VALUE"""),"http://www.ms.ro/2020/08/14/buletin-informativ-14-08-2020")</f>
        <v>http://www.ms.ro/2020/08/14/buletin-informativ-14-08-2020</v>
      </c>
      <c r="U1522" s="5"/>
      <c r="V1522" s="5"/>
      <c r="W1522" s="5"/>
      <c r="X1522" s="5"/>
      <c r="Y1522" s="5"/>
      <c r="Z1522" s="5"/>
      <c r="AA1522" s="5"/>
      <c r="AB1522" s="5"/>
      <c r="AC1522" s="5"/>
    </row>
    <row r="1523" spans="1:29" ht="12.5">
      <c r="A1523" s="5">
        <f ca="1">IFERROR(__xludf.DUMMYFUNCTION("""COMPUTED_VALUE"""),66814)</f>
        <v>66814</v>
      </c>
      <c r="B1523" s="5">
        <f ca="1">IFERROR(__xludf.DUMMYFUNCTION("""COMPUTED_VALUE"""),66802)</f>
        <v>66802</v>
      </c>
      <c r="C1523" s="5" t="str">
        <f ca="1">IFERROR(__xludf.DUMMYFUNCTION("""COMPUTED_VALUE"""),"Bihor")</f>
        <v>Bihor</v>
      </c>
      <c r="D1523" s="13">
        <f ca="1">IFERROR(__xludf.DUMMYFUNCTION("""COMPUTED_VALUE"""),44057)</f>
        <v>44057</v>
      </c>
      <c r="E1523" s="5" t="str">
        <f ca="1">IFERROR(__xludf.DUMMYFUNCTION("""COMPUTED_VALUE"""),"Nu")</f>
        <v>Nu</v>
      </c>
      <c r="F1523" s="5"/>
      <c r="G1523" s="5"/>
      <c r="H1523" s="6"/>
      <c r="I1523" s="5"/>
      <c r="J1523" s="5"/>
      <c r="K1523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23" s="5"/>
      <c r="M1523" s="5" t="str">
        <f ca="1">IFERROR(__xludf.DUMMYFUNCTION("""COMPUTED_VALUE"""),"Băița")</f>
        <v>Băița</v>
      </c>
      <c r="N1523" s="5"/>
      <c r="O1523" s="5"/>
      <c r="P1523" s="5" t="str">
        <f ca="1">IFERROR(__xludf.DUMMYFUNCTION("""COMPUTED_VALUE"""),"Cămin bătrâni Băița, beneficiar.")</f>
        <v>Cămin bătrâni Băița, beneficiar.</v>
      </c>
      <c r="Q1523" s="5" t="str">
        <f ca="1">IFERROR(__xludf.DUMMYFUNCTION("""COMPUTED_VALUE"""),"Centre")</f>
        <v>Centre</v>
      </c>
      <c r="R1523" s="5" t="str">
        <f ca="1">IFERROR(__xludf.DUMMYFUNCTION("""COMPUTED_VALUE"""),"România")</f>
        <v>România</v>
      </c>
      <c r="S1523" s="5" t="str">
        <f ca="1">IFERROR(__xludf.DUMMYFUNCTION("""COMPUTED_VALUE"""),"Octavian")</f>
        <v>Octavian</v>
      </c>
      <c r="T1523" s="7" t="str">
        <f ca="1">IFERROR(__xludf.DUMMYFUNCTION("""COMPUTED_VALUE"""),"http://www.ms.ro/2020/08/14/buletin-informativ-14-08-2020")</f>
        <v>http://www.ms.ro/2020/08/14/buletin-informativ-14-08-2020</v>
      </c>
      <c r="U1523" s="5"/>
      <c r="V1523" s="5"/>
      <c r="W1523" s="5"/>
      <c r="X1523" s="5"/>
      <c r="Y1523" s="5"/>
      <c r="Z1523" s="5"/>
      <c r="AA1523" s="5"/>
      <c r="AB1523" s="5"/>
      <c r="AC1523" s="5"/>
    </row>
    <row r="1524" spans="1:29" ht="12.5">
      <c r="A1524" s="5">
        <f ca="1">IFERROR(__xludf.DUMMYFUNCTION("""COMPUTED_VALUE"""),66815)</f>
        <v>66815</v>
      </c>
      <c r="B1524" s="5">
        <f ca="1">IFERROR(__xludf.DUMMYFUNCTION("""COMPUTED_VALUE"""),66802)</f>
        <v>66802</v>
      </c>
      <c r="C1524" s="5" t="str">
        <f ca="1">IFERROR(__xludf.DUMMYFUNCTION("""COMPUTED_VALUE"""),"Bihor")</f>
        <v>Bihor</v>
      </c>
      <c r="D1524" s="13">
        <f ca="1">IFERROR(__xludf.DUMMYFUNCTION("""COMPUTED_VALUE"""),44057)</f>
        <v>44057</v>
      </c>
      <c r="E1524" s="5" t="str">
        <f ca="1">IFERROR(__xludf.DUMMYFUNCTION("""COMPUTED_VALUE"""),"Nu")</f>
        <v>Nu</v>
      </c>
      <c r="F1524" s="5"/>
      <c r="G1524" s="5"/>
      <c r="H1524" s="6"/>
      <c r="I1524" s="5"/>
      <c r="J1524" s="5"/>
      <c r="K1524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24" s="5"/>
      <c r="M1524" s="5" t="str">
        <f ca="1">IFERROR(__xludf.DUMMYFUNCTION("""COMPUTED_VALUE"""),"Băița")</f>
        <v>Băița</v>
      </c>
      <c r="N1524" s="5"/>
      <c r="O1524" s="5"/>
      <c r="P1524" s="5" t="str">
        <f ca="1">IFERROR(__xludf.DUMMYFUNCTION("""COMPUTED_VALUE"""),"Cămin bătrâni Băița, beneficiar.")</f>
        <v>Cămin bătrâni Băița, beneficiar.</v>
      </c>
      <c r="Q1524" s="5" t="str">
        <f ca="1">IFERROR(__xludf.DUMMYFUNCTION("""COMPUTED_VALUE"""),"Centre")</f>
        <v>Centre</v>
      </c>
      <c r="R1524" s="5" t="str">
        <f ca="1">IFERROR(__xludf.DUMMYFUNCTION("""COMPUTED_VALUE"""),"România")</f>
        <v>România</v>
      </c>
      <c r="S1524" s="5" t="str">
        <f ca="1">IFERROR(__xludf.DUMMYFUNCTION("""COMPUTED_VALUE"""),"Octavian")</f>
        <v>Octavian</v>
      </c>
      <c r="T1524" s="7" t="str">
        <f ca="1">IFERROR(__xludf.DUMMYFUNCTION("""COMPUTED_VALUE"""),"http://www.ms.ro/2020/08/14/buletin-informativ-14-08-2020")</f>
        <v>http://www.ms.ro/2020/08/14/buletin-informativ-14-08-2020</v>
      </c>
      <c r="U1524" s="5"/>
      <c r="V1524" s="5"/>
      <c r="W1524" s="5"/>
      <c r="X1524" s="5"/>
      <c r="Y1524" s="5"/>
      <c r="Z1524" s="5"/>
      <c r="AA1524" s="5"/>
      <c r="AB1524" s="5"/>
      <c r="AC1524" s="5"/>
    </row>
    <row r="1525" spans="1:29" ht="12.5">
      <c r="A1525" s="5">
        <f ca="1">IFERROR(__xludf.DUMMYFUNCTION("""COMPUTED_VALUE"""),66816)</f>
        <v>66816</v>
      </c>
      <c r="B1525" s="5"/>
      <c r="C1525" s="5" t="str">
        <f ca="1">IFERROR(__xludf.DUMMYFUNCTION("""COMPUTED_VALUE"""),"Bihor")</f>
        <v>Bihor</v>
      </c>
      <c r="D1525" s="13">
        <f ca="1">IFERROR(__xludf.DUMMYFUNCTION("""COMPUTED_VALUE"""),44057)</f>
        <v>44057</v>
      </c>
      <c r="E1525" s="5" t="str">
        <f ca="1">IFERROR(__xludf.DUMMYFUNCTION("""COMPUTED_VALUE"""),"Nu")</f>
        <v>Nu</v>
      </c>
      <c r="F1525" s="5"/>
      <c r="G1525" s="5"/>
      <c r="H1525" s="6"/>
      <c r="I1525" s="5"/>
      <c r="J1525" s="5"/>
      <c r="K1525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25" s="5"/>
      <c r="M1525" s="5" t="str">
        <f ca="1">IFERROR(__xludf.DUMMYFUNCTION("""COMPUTED_VALUE"""),"Avram Iancu")</f>
        <v>Avram Iancu</v>
      </c>
      <c r="N1525" s="5"/>
      <c r="O1525" s="5"/>
      <c r="P1525" s="5"/>
      <c r="Q1525" s="5"/>
      <c r="R1525" s="5" t="str">
        <f ca="1">IFERROR(__xludf.DUMMYFUNCTION("""COMPUTED_VALUE"""),"România")</f>
        <v>România</v>
      </c>
      <c r="S1525" s="5" t="str">
        <f ca="1">IFERROR(__xludf.DUMMYFUNCTION("""COMPUTED_VALUE"""),"Octavian")</f>
        <v>Octavian</v>
      </c>
      <c r="T1525" s="7" t="str">
        <f ca="1">IFERROR(__xludf.DUMMYFUNCTION("""COMPUTED_VALUE"""),"http://www.ms.ro/2020/08/14/buletin-informativ-14-08-2020")</f>
        <v>http://www.ms.ro/2020/08/14/buletin-informativ-14-08-2020</v>
      </c>
      <c r="U1525" s="5"/>
      <c r="V1525" s="5"/>
      <c r="W1525" s="5"/>
      <c r="X1525" s="5"/>
      <c r="Y1525" s="5"/>
      <c r="Z1525" s="5"/>
      <c r="AA1525" s="5"/>
      <c r="AB1525" s="5"/>
      <c r="AC1525" s="5"/>
    </row>
    <row r="1526" spans="1:29" ht="12.5">
      <c r="A1526" s="5">
        <f ca="1">IFERROR(__xludf.DUMMYFUNCTION("""COMPUTED_VALUE"""),66817)</f>
        <v>66817</v>
      </c>
      <c r="B1526" s="5"/>
      <c r="C1526" s="5" t="str">
        <f ca="1">IFERROR(__xludf.DUMMYFUNCTION("""COMPUTED_VALUE"""),"Bihor")</f>
        <v>Bihor</v>
      </c>
      <c r="D1526" s="13">
        <f ca="1">IFERROR(__xludf.DUMMYFUNCTION("""COMPUTED_VALUE"""),44057)</f>
        <v>44057</v>
      </c>
      <c r="E1526" s="5" t="str">
        <f ca="1">IFERROR(__xludf.DUMMYFUNCTION("""COMPUTED_VALUE"""),"Nu")</f>
        <v>Nu</v>
      </c>
      <c r="F1526" s="5"/>
      <c r="G1526" s="5"/>
      <c r="H1526" s="6"/>
      <c r="I1526" s="5"/>
      <c r="J1526" s="5"/>
      <c r="K1526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26" s="5"/>
      <c r="M1526" s="5" t="str">
        <f ca="1">IFERROR(__xludf.DUMMYFUNCTION("""COMPUTED_VALUE"""),"Tinca")</f>
        <v>Tinca</v>
      </c>
      <c r="N1526" s="5"/>
      <c r="O1526" s="5"/>
      <c r="P1526" s="5"/>
      <c r="Q1526" s="5"/>
      <c r="R1526" s="5" t="str">
        <f ca="1">IFERROR(__xludf.DUMMYFUNCTION("""COMPUTED_VALUE"""),"România")</f>
        <v>România</v>
      </c>
      <c r="S1526" s="5" t="str">
        <f ca="1">IFERROR(__xludf.DUMMYFUNCTION("""COMPUTED_VALUE"""),"Octavian")</f>
        <v>Octavian</v>
      </c>
      <c r="T1526" s="7" t="str">
        <f ca="1">IFERROR(__xludf.DUMMYFUNCTION("""COMPUTED_VALUE"""),"http://www.ms.ro/2020/08/14/buletin-informativ-14-08-2020")</f>
        <v>http://www.ms.ro/2020/08/14/buletin-informativ-14-08-2020</v>
      </c>
      <c r="U1526" s="5"/>
      <c r="V1526" s="5"/>
      <c r="W1526" s="5"/>
      <c r="X1526" s="5"/>
      <c r="Y1526" s="5"/>
      <c r="Z1526" s="5"/>
      <c r="AA1526" s="5"/>
      <c r="AB1526" s="5"/>
      <c r="AC1526" s="5"/>
    </row>
    <row r="1527" spans="1:29" ht="12.5">
      <c r="A1527" s="5">
        <f ca="1">IFERROR(__xludf.DUMMYFUNCTION("""COMPUTED_VALUE"""),66818)</f>
        <v>66818</v>
      </c>
      <c r="B1527" s="5"/>
      <c r="C1527" s="5" t="str">
        <f ca="1">IFERROR(__xludf.DUMMYFUNCTION("""COMPUTED_VALUE"""),"Bihor")</f>
        <v>Bihor</v>
      </c>
      <c r="D1527" s="13">
        <f ca="1">IFERROR(__xludf.DUMMYFUNCTION("""COMPUTED_VALUE"""),44057)</f>
        <v>44057</v>
      </c>
      <c r="E1527" s="5" t="str">
        <f ca="1">IFERROR(__xludf.DUMMYFUNCTION("""COMPUTED_VALUE"""),"Nu")</f>
        <v>Nu</v>
      </c>
      <c r="F1527" s="5"/>
      <c r="G1527" s="5"/>
      <c r="H1527" s="6"/>
      <c r="I1527" s="5"/>
      <c r="J1527" s="5"/>
      <c r="K1527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27" s="5"/>
      <c r="M1527" s="5" t="str">
        <f ca="1">IFERROR(__xludf.DUMMYFUNCTION("""COMPUTED_VALUE"""),"Pocola")</f>
        <v>Pocola</v>
      </c>
      <c r="N1527" s="5"/>
      <c r="O1527" s="5"/>
      <c r="P1527" s="5"/>
      <c r="Q1527" s="5"/>
      <c r="R1527" s="5" t="str">
        <f ca="1">IFERROR(__xludf.DUMMYFUNCTION("""COMPUTED_VALUE"""),"România")</f>
        <v>România</v>
      </c>
      <c r="S1527" s="5" t="str">
        <f ca="1">IFERROR(__xludf.DUMMYFUNCTION("""COMPUTED_VALUE"""),"Octavian")</f>
        <v>Octavian</v>
      </c>
      <c r="T1527" s="7" t="str">
        <f ca="1">IFERROR(__xludf.DUMMYFUNCTION("""COMPUTED_VALUE"""),"http://www.ms.ro/2020/08/14/buletin-informativ-14-08-2020")</f>
        <v>http://www.ms.ro/2020/08/14/buletin-informativ-14-08-2020</v>
      </c>
      <c r="U1527" s="5"/>
      <c r="V1527" s="5"/>
      <c r="W1527" s="5"/>
      <c r="X1527" s="5"/>
      <c r="Y1527" s="5"/>
      <c r="Z1527" s="5"/>
      <c r="AA1527" s="5"/>
      <c r="AB1527" s="5"/>
      <c r="AC1527" s="5"/>
    </row>
    <row r="1528" spans="1:29" ht="12.5">
      <c r="A1528" s="5">
        <f ca="1">IFERROR(__xludf.DUMMYFUNCTION("""COMPUTED_VALUE"""),66819)</f>
        <v>66819</v>
      </c>
      <c r="B1528" s="5"/>
      <c r="C1528" s="5" t="str">
        <f ca="1">IFERROR(__xludf.DUMMYFUNCTION("""COMPUTED_VALUE"""),"Bihor")</f>
        <v>Bihor</v>
      </c>
      <c r="D1528" s="13">
        <f ca="1">IFERROR(__xludf.DUMMYFUNCTION("""COMPUTED_VALUE"""),44057)</f>
        <v>44057</v>
      </c>
      <c r="E1528" s="5" t="str">
        <f ca="1">IFERROR(__xludf.DUMMYFUNCTION("""COMPUTED_VALUE"""),"Nu")</f>
        <v>Nu</v>
      </c>
      <c r="F1528" s="5"/>
      <c r="G1528" s="5"/>
      <c r="H1528" s="6"/>
      <c r="I1528" s="5"/>
      <c r="J1528" s="5"/>
      <c r="K1528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28" s="5"/>
      <c r="M1528" s="5" t="str">
        <f ca="1">IFERROR(__xludf.DUMMYFUNCTION("""COMPUTED_VALUE"""),"Valea lui Mihai")</f>
        <v>Valea lui Mihai</v>
      </c>
      <c r="N1528" s="5"/>
      <c r="O1528" s="5"/>
      <c r="P1528" s="5"/>
      <c r="Q1528" s="5"/>
      <c r="R1528" s="5" t="str">
        <f ca="1">IFERROR(__xludf.DUMMYFUNCTION("""COMPUTED_VALUE"""),"România")</f>
        <v>România</v>
      </c>
      <c r="S1528" s="5" t="str">
        <f ca="1">IFERROR(__xludf.DUMMYFUNCTION("""COMPUTED_VALUE"""),"Octavian")</f>
        <v>Octavian</v>
      </c>
      <c r="T1528" s="7" t="str">
        <f ca="1">IFERROR(__xludf.DUMMYFUNCTION("""COMPUTED_VALUE"""),"http://www.ms.ro/2020/08/14/buletin-informativ-14-08-2020")</f>
        <v>http://www.ms.ro/2020/08/14/buletin-informativ-14-08-2020</v>
      </c>
      <c r="U1528" s="5"/>
      <c r="V1528" s="5"/>
      <c r="W1528" s="5"/>
      <c r="X1528" s="5"/>
      <c r="Y1528" s="5"/>
      <c r="Z1528" s="5"/>
      <c r="AA1528" s="5"/>
      <c r="AB1528" s="5"/>
      <c r="AC1528" s="5"/>
    </row>
    <row r="1529" spans="1:29" ht="12.5">
      <c r="A1529" s="5">
        <f ca="1">IFERROR(__xludf.DUMMYFUNCTION("""COMPUTED_VALUE"""),66820)</f>
        <v>66820</v>
      </c>
      <c r="B1529" s="5"/>
      <c r="C1529" s="5" t="str">
        <f ca="1">IFERROR(__xludf.DUMMYFUNCTION("""COMPUTED_VALUE"""),"Bihor")</f>
        <v>Bihor</v>
      </c>
      <c r="D1529" s="13">
        <f ca="1">IFERROR(__xludf.DUMMYFUNCTION("""COMPUTED_VALUE"""),44057)</f>
        <v>44057</v>
      </c>
      <c r="E1529" s="5" t="str">
        <f ca="1">IFERROR(__xludf.DUMMYFUNCTION("""COMPUTED_VALUE"""),"Nu")</f>
        <v>Nu</v>
      </c>
      <c r="F1529" s="5"/>
      <c r="G1529" s="5"/>
      <c r="H1529" s="6"/>
      <c r="I1529" s="5"/>
      <c r="J1529" s="5"/>
      <c r="K1529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29" s="5"/>
      <c r="M1529" s="5" t="str">
        <f ca="1">IFERROR(__xludf.DUMMYFUNCTION("""COMPUTED_VALUE"""),"Lugașu de Jos")</f>
        <v>Lugașu de Jos</v>
      </c>
      <c r="N1529" s="5"/>
      <c r="O1529" s="5"/>
      <c r="P1529" s="5"/>
      <c r="Q1529" s="5"/>
      <c r="R1529" s="5" t="str">
        <f ca="1">IFERROR(__xludf.DUMMYFUNCTION("""COMPUTED_VALUE"""),"România")</f>
        <v>România</v>
      </c>
      <c r="S1529" s="5" t="str">
        <f ca="1">IFERROR(__xludf.DUMMYFUNCTION("""COMPUTED_VALUE"""),"Octavian")</f>
        <v>Octavian</v>
      </c>
      <c r="T1529" s="7" t="str">
        <f ca="1">IFERROR(__xludf.DUMMYFUNCTION("""COMPUTED_VALUE"""),"http://www.ms.ro/2020/08/14/buletin-informativ-14-08-2020")</f>
        <v>http://www.ms.ro/2020/08/14/buletin-informativ-14-08-2020</v>
      </c>
      <c r="U1529" s="5"/>
      <c r="V1529" s="5"/>
      <c r="W1529" s="5"/>
      <c r="X1529" s="5"/>
      <c r="Y1529" s="5"/>
      <c r="Z1529" s="5"/>
      <c r="AA1529" s="5"/>
      <c r="AB1529" s="5"/>
      <c r="AC1529" s="5"/>
    </row>
    <row r="1530" spans="1:29" ht="12.5">
      <c r="A1530" s="5">
        <f ca="1">IFERROR(__xludf.DUMMYFUNCTION("""COMPUTED_VALUE"""),66821)</f>
        <v>66821</v>
      </c>
      <c r="B1530" s="5"/>
      <c r="C1530" s="5" t="str">
        <f ca="1">IFERROR(__xludf.DUMMYFUNCTION("""COMPUTED_VALUE"""),"Bihor")</f>
        <v>Bihor</v>
      </c>
      <c r="D1530" s="13">
        <f ca="1">IFERROR(__xludf.DUMMYFUNCTION("""COMPUTED_VALUE"""),44057)</f>
        <v>44057</v>
      </c>
      <c r="E1530" s="5" t="str">
        <f ca="1">IFERROR(__xludf.DUMMYFUNCTION("""COMPUTED_VALUE"""),"Nu")</f>
        <v>Nu</v>
      </c>
      <c r="F1530" s="5"/>
      <c r="G1530" s="5"/>
      <c r="H1530" s="6"/>
      <c r="I1530" s="5"/>
      <c r="J1530" s="5"/>
      <c r="K1530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30" s="5"/>
      <c r="M1530" s="5" t="str">
        <f ca="1">IFERROR(__xludf.DUMMYFUNCTION("""COMPUTED_VALUE"""),"Rieni")</f>
        <v>Rieni</v>
      </c>
      <c r="N1530" s="5"/>
      <c r="O1530" s="5"/>
      <c r="P1530" s="5"/>
      <c r="Q1530" s="5"/>
      <c r="R1530" s="5" t="str">
        <f ca="1">IFERROR(__xludf.DUMMYFUNCTION("""COMPUTED_VALUE"""),"România")</f>
        <v>România</v>
      </c>
      <c r="S1530" s="5" t="str">
        <f ca="1">IFERROR(__xludf.DUMMYFUNCTION("""COMPUTED_VALUE"""),"Octavian")</f>
        <v>Octavian</v>
      </c>
      <c r="T1530" s="7" t="str">
        <f ca="1">IFERROR(__xludf.DUMMYFUNCTION("""COMPUTED_VALUE"""),"http://www.ms.ro/2020/08/14/buletin-informativ-14-08-2020")</f>
        <v>http://www.ms.ro/2020/08/14/buletin-informativ-14-08-2020</v>
      </c>
      <c r="U1530" s="5"/>
      <c r="V1530" s="5"/>
      <c r="W1530" s="5"/>
      <c r="X1530" s="5"/>
      <c r="Y1530" s="5"/>
      <c r="Z1530" s="5"/>
      <c r="AA1530" s="5"/>
      <c r="AB1530" s="5"/>
      <c r="AC1530" s="5"/>
    </row>
    <row r="1531" spans="1:29" ht="12.5">
      <c r="A1531" s="5">
        <f ca="1">IFERROR(__xludf.DUMMYFUNCTION("""COMPUTED_VALUE"""),66822)</f>
        <v>66822</v>
      </c>
      <c r="B1531" s="5"/>
      <c r="C1531" s="5" t="str">
        <f ca="1">IFERROR(__xludf.DUMMYFUNCTION("""COMPUTED_VALUE"""),"Bihor")</f>
        <v>Bihor</v>
      </c>
      <c r="D1531" s="13">
        <f ca="1">IFERROR(__xludf.DUMMYFUNCTION("""COMPUTED_VALUE"""),44057)</f>
        <v>44057</v>
      </c>
      <c r="E1531" s="5" t="str">
        <f ca="1">IFERROR(__xludf.DUMMYFUNCTION("""COMPUTED_VALUE"""),"Nu")</f>
        <v>Nu</v>
      </c>
      <c r="F1531" s="5"/>
      <c r="G1531" s="5"/>
      <c r="H1531" s="6"/>
      <c r="I1531" s="5"/>
      <c r="J1531" s="5"/>
      <c r="K1531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31" s="5"/>
      <c r="M1531" s="5" t="str">
        <f ca="1">IFERROR(__xludf.DUMMYFUNCTION("""COMPUTED_VALUE"""),"Sântandrei")</f>
        <v>Sântandrei</v>
      </c>
      <c r="N1531" s="5"/>
      <c r="O1531" s="5"/>
      <c r="P1531" s="5"/>
      <c r="Q1531" s="5"/>
      <c r="R1531" s="5" t="str">
        <f ca="1">IFERROR(__xludf.DUMMYFUNCTION("""COMPUTED_VALUE"""),"România")</f>
        <v>România</v>
      </c>
      <c r="S1531" s="5" t="str">
        <f ca="1">IFERROR(__xludf.DUMMYFUNCTION("""COMPUTED_VALUE"""),"Octavian")</f>
        <v>Octavian</v>
      </c>
      <c r="T1531" s="7" t="str">
        <f ca="1">IFERROR(__xludf.DUMMYFUNCTION("""COMPUTED_VALUE"""),"http://www.ms.ro/2020/08/14/buletin-informativ-14-08-2020")</f>
        <v>http://www.ms.ro/2020/08/14/buletin-informativ-14-08-2020</v>
      </c>
      <c r="U1531" s="5"/>
      <c r="V1531" s="5"/>
      <c r="W1531" s="5"/>
      <c r="X1531" s="5"/>
      <c r="Y1531" s="5"/>
      <c r="Z1531" s="5"/>
      <c r="AA1531" s="5"/>
      <c r="AB1531" s="5"/>
      <c r="AC1531" s="5"/>
    </row>
    <row r="1532" spans="1:29" ht="12.5">
      <c r="A1532" s="5">
        <f ca="1">IFERROR(__xludf.DUMMYFUNCTION("""COMPUTED_VALUE"""),66823)</f>
        <v>66823</v>
      </c>
      <c r="B1532" s="5"/>
      <c r="C1532" s="5" t="str">
        <f ca="1">IFERROR(__xludf.DUMMYFUNCTION("""COMPUTED_VALUE"""),"Bihor")</f>
        <v>Bihor</v>
      </c>
      <c r="D1532" s="13">
        <f ca="1">IFERROR(__xludf.DUMMYFUNCTION("""COMPUTED_VALUE"""),44057)</f>
        <v>44057</v>
      </c>
      <c r="E1532" s="5" t="str">
        <f ca="1">IFERROR(__xludf.DUMMYFUNCTION("""COMPUTED_VALUE"""),"Nu")</f>
        <v>Nu</v>
      </c>
      <c r="F1532" s="5"/>
      <c r="G1532" s="5"/>
      <c r="H1532" s="6"/>
      <c r="I1532" s="5"/>
      <c r="J1532" s="5"/>
      <c r="K1532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32" s="5"/>
      <c r="M1532" s="5" t="str">
        <f ca="1">IFERROR(__xludf.DUMMYFUNCTION("""COMPUTED_VALUE"""),"Oșorhei")</f>
        <v>Oșorhei</v>
      </c>
      <c r="N1532" s="5"/>
      <c r="O1532" s="5"/>
      <c r="P1532" s="5"/>
      <c r="Q1532" s="5"/>
      <c r="R1532" s="5" t="str">
        <f ca="1">IFERROR(__xludf.DUMMYFUNCTION("""COMPUTED_VALUE"""),"România")</f>
        <v>România</v>
      </c>
      <c r="S1532" s="5" t="str">
        <f ca="1">IFERROR(__xludf.DUMMYFUNCTION("""COMPUTED_VALUE"""),"Octavian")</f>
        <v>Octavian</v>
      </c>
      <c r="T1532" s="7" t="str">
        <f ca="1">IFERROR(__xludf.DUMMYFUNCTION("""COMPUTED_VALUE"""),"http://www.ms.ro/2020/08/14/buletin-informativ-14-08-2020")</f>
        <v>http://www.ms.ro/2020/08/14/buletin-informativ-14-08-2020</v>
      </c>
      <c r="U1532" s="5"/>
      <c r="V1532" s="5"/>
      <c r="W1532" s="5"/>
      <c r="X1532" s="5"/>
      <c r="Y1532" s="5"/>
      <c r="Z1532" s="5"/>
      <c r="AA1532" s="5"/>
      <c r="AB1532" s="5"/>
      <c r="AC1532" s="5"/>
    </row>
    <row r="1533" spans="1:29" ht="12.5">
      <c r="A1533" s="5">
        <f ca="1">IFERROR(__xludf.DUMMYFUNCTION("""COMPUTED_VALUE"""),66824)</f>
        <v>66824</v>
      </c>
      <c r="B1533" s="5"/>
      <c r="C1533" s="5" t="str">
        <f ca="1">IFERROR(__xludf.DUMMYFUNCTION("""COMPUTED_VALUE"""),"Bihor")</f>
        <v>Bihor</v>
      </c>
      <c r="D1533" s="13">
        <f ca="1">IFERROR(__xludf.DUMMYFUNCTION("""COMPUTED_VALUE"""),44057)</f>
        <v>44057</v>
      </c>
      <c r="E1533" s="5" t="str">
        <f ca="1">IFERROR(__xludf.DUMMYFUNCTION("""COMPUTED_VALUE"""),"Nu")</f>
        <v>Nu</v>
      </c>
      <c r="F1533" s="5"/>
      <c r="G1533" s="5"/>
      <c r="H1533" s="6"/>
      <c r="I1533" s="5"/>
      <c r="J1533" s="5"/>
      <c r="K1533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33" s="5"/>
      <c r="M1533" s="5" t="str">
        <f ca="1">IFERROR(__xludf.DUMMYFUNCTION("""COMPUTED_VALUE"""),"Tulca")</f>
        <v>Tulca</v>
      </c>
      <c r="N1533" s="5"/>
      <c r="O1533" s="5"/>
      <c r="P1533" s="5"/>
      <c r="Q1533" s="5"/>
      <c r="R1533" s="5" t="str">
        <f ca="1">IFERROR(__xludf.DUMMYFUNCTION("""COMPUTED_VALUE"""),"România")</f>
        <v>România</v>
      </c>
      <c r="S1533" s="5" t="str">
        <f ca="1">IFERROR(__xludf.DUMMYFUNCTION("""COMPUTED_VALUE"""),"Octavian")</f>
        <v>Octavian</v>
      </c>
      <c r="T1533" s="7" t="str">
        <f ca="1">IFERROR(__xludf.DUMMYFUNCTION("""COMPUTED_VALUE"""),"http://www.ms.ro/2020/08/14/buletin-informativ-14-08-2020")</f>
        <v>http://www.ms.ro/2020/08/14/buletin-informativ-14-08-2020</v>
      </c>
      <c r="U1533" s="5"/>
      <c r="V1533" s="5"/>
      <c r="W1533" s="5"/>
      <c r="X1533" s="5"/>
      <c r="Y1533" s="5"/>
      <c r="Z1533" s="5"/>
      <c r="AA1533" s="5"/>
      <c r="AB1533" s="5"/>
      <c r="AC1533" s="5"/>
    </row>
    <row r="1534" spans="1:29" ht="12.5">
      <c r="A1534" s="5">
        <f ca="1">IFERROR(__xludf.DUMMYFUNCTION("""COMPUTED_VALUE"""),66825)</f>
        <v>66825</v>
      </c>
      <c r="B1534" s="5"/>
      <c r="C1534" s="5" t="str">
        <f ca="1">IFERROR(__xludf.DUMMYFUNCTION("""COMPUTED_VALUE"""),"Bihor")</f>
        <v>Bihor</v>
      </c>
      <c r="D1534" s="13">
        <f ca="1">IFERROR(__xludf.DUMMYFUNCTION("""COMPUTED_VALUE"""),44057)</f>
        <v>44057</v>
      </c>
      <c r="E1534" s="5" t="str">
        <f ca="1">IFERROR(__xludf.DUMMYFUNCTION("""COMPUTED_VALUE"""),"Nu")</f>
        <v>Nu</v>
      </c>
      <c r="F1534" s="5"/>
      <c r="G1534" s="5"/>
      <c r="H1534" s="6"/>
      <c r="I1534" s="5"/>
      <c r="J1534" s="5"/>
      <c r="K1534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34" s="5"/>
      <c r="M1534" s="5" t="str">
        <f ca="1">IFERROR(__xludf.DUMMYFUNCTION("""COMPUTED_VALUE"""),"Buntești")</f>
        <v>Buntești</v>
      </c>
      <c r="N1534" s="5"/>
      <c r="O1534" s="5"/>
      <c r="P1534" s="5"/>
      <c r="Q1534" s="5"/>
      <c r="R1534" s="5" t="str">
        <f ca="1">IFERROR(__xludf.DUMMYFUNCTION("""COMPUTED_VALUE"""),"România")</f>
        <v>România</v>
      </c>
      <c r="S1534" s="5" t="str">
        <f ca="1">IFERROR(__xludf.DUMMYFUNCTION("""COMPUTED_VALUE"""),"Octavian")</f>
        <v>Octavian</v>
      </c>
      <c r="T1534" s="7" t="str">
        <f ca="1">IFERROR(__xludf.DUMMYFUNCTION("""COMPUTED_VALUE"""),"http://www.ms.ro/2020/08/14/buletin-informativ-14-08-2020")</f>
        <v>http://www.ms.ro/2020/08/14/buletin-informativ-14-08-2020</v>
      </c>
      <c r="U1534" s="5"/>
      <c r="V1534" s="5"/>
      <c r="W1534" s="5"/>
      <c r="X1534" s="5"/>
      <c r="Y1534" s="5"/>
      <c r="Z1534" s="5"/>
      <c r="AA1534" s="5"/>
      <c r="AB1534" s="5"/>
      <c r="AC1534" s="5"/>
    </row>
    <row r="1535" spans="1:29" ht="12.5">
      <c r="A1535" s="5">
        <f ca="1">IFERROR(__xludf.DUMMYFUNCTION("""COMPUTED_VALUE"""),66826)</f>
        <v>66826</v>
      </c>
      <c r="B1535" s="5"/>
      <c r="C1535" s="5" t="str">
        <f ca="1">IFERROR(__xludf.DUMMYFUNCTION("""COMPUTED_VALUE"""),"Bihor")</f>
        <v>Bihor</v>
      </c>
      <c r="D1535" s="13">
        <f ca="1">IFERROR(__xludf.DUMMYFUNCTION("""COMPUTED_VALUE"""),44057)</f>
        <v>44057</v>
      </c>
      <c r="E1535" s="5" t="str">
        <f ca="1">IFERROR(__xludf.DUMMYFUNCTION("""COMPUTED_VALUE"""),"Nu")</f>
        <v>Nu</v>
      </c>
      <c r="F1535" s="5"/>
      <c r="G1535" s="5"/>
      <c r="H1535" s="6"/>
      <c r="I1535" s="5"/>
      <c r="J1535" s="5"/>
      <c r="K1535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35" s="5"/>
      <c r="M1535" s="5" t="str">
        <f ca="1">IFERROR(__xludf.DUMMYFUNCTION("""COMPUTED_VALUE"""),"Popești")</f>
        <v>Popești</v>
      </c>
      <c r="N1535" s="5"/>
      <c r="O1535" s="5"/>
      <c r="P1535" s="5"/>
      <c r="Q1535" s="5"/>
      <c r="R1535" s="5" t="str">
        <f ca="1">IFERROR(__xludf.DUMMYFUNCTION("""COMPUTED_VALUE"""),"România")</f>
        <v>România</v>
      </c>
      <c r="S1535" s="5" t="str">
        <f ca="1">IFERROR(__xludf.DUMMYFUNCTION("""COMPUTED_VALUE"""),"Octavian")</f>
        <v>Octavian</v>
      </c>
      <c r="T1535" s="7" t="str">
        <f ca="1">IFERROR(__xludf.DUMMYFUNCTION("""COMPUTED_VALUE"""),"http://www.ms.ro/2020/08/14/buletin-informativ-14-08-2020")</f>
        <v>http://www.ms.ro/2020/08/14/buletin-informativ-14-08-2020</v>
      </c>
      <c r="U1535" s="5"/>
      <c r="V1535" s="5"/>
      <c r="W1535" s="5"/>
      <c r="X1535" s="5"/>
      <c r="Y1535" s="5"/>
      <c r="Z1535" s="5"/>
      <c r="AA1535" s="5"/>
      <c r="AB1535" s="5"/>
      <c r="AC1535" s="5"/>
    </row>
    <row r="1536" spans="1:29" ht="12.5">
      <c r="A1536" s="5">
        <f ca="1">IFERROR(__xludf.DUMMYFUNCTION("""COMPUTED_VALUE"""),66827)</f>
        <v>66827</v>
      </c>
      <c r="B1536" s="5"/>
      <c r="C1536" s="5" t="str">
        <f ca="1">IFERROR(__xludf.DUMMYFUNCTION("""COMPUTED_VALUE"""),"Bihor")</f>
        <v>Bihor</v>
      </c>
      <c r="D1536" s="13">
        <f ca="1">IFERROR(__xludf.DUMMYFUNCTION("""COMPUTED_VALUE"""),44057)</f>
        <v>44057</v>
      </c>
      <c r="E1536" s="5" t="str">
        <f ca="1">IFERROR(__xludf.DUMMYFUNCTION("""COMPUTED_VALUE"""),"Nu")</f>
        <v>Nu</v>
      </c>
      <c r="F1536" s="5"/>
      <c r="G1536" s="5"/>
      <c r="H1536" s="6"/>
      <c r="I1536" s="5"/>
      <c r="J1536" s="5"/>
      <c r="K1536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36" s="5"/>
      <c r="M1536" s="5" t="str">
        <f ca="1">IFERROR(__xludf.DUMMYFUNCTION("""COMPUTED_VALUE"""),"Vârciorog")</f>
        <v>Vârciorog</v>
      </c>
      <c r="N1536" s="5"/>
      <c r="O1536" s="5"/>
      <c r="P1536" s="5"/>
      <c r="Q1536" s="5"/>
      <c r="R1536" s="5" t="str">
        <f ca="1">IFERROR(__xludf.DUMMYFUNCTION("""COMPUTED_VALUE"""),"România")</f>
        <v>România</v>
      </c>
      <c r="S1536" s="5" t="str">
        <f ca="1">IFERROR(__xludf.DUMMYFUNCTION("""COMPUTED_VALUE"""),"Octavian")</f>
        <v>Octavian</v>
      </c>
      <c r="T1536" s="7" t="str">
        <f ca="1">IFERROR(__xludf.DUMMYFUNCTION("""COMPUTED_VALUE"""),"http://www.ms.ro/2020/08/14/buletin-informativ-14-08-2020")</f>
        <v>http://www.ms.ro/2020/08/14/buletin-informativ-14-08-2020</v>
      </c>
      <c r="U1536" s="5"/>
      <c r="V1536" s="5"/>
      <c r="W1536" s="5"/>
      <c r="X1536" s="5"/>
      <c r="Y1536" s="5"/>
      <c r="Z1536" s="5"/>
      <c r="AA1536" s="5"/>
      <c r="AB1536" s="5"/>
      <c r="AC1536" s="5"/>
    </row>
    <row r="1537" spans="1:29" ht="12.5">
      <c r="A1537" s="5">
        <f ca="1">IFERROR(__xludf.DUMMYFUNCTION("""COMPUTED_VALUE"""),66828)</f>
        <v>66828</v>
      </c>
      <c r="B1537" s="5"/>
      <c r="C1537" s="5" t="str">
        <f ca="1">IFERROR(__xludf.DUMMYFUNCTION("""COMPUTED_VALUE"""),"Bihor")</f>
        <v>Bihor</v>
      </c>
      <c r="D1537" s="13">
        <f ca="1">IFERROR(__xludf.DUMMYFUNCTION("""COMPUTED_VALUE"""),44057)</f>
        <v>44057</v>
      </c>
      <c r="E1537" s="5" t="str">
        <f ca="1">IFERROR(__xludf.DUMMYFUNCTION("""COMPUTED_VALUE"""),"Nu")</f>
        <v>Nu</v>
      </c>
      <c r="F1537" s="5"/>
      <c r="G1537" s="5"/>
      <c r="H1537" s="6"/>
      <c r="I1537" s="5"/>
      <c r="J1537" s="5"/>
      <c r="K1537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37" s="5"/>
      <c r="M1537" s="5" t="str">
        <f ca="1">IFERROR(__xludf.DUMMYFUNCTION("""COMPUTED_VALUE"""),"Ineu")</f>
        <v>Ineu</v>
      </c>
      <c r="N1537" s="5"/>
      <c r="O1537" s="5"/>
      <c r="P1537" s="5"/>
      <c r="Q1537" s="5"/>
      <c r="R1537" s="5" t="str">
        <f ca="1">IFERROR(__xludf.DUMMYFUNCTION("""COMPUTED_VALUE"""),"România")</f>
        <v>România</v>
      </c>
      <c r="S1537" s="5" t="str">
        <f ca="1">IFERROR(__xludf.DUMMYFUNCTION("""COMPUTED_VALUE"""),"Octavian")</f>
        <v>Octavian</v>
      </c>
      <c r="T1537" s="7" t="str">
        <f ca="1">IFERROR(__xludf.DUMMYFUNCTION("""COMPUTED_VALUE"""),"http://www.ms.ro/2020/08/14/buletin-informativ-14-08-2020")</f>
        <v>http://www.ms.ro/2020/08/14/buletin-informativ-14-08-2020</v>
      </c>
      <c r="U1537" s="5"/>
      <c r="V1537" s="5"/>
      <c r="W1537" s="5"/>
      <c r="X1537" s="5"/>
      <c r="Y1537" s="5"/>
      <c r="Z1537" s="5"/>
      <c r="AA1537" s="5"/>
      <c r="AB1537" s="5"/>
      <c r="AC1537" s="5"/>
    </row>
    <row r="1538" spans="1:29" ht="12.5">
      <c r="A1538" s="5">
        <f ca="1">IFERROR(__xludf.DUMMYFUNCTION("""COMPUTED_VALUE"""),66829)</f>
        <v>66829</v>
      </c>
      <c r="B1538" s="5"/>
      <c r="C1538" s="5" t="str">
        <f ca="1">IFERROR(__xludf.DUMMYFUNCTION("""COMPUTED_VALUE"""),"Bihor")</f>
        <v>Bihor</v>
      </c>
      <c r="D1538" s="13">
        <f ca="1">IFERROR(__xludf.DUMMYFUNCTION("""COMPUTED_VALUE"""),44057)</f>
        <v>44057</v>
      </c>
      <c r="E1538" s="5" t="str">
        <f ca="1">IFERROR(__xludf.DUMMYFUNCTION("""COMPUTED_VALUE"""),"Nu")</f>
        <v>Nu</v>
      </c>
      <c r="F1538" s="5"/>
      <c r="G1538" s="5"/>
      <c r="H1538" s="6"/>
      <c r="I1538" s="5"/>
      <c r="J1538" s="5"/>
      <c r="K1538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38" s="5"/>
      <c r="M1538" s="5" t="str">
        <f ca="1">IFERROR(__xludf.DUMMYFUNCTION("""COMPUTED_VALUE"""),"Dobrești")</f>
        <v>Dobrești</v>
      </c>
      <c r="N1538" s="5"/>
      <c r="O1538" s="5"/>
      <c r="P1538" s="5"/>
      <c r="Q1538" s="5"/>
      <c r="R1538" s="5" t="str">
        <f ca="1">IFERROR(__xludf.DUMMYFUNCTION("""COMPUTED_VALUE"""),"România")</f>
        <v>România</v>
      </c>
      <c r="S1538" s="5" t="str">
        <f ca="1">IFERROR(__xludf.DUMMYFUNCTION("""COMPUTED_VALUE"""),"Octavian")</f>
        <v>Octavian</v>
      </c>
      <c r="T1538" s="7" t="str">
        <f ca="1">IFERROR(__xludf.DUMMYFUNCTION("""COMPUTED_VALUE"""),"http://www.ms.ro/2020/08/14/buletin-informativ-14-08-2020")</f>
        <v>http://www.ms.ro/2020/08/14/buletin-informativ-14-08-2020</v>
      </c>
      <c r="U1538" s="5"/>
      <c r="V1538" s="5"/>
      <c r="W1538" s="5"/>
      <c r="X1538" s="5"/>
      <c r="Y1538" s="5"/>
      <c r="Z1538" s="5"/>
      <c r="AA1538" s="5"/>
      <c r="AB1538" s="5"/>
      <c r="AC1538" s="5"/>
    </row>
    <row r="1539" spans="1:29" ht="12.5">
      <c r="A1539" s="5">
        <f ca="1">IFERROR(__xludf.DUMMYFUNCTION("""COMPUTED_VALUE"""),66830)</f>
        <v>66830</v>
      </c>
      <c r="B1539" s="5"/>
      <c r="C1539" s="5" t="str">
        <f ca="1">IFERROR(__xludf.DUMMYFUNCTION("""COMPUTED_VALUE"""),"Bihor")</f>
        <v>Bihor</v>
      </c>
      <c r="D1539" s="13">
        <f ca="1">IFERROR(__xludf.DUMMYFUNCTION("""COMPUTED_VALUE"""),44057)</f>
        <v>44057</v>
      </c>
      <c r="E1539" s="5" t="str">
        <f ca="1">IFERROR(__xludf.DUMMYFUNCTION("""COMPUTED_VALUE"""),"Nu")</f>
        <v>Nu</v>
      </c>
      <c r="F1539" s="5"/>
      <c r="G1539" s="5"/>
      <c r="H1539" s="6"/>
      <c r="I1539" s="5"/>
      <c r="J1539" s="5"/>
      <c r="K1539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39" s="5"/>
      <c r="M1539" s="5" t="str">
        <f ca="1">IFERROR(__xludf.DUMMYFUNCTION("""COMPUTED_VALUE"""),"Copăcel")</f>
        <v>Copăcel</v>
      </c>
      <c r="N1539" s="5"/>
      <c r="O1539" s="5"/>
      <c r="P1539" s="5"/>
      <c r="Q1539" s="5"/>
      <c r="R1539" s="5" t="str">
        <f ca="1">IFERROR(__xludf.DUMMYFUNCTION("""COMPUTED_VALUE"""),"România")</f>
        <v>România</v>
      </c>
      <c r="S1539" s="5" t="str">
        <f ca="1">IFERROR(__xludf.DUMMYFUNCTION("""COMPUTED_VALUE"""),"Octavian")</f>
        <v>Octavian</v>
      </c>
      <c r="T1539" s="7" t="str">
        <f ca="1">IFERROR(__xludf.DUMMYFUNCTION("""COMPUTED_VALUE"""),"http://www.ms.ro/2020/08/14/buletin-informativ-14-08-2020")</f>
        <v>http://www.ms.ro/2020/08/14/buletin-informativ-14-08-2020</v>
      </c>
      <c r="U1539" s="5"/>
      <c r="V1539" s="5"/>
      <c r="W1539" s="5"/>
      <c r="X1539" s="5"/>
      <c r="Y1539" s="5"/>
      <c r="Z1539" s="5"/>
      <c r="AA1539" s="5"/>
      <c r="AB1539" s="5"/>
      <c r="AC1539" s="5"/>
    </row>
    <row r="1540" spans="1:29" ht="12.5">
      <c r="A1540" s="5">
        <f ca="1">IFERROR(__xludf.DUMMYFUNCTION("""COMPUTED_VALUE"""),66831)</f>
        <v>66831</v>
      </c>
      <c r="B1540" s="5"/>
      <c r="C1540" s="5" t="str">
        <f ca="1">IFERROR(__xludf.DUMMYFUNCTION("""COMPUTED_VALUE"""),"Bihor")</f>
        <v>Bihor</v>
      </c>
      <c r="D1540" s="13">
        <f ca="1">IFERROR(__xludf.DUMMYFUNCTION("""COMPUTED_VALUE"""),44057)</f>
        <v>44057</v>
      </c>
      <c r="E1540" s="5" t="str">
        <f ca="1">IFERROR(__xludf.DUMMYFUNCTION("""COMPUTED_VALUE"""),"Nu")</f>
        <v>Nu</v>
      </c>
      <c r="F1540" s="5"/>
      <c r="G1540" s="5"/>
      <c r="H1540" s="6"/>
      <c r="I1540" s="5"/>
      <c r="J1540" s="5"/>
      <c r="K1540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40" s="5"/>
      <c r="M1540" s="5" t="str">
        <f ca="1">IFERROR(__xludf.DUMMYFUNCTION("""COMPUTED_VALUE"""),"Ștei")</f>
        <v>Ștei</v>
      </c>
      <c r="N1540" s="5"/>
      <c r="O1540" s="5"/>
      <c r="P1540" s="5"/>
      <c r="Q1540" s="5"/>
      <c r="R1540" s="5" t="str">
        <f ca="1">IFERROR(__xludf.DUMMYFUNCTION("""COMPUTED_VALUE"""),"România")</f>
        <v>România</v>
      </c>
      <c r="S1540" s="5" t="str">
        <f ca="1">IFERROR(__xludf.DUMMYFUNCTION("""COMPUTED_VALUE"""),"Octavian")</f>
        <v>Octavian</v>
      </c>
      <c r="T1540" s="7" t="str">
        <f ca="1">IFERROR(__xludf.DUMMYFUNCTION("""COMPUTED_VALUE"""),"http://www.ms.ro/2020/08/14/buletin-informativ-14-08-2020")</f>
        <v>http://www.ms.ro/2020/08/14/buletin-informativ-14-08-2020</v>
      </c>
      <c r="U1540" s="5"/>
      <c r="V1540" s="5"/>
      <c r="W1540" s="5"/>
      <c r="X1540" s="5"/>
      <c r="Y1540" s="5"/>
      <c r="Z1540" s="5"/>
      <c r="AA1540" s="5"/>
      <c r="AB1540" s="5"/>
      <c r="AC1540" s="5"/>
    </row>
    <row r="1541" spans="1:29" ht="12.5">
      <c r="A1541" s="5">
        <f ca="1">IFERROR(__xludf.DUMMYFUNCTION("""COMPUTED_VALUE"""),66832)</f>
        <v>66832</v>
      </c>
      <c r="B1541" s="5"/>
      <c r="C1541" s="5" t="str">
        <f ca="1">IFERROR(__xludf.DUMMYFUNCTION("""COMPUTED_VALUE"""),"Bihor")</f>
        <v>Bihor</v>
      </c>
      <c r="D1541" s="13">
        <f ca="1">IFERROR(__xludf.DUMMYFUNCTION("""COMPUTED_VALUE"""),44057)</f>
        <v>44057</v>
      </c>
      <c r="E1541" s="5" t="str">
        <f ca="1">IFERROR(__xludf.DUMMYFUNCTION("""COMPUTED_VALUE"""),"Nu")</f>
        <v>Nu</v>
      </c>
      <c r="F1541" s="5"/>
      <c r="G1541" s="5"/>
      <c r="H1541" s="6"/>
      <c r="I1541" s="5"/>
      <c r="J1541" s="5"/>
      <c r="K1541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41" s="5"/>
      <c r="M1541" s="5"/>
      <c r="N1541" s="5"/>
      <c r="O1541" s="5"/>
      <c r="P1541" s="5"/>
      <c r="Q1541" s="5"/>
      <c r="R1541" s="5" t="str">
        <f ca="1">IFERROR(__xludf.DUMMYFUNCTION("""COMPUTED_VALUE"""),"România")</f>
        <v>România</v>
      </c>
      <c r="S1541" s="5" t="str">
        <f ca="1">IFERROR(__xludf.DUMMYFUNCTION("""COMPUTED_VALUE"""),"Octavian")</f>
        <v>Octavian</v>
      </c>
      <c r="T1541" s="7" t="str">
        <f ca="1">IFERROR(__xludf.DUMMYFUNCTION("""COMPUTED_VALUE"""),"http://www.ms.ro/2020/08/14/buletin-informativ-14-08-2020")</f>
        <v>http://www.ms.ro/2020/08/14/buletin-informativ-14-08-2020</v>
      </c>
      <c r="U1541" s="5"/>
      <c r="V1541" s="5"/>
      <c r="W1541" s="5"/>
      <c r="X1541" s="5"/>
      <c r="Y1541" s="5"/>
      <c r="Z1541" s="5"/>
      <c r="AA1541" s="5"/>
      <c r="AB1541" s="5"/>
      <c r="AC1541" s="5"/>
    </row>
    <row r="1542" spans="1:29" ht="12.5">
      <c r="A1542" s="5">
        <f ca="1">IFERROR(__xludf.DUMMYFUNCTION("""COMPUTED_VALUE"""),66833)</f>
        <v>66833</v>
      </c>
      <c r="B1542" s="5"/>
      <c r="C1542" s="5" t="str">
        <f ca="1">IFERROR(__xludf.DUMMYFUNCTION("""COMPUTED_VALUE"""),"Bihor")</f>
        <v>Bihor</v>
      </c>
      <c r="D1542" s="13">
        <f ca="1">IFERROR(__xludf.DUMMYFUNCTION("""COMPUTED_VALUE"""),44057)</f>
        <v>44057</v>
      </c>
      <c r="E1542" s="5" t="str">
        <f ca="1">IFERROR(__xludf.DUMMYFUNCTION("""COMPUTED_VALUE"""),"Nu")</f>
        <v>Nu</v>
      </c>
      <c r="F1542" s="5"/>
      <c r="G1542" s="5"/>
      <c r="H1542" s="6"/>
      <c r="I1542" s="5"/>
      <c r="J1542" s="5"/>
      <c r="K1542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42" s="5"/>
      <c r="M1542" s="5"/>
      <c r="N1542" s="5"/>
      <c r="O1542" s="5"/>
      <c r="P1542" s="5"/>
      <c r="Q1542" s="5"/>
      <c r="R1542" s="5" t="str">
        <f ca="1">IFERROR(__xludf.DUMMYFUNCTION("""COMPUTED_VALUE"""),"România")</f>
        <v>România</v>
      </c>
      <c r="S1542" s="5" t="str">
        <f ca="1">IFERROR(__xludf.DUMMYFUNCTION("""COMPUTED_VALUE"""),"Octavian")</f>
        <v>Octavian</v>
      </c>
      <c r="T1542" s="7" t="str">
        <f ca="1">IFERROR(__xludf.DUMMYFUNCTION("""COMPUTED_VALUE"""),"http://www.ms.ro/2020/08/14/buletin-informativ-14-08-2020")</f>
        <v>http://www.ms.ro/2020/08/14/buletin-informativ-14-08-2020</v>
      </c>
      <c r="U1542" s="5"/>
      <c r="V1542" s="5"/>
      <c r="W1542" s="5"/>
      <c r="X1542" s="5"/>
      <c r="Y1542" s="5"/>
      <c r="Z1542" s="5"/>
      <c r="AA1542" s="5"/>
      <c r="AB1542" s="5"/>
      <c r="AC1542" s="5"/>
    </row>
    <row r="1543" spans="1:29" ht="12.5">
      <c r="A1543" s="5">
        <f ca="1">IFERROR(__xludf.DUMMYFUNCTION("""COMPUTED_VALUE"""),66834)</f>
        <v>66834</v>
      </c>
      <c r="B1543" s="5"/>
      <c r="C1543" s="5" t="str">
        <f ca="1">IFERROR(__xludf.DUMMYFUNCTION("""COMPUTED_VALUE"""),"Bihor")</f>
        <v>Bihor</v>
      </c>
      <c r="D1543" s="13">
        <f ca="1">IFERROR(__xludf.DUMMYFUNCTION("""COMPUTED_VALUE"""),44057)</f>
        <v>44057</v>
      </c>
      <c r="E1543" s="5" t="str">
        <f ca="1">IFERROR(__xludf.DUMMYFUNCTION("""COMPUTED_VALUE"""),"Nu")</f>
        <v>Nu</v>
      </c>
      <c r="F1543" s="5"/>
      <c r="G1543" s="5"/>
      <c r="H1543" s="6"/>
      <c r="I1543" s="5"/>
      <c r="J1543" s="5"/>
      <c r="K1543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43" s="5"/>
      <c r="M1543" s="5"/>
      <c r="N1543" s="5"/>
      <c r="O1543" s="5"/>
      <c r="P1543" s="5"/>
      <c r="Q1543" s="5"/>
      <c r="R1543" s="5" t="str">
        <f ca="1">IFERROR(__xludf.DUMMYFUNCTION("""COMPUTED_VALUE"""),"România")</f>
        <v>România</v>
      </c>
      <c r="S1543" s="5" t="str">
        <f ca="1">IFERROR(__xludf.DUMMYFUNCTION("""COMPUTED_VALUE"""),"Octavian")</f>
        <v>Octavian</v>
      </c>
      <c r="T1543" s="7" t="str">
        <f ca="1">IFERROR(__xludf.DUMMYFUNCTION("""COMPUTED_VALUE"""),"http://www.ms.ro/2020/08/14/buletin-informativ-14-08-2020")</f>
        <v>http://www.ms.ro/2020/08/14/buletin-informativ-14-08-2020</v>
      </c>
      <c r="U1543" s="5"/>
      <c r="V1543" s="5"/>
      <c r="W1543" s="5"/>
      <c r="X1543" s="5"/>
      <c r="Y1543" s="5"/>
      <c r="Z1543" s="5"/>
      <c r="AA1543" s="5"/>
      <c r="AB1543" s="5"/>
      <c r="AC1543" s="5"/>
    </row>
    <row r="1544" spans="1:29" ht="12.5">
      <c r="A1544" s="5">
        <f ca="1">IFERROR(__xludf.DUMMYFUNCTION("""COMPUTED_VALUE"""),66835)</f>
        <v>66835</v>
      </c>
      <c r="B1544" s="5"/>
      <c r="C1544" s="5" t="str">
        <f ca="1">IFERROR(__xludf.DUMMYFUNCTION("""COMPUTED_VALUE"""),"Bihor")</f>
        <v>Bihor</v>
      </c>
      <c r="D1544" s="13">
        <f ca="1">IFERROR(__xludf.DUMMYFUNCTION("""COMPUTED_VALUE"""),44057)</f>
        <v>44057</v>
      </c>
      <c r="E1544" s="5" t="str">
        <f ca="1">IFERROR(__xludf.DUMMYFUNCTION("""COMPUTED_VALUE"""),"Nu")</f>
        <v>Nu</v>
      </c>
      <c r="F1544" s="5"/>
      <c r="G1544" s="5"/>
      <c r="H1544" s="6"/>
      <c r="I1544" s="5"/>
      <c r="J1544" s="5"/>
      <c r="K1544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44" s="5"/>
      <c r="M1544" s="5"/>
      <c r="N1544" s="5"/>
      <c r="O1544" s="5"/>
      <c r="P1544" s="5"/>
      <c r="Q1544" s="5"/>
      <c r="R1544" s="5" t="str">
        <f ca="1">IFERROR(__xludf.DUMMYFUNCTION("""COMPUTED_VALUE"""),"România")</f>
        <v>România</v>
      </c>
      <c r="S1544" s="5" t="str">
        <f ca="1">IFERROR(__xludf.DUMMYFUNCTION("""COMPUTED_VALUE"""),"Octavian")</f>
        <v>Octavian</v>
      </c>
      <c r="T1544" s="7" t="str">
        <f ca="1">IFERROR(__xludf.DUMMYFUNCTION("""COMPUTED_VALUE"""),"http://www.ms.ro/2020/08/14/buletin-informativ-14-08-2020")</f>
        <v>http://www.ms.ro/2020/08/14/buletin-informativ-14-08-2020</v>
      </c>
      <c r="U1544" s="5"/>
      <c r="V1544" s="5"/>
      <c r="W1544" s="5"/>
      <c r="X1544" s="5"/>
      <c r="Y1544" s="5"/>
      <c r="Z1544" s="5"/>
      <c r="AA1544" s="5"/>
      <c r="AB1544" s="5"/>
      <c r="AC1544" s="5"/>
    </row>
    <row r="1545" spans="1:29" ht="12.5">
      <c r="A1545" s="5">
        <f ca="1">IFERROR(__xludf.DUMMYFUNCTION("""COMPUTED_VALUE"""),66836)</f>
        <v>66836</v>
      </c>
      <c r="B1545" s="5"/>
      <c r="C1545" s="5" t="str">
        <f ca="1">IFERROR(__xludf.DUMMYFUNCTION("""COMPUTED_VALUE"""),"Bihor")</f>
        <v>Bihor</v>
      </c>
      <c r="D1545" s="13">
        <f ca="1">IFERROR(__xludf.DUMMYFUNCTION("""COMPUTED_VALUE"""),44057)</f>
        <v>44057</v>
      </c>
      <c r="E1545" s="5" t="str">
        <f ca="1">IFERROR(__xludf.DUMMYFUNCTION("""COMPUTED_VALUE"""),"Nu")</f>
        <v>Nu</v>
      </c>
      <c r="F1545" s="5"/>
      <c r="G1545" s="5"/>
      <c r="H1545" s="6"/>
      <c r="I1545" s="5"/>
      <c r="J1545" s="5"/>
      <c r="K1545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45" s="5"/>
      <c r="M1545" s="5"/>
      <c r="N1545" s="5"/>
      <c r="O1545" s="5"/>
      <c r="P1545" s="5"/>
      <c r="Q1545" s="5"/>
      <c r="R1545" s="5" t="str">
        <f ca="1">IFERROR(__xludf.DUMMYFUNCTION("""COMPUTED_VALUE"""),"România")</f>
        <v>România</v>
      </c>
      <c r="S1545" s="5" t="str">
        <f ca="1">IFERROR(__xludf.DUMMYFUNCTION("""COMPUTED_VALUE"""),"Octavian")</f>
        <v>Octavian</v>
      </c>
      <c r="T1545" s="7" t="str">
        <f ca="1">IFERROR(__xludf.DUMMYFUNCTION("""COMPUTED_VALUE"""),"http://www.ms.ro/2020/08/14/buletin-informativ-14-08-2020")</f>
        <v>http://www.ms.ro/2020/08/14/buletin-informativ-14-08-2020</v>
      </c>
      <c r="U1545" s="5"/>
      <c r="V1545" s="5"/>
      <c r="W1545" s="5"/>
      <c r="X1545" s="5"/>
      <c r="Y1545" s="5"/>
      <c r="Z1545" s="5"/>
      <c r="AA1545" s="5"/>
      <c r="AB1545" s="5"/>
      <c r="AC1545" s="5"/>
    </row>
    <row r="1546" spans="1:29" ht="12.5">
      <c r="A1546" s="5">
        <f ca="1">IFERROR(__xludf.DUMMYFUNCTION("""COMPUTED_VALUE"""),66837)</f>
        <v>66837</v>
      </c>
      <c r="B1546" s="5"/>
      <c r="C1546" s="5" t="str">
        <f ca="1">IFERROR(__xludf.DUMMYFUNCTION("""COMPUTED_VALUE"""),"Bihor")</f>
        <v>Bihor</v>
      </c>
      <c r="D1546" s="13">
        <f ca="1">IFERROR(__xludf.DUMMYFUNCTION("""COMPUTED_VALUE"""),44057)</f>
        <v>44057</v>
      </c>
      <c r="E1546" s="5" t="str">
        <f ca="1">IFERROR(__xludf.DUMMYFUNCTION("""COMPUTED_VALUE"""),"Nu")</f>
        <v>Nu</v>
      </c>
      <c r="F1546" s="5"/>
      <c r="G1546" s="5"/>
      <c r="H1546" s="6"/>
      <c r="I1546" s="5"/>
      <c r="J1546" s="5"/>
      <c r="K1546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46" s="5"/>
      <c r="M1546" s="5"/>
      <c r="N1546" s="5"/>
      <c r="O1546" s="5"/>
      <c r="P1546" s="5"/>
      <c r="Q1546" s="5"/>
      <c r="R1546" s="5" t="str">
        <f ca="1">IFERROR(__xludf.DUMMYFUNCTION("""COMPUTED_VALUE"""),"România")</f>
        <v>România</v>
      </c>
      <c r="S1546" s="5" t="str">
        <f ca="1">IFERROR(__xludf.DUMMYFUNCTION("""COMPUTED_VALUE"""),"Octavian")</f>
        <v>Octavian</v>
      </c>
      <c r="T1546" s="7" t="str">
        <f ca="1">IFERROR(__xludf.DUMMYFUNCTION("""COMPUTED_VALUE"""),"http://www.ms.ro/2020/08/14/buletin-informativ-14-08-2020")</f>
        <v>http://www.ms.ro/2020/08/14/buletin-informativ-14-08-2020</v>
      </c>
      <c r="U1546" s="5"/>
      <c r="V1546" s="5"/>
      <c r="W1546" s="5"/>
      <c r="X1546" s="5"/>
      <c r="Y1546" s="5"/>
      <c r="Z1546" s="5"/>
      <c r="AA1546" s="5"/>
      <c r="AB1546" s="5"/>
      <c r="AC1546" s="5"/>
    </row>
    <row r="1547" spans="1:29" ht="12.5">
      <c r="A1547" s="5">
        <f ca="1">IFERROR(__xludf.DUMMYFUNCTION("""COMPUTED_VALUE"""),66838)</f>
        <v>66838</v>
      </c>
      <c r="B1547" s="5"/>
      <c r="C1547" s="5" t="str">
        <f ca="1">IFERROR(__xludf.DUMMYFUNCTION("""COMPUTED_VALUE"""),"Bihor")</f>
        <v>Bihor</v>
      </c>
      <c r="D1547" s="13">
        <f ca="1">IFERROR(__xludf.DUMMYFUNCTION("""COMPUTED_VALUE"""),44057)</f>
        <v>44057</v>
      </c>
      <c r="E1547" s="5" t="str">
        <f ca="1">IFERROR(__xludf.DUMMYFUNCTION("""COMPUTED_VALUE"""),"Nu")</f>
        <v>Nu</v>
      </c>
      <c r="F1547" s="5"/>
      <c r="G1547" s="5"/>
      <c r="H1547" s="6"/>
      <c r="I1547" s="5"/>
      <c r="J1547" s="5"/>
      <c r="K1547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47" s="5"/>
      <c r="M1547" s="5"/>
      <c r="N1547" s="5"/>
      <c r="O1547" s="5"/>
      <c r="P1547" s="5"/>
      <c r="Q1547" s="5"/>
      <c r="R1547" s="5" t="str">
        <f ca="1">IFERROR(__xludf.DUMMYFUNCTION("""COMPUTED_VALUE"""),"România")</f>
        <v>România</v>
      </c>
      <c r="S1547" s="5" t="str">
        <f ca="1">IFERROR(__xludf.DUMMYFUNCTION("""COMPUTED_VALUE"""),"Octavian")</f>
        <v>Octavian</v>
      </c>
      <c r="T1547" s="7" t="str">
        <f ca="1">IFERROR(__xludf.DUMMYFUNCTION("""COMPUTED_VALUE"""),"http://www.ms.ro/2020/08/14/buletin-informativ-14-08-2020")</f>
        <v>http://www.ms.ro/2020/08/14/buletin-informativ-14-08-2020</v>
      </c>
      <c r="U1547" s="5"/>
      <c r="V1547" s="5"/>
      <c r="W1547" s="5"/>
      <c r="X1547" s="5"/>
      <c r="Y1547" s="5"/>
      <c r="Z1547" s="5"/>
      <c r="AA1547" s="5"/>
      <c r="AB1547" s="5"/>
      <c r="AC1547" s="5"/>
    </row>
    <row r="1548" spans="1:29" ht="12.5">
      <c r="A1548" s="5">
        <f ca="1">IFERROR(__xludf.DUMMYFUNCTION("""COMPUTED_VALUE"""),66839)</f>
        <v>66839</v>
      </c>
      <c r="B1548" s="5"/>
      <c r="C1548" s="5" t="str">
        <f ca="1">IFERROR(__xludf.DUMMYFUNCTION("""COMPUTED_VALUE"""),"Bihor")</f>
        <v>Bihor</v>
      </c>
      <c r="D1548" s="13">
        <f ca="1">IFERROR(__xludf.DUMMYFUNCTION("""COMPUTED_VALUE"""),44057)</f>
        <v>44057</v>
      </c>
      <c r="E1548" s="5" t="str">
        <f ca="1">IFERROR(__xludf.DUMMYFUNCTION("""COMPUTED_VALUE"""),"Nu")</f>
        <v>Nu</v>
      </c>
      <c r="F1548" s="5"/>
      <c r="G1548" s="5"/>
      <c r="H1548" s="6"/>
      <c r="I1548" s="5"/>
      <c r="J1548" s="5"/>
      <c r="K1548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48" s="5"/>
      <c r="M1548" s="5"/>
      <c r="N1548" s="5"/>
      <c r="O1548" s="5"/>
      <c r="P1548" s="5"/>
      <c r="Q1548" s="5"/>
      <c r="R1548" s="5" t="str">
        <f ca="1">IFERROR(__xludf.DUMMYFUNCTION("""COMPUTED_VALUE"""),"România")</f>
        <v>România</v>
      </c>
      <c r="S1548" s="5" t="str">
        <f ca="1">IFERROR(__xludf.DUMMYFUNCTION("""COMPUTED_VALUE"""),"Octavian")</f>
        <v>Octavian</v>
      </c>
      <c r="T1548" s="7" t="str">
        <f ca="1">IFERROR(__xludf.DUMMYFUNCTION("""COMPUTED_VALUE"""),"http://www.ms.ro/2020/08/14/buletin-informativ-14-08-2020")</f>
        <v>http://www.ms.ro/2020/08/14/buletin-informativ-14-08-2020</v>
      </c>
      <c r="U1548" s="5"/>
      <c r="V1548" s="5"/>
      <c r="W1548" s="5"/>
      <c r="X1548" s="5"/>
      <c r="Y1548" s="5"/>
      <c r="Z1548" s="5"/>
      <c r="AA1548" s="5"/>
      <c r="AB1548" s="5"/>
      <c r="AC1548" s="5"/>
    </row>
    <row r="1549" spans="1:29" ht="12.5">
      <c r="A1549" s="5">
        <f ca="1">IFERROR(__xludf.DUMMYFUNCTION("""COMPUTED_VALUE"""),66840)</f>
        <v>66840</v>
      </c>
      <c r="B1549" s="5"/>
      <c r="C1549" s="5" t="str">
        <f ca="1">IFERROR(__xludf.DUMMYFUNCTION("""COMPUTED_VALUE"""),"Bihor")</f>
        <v>Bihor</v>
      </c>
      <c r="D1549" s="13">
        <f ca="1">IFERROR(__xludf.DUMMYFUNCTION("""COMPUTED_VALUE"""),44057)</f>
        <v>44057</v>
      </c>
      <c r="E1549" s="5" t="str">
        <f ca="1">IFERROR(__xludf.DUMMYFUNCTION("""COMPUTED_VALUE"""),"Nu")</f>
        <v>Nu</v>
      </c>
      <c r="F1549" s="5"/>
      <c r="G1549" s="5"/>
      <c r="H1549" s="6"/>
      <c r="I1549" s="5"/>
      <c r="J1549" s="5"/>
      <c r="K1549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49" s="5"/>
      <c r="M1549" s="5"/>
      <c r="N1549" s="5"/>
      <c r="O1549" s="5"/>
      <c r="P1549" s="5"/>
      <c r="Q1549" s="5"/>
      <c r="R1549" s="5" t="str">
        <f ca="1">IFERROR(__xludf.DUMMYFUNCTION("""COMPUTED_VALUE"""),"România")</f>
        <v>România</v>
      </c>
      <c r="S1549" s="5" t="str">
        <f ca="1">IFERROR(__xludf.DUMMYFUNCTION("""COMPUTED_VALUE"""),"Octavian")</f>
        <v>Octavian</v>
      </c>
      <c r="T1549" s="7" t="str">
        <f ca="1">IFERROR(__xludf.DUMMYFUNCTION("""COMPUTED_VALUE"""),"http://www.ms.ro/2020/08/14/buletin-informativ-14-08-2020")</f>
        <v>http://www.ms.ro/2020/08/14/buletin-informativ-14-08-2020</v>
      </c>
      <c r="U1549" s="5"/>
      <c r="V1549" s="5"/>
      <c r="W1549" s="5"/>
      <c r="X1549" s="5"/>
      <c r="Y1549" s="5"/>
      <c r="Z1549" s="5"/>
      <c r="AA1549" s="5"/>
      <c r="AB1549" s="5"/>
      <c r="AC1549" s="5"/>
    </row>
    <row r="1550" spans="1:29" ht="12.5">
      <c r="A1550" s="5">
        <f ca="1">IFERROR(__xludf.DUMMYFUNCTION("""COMPUTED_VALUE"""),66841)</f>
        <v>66841</v>
      </c>
      <c r="B1550" s="5"/>
      <c r="C1550" s="5" t="str">
        <f ca="1">IFERROR(__xludf.DUMMYFUNCTION("""COMPUTED_VALUE"""),"Bihor")</f>
        <v>Bihor</v>
      </c>
      <c r="D1550" s="13">
        <f ca="1">IFERROR(__xludf.DUMMYFUNCTION("""COMPUTED_VALUE"""),44057)</f>
        <v>44057</v>
      </c>
      <c r="E1550" s="5" t="str">
        <f ca="1">IFERROR(__xludf.DUMMYFUNCTION("""COMPUTED_VALUE"""),"Nu")</f>
        <v>Nu</v>
      </c>
      <c r="F1550" s="5"/>
      <c r="G1550" s="5"/>
      <c r="H1550" s="6"/>
      <c r="I1550" s="5"/>
      <c r="J1550" s="5"/>
      <c r="K1550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50" s="5"/>
      <c r="M1550" s="5"/>
      <c r="N1550" s="5"/>
      <c r="O1550" s="5"/>
      <c r="P1550" s="5"/>
      <c r="Q1550" s="5"/>
      <c r="R1550" s="5" t="str">
        <f ca="1">IFERROR(__xludf.DUMMYFUNCTION("""COMPUTED_VALUE"""),"România")</f>
        <v>România</v>
      </c>
      <c r="S1550" s="5" t="str">
        <f ca="1">IFERROR(__xludf.DUMMYFUNCTION("""COMPUTED_VALUE"""),"Octavian")</f>
        <v>Octavian</v>
      </c>
      <c r="T1550" s="7" t="str">
        <f ca="1">IFERROR(__xludf.DUMMYFUNCTION("""COMPUTED_VALUE"""),"http://www.ms.ro/2020/08/14/buletin-informativ-14-08-2020")</f>
        <v>http://www.ms.ro/2020/08/14/buletin-informativ-14-08-2020</v>
      </c>
      <c r="U1550" s="5"/>
      <c r="V1550" s="5"/>
      <c r="W1550" s="5"/>
      <c r="X1550" s="5"/>
      <c r="Y1550" s="5"/>
      <c r="Z1550" s="5"/>
      <c r="AA1550" s="5"/>
      <c r="AB1550" s="5"/>
      <c r="AC1550" s="5"/>
    </row>
    <row r="1551" spans="1:29" ht="12.5">
      <c r="A1551" s="5">
        <f ca="1">IFERROR(__xludf.DUMMYFUNCTION("""COMPUTED_VALUE"""),66842)</f>
        <v>66842</v>
      </c>
      <c r="B1551" s="5"/>
      <c r="C1551" s="5" t="str">
        <f ca="1">IFERROR(__xludf.DUMMYFUNCTION("""COMPUTED_VALUE"""),"Bihor")</f>
        <v>Bihor</v>
      </c>
      <c r="D1551" s="13">
        <f ca="1">IFERROR(__xludf.DUMMYFUNCTION("""COMPUTED_VALUE"""),44057)</f>
        <v>44057</v>
      </c>
      <c r="E1551" s="5" t="str">
        <f ca="1">IFERROR(__xludf.DUMMYFUNCTION("""COMPUTED_VALUE"""),"Nu")</f>
        <v>Nu</v>
      </c>
      <c r="F1551" s="5"/>
      <c r="G1551" s="5"/>
      <c r="H1551" s="6"/>
      <c r="I1551" s="5"/>
      <c r="J1551" s="5"/>
      <c r="K1551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51" s="5"/>
      <c r="M1551" s="5"/>
      <c r="N1551" s="5"/>
      <c r="O1551" s="5"/>
      <c r="P1551" s="5"/>
      <c r="Q1551" s="5"/>
      <c r="R1551" s="5" t="str">
        <f ca="1">IFERROR(__xludf.DUMMYFUNCTION("""COMPUTED_VALUE"""),"România")</f>
        <v>România</v>
      </c>
      <c r="S1551" s="5" t="str">
        <f ca="1">IFERROR(__xludf.DUMMYFUNCTION("""COMPUTED_VALUE"""),"Octavian")</f>
        <v>Octavian</v>
      </c>
      <c r="T1551" s="7" t="str">
        <f ca="1">IFERROR(__xludf.DUMMYFUNCTION("""COMPUTED_VALUE"""),"http://www.ms.ro/2020/08/14/buletin-informativ-14-08-2020")</f>
        <v>http://www.ms.ro/2020/08/14/buletin-informativ-14-08-2020</v>
      </c>
      <c r="U1551" s="5"/>
      <c r="V1551" s="5"/>
      <c r="W1551" s="5"/>
      <c r="X1551" s="5"/>
      <c r="Y1551" s="5"/>
      <c r="Z1551" s="5"/>
      <c r="AA1551" s="5"/>
      <c r="AB1551" s="5"/>
      <c r="AC1551" s="5"/>
    </row>
    <row r="1552" spans="1:29" ht="12.5">
      <c r="A1552" s="5">
        <f ca="1">IFERROR(__xludf.DUMMYFUNCTION("""COMPUTED_VALUE"""),66843)</f>
        <v>66843</v>
      </c>
      <c r="B1552" s="5"/>
      <c r="C1552" s="5" t="str">
        <f ca="1">IFERROR(__xludf.DUMMYFUNCTION("""COMPUTED_VALUE"""),"Bihor")</f>
        <v>Bihor</v>
      </c>
      <c r="D1552" s="13">
        <f ca="1">IFERROR(__xludf.DUMMYFUNCTION("""COMPUTED_VALUE"""),44057)</f>
        <v>44057</v>
      </c>
      <c r="E1552" s="5" t="str">
        <f ca="1">IFERROR(__xludf.DUMMYFUNCTION("""COMPUTED_VALUE"""),"Nu")</f>
        <v>Nu</v>
      </c>
      <c r="F1552" s="5"/>
      <c r="G1552" s="5"/>
      <c r="H1552" s="6"/>
      <c r="I1552" s="5"/>
      <c r="J1552" s="5"/>
      <c r="K1552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52" s="5"/>
      <c r="M1552" s="5"/>
      <c r="N1552" s="5"/>
      <c r="O1552" s="5"/>
      <c r="P1552" s="5"/>
      <c r="Q1552" s="5"/>
      <c r="R1552" s="5" t="str">
        <f ca="1">IFERROR(__xludf.DUMMYFUNCTION("""COMPUTED_VALUE"""),"România")</f>
        <v>România</v>
      </c>
      <c r="S1552" s="5" t="str">
        <f ca="1">IFERROR(__xludf.DUMMYFUNCTION("""COMPUTED_VALUE"""),"Octavian")</f>
        <v>Octavian</v>
      </c>
      <c r="T1552" s="7" t="str">
        <f ca="1">IFERROR(__xludf.DUMMYFUNCTION("""COMPUTED_VALUE"""),"http://www.ms.ro/2020/08/14/buletin-informativ-14-08-2020")</f>
        <v>http://www.ms.ro/2020/08/14/buletin-informativ-14-08-2020</v>
      </c>
      <c r="U1552" s="5"/>
      <c r="V1552" s="5"/>
      <c r="W1552" s="5"/>
      <c r="X1552" s="5"/>
      <c r="Y1552" s="5"/>
      <c r="Z1552" s="5"/>
      <c r="AA1552" s="5"/>
      <c r="AB1552" s="5"/>
      <c r="AC1552" s="5"/>
    </row>
    <row r="1553" spans="1:29" ht="12.5">
      <c r="A1553" s="5">
        <f ca="1">IFERROR(__xludf.DUMMYFUNCTION("""COMPUTED_VALUE"""),66844)</f>
        <v>66844</v>
      </c>
      <c r="B1553" s="5"/>
      <c r="C1553" s="5" t="str">
        <f ca="1">IFERROR(__xludf.DUMMYFUNCTION("""COMPUTED_VALUE"""),"Bihor")</f>
        <v>Bihor</v>
      </c>
      <c r="D1553" s="13">
        <f ca="1">IFERROR(__xludf.DUMMYFUNCTION("""COMPUTED_VALUE"""),44057)</f>
        <v>44057</v>
      </c>
      <c r="E1553" s="5" t="str">
        <f ca="1">IFERROR(__xludf.DUMMYFUNCTION("""COMPUTED_VALUE"""),"Nu")</f>
        <v>Nu</v>
      </c>
      <c r="F1553" s="5"/>
      <c r="G1553" s="5"/>
      <c r="H1553" s="6"/>
      <c r="I1553" s="5"/>
      <c r="J1553" s="5"/>
      <c r="K1553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53" s="5"/>
      <c r="M1553" s="5"/>
      <c r="N1553" s="5"/>
      <c r="O1553" s="5"/>
      <c r="P1553" s="5"/>
      <c r="Q1553" s="5"/>
      <c r="R1553" s="5" t="str">
        <f ca="1">IFERROR(__xludf.DUMMYFUNCTION("""COMPUTED_VALUE"""),"România")</f>
        <v>România</v>
      </c>
      <c r="S1553" s="5" t="str">
        <f ca="1">IFERROR(__xludf.DUMMYFUNCTION("""COMPUTED_VALUE"""),"Octavian")</f>
        <v>Octavian</v>
      </c>
      <c r="T1553" s="7" t="str">
        <f ca="1">IFERROR(__xludf.DUMMYFUNCTION("""COMPUTED_VALUE"""),"http://www.ms.ro/2020/08/14/buletin-informativ-14-08-2020")</f>
        <v>http://www.ms.ro/2020/08/14/buletin-informativ-14-08-2020</v>
      </c>
      <c r="U1553" s="5"/>
      <c r="V1553" s="5"/>
      <c r="W1553" s="5"/>
      <c r="X1553" s="5"/>
      <c r="Y1553" s="5"/>
      <c r="Z1553" s="5"/>
      <c r="AA1553" s="5"/>
      <c r="AB1553" s="5"/>
      <c r="AC1553" s="5"/>
    </row>
    <row r="1554" spans="1:29" ht="12.5">
      <c r="A1554" s="5">
        <f ca="1">IFERROR(__xludf.DUMMYFUNCTION("""COMPUTED_VALUE"""),66845)</f>
        <v>66845</v>
      </c>
      <c r="B1554" s="5"/>
      <c r="C1554" s="5" t="str">
        <f ca="1">IFERROR(__xludf.DUMMYFUNCTION("""COMPUTED_VALUE"""),"Bihor")</f>
        <v>Bihor</v>
      </c>
      <c r="D1554" s="13">
        <f ca="1">IFERROR(__xludf.DUMMYFUNCTION("""COMPUTED_VALUE"""),44057)</f>
        <v>44057</v>
      </c>
      <c r="E1554" s="5" t="str">
        <f ca="1">IFERROR(__xludf.DUMMYFUNCTION("""COMPUTED_VALUE"""),"Nu")</f>
        <v>Nu</v>
      </c>
      <c r="F1554" s="5"/>
      <c r="G1554" s="5"/>
      <c r="H1554" s="6"/>
      <c r="I1554" s="5"/>
      <c r="J1554" s="5"/>
      <c r="K1554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54" s="5"/>
      <c r="M1554" s="5"/>
      <c r="N1554" s="5"/>
      <c r="O1554" s="5"/>
      <c r="P1554" s="5"/>
      <c r="Q1554" s="5"/>
      <c r="R1554" s="5" t="str">
        <f ca="1">IFERROR(__xludf.DUMMYFUNCTION("""COMPUTED_VALUE"""),"România")</f>
        <v>România</v>
      </c>
      <c r="S1554" s="5" t="str">
        <f ca="1">IFERROR(__xludf.DUMMYFUNCTION("""COMPUTED_VALUE"""),"Octavian")</f>
        <v>Octavian</v>
      </c>
      <c r="T1554" s="7" t="str">
        <f ca="1">IFERROR(__xludf.DUMMYFUNCTION("""COMPUTED_VALUE"""),"http://www.ms.ro/2020/08/14/buletin-informativ-14-08-2020")</f>
        <v>http://www.ms.ro/2020/08/14/buletin-informativ-14-08-2020</v>
      </c>
      <c r="U1554" s="5"/>
      <c r="V1554" s="5"/>
      <c r="W1554" s="5"/>
      <c r="X1554" s="5"/>
      <c r="Y1554" s="5"/>
      <c r="Z1554" s="5"/>
      <c r="AA1554" s="5"/>
      <c r="AB1554" s="5"/>
      <c r="AC1554" s="5"/>
    </row>
    <row r="1555" spans="1:29" ht="12.5">
      <c r="A1555" s="5">
        <f ca="1">IFERROR(__xludf.DUMMYFUNCTION("""COMPUTED_VALUE"""),66846)</f>
        <v>66846</v>
      </c>
      <c r="B1555" s="5"/>
      <c r="C1555" s="5" t="str">
        <f ca="1">IFERROR(__xludf.DUMMYFUNCTION("""COMPUTED_VALUE"""),"Bihor")</f>
        <v>Bihor</v>
      </c>
      <c r="D1555" s="13">
        <f ca="1">IFERROR(__xludf.DUMMYFUNCTION("""COMPUTED_VALUE"""),44057)</f>
        <v>44057</v>
      </c>
      <c r="E1555" s="5" t="str">
        <f ca="1">IFERROR(__xludf.DUMMYFUNCTION("""COMPUTED_VALUE"""),"Nu")</f>
        <v>Nu</v>
      </c>
      <c r="F1555" s="5"/>
      <c r="G1555" s="5"/>
      <c r="H1555" s="6"/>
      <c r="I1555" s="5"/>
      <c r="J1555" s="5"/>
      <c r="K1555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55" s="5"/>
      <c r="M1555" s="5"/>
      <c r="N1555" s="5"/>
      <c r="O1555" s="5"/>
      <c r="P1555" s="5"/>
      <c r="Q1555" s="5"/>
      <c r="R1555" s="5" t="str">
        <f ca="1">IFERROR(__xludf.DUMMYFUNCTION("""COMPUTED_VALUE"""),"România")</f>
        <v>România</v>
      </c>
      <c r="S1555" s="5" t="str">
        <f ca="1">IFERROR(__xludf.DUMMYFUNCTION("""COMPUTED_VALUE"""),"Octavian")</f>
        <v>Octavian</v>
      </c>
      <c r="T1555" s="7" t="str">
        <f ca="1">IFERROR(__xludf.DUMMYFUNCTION("""COMPUTED_VALUE"""),"http://www.ms.ro/2020/08/14/buletin-informativ-14-08-2020")</f>
        <v>http://www.ms.ro/2020/08/14/buletin-informativ-14-08-2020</v>
      </c>
      <c r="U1555" s="5"/>
      <c r="V1555" s="5"/>
      <c r="W1555" s="5"/>
      <c r="X1555" s="5"/>
      <c r="Y1555" s="5"/>
      <c r="Z1555" s="5"/>
      <c r="AA1555" s="5"/>
      <c r="AB1555" s="5"/>
      <c r="AC1555" s="5"/>
    </row>
    <row r="1556" spans="1:29" ht="12.5">
      <c r="A1556" s="5">
        <f ca="1">IFERROR(__xludf.DUMMYFUNCTION("""COMPUTED_VALUE"""),66847)</f>
        <v>66847</v>
      </c>
      <c r="B1556" s="5"/>
      <c r="C1556" s="5" t="str">
        <f ca="1">IFERROR(__xludf.DUMMYFUNCTION("""COMPUTED_VALUE"""),"Bihor")</f>
        <v>Bihor</v>
      </c>
      <c r="D1556" s="13">
        <f ca="1">IFERROR(__xludf.DUMMYFUNCTION("""COMPUTED_VALUE"""),44057)</f>
        <v>44057</v>
      </c>
      <c r="E1556" s="5" t="str">
        <f ca="1">IFERROR(__xludf.DUMMYFUNCTION("""COMPUTED_VALUE"""),"Nu")</f>
        <v>Nu</v>
      </c>
      <c r="F1556" s="5"/>
      <c r="G1556" s="5"/>
      <c r="H1556" s="6"/>
      <c r="I1556" s="5"/>
      <c r="J1556" s="5"/>
      <c r="K1556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56" s="5"/>
      <c r="M1556" s="5"/>
      <c r="N1556" s="5"/>
      <c r="O1556" s="5"/>
      <c r="P1556" s="5"/>
      <c r="Q1556" s="5"/>
      <c r="R1556" s="5" t="str">
        <f ca="1">IFERROR(__xludf.DUMMYFUNCTION("""COMPUTED_VALUE"""),"România")</f>
        <v>România</v>
      </c>
      <c r="S1556" s="5" t="str">
        <f ca="1">IFERROR(__xludf.DUMMYFUNCTION("""COMPUTED_VALUE"""),"Octavian")</f>
        <v>Octavian</v>
      </c>
      <c r="T1556" s="7" t="str">
        <f ca="1">IFERROR(__xludf.DUMMYFUNCTION("""COMPUTED_VALUE"""),"http://www.ms.ro/2020/08/14/buletin-informativ-14-08-2020")</f>
        <v>http://www.ms.ro/2020/08/14/buletin-informativ-14-08-2020</v>
      </c>
      <c r="U1556" s="5"/>
      <c r="V1556" s="5"/>
      <c r="W1556" s="5"/>
      <c r="X1556" s="5"/>
      <c r="Y1556" s="5"/>
      <c r="Z1556" s="5"/>
      <c r="AA1556" s="5"/>
      <c r="AB1556" s="5"/>
      <c r="AC1556" s="5"/>
    </row>
    <row r="1557" spans="1:29" ht="12.5">
      <c r="A1557" s="5">
        <f ca="1">IFERROR(__xludf.DUMMYFUNCTION("""COMPUTED_VALUE"""),66848)</f>
        <v>66848</v>
      </c>
      <c r="B1557" s="5"/>
      <c r="C1557" s="5" t="str">
        <f ca="1">IFERROR(__xludf.DUMMYFUNCTION("""COMPUTED_VALUE"""),"Bihor")</f>
        <v>Bihor</v>
      </c>
      <c r="D1557" s="13">
        <f ca="1">IFERROR(__xludf.DUMMYFUNCTION("""COMPUTED_VALUE"""),44057)</f>
        <v>44057</v>
      </c>
      <c r="E1557" s="5" t="str">
        <f ca="1">IFERROR(__xludf.DUMMYFUNCTION("""COMPUTED_VALUE"""),"Nu")</f>
        <v>Nu</v>
      </c>
      <c r="F1557" s="5"/>
      <c r="G1557" s="5"/>
      <c r="H1557" s="6"/>
      <c r="I1557" s="5"/>
      <c r="J1557" s="5"/>
      <c r="K1557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57" s="5"/>
      <c r="M1557" s="5"/>
      <c r="N1557" s="5"/>
      <c r="O1557" s="5"/>
      <c r="P1557" s="5"/>
      <c r="Q1557" s="5"/>
      <c r="R1557" s="5" t="str">
        <f ca="1">IFERROR(__xludf.DUMMYFUNCTION("""COMPUTED_VALUE"""),"România")</f>
        <v>România</v>
      </c>
      <c r="S1557" s="5" t="str">
        <f ca="1">IFERROR(__xludf.DUMMYFUNCTION("""COMPUTED_VALUE"""),"Octavian")</f>
        <v>Octavian</v>
      </c>
      <c r="T1557" s="7" t="str">
        <f ca="1">IFERROR(__xludf.DUMMYFUNCTION("""COMPUTED_VALUE"""),"http://www.ms.ro/2020/08/14/buletin-informativ-14-08-2020")</f>
        <v>http://www.ms.ro/2020/08/14/buletin-informativ-14-08-2020</v>
      </c>
      <c r="U1557" s="5"/>
      <c r="V1557" s="5"/>
      <c r="W1557" s="5"/>
      <c r="X1557" s="5"/>
      <c r="Y1557" s="5"/>
      <c r="Z1557" s="5"/>
      <c r="AA1557" s="5"/>
      <c r="AB1557" s="5"/>
      <c r="AC1557" s="5"/>
    </row>
    <row r="1558" spans="1:29" ht="12.5">
      <c r="A1558" s="5">
        <f ca="1">IFERROR(__xludf.DUMMYFUNCTION("""COMPUTED_VALUE"""),66849)</f>
        <v>66849</v>
      </c>
      <c r="B1558" s="5"/>
      <c r="C1558" s="5" t="str">
        <f ca="1">IFERROR(__xludf.DUMMYFUNCTION("""COMPUTED_VALUE"""),"Bihor")</f>
        <v>Bihor</v>
      </c>
      <c r="D1558" s="13">
        <f ca="1">IFERROR(__xludf.DUMMYFUNCTION("""COMPUTED_VALUE"""),44057)</f>
        <v>44057</v>
      </c>
      <c r="E1558" s="5" t="str">
        <f ca="1">IFERROR(__xludf.DUMMYFUNCTION("""COMPUTED_VALUE"""),"Nu")</f>
        <v>Nu</v>
      </c>
      <c r="F1558" s="5"/>
      <c r="G1558" s="5"/>
      <c r="H1558" s="6"/>
      <c r="I1558" s="5"/>
      <c r="J1558" s="5"/>
      <c r="K1558" s="7" t="str">
        <f ca="1">IFERROR(__xludf.DUMMYFUNCTION("""COMPUTED_VALUE"""),"https://www.ebihoreanul.ro/stiri/inca-56-de-cazuri-de-coronavirus-in-bihor-158211.html")</f>
        <v>https://www.ebihoreanul.ro/stiri/inca-56-de-cazuri-de-coronavirus-in-bihor-158211.html</v>
      </c>
      <c r="L1558" s="5"/>
      <c r="M1558" s="5"/>
      <c r="N1558" s="5"/>
      <c r="O1558" s="5"/>
      <c r="P1558" s="5"/>
      <c r="Q1558" s="5"/>
      <c r="R1558" s="5" t="str">
        <f ca="1">IFERROR(__xludf.DUMMYFUNCTION("""COMPUTED_VALUE"""),"România")</f>
        <v>România</v>
      </c>
      <c r="S1558" s="5" t="str">
        <f ca="1">IFERROR(__xludf.DUMMYFUNCTION("""COMPUTED_VALUE"""),"Octavian")</f>
        <v>Octavian</v>
      </c>
      <c r="T1558" s="7" t="str">
        <f ca="1">IFERROR(__xludf.DUMMYFUNCTION("""COMPUTED_VALUE"""),"http://www.ms.ro/2020/08/14/buletin-informativ-14-08-2020")</f>
        <v>http://www.ms.ro/2020/08/14/buletin-informativ-14-08-2020</v>
      </c>
      <c r="U1558" s="5"/>
      <c r="V1558" s="5"/>
      <c r="W1558" s="5"/>
      <c r="X1558" s="5"/>
      <c r="Y1558" s="5"/>
      <c r="Z1558" s="5"/>
      <c r="AA1558" s="5"/>
      <c r="AB1558" s="5"/>
      <c r="AC1558" s="5"/>
    </row>
    <row r="1559" spans="1:29" ht="12.5">
      <c r="A1559" s="5">
        <f ca="1">IFERROR(__xludf.DUMMYFUNCTION("""COMPUTED_VALUE"""),68206)</f>
        <v>68206</v>
      </c>
      <c r="B1559" s="5"/>
      <c r="C1559" s="5" t="str">
        <f ca="1">IFERROR(__xludf.DUMMYFUNCTION("""COMPUTED_VALUE"""),"Bihor")</f>
        <v>Bihor</v>
      </c>
      <c r="D1559" s="13">
        <f ca="1">IFERROR(__xludf.DUMMYFUNCTION("""COMPUTED_VALUE"""),44058)</f>
        <v>44058</v>
      </c>
      <c r="E1559" s="5" t="str">
        <f ca="1">IFERROR(__xludf.DUMMYFUNCTION("""COMPUTED_VALUE"""),"Nu")</f>
        <v>Nu</v>
      </c>
      <c r="F1559" s="5"/>
      <c r="G1559" s="5"/>
      <c r="H1559" s="6"/>
      <c r="I1559" s="5"/>
      <c r="J1559" s="5"/>
      <c r="K1559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559" s="5"/>
      <c r="M1559" s="5" t="str">
        <f ca="1">IFERROR(__xludf.DUMMYFUNCTION("""COMPUTED_VALUE"""),"Oradea")</f>
        <v>Oradea</v>
      </c>
      <c r="N1559" s="5"/>
      <c r="O1559" s="5"/>
      <c r="P1559" s="5" t="str">
        <f ca="1">IFERROR(__xludf.DUMMYFUNCTION("""COMPUTED_VALUE"""),"Spital Pelican, angajat.")</f>
        <v>Spital Pelican, angajat.</v>
      </c>
      <c r="Q1559" s="5" t="str">
        <f ca="1">IFERROR(__xludf.DUMMYFUNCTION("""COMPUTED_VALUE"""),"Medical")</f>
        <v>Medical</v>
      </c>
      <c r="R1559" s="5" t="str">
        <f ca="1">IFERROR(__xludf.DUMMYFUNCTION("""COMPUTED_VALUE"""),"România")</f>
        <v>România</v>
      </c>
      <c r="S1559" s="5" t="str">
        <f ca="1">IFERROR(__xludf.DUMMYFUNCTION("""COMPUTED_VALUE"""),"Octavian")</f>
        <v>Octavian</v>
      </c>
      <c r="T1559" s="7" t="str">
        <f ca="1">IFERROR(__xludf.DUMMYFUNCTION("""COMPUTED_VALUE"""),"http://www.ms.ro/2020/08/15/33355/")</f>
        <v>http://www.ms.ro/2020/08/15/33355/</v>
      </c>
      <c r="U1559" s="5"/>
      <c r="V1559" s="5"/>
      <c r="W1559" s="5"/>
      <c r="X1559" s="5"/>
      <c r="Y1559" s="5"/>
      <c r="Z1559" s="5"/>
      <c r="AA1559" s="5"/>
      <c r="AB1559" s="5"/>
      <c r="AC1559" s="5"/>
    </row>
    <row r="1560" spans="1:29" ht="12.5">
      <c r="A1560" s="5">
        <f ca="1">IFERROR(__xludf.DUMMYFUNCTION("""COMPUTED_VALUE"""),68207)</f>
        <v>68207</v>
      </c>
      <c r="B1560" s="5"/>
      <c r="C1560" s="5" t="str">
        <f ca="1">IFERROR(__xludf.DUMMYFUNCTION("""COMPUTED_VALUE"""),"Bihor")</f>
        <v>Bihor</v>
      </c>
      <c r="D1560" s="13">
        <f ca="1">IFERROR(__xludf.DUMMYFUNCTION("""COMPUTED_VALUE"""),44058)</f>
        <v>44058</v>
      </c>
      <c r="E1560" s="5" t="str">
        <f ca="1">IFERROR(__xludf.DUMMYFUNCTION("""COMPUTED_VALUE"""),"Nu")</f>
        <v>Nu</v>
      </c>
      <c r="F1560" s="5"/>
      <c r="G1560" s="5"/>
      <c r="H1560" s="6"/>
      <c r="I1560" s="5"/>
      <c r="J1560" s="5"/>
      <c r="K1560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560" s="5"/>
      <c r="M1560" s="5" t="str">
        <f ca="1">IFERROR(__xludf.DUMMYFUNCTION("""COMPUTED_VALUE"""),"Oradea")</f>
        <v>Oradea</v>
      </c>
      <c r="N1560" s="5"/>
      <c r="O1560" s="5"/>
      <c r="P1560" s="5" t="str">
        <f ca="1">IFERROR(__xludf.DUMMYFUNCTION("""COMPUTED_VALUE"""),"Centru oncologic, pacient.")</f>
        <v>Centru oncologic, pacient.</v>
      </c>
      <c r="Q1560" s="5" t="str">
        <f ca="1">IFERROR(__xludf.DUMMYFUNCTION("""COMPUTED_VALUE"""),"Medical")</f>
        <v>Medical</v>
      </c>
      <c r="R1560" s="5" t="str">
        <f ca="1">IFERROR(__xludf.DUMMYFUNCTION("""COMPUTED_VALUE"""),"România")</f>
        <v>România</v>
      </c>
      <c r="S1560" s="5" t="str">
        <f ca="1">IFERROR(__xludf.DUMMYFUNCTION("""COMPUTED_VALUE"""),"Octavian")</f>
        <v>Octavian</v>
      </c>
      <c r="T1560" s="7" t="str">
        <f ca="1">IFERROR(__xludf.DUMMYFUNCTION("""COMPUTED_VALUE"""),"http://www.ms.ro/2020/08/15/33355/")</f>
        <v>http://www.ms.ro/2020/08/15/33355/</v>
      </c>
      <c r="U1560" s="5"/>
      <c r="V1560" s="5"/>
      <c r="W1560" s="5"/>
      <c r="X1560" s="5"/>
      <c r="Y1560" s="5"/>
      <c r="Z1560" s="5"/>
      <c r="AA1560" s="5"/>
      <c r="AB1560" s="5"/>
      <c r="AC1560" s="5"/>
    </row>
    <row r="1561" spans="1:29" ht="12.5">
      <c r="A1561" s="5">
        <f ca="1">IFERROR(__xludf.DUMMYFUNCTION("""COMPUTED_VALUE"""),68208)</f>
        <v>68208</v>
      </c>
      <c r="B1561" s="5"/>
      <c r="C1561" s="5" t="str">
        <f ca="1">IFERROR(__xludf.DUMMYFUNCTION("""COMPUTED_VALUE"""),"Bihor")</f>
        <v>Bihor</v>
      </c>
      <c r="D1561" s="13">
        <f ca="1">IFERROR(__xludf.DUMMYFUNCTION("""COMPUTED_VALUE"""),44058)</f>
        <v>44058</v>
      </c>
      <c r="E1561" s="5" t="str">
        <f ca="1">IFERROR(__xludf.DUMMYFUNCTION("""COMPUTED_VALUE"""),"Nu")</f>
        <v>Nu</v>
      </c>
      <c r="F1561" s="5"/>
      <c r="G1561" s="5"/>
      <c r="H1561" s="6"/>
      <c r="I1561" s="5"/>
      <c r="J1561" s="5"/>
      <c r="K1561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561" s="5"/>
      <c r="M1561" s="5" t="str">
        <f ca="1">IFERROR(__xludf.DUMMYFUNCTION("""COMPUTED_VALUE"""),"Oradea")</f>
        <v>Oradea</v>
      </c>
      <c r="N1561" s="5"/>
      <c r="O1561" s="5"/>
      <c r="P1561" s="5" t="str">
        <f ca="1">IFERROR(__xludf.DUMMYFUNCTION("""COMPUTED_VALUE"""),"SJU Oradea, pacient.")</f>
        <v>SJU Oradea, pacient.</v>
      </c>
      <c r="Q1561" s="5" t="str">
        <f ca="1">IFERROR(__xludf.DUMMYFUNCTION("""COMPUTED_VALUE"""),"Medical")</f>
        <v>Medical</v>
      </c>
      <c r="R1561" s="5" t="str">
        <f ca="1">IFERROR(__xludf.DUMMYFUNCTION("""COMPUTED_VALUE"""),"România")</f>
        <v>România</v>
      </c>
      <c r="S1561" s="5" t="str">
        <f ca="1">IFERROR(__xludf.DUMMYFUNCTION("""COMPUTED_VALUE"""),"Octavian")</f>
        <v>Octavian</v>
      </c>
      <c r="T1561" s="7" t="str">
        <f ca="1">IFERROR(__xludf.DUMMYFUNCTION("""COMPUTED_VALUE"""),"http://www.ms.ro/2020/08/15/33355/")</f>
        <v>http://www.ms.ro/2020/08/15/33355/</v>
      </c>
      <c r="U1561" s="5"/>
      <c r="V1561" s="5"/>
      <c r="W1561" s="5"/>
      <c r="X1561" s="5"/>
      <c r="Y1561" s="5"/>
      <c r="Z1561" s="5"/>
      <c r="AA1561" s="5"/>
      <c r="AB1561" s="5"/>
      <c r="AC1561" s="5"/>
    </row>
    <row r="1562" spans="1:29" ht="12.5">
      <c r="A1562" s="5">
        <f ca="1">IFERROR(__xludf.DUMMYFUNCTION("""COMPUTED_VALUE"""),68209)</f>
        <v>68209</v>
      </c>
      <c r="B1562" s="5"/>
      <c r="C1562" s="5" t="str">
        <f ca="1">IFERROR(__xludf.DUMMYFUNCTION("""COMPUTED_VALUE"""),"Bihor")</f>
        <v>Bihor</v>
      </c>
      <c r="D1562" s="13">
        <f ca="1">IFERROR(__xludf.DUMMYFUNCTION("""COMPUTED_VALUE"""),44058)</f>
        <v>44058</v>
      </c>
      <c r="E1562" s="5" t="str">
        <f ca="1">IFERROR(__xludf.DUMMYFUNCTION("""COMPUTED_VALUE"""),"Nu")</f>
        <v>Nu</v>
      </c>
      <c r="F1562" s="5"/>
      <c r="G1562" s="5"/>
      <c r="H1562" s="6"/>
      <c r="I1562" s="5"/>
      <c r="J1562" s="5"/>
      <c r="K1562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562" s="5"/>
      <c r="M1562" s="5" t="str">
        <f ca="1">IFERROR(__xludf.DUMMYFUNCTION("""COMPUTED_VALUE"""),"Oradea")</f>
        <v>Oradea</v>
      </c>
      <c r="N1562" s="5"/>
      <c r="O1562" s="5"/>
      <c r="P1562" s="5" t="str">
        <f ca="1">IFERROR(__xludf.DUMMYFUNCTION("""COMPUTED_VALUE"""),"SJU Oradea, pacient.")</f>
        <v>SJU Oradea, pacient.</v>
      </c>
      <c r="Q1562" s="5" t="str">
        <f ca="1">IFERROR(__xludf.DUMMYFUNCTION("""COMPUTED_VALUE"""),"Medical")</f>
        <v>Medical</v>
      </c>
      <c r="R1562" s="5" t="str">
        <f ca="1">IFERROR(__xludf.DUMMYFUNCTION("""COMPUTED_VALUE"""),"România")</f>
        <v>România</v>
      </c>
      <c r="S1562" s="5" t="str">
        <f ca="1">IFERROR(__xludf.DUMMYFUNCTION("""COMPUTED_VALUE"""),"Octavian")</f>
        <v>Octavian</v>
      </c>
      <c r="T1562" s="7" t="str">
        <f ca="1">IFERROR(__xludf.DUMMYFUNCTION("""COMPUTED_VALUE"""),"http://www.ms.ro/2020/08/15/33355/")</f>
        <v>http://www.ms.ro/2020/08/15/33355/</v>
      </c>
      <c r="U1562" s="5"/>
      <c r="V1562" s="5"/>
      <c r="W1562" s="5"/>
      <c r="X1562" s="5"/>
      <c r="Y1562" s="5"/>
      <c r="Z1562" s="5"/>
      <c r="AA1562" s="5"/>
      <c r="AB1562" s="5"/>
      <c r="AC1562" s="5"/>
    </row>
    <row r="1563" spans="1:29" ht="12.5">
      <c r="A1563" s="5">
        <f ca="1">IFERROR(__xludf.DUMMYFUNCTION("""COMPUTED_VALUE"""),68210)</f>
        <v>68210</v>
      </c>
      <c r="B1563" s="5"/>
      <c r="C1563" s="5" t="str">
        <f ca="1">IFERROR(__xludf.DUMMYFUNCTION("""COMPUTED_VALUE"""),"Bihor")</f>
        <v>Bihor</v>
      </c>
      <c r="D1563" s="13">
        <f ca="1">IFERROR(__xludf.DUMMYFUNCTION("""COMPUTED_VALUE"""),44058)</f>
        <v>44058</v>
      </c>
      <c r="E1563" s="5" t="str">
        <f ca="1">IFERROR(__xludf.DUMMYFUNCTION("""COMPUTED_VALUE"""),"Nu")</f>
        <v>Nu</v>
      </c>
      <c r="F1563" s="5"/>
      <c r="G1563" s="5"/>
      <c r="H1563" s="6"/>
      <c r="I1563" s="5"/>
      <c r="J1563" s="5"/>
      <c r="K1563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563" s="5"/>
      <c r="M1563" s="5" t="str">
        <f ca="1">IFERROR(__xludf.DUMMYFUNCTION("""COMPUTED_VALUE"""),"Aleșd")</f>
        <v>Aleșd</v>
      </c>
      <c r="N1563" s="5"/>
      <c r="O1563" s="5"/>
      <c r="P1563" s="5" t="str">
        <f ca="1">IFERROR(__xludf.DUMMYFUNCTION("""COMPUTED_VALUE"""),"Spital Aleșd, pacient.")</f>
        <v>Spital Aleșd, pacient.</v>
      </c>
      <c r="Q1563" s="5" t="str">
        <f ca="1">IFERROR(__xludf.DUMMYFUNCTION("""COMPUTED_VALUE"""),"Medical")</f>
        <v>Medical</v>
      </c>
      <c r="R1563" s="5" t="str">
        <f ca="1">IFERROR(__xludf.DUMMYFUNCTION("""COMPUTED_VALUE"""),"România")</f>
        <v>România</v>
      </c>
      <c r="S1563" s="5" t="str">
        <f ca="1">IFERROR(__xludf.DUMMYFUNCTION("""COMPUTED_VALUE"""),"Octavian")</f>
        <v>Octavian</v>
      </c>
      <c r="T1563" s="7" t="str">
        <f ca="1">IFERROR(__xludf.DUMMYFUNCTION("""COMPUTED_VALUE"""),"http://www.ms.ro/2020/08/15/33355/")</f>
        <v>http://www.ms.ro/2020/08/15/33355/</v>
      </c>
      <c r="U1563" s="5"/>
      <c r="V1563" s="5"/>
      <c r="W1563" s="5"/>
      <c r="X1563" s="5"/>
      <c r="Y1563" s="5"/>
      <c r="Z1563" s="5"/>
      <c r="AA1563" s="5"/>
      <c r="AB1563" s="5"/>
      <c r="AC1563" s="5"/>
    </row>
    <row r="1564" spans="1:29" ht="12.5">
      <c r="A1564" s="5">
        <f ca="1">IFERROR(__xludf.DUMMYFUNCTION("""COMPUTED_VALUE"""),68211)</f>
        <v>68211</v>
      </c>
      <c r="B1564" s="5"/>
      <c r="C1564" s="5" t="str">
        <f ca="1">IFERROR(__xludf.DUMMYFUNCTION("""COMPUTED_VALUE"""),"Bihor")</f>
        <v>Bihor</v>
      </c>
      <c r="D1564" s="13">
        <f ca="1">IFERROR(__xludf.DUMMYFUNCTION("""COMPUTED_VALUE"""),44058)</f>
        <v>44058</v>
      </c>
      <c r="E1564" s="5" t="str">
        <f ca="1">IFERROR(__xludf.DUMMYFUNCTION("""COMPUTED_VALUE"""),"Nu")</f>
        <v>Nu</v>
      </c>
      <c r="F1564" s="5"/>
      <c r="G1564" s="5"/>
      <c r="H1564" s="6"/>
      <c r="I1564" s="5"/>
      <c r="J1564" s="5"/>
      <c r="K1564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564" s="5"/>
      <c r="M1564" s="5" t="str">
        <f ca="1">IFERROR(__xludf.DUMMYFUNCTION("""COMPUTED_VALUE"""),"Aleșd")</f>
        <v>Aleșd</v>
      </c>
      <c r="N1564" s="5"/>
      <c r="O1564" s="5"/>
      <c r="P1564" s="5" t="str">
        <f ca="1">IFERROR(__xludf.DUMMYFUNCTION("""COMPUTED_VALUE"""),"Spital Aleșd, pacient.")</f>
        <v>Spital Aleșd, pacient.</v>
      </c>
      <c r="Q1564" s="5" t="str">
        <f ca="1">IFERROR(__xludf.DUMMYFUNCTION("""COMPUTED_VALUE"""),"Medical")</f>
        <v>Medical</v>
      </c>
      <c r="R1564" s="5" t="str">
        <f ca="1">IFERROR(__xludf.DUMMYFUNCTION("""COMPUTED_VALUE"""),"România")</f>
        <v>România</v>
      </c>
      <c r="S1564" s="5" t="str">
        <f ca="1">IFERROR(__xludf.DUMMYFUNCTION("""COMPUTED_VALUE"""),"Octavian")</f>
        <v>Octavian</v>
      </c>
      <c r="T1564" s="7" t="str">
        <f ca="1">IFERROR(__xludf.DUMMYFUNCTION("""COMPUTED_VALUE"""),"http://www.ms.ro/2020/08/15/33355/")</f>
        <v>http://www.ms.ro/2020/08/15/33355/</v>
      </c>
      <c r="U1564" s="5"/>
      <c r="V1564" s="5"/>
      <c r="W1564" s="5"/>
      <c r="X1564" s="5"/>
      <c r="Y1564" s="5"/>
      <c r="Z1564" s="5"/>
      <c r="AA1564" s="5"/>
      <c r="AB1564" s="5"/>
      <c r="AC1564" s="5"/>
    </row>
    <row r="1565" spans="1:29" ht="12.5">
      <c r="A1565" s="5">
        <f ca="1">IFERROR(__xludf.DUMMYFUNCTION("""COMPUTED_VALUE"""),68212)</f>
        <v>68212</v>
      </c>
      <c r="B1565" s="5"/>
      <c r="C1565" s="5" t="str">
        <f ca="1">IFERROR(__xludf.DUMMYFUNCTION("""COMPUTED_VALUE"""),"Bihor")</f>
        <v>Bihor</v>
      </c>
      <c r="D1565" s="13">
        <f ca="1">IFERROR(__xludf.DUMMYFUNCTION("""COMPUTED_VALUE"""),44058)</f>
        <v>44058</v>
      </c>
      <c r="E1565" s="5" t="str">
        <f ca="1">IFERROR(__xludf.DUMMYFUNCTION("""COMPUTED_VALUE"""),"Nu")</f>
        <v>Nu</v>
      </c>
      <c r="F1565" s="5"/>
      <c r="G1565" s="5"/>
      <c r="H1565" s="6"/>
      <c r="I1565" s="5"/>
      <c r="J1565" s="5"/>
      <c r="K1565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565" s="5"/>
      <c r="M1565" s="5" t="str">
        <f ca="1">IFERROR(__xludf.DUMMYFUNCTION("""COMPUTED_VALUE"""),"Aleșd")</f>
        <v>Aleșd</v>
      </c>
      <c r="N1565" s="5"/>
      <c r="O1565" s="5"/>
      <c r="P1565" s="5" t="str">
        <f ca="1">IFERROR(__xludf.DUMMYFUNCTION("""COMPUTED_VALUE"""),"Spital Aleșd, pacient.")</f>
        <v>Spital Aleșd, pacient.</v>
      </c>
      <c r="Q1565" s="5" t="str">
        <f ca="1">IFERROR(__xludf.DUMMYFUNCTION("""COMPUTED_VALUE"""),"Medical")</f>
        <v>Medical</v>
      </c>
      <c r="R1565" s="5" t="str">
        <f ca="1">IFERROR(__xludf.DUMMYFUNCTION("""COMPUTED_VALUE"""),"România")</f>
        <v>România</v>
      </c>
      <c r="S1565" s="5" t="str">
        <f ca="1">IFERROR(__xludf.DUMMYFUNCTION("""COMPUTED_VALUE"""),"Octavian")</f>
        <v>Octavian</v>
      </c>
      <c r="T1565" s="7" t="str">
        <f ca="1">IFERROR(__xludf.DUMMYFUNCTION("""COMPUTED_VALUE"""),"http://www.ms.ro/2020/08/15/33355/")</f>
        <v>http://www.ms.ro/2020/08/15/33355/</v>
      </c>
      <c r="U1565" s="5"/>
      <c r="V1565" s="5"/>
      <c r="W1565" s="5"/>
      <c r="X1565" s="5"/>
      <c r="Y1565" s="5"/>
      <c r="Z1565" s="5"/>
      <c r="AA1565" s="5"/>
      <c r="AB1565" s="5"/>
      <c r="AC1565" s="5"/>
    </row>
    <row r="1566" spans="1:29" ht="12.5">
      <c r="A1566" s="5">
        <f ca="1">IFERROR(__xludf.DUMMYFUNCTION("""COMPUTED_VALUE"""),68213)</f>
        <v>68213</v>
      </c>
      <c r="B1566" s="5"/>
      <c r="C1566" s="5" t="str">
        <f ca="1">IFERROR(__xludf.DUMMYFUNCTION("""COMPUTED_VALUE"""),"Bihor")</f>
        <v>Bihor</v>
      </c>
      <c r="D1566" s="13">
        <f ca="1">IFERROR(__xludf.DUMMYFUNCTION("""COMPUTED_VALUE"""),44058)</f>
        <v>44058</v>
      </c>
      <c r="E1566" s="5" t="str">
        <f ca="1">IFERROR(__xludf.DUMMYFUNCTION("""COMPUTED_VALUE"""),"Nu")</f>
        <v>Nu</v>
      </c>
      <c r="F1566" s="5"/>
      <c r="G1566" s="5"/>
      <c r="H1566" s="6"/>
      <c r="I1566" s="5"/>
      <c r="J1566" s="5"/>
      <c r="K1566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566" s="5"/>
      <c r="M1566" s="5" t="str">
        <f ca="1">IFERROR(__xludf.DUMMYFUNCTION("""COMPUTED_VALUE"""),"Ștei")</f>
        <v>Ștei</v>
      </c>
      <c r="N1566" s="5"/>
      <c r="O1566" s="5"/>
      <c r="P1566" s="5" t="str">
        <f ca="1">IFERROR(__xludf.DUMMYFUNCTION("""COMPUTED_VALUE"""),"Spital Ștei, pacient.")</f>
        <v>Spital Ștei, pacient.</v>
      </c>
      <c r="Q1566" s="5" t="str">
        <f ca="1">IFERROR(__xludf.DUMMYFUNCTION("""COMPUTED_VALUE"""),"Medical")</f>
        <v>Medical</v>
      </c>
      <c r="R1566" s="5" t="str">
        <f ca="1">IFERROR(__xludf.DUMMYFUNCTION("""COMPUTED_VALUE"""),"România")</f>
        <v>România</v>
      </c>
      <c r="S1566" s="5" t="str">
        <f ca="1">IFERROR(__xludf.DUMMYFUNCTION("""COMPUTED_VALUE"""),"Octavian")</f>
        <v>Octavian</v>
      </c>
      <c r="T1566" s="7" t="str">
        <f ca="1">IFERROR(__xludf.DUMMYFUNCTION("""COMPUTED_VALUE"""),"http://www.ms.ro/2020/08/15/33355/")</f>
        <v>http://www.ms.ro/2020/08/15/33355/</v>
      </c>
      <c r="U1566" s="5"/>
      <c r="V1566" s="5"/>
      <c r="W1566" s="5"/>
      <c r="X1566" s="5"/>
      <c r="Y1566" s="5"/>
      <c r="Z1566" s="5"/>
      <c r="AA1566" s="5"/>
      <c r="AB1566" s="5"/>
      <c r="AC1566" s="5"/>
    </row>
    <row r="1567" spans="1:29" ht="12.5">
      <c r="A1567" s="5">
        <f ca="1">IFERROR(__xludf.DUMMYFUNCTION("""COMPUTED_VALUE"""),68214)</f>
        <v>68214</v>
      </c>
      <c r="B1567" s="5"/>
      <c r="C1567" s="5" t="str">
        <f ca="1">IFERROR(__xludf.DUMMYFUNCTION("""COMPUTED_VALUE"""),"Bihor")</f>
        <v>Bihor</v>
      </c>
      <c r="D1567" s="13">
        <f ca="1">IFERROR(__xludf.DUMMYFUNCTION("""COMPUTED_VALUE"""),44058)</f>
        <v>44058</v>
      </c>
      <c r="E1567" s="5" t="str">
        <f ca="1">IFERROR(__xludf.DUMMYFUNCTION("""COMPUTED_VALUE"""),"Nu")</f>
        <v>Nu</v>
      </c>
      <c r="F1567" s="5"/>
      <c r="G1567" s="5"/>
      <c r="H1567" s="6"/>
      <c r="I1567" s="5"/>
      <c r="J1567" s="5"/>
      <c r="K1567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567" s="5"/>
      <c r="M1567" s="5" t="str">
        <f ca="1">IFERROR(__xludf.DUMMYFUNCTION("""COMPUTED_VALUE"""),"Ștei")</f>
        <v>Ștei</v>
      </c>
      <c r="N1567" s="5"/>
      <c r="O1567" s="5"/>
      <c r="P1567" s="5" t="str">
        <f ca="1">IFERROR(__xludf.DUMMYFUNCTION("""COMPUTED_VALUE"""),"Spital Ștei, pacient.")</f>
        <v>Spital Ștei, pacient.</v>
      </c>
      <c r="Q1567" s="5" t="str">
        <f ca="1">IFERROR(__xludf.DUMMYFUNCTION("""COMPUTED_VALUE"""),"Medical")</f>
        <v>Medical</v>
      </c>
      <c r="R1567" s="5" t="str">
        <f ca="1">IFERROR(__xludf.DUMMYFUNCTION("""COMPUTED_VALUE"""),"România")</f>
        <v>România</v>
      </c>
      <c r="S1567" s="5" t="str">
        <f ca="1">IFERROR(__xludf.DUMMYFUNCTION("""COMPUTED_VALUE"""),"Octavian")</f>
        <v>Octavian</v>
      </c>
      <c r="T1567" s="7" t="str">
        <f ca="1">IFERROR(__xludf.DUMMYFUNCTION("""COMPUTED_VALUE"""),"http://www.ms.ro/2020/08/15/33355/")</f>
        <v>http://www.ms.ro/2020/08/15/33355/</v>
      </c>
      <c r="U1567" s="5"/>
      <c r="V1567" s="5"/>
      <c r="W1567" s="5"/>
      <c r="X1567" s="5"/>
      <c r="Y1567" s="5"/>
      <c r="Z1567" s="5"/>
      <c r="AA1567" s="5"/>
      <c r="AB1567" s="5"/>
      <c r="AC1567" s="5"/>
    </row>
    <row r="1568" spans="1:29" ht="12.5">
      <c r="A1568" s="5">
        <f ca="1">IFERROR(__xludf.DUMMYFUNCTION("""COMPUTED_VALUE"""),68215)</f>
        <v>68215</v>
      </c>
      <c r="B1568" s="5"/>
      <c r="C1568" s="5" t="str">
        <f ca="1">IFERROR(__xludf.DUMMYFUNCTION("""COMPUTED_VALUE"""),"Bihor")</f>
        <v>Bihor</v>
      </c>
      <c r="D1568" s="13">
        <f ca="1">IFERROR(__xludf.DUMMYFUNCTION("""COMPUTED_VALUE"""),44058)</f>
        <v>44058</v>
      </c>
      <c r="E1568" s="5" t="str">
        <f ca="1">IFERROR(__xludf.DUMMYFUNCTION("""COMPUTED_VALUE"""),"Nu")</f>
        <v>Nu</v>
      </c>
      <c r="F1568" s="5"/>
      <c r="G1568" s="5"/>
      <c r="H1568" s="6"/>
      <c r="I1568" s="5"/>
      <c r="J1568" s="5"/>
      <c r="K1568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568" s="5"/>
      <c r="M1568" s="5" t="str">
        <f ca="1">IFERROR(__xludf.DUMMYFUNCTION("""COMPUTED_VALUE"""),"Ștei")</f>
        <v>Ștei</v>
      </c>
      <c r="N1568" s="5"/>
      <c r="O1568" s="5"/>
      <c r="P1568" s="5" t="str">
        <f ca="1">IFERROR(__xludf.DUMMYFUNCTION("""COMPUTED_VALUE"""),"Spital Ștei, pacient.")</f>
        <v>Spital Ștei, pacient.</v>
      </c>
      <c r="Q1568" s="5" t="str">
        <f ca="1">IFERROR(__xludf.DUMMYFUNCTION("""COMPUTED_VALUE"""),"Medical")</f>
        <v>Medical</v>
      </c>
      <c r="R1568" s="5" t="str">
        <f ca="1">IFERROR(__xludf.DUMMYFUNCTION("""COMPUTED_VALUE"""),"România")</f>
        <v>România</v>
      </c>
      <c r="S1568" s="5" t="str">
        <f ca="1">IFERROR(__xludf.DUMMYFUNCTION("""COMPUTED_VALUE"""),"Octavian")</f>
        <v>Octavian</v>
      </c>
      <c r="T1568" s="7" t="str">
        <f ca="1">IFERROR(__xludf.DUMMYFUNCTION("""COMPUTED_VALUE"""),"http://www.ms.ro/2020/08/15/33355/")</f>
        <v>http://www.ms.ro/2020/08/15/33355/</v>
      </c>
      <c r="U1568" s="5"/>
      <c r="V1568" s="5"/>
      <c r="W1568" s="5"/>
      <c r="X1568" s="5"/>
      <c r="Y1568" s="5"/>
      <c r="Z1568" s="5"/>
      <c r="AA1568" s="5"/>
      <c r="AB1568" s="5"/>
      <c r="AC1568" s="5"/>
    </row>
    <row r="1569" spans="1:29" ht="12.5">
      <c r="A1569" s="5">
        <f ca="1">IFERROR(__xludf.DUMMYFUNCTION("""COMPUTED_VALUE"""),68216)</f>
        <v>68216</v>
      </c>
      <c r="B1569" s="5"/>
      <c r="C1569" s="5" t="str">
        <f ca="1">IFERROR(__xludf.DUMMYFUNCTION("""COMPUTED_VALUE"""),"Bihor")</f>
        <v>Bihor</v>
      </c>
      <c r="D1569" s="13">
        <f ca="1">IFERROR(__xludf.DUMMYFUNCTION("""COMPUTED_VALUE"""),44058)</f>
        <v>44058</v>
      </c>
      <c r="E1569" s="5" t="str">
        <f ca="1">IFERROR(__xludf.DUMMYFUNCTION("""COMPUTED_VALUE"""),"Nu")</f>
        <v>Nu</v>
      </c>
      <c r="F1569" s="5"/>
      <c r="G1569" s="5"/>
      <c r="H1569" s="6"/>
      <c r="I1569" s="5"/>
      <c r="J1569" s="5"/>
      <c r="K1569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569" s="5"/>
      <c r="M1569" s="5" t="str">
        <f ca="1">IFERROR(__xludf.DUMMYFUNCTION("""COMPUTED_VALUE"""),"Bulz")</f>
        <v>Bulz</v>
      </c>
      <c r="N1569" s="5"/>
      <c r="O1569" s="5"/>
      <c r="P1569" s="5"/>
      <c r="Q1569" s="5"/>
      <c r="R1569" s="5" t="str">
        <f ca="1">IFERROR(__xludf.DUMMYFUNCTION("""COMPUTED_VALUE"""),"România")</f>
        <v>România</v>
      </c>
      <c r="S1569" s="5" t="str">
        <f ca="1">IFERROR(__xludf.DUMMYFUNCTION("""COMPUTED_VALUE"""),"Octavian")</f>
        <v>Octavian</v>
      </c>
      <c r="T1569" s="7" t="str">
        <f ca="1">IFERROR(__xludf.DUMMYFUNCTION("""COMPUTED_VALUE"""),"http://www.ms.ro/2020/08/15/33355/")</f>
        <v>http://www.ms.ro/2020/08/15/33355/</v>
      </c>
      <c r="U1569" s="5"/>
      <c r="V1569" s="5"/>
      <c r="W1569" s="5"/>
      <c r="X1569" s="5"/>
      <c r="Y1569" s="5"/>
      <c r="Z1569" s="5"/>
      <c r="AA1569" s="5"/>
      <c r="AB1569" s="5"/>
      <c r="AC1569" s="5"/>
    </row>
    <row r="1570" spans="1:29" ht="12.5">
      <c r="A1570" s="5">
        <f ca="1">IFERROR(__xludf.DUMMYFUNCTION("""COMPUTED_VALUE"""),68217)</f>
        <v>68217</v>
      </c>
      <c r="B1570" s="5"/>
      <c r="C1570" s="5" t="str">
        <f ca="1">IFERROR(__xludf.DUMMYFUNCTION("""COMPUTED_VALUE"""),"Bihor")</f>
        <v>Bihor</v>
      </c>
      <c r="D1570" s="13">
        <f ca="1">IFERROR(__xludf.DUMMYFUNCTION("""COMPUTED_VALUE"""),44058)</f>
        <v>44058</v>
      </c>
      <c r="E1570" s="5" t="str">
        <f ca="1">IFERROR(__xludf.DUMMYFUNCTION("""COMPUTED_VALUE"""),"Nu")</f>
        <v>Nu</v>
      </c>
      <c r="F1570" s="5"/>
      <c r="G1570" s="5"/>
      <c r="H1570" s="6"/>
      <c r="I1570" s="5"/>
      <c r="J1570" s="5"/>
      <c r="K1570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570" s="5"/>
      <c r="M1570" s="5" t="str">
        <f ca="1">IFERROR(__xludf.DUMMYFUNCTION("""COMPUTED_VALUE"""),"Oșorhei")</f>
        <v>Oșorhei</v>
      </c>
      <c r="N1570" s="5"/>
      <c r="O1570" s="5"/>
      <c r="P1570" s="5"/>
      <c r="Q1570" s="5"/>
      <c r="R1570" s="5" t="str">
        <f ca="1">IFERROR(__xludf.DUMMYFUNCTION("""COMPUTED_VALUE"""),"România")</f>
        <v>România</v>
      </c>
      <c r="S1570" s="5" t="str">
        <f ca="1">IFERROR(__xludf.DUMMYFUNCTION("""COMPUTED_VALUE"""),"Octavian")</f>
        <v>Octavian</v>
      </c>
      <c r="T1570" s="7" t="str">
        <f ca="1">IFERROR(__xludf.DUMMYFUNCTION("""COMPUTED_VALUE"""),"http://www.ms.ro/2020/08/15/33355/")</f>
        <v>http://www.ms.ro/2020/08/15/33355/</v>
      </c>
      <c r="U1570" s="5"/>
      <c r="V1570" s="5"/>
      <c r="W1570" s="5"/>
      <c r="X1570" s="5"/>
      <c r="Y1570" s="5"/>
      <c r="Z1570" s="5"/>
      <c r="AA1570" s="5"/>
      <c r="AB1570" s="5"/>
      <c r="AC1570" s="5"/>
    </row>
    <row r="1571" spans="1:29" ht="12.5">
      <c r="A1571" s="5">
        <f ca="1">IFERROR(__xludf.DUMMYFUNCTION("""COMPUTED_VALUE"""),68218)</f>
        <v>68218</v>
      </c>
      <c r="B1571" s="5"/>
      <c r="C1571" s="5" t="str">
        <f ca="1">IFERROR(__xludf.DUMMYFUNCTION("""COMPUTED_VALUE"""),"Bihor")</f>
        <v>Bihor</v>
      </c>
      <c r="D1571" s="13">
        <f ca="1">IFERROR(__xludf.DUMMYFUNCTION("""COMPUTED_VALUE"""),44058)</f>
        <v>44058</v>
      </c>
      <c r="E1571" s="5" t="str">
        <f ca="1">IFERROR(__xludf.DUMMYFUNCTION("""COMPUTED_VALUE"""),"Nu")</f>
        <v>Nu</v>
      </c>
      <c r="F1571" s="5"/>
      <c r="G1571" s="5"/>
      <c r="H1571" s="6"/>
      <c r="I1571" s="5"/>
      <c r="J1571" s="5"/>
      <c r="K1571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571" s="5"/>
      <c r="M1571" s="5" t="str">
        <f ca="1">IFERROR(__xludf.DUMMYFUNCTION("""COMPUTED_VALUE"""),"Sânmarin")</f>
        <v>Sânmarin</v>
      </c>
      <c r="N1571" s="5"/>
      <c r="O1571" s="5"/>
      <c r="P1571" s="5"/>
      <c r="Q1571" s="5"/>
      <c r="R1571" s="5" t="str">
        <f ca="1">IFERROR(__xludf.DUMMYFUNCTION("""COMPUTED_VALUE"""),"România")</f>
        <v>România</v>
      </c>
      <c r="S1571" s="5" t="str">
        <f ca="1">IFERROR(__xludf.DUMMYFUNCTION("""COMPUTED_VALUE"""),"Octavian")</f>
        <v>Octavian</v>
      </c>
      <c r="T1571" s="7" t="str">
        <f ca="1">IFERROR(__xludf.DUMMYFUNCTION("""COMPUTED_VALUE"""),"http://www.ms.ro/2020/08/15/33355/")</f>
        <v>http://www.ms.ro/2020/08/15/33355/</v>
      </c>
      <c r="U1571" s="5"/>
      <c r="V1571" s="5"/>
      <c r="W1571" s="5"/>
      <c r="X1571" s="5"/>
      <c r="Y1571" s="5"/>
      <c r="Z1571" s="5"/>
      <c r="AA1571" s="5"/>
      <c r="AB1571" s="5"/>
      <c r="AC1571" s="5"/>
    </row>
    <row r="1572" spans="1:29" ht="12.5">
      <c r="A1572" s="5">
        <f ca="1">IFERROR(__xludf.DUMMYFUNCTION("""COMPUTED_VALUE"""),68219)</f>
        <v>68219</v>
      </c>
      <c r="B1572" s="5"/>
      <c r="C1572" s="5" t="str">
        <f ca="1">IFERROR(__xludf.DUMMYFUNCTION("""COMPUTED_VALUE"""),"Bihor")</f>
        <v>Bihor</v>
      </c>
      <c r="D1572" s="13">
        <f ca="1">IFERROR(__xludf.DUMMYFUNCTION("""COMPUTED_VALUE"""),44058)</f>
        <v>44058</v>
      </c>
      <c r="E1572" s="5" t="str">
        <f ca="1">IFERROR(__xludf.DUMMYFUNCTION("""COMPUTED_VALUE"""),"Nu")</f>
        <v>Nu</v>
      </c>
      <c r="F1572" s="5"/>
      <c r="G1572" s="5"/>
      <c r="H1572" s="6"/>
      <c r="I1572" s="5"/>
      <c r="J1572" s="5"/>
      <c r="K1572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572" s="5"/>
      <c r="M1572" s="5" t="str">
        <f ca="1">IFERROR(__xludf.DUMMYFUNCTION("""COMPUTED_VALUE"""),"Ineu")</f>
        <v>Ineu</v>
      </c>
      <c r="N1572" s="5"/>
      <c r="O1572" s="5"/>
      <c r="P1572" s="5"/>
      <c r="Q1572" s="5"/>
      <c r="R1572" s="5" t="str">
        <f ca="1">IFERROR(__xludf.DUMMYFUNCTION("""COMPUTED_VALUE"""),"România")</f>
        <v>România</v>
      </c>
      <c r="S1572" s="5" t="str">
        <f ca="1">IFERROR(__xludf.DUMMYFUNCTION("""COMPUTED_VALUE"""),"Octavian")</f>
        <v>Octavian</v>
      </c>
      <c r="T1572" s="7" t="str">
        <f ca="1">IFERROR(__xludf.DUMMYFUNCTION("""COMPUTED_VALUE"""),"http://www.ms.ro/2020/08/15/33355/")</f>
        <v>http://www.ms.ro/2020/08/15/33355/</v>
      </c>
      <c r="U1572" s="5"/>
      <c r="V1572" s="5"/>
      <c r="W1572" s="5"/>
      <c r="X1572" s="5"/>
      <c r="Y1572" s="5"/>
      <c r="Z1572" s="5"/>
      <c r="AA1572" s="5"/>
      <c r="AB1572" s="5"/>
      <c r="AC1572" s="5"/>
    </row>
    <row r="1573" spans="1:29" ht="12.5">
      <c r="A1573" s="5">
        <f ca="1">IFERROR(__xludf.DUMMYFUNCTION("""COMPUTED_VALUE"""),68220)</f>
        <v>68220</v>
      </c>
      <c r="B1573" s="5"/>
      <c r="C1573" s="5" t="str">
        <f ca="1">IFERROR(__xludf.DUMMYFUNCTION("""COMPUTED_VALUE"""),"Bihor")</f>
        <v>Bihor</v>
      </c>
      <c r="D1573" s="13">
        <f ca="1">IFERROR(__xludf.DUMMYFUNCTION("""COMPUTED_VALUE"""),44058)</f>
        <v>44058</v>
      </c>
      <c r="E1573" s="5" t="str">
        <f ca="1">IFERROR(__xludf.DUMMYFUNCTION("""COMPUTED_VALUE"""),"Nu")</f>
        <v>Nu</v>
      </c>
      <c r="F1573" s="5"/>
      <c r="G1573" s="5"/>
      <c r="H1573" s="6"/>
      <c r="I1573" s="5"/>
      <c r="J1573" s="5"/>
      <c r="K1573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573" s="5"/>
      <c r="M1573" s="5" t="str">
        <f ca="1">IFERROR(__xludf.DUMMYFUNCTION("""COMPUTED_VALUE"""),"Lugașu de Jos")</f>
        <v>Lugașu de Jos</v>
      </c>
      <c r="N1573" s="5"/>
      <c r="O1573" s="5"/>
      <c r="P1573" s="5"/>
      <c r="Q1573" s="5"/>
      <c r="R1573" s="5" t="str">
        <f ca="1">IFERROR(__xludf.DUMMYFUNCTION("""COMPUTED_VALUE"""),"România")</f>
        <v>România</v>
      </c>
      <c r="S1573" s="5" t="str">
        <f ca="1">IFERROR(__xludf.DUMMYFUNCTION("""COMPUTED_VALUE"""),"Octavian")</f>
        <v>Octavian</v>
      </c>
      <c r="T1573" s="7" t="str">
        <f ca="1">IFERROR(__xludf.DUMMYFUNCTION("""COMPUTED_VALUE"""),"http://www.ms.ro/2020/08/15/33355/")</f>
        <v>http://www.ms.ro/2020/08/15/33355/</v>
      </c>
      <c r="U1573" s="5"/>
      <c r="V1573" s="5"/>
      <c r="W1573" s="5"/>
      <c r="X1573" s="5"/>
      <c r="Y1573" s="5"/>
      <c r="Z1573" s="5"/>
      <c r="AA1573" s="5"/>
      <c r="AB1573" s="5"/>
      <c r="AC1573" s="5"/>
    </row>
    <row r="1574" spans="1:29" ht="12.5">
      <c r="A1574" s="5">
        <f ca="1">IFERROR(__xludf.DUMMYFUNCTION("""COMPUTED_VALUE"""),68221)</f>
        <v>68221</v>
      </c>
      <c r="B1574" s="5"/>
      <c r="C1574" s="5" t="str">
        <f ca="1">IFERROR(__xludf.DUMMYFUNCTION("""COMPUTED_VALUE"""),"Bihor")</f>
        <v>Bihor</v>
      </c>
      <c r="D1574" s="13">
        <f ca="1">IFERROR(__xludf.DUMMYFUNCTION("""COMPUTED_VALUE"""),44058)</f>
        <v>44058</v>
      </c>
      <c r="E1574" s="5" t="str">
        <f ca="1">IFERROR(__xludf.DUMMYFUNCTION("""COMPUTED_VALUE"""),"Nu")</f>
        <v>Nu</v>
      </c>
      <c r="F1574" s="5"/>
      <c r="G1574" s="5"/>
      <c r="H1574" s="6"/>
      <c r="I1574" s="5"/>
      <c r="J1574" s="5"/>
      <c r="K1574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574" s="5"/>
      <c r="M1574" s="5" t="str">
        <f ca="1">IFERROR(__xludf.DUMMYFUNCTION("""COMPUTED_VALUE"""),"Drăgești")</f>
        <v>Drăgești</v>
      </c>
      <c r="N1574" s="5"/>
      <c r="O1574" s="5"/>
      <c r="P1574" s="5"/>
      <c r="Q1574" s="5"/>
      <c r="R1574" s="5" t="str">
        <f ca="1">IFERROR(__xludf.DUMMYFUNCTION("""COMPUTED_VALUE"""),"România")</f>
        <v>România</v>
      </c>
      <c r="S1574" s="5" t="str">
        <f ca="1">IFERROR(__xludf.DUMMYFUNCTION("""COMPUTED_VALUE"""),"Octavian")</f>
        <v>Octavian</v>
      </c>
      <c r="T1574" s="7" t="str">
        <f ca="1">IFERROR(__xludf.DUMMYFUNCTION("""COMPUTED_VALUE"""),"http://www.ms.ro/2020/08/15/33355/")</f>
        <v>http://www.ms.ro/2020/08/15/33355/</v>
      </c>
      <c r="U1574" s="5"/>
      <c r="V1574" s="5"/>
      <c r="W1574" s="5"/>
      <c r="X1574" s="5"/>
      <c r="Y1574" s="5"/>
      <c r="Z1574" s="5"/>
      <c r="AA1574" s="5"/>
      <c r="AB1574" s="5"/>
      <c r="AC1574" s="5"/>
    </row>
    <row r="1575" spans="1:29" ht="12.5">
      <c r="A1575" s="5">
        <f ca="1">IFERROR(__xludf.DUMMYFUNCTION("""COMPUTED_VALUE"""),68222)</f>
        <v>68222</v>
      </c>
      <c r="B1575" s="5"/>
      <c r="C1575" s="5" t="str">
        <f ca="1">IFERROR(__xludf.DUMMYFUNCTION("""COMPUTED_VALUE"""),"Bihor")</f>
        <v>Bihor</v>
      </c>
      <c r="D1575" s="13">
        <f ca="1">IFERROR(__xludf.DUMMYFUNCTION("""COMPUTED_VALUE"""),44058)</f>
        <v>44058</v>
      </c>
      <c r="E1575" s="5" t="str">
        <f ca="1">IFERROR(__xludf.DUMMYFUNCTION("""COMPUTED_VALUE"""),"Nu")</f>
        <v>Nu</v>
      </c>
      <c r="F1575" s="5"/>
      <c r="G1575" s="5"/>
      <c r="H1575" s="6"/>
      <c r="I1575" s="5"/>
      <c r="J1575" s="5"/>
      <c r="K1575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575" s="5"/>
      <c r="M1575" s="5" t="str">
        <f ca="1">IFERROR(__xludf.DUMMYFUNCTION("""COMPUTED_VALUE"""),"Valea lui Mihai")</f>
        <v>Valea lui Mihai</v>
      </c>
      <c r="N1575" s="5"/>
      <c r="O1575" s="5"/>
      <c r="P1575" s="5" t="str">
        <f ca="1">IFERROR(__xludf.DUMMYFUNCTION("""COMPUTED_VALUE"""),"Focar familie.")</f>
        <v>Focar familie.</v>
      </c>
      <c r="Q1575" s="5" t="str">
        <f ca="1">IFERROR(__xludf.DUMMYFUNCTION("""COMPUTED_VALUE"""),"Comunitar")</f>
        <v>Comunitar</v>
      </c>
      <c r="R1575" s="5" t="str">
        <f ca="1">IFERROR(__xludf.DUMMYFUNCTION("""COMPUTED_VALUE"""),"România")</f>
        <v>România</v>
      </c>
      <c r="S1575" s="5" t="str">
        <f ca="1">IFERROR(__xludf.DUMMYFUNCTION("""COMPUTED_VALUE"""),"Octavian")</f>
        <v>Octavian</v>
      </c>
      <c r="T1575" s="7" t="str">
        <f ca="1">IFERROR(__xludf.DUMMYFUNCTION("""COMPUTED_VALUE"""),"http://www.ms.ro/2020/08/15/33355/")</f>
        <v>http://www.ms.ro/2020/08/15/33355/</v>
      </c>
      <c r="U1575" s="5"/>
      <c r="V1575" s="5"/>
      <c r="W1575" s="5"/>
      <c r="X1575" s="5"/>
      <c r="Y1575" s="5"/>
      <c r="Z1575" s="5"/>
      <c r="AA1575" s="5"/>
      <c r="AB1575" s="5"/>
      <c r="AC1575" s="5"/>
    </row>
    <row r="1576" spans="1:29" ht="12.5">
      <c r="A1576" s="5">
        <f ca="1">IFERROR(__xludf.DUMMYFUNCTION("""COMPUTED_VALUE"""),68223)</f>
        <v>68223</v>
      </c>
      <c r="B1576" s="5">
        <f ca="1">IFERROR(__xludf.DUMMYFUNCTION("""COMPUTED_VALUE"""),68222)</f>
        <v>68222</v>
      </c>
      <c r="C1576" s="5" t="str">
        <f ca="1">IFERROR(__xludf.DUMMYFUNCTION("""COMPUTED_VALUE"""),"Bihor")</f>
        <v>Bihor</v>
      </c>
      <c r="D1576" s="13">
        <f ca="1">IFERROR(__xludf.DUMMYFUNCTION("""COMPUTED_VALUE"""),44058)</f>
        <v>44058</v>
      </c>
      <c r="E1576" s="5" t="str">
        <f ca="1">IFERROR(__xludf.DUMMYFUNCTION("""COMPUTED_VALUE"""),"Nu")</f>
        <v>Nu</v>
      </c>
      <c r="F1576" s="5"/>
      <c r="G1576" s="5"/>
      <c r="H1576" s="6"/>
      <c r="I1576" s="5"/>
      <c r="J1576" s="5"/>
      <c r="K1576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576" s="5"/>
      <c r="M1576" s="5" t="str">
        <f ca="1">IFERROR(__xludf.DUMMYFUNCTION("""COMPUTED_VALUE"""),"Valea lui Mihai")</f>
        <v>Valea lui Mihai</v>
      </c>
      <c r="N1576" s="5"/>
      <c r="O1576" s="5"/>
      <c r="P1576" s="5" t="str">
        <f ca="1">IFERROR(__xludf.DUMMYFUNCTION("""COMPUTED_VALUE"""),"Focar familie.")</f>
        <v>Focar familie.</v>
      </c>
      <c r="Q1576" s="5" t="str">
        <f ca="1">IFERROR(__xludf.DUMMYFUNCTION("""COMPUTED_VALUE"""),"Comunitar")</f>
        <v>Comunitar</v>
      </c>
      <c r="R1576" s="5" t="str">
        <f ca="1">IFERROR(__xludf.DUMMYFUNCTION("""COMPUTED_VALUE"""),"România")</f>
        <v>România</v>
      </c>
      <c r="S1576" s="5" t="str">
        <f ca="1">IFERROR(__xludf.DUMMYFUNCTION("""COMPUTED_VALUE"""),"Octavian")</f>
        <v>Octavian</v>
      </c>
      <c r="T1576" s="7" t="str">
        <f ca="1">IFERROR(__xludf.DUMMYFUNCTION("""COMPUTED_VALUE"""),"http://www.ms.ro/2020/08/15/33355/")</f>
        <v>http://www.ms.ro/2020/08/15/33355/</v>
      </c>
      <c r="U1576" s="5"/>
      <c r="V1576" s="5"/>
      <c r="W1576" s="5"/>
      <c r="X1576" s="5"/>
      <c r="Y1576" s="5"/>
      <c r="Z1576" s="5"/>
      <c r="AA1576" s="5"/>
      <c r="AB1576" s="5"/>
      <c r="AC1576" s="5"/>
    </row>
    <row r="1577" spans="1:29" ht="12.5">
      <c r="A1577" s="5">
        <f ca="1">IFERROR(__xludf.DUMMYFUNCTION("""COMPUTED_VALUE"""),68224)</f>
        <v>68224</v>
      </c>
      <c r="B1577" s="5">
        <f ca="1">IFERROR(__xludf.DUMMYFUNCTION("""COMPUTED_VALUE"""),68222)</f>
        <v>68222</v>
      </c>
      <c r="C1577" s="5" t="str">
        <f ca="1">IFERROR(__xludf.DUMMYFUNCTION("""COMPUTED_VALUE"""),"Bihor")</f>
        <v>Bihor</v>
      </c>
      <c r="D1577" s="13">
        <f ca="1">IFERROR(__xludf.DUMMYFUNCTION("""COMPUTED_VALUE"""),44058)</f>
        <v>44058</v>
      </c>
      <c r="E1577" s="5" t="str">
        <f ca="1">IFERROR(__xludf.DUMMYFUNCTION("""COMPUTED_VALUE"""),"Nu")</f>
        <v>Nu</v>
      </c>
      <c r="F1577" s="5"/>
      <c r="G1577" s="5"/>
      <c r="H1577" s="6"/>
      <c r="I1577" s="5"/>
      <c r="J1577" s="5"/>
      <c r="K1577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577" s="5"/>
      <c r="M1577" s="5" t="str">
        <f ca="1">IFERROR(__xludf.DUMMYFUNCTION("""COMPUTED_VALUE"""),"Valea lui Mihai")</f>
        <v>Valea lui Mihai</v>
      </c>
      <c r="N1577" s="5"/>
      <c r="O1577" s="5"/>
      <c r="P1577" s="5" t="str">
        <f ca="1">IFERROR(__xludf.DUMMYFUNCTION("""COMPUTED_VALUE"""),"Focar familie.")</f>
        <v>Focar familie.</v>
      </c>
      <c r="Q1577" s="5" t="str">
        <f ca="1">IFERROR(__xludf.DUMMYFUNCTION("""COMPUTED_VALUE"""),"Comunitar")</f>
        <v>Comunitar</v>
      </c>
      <c r="R1577" s="5" t="str">
        <f ca="1">IFERROR(__xludf.DUMMYFUNCTION("""COMPUTED_VALUE"""),"România")</f>
        <v>România</v>
      </c>
      <c r="S1577" s="5" t="str">
        <f ca="1">IFERROR(__xludf.DUMMYFUNCTION("""COMPUTED_VALUE"""),"Octavian")</f>
        <v>Octavian</v>
      </c>
      <c r="T1577" s="7" t="str">
        <f ca="1">IFERROR(__xludf.DUMMYFUNCTION("""COMPUTED_VALUE"""),"http://www.ms.ro/2020/08/15/33355/")</f>
        <v>http://www.ms.ro/2020/08/15/33355/</v>
      </c>
      <c r="U1577" s="5"/>
      <c r="V1577" s="5"/>
      <c r="W1577" s="5"/>
      <c r="X1577" s="5"/>
      <c r="Y1577" s="5"/>
      <c r="Z1577" s="5"/>
      <c r="AA1577" s="5"/>
      <c r="AB1577" s="5"/>
      <c r="AC1577" s="5"/>
    </row>
    <row r="1578" spans="1:29" ht="12.5">
      <c r="A1578" s="5">
        <f ca="1">IFERROR(__xludf.DUMMYFUNCTION("""COMPUTED_VALUE"""),68225)</f>
        <v>68225</v>
      </c>
      <c r="B1578" s="5">
        <f ca="1">IFERROR(__xludf.DUMMYFUNCTION("""COMPUTED_VALUE"""),68222)</f>
        <v>68222</v>
      </c>
      <c r="C1578" s="5" t="str">
        <f ca="1">IFERROR(__xludf.DUMMYFUNCTION("""COMPUTED_VALUE"""),"Bihor")</f>
        <v>Bihor</v>
      </c>
      <c r="D1578" s="13">
        <f ca="1">IFERROR(__xludf.DUMMYFUNCTION("""COMPUTED_VALUE"""),44058)</f>
        <v>44058</v>
      </c>
      <c r="E1578" s="5" t="str">
        <f ca="1">IFERROR(__xludf.DUMMYFUNCTION("""COMPUTED_VALUE"""),"Nu")</f>
        <v>Nu</v>
      </c>
      <c r="F1578" s="5"/>
      <c r="G1578" s="5"/>
      <c r="H1578" s="6"/>
      <c r="I1578" s="5"/>
      <c r="J1578" s="5"/>
      <c r="K1578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578" s="5"/>
      <c r="M1578" s="5" t="str">
        <f ca="1">IFERROR(__xludf.DUMMYFUNCTION("""COMPUTED_VALUE"""),"Valea lui Mihai")</f>
        <v>Valea lui Mihai</v>
      </c>
      <c r="N1578" s="5"/>
      <c r="O1578" s="5"/>
      <c r="P1578" s="5" t="str">
        <f ca="1">IFERROR(__xludf.DUMMYFUNCTION("""COMPUTED_VALUE"""),"Focar familie.")</f>
        <v>Focar familie.</v>
      </c>
      <c r="Q1578" s="5" t="str">
        <f ca="1">IFERROR(__xludf.DUMMYFUNCTION("""COMPUTED_VALUE"""),"Comunitar")</f>
        <v>Comunitar</v>
      </c>
      <c r="R1578" s="5" t="str">
        <f ca="1">IFERROR(__xludf.DUMMYFUNCTION("""COMPUTED_VALUE"""),"România")</f>
        <v>România</v>
      </c>
      <c r="S1578" s="5" t="str">
        <f ca="1">IFERROR(__xludf.DUMMYFUNCTION("""COMPUTED_VALUE"""),"Octavian")</f>
        <v>Octavian</v>
      </c>
      <c r="T1578" s="7" t="str">
        <f ca="1">IFERROR(__xludf.DUMMYFUNCTION("""COMPUTED_VALUE"""),"http://www.ms.ro/2020/08/15/33355/")</f>
        <v>http://www.ms.ro/2020/08/15/33355/</v>
      </c>
      <c r="U1578" s="5"/>
      <c r="V1578" s="5"/>
      <c r="W1578" s="5"/>
      <c r="X1578" s="5"/>
      <c r="Y1578" s="5"/>
      <c r="Z1578" s="5"/>
      <c r="AA1578" s="5"/>
      <c r="AB1578" s="5"/>
      <c r="AC1578" s="5"/>
    </row>
    <row r="1579" spans="1:29" ht="12.5">
      <c r="A1579" s="5">
        <f ca="1">IFERROR(__xludf.DUMMYFUNCTION("""COMPUTED_VALUE"""),68226)</f>
        <v>68226</v>
      </c>
      <c r="B1579" s="5">
        <f ca="1">IFERROR(__xludf.DUMMYFUNCTION("""COMPUTED_VALUE"""),68222)</f>
        <v>68222</v>
      </c>
      <c r="C1579" s="5" t="str">
        <f ca="1">IFERROR(__xludf.DUMMYFUNCTION("""COMPUTED_VALUE"""),"Bihor")</f>
        <v>Bihor</v>
      </c>
      <c r="D1579" s="13">
        <f ca="1">IFERROR(__xludf.DUMMYFUNCTION("""COMPUTED_VALUE"""),44058)</f>
        <v>44058</v>
      </c>
      <c r="E1579" s="5" t="str">
        <f ca="1">IFERROR(__xludf.DUMMYFUNCTION("""COMPUTED_VALUE"""),"Nu")</f>
        <v>Nu</v>
      </c>
      <c r="F1579" s="5"/>
      <c r="G1579" s="5"/>
      <c r="H1579" s="6"/>
      <c r="I1579" s="5"/>
      <c r="J1579" s="5"/>
      <c r="K1579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579" s="5"/>
      <c r="M1579" s="5" t="str">
        <f ca="1">IFERROR(__xludf.DUMMYFUNCTION("""COMPUTED_VALUE"""),"Valea lui Mihai")</f>
        <v>Valea lui Mihai</v>
      </c>
      <c r="N1579" s="5"/>
      <c r="O1579" s="5"/>
      <c r="P1579" s="5" t="str">
        <f ca="1">IFERROR(__xludf.DUMMYFUNCTION("""COMPUTED_VALUE"""),"Focar familie.")</f>
        <v>Focar familie.</v>
      </c>
      <c r="Q1579" s="5" t="str">
        <f ca="1">IFERROR(__xludf.DUMMYFUNCTION("""COMPUTED_VALUE"""),"Comunitar")</f>
        <v>Comunitar</v>
      </c>
      <c r="R1579" s="5" t="str">
        <f ca="1">IFERROR(__xludf.DUMMYFUNCTION("""COMPUTED_VALUE"""),"România")</f>
        <v>România</v>
      </c>
      <c r="S1579" s="5" t="str">
        <f ca="1">IFERROR(__xludf.DUMMYFUNCTION("""COMPUTED_VALUE"""),"Octavian")</f>
        <v>Octavian</v>
      </c>
      <c r="T1579" s="7" t="str">
        <f ca="1">IFERROR(__xludf.DUMMYFUNCTION("""COMPUTED_VALUE"""),"http://www.ms.ro/2020/08/15/33355/")</f>
        <v>http://www.ms.ro/2020/08/15/33355/</v>
      </c>
      <c r="U1579" s="5"/>
      <c r="V1579" s="5"/>
      <c r="W1579" s="5"/>
      <c r="X1579" s="5"/>
      <c r="Y1579" s="5"/>
      <c r="Z1579" s="5"/>
      <c r="AA1579" s="5"/>
      <c r="AB1579" s="5"/>
      <c r="AC1579" s="5"/>
    </row>
    <row r="1580" spans="1:29" ht="12.5">
      <c r="A1580" s="5">
        <f ca="1">IFERROR(__xludf.DUMMYFUNCTION("""COMPUTED_VALUE"""),68227)</f>
        <v>68227</v>
      </c>
      <c r="B1580" s="5">
        <f ca="1">IFERROR(__xludf.DUMMYFUNCTION("""COMPUTED_VALUE"""),68222)</f>
        <v>68222</v>
      </c>
      <c r="C1580" s="5" t="str">
        <f ca="1">IFERROR(__xludf.DUMMYFUNCTION("""COMPUTED_VALUE"""),"Bihor")</f>
        <v>Bihor</v>
      </c>
      <c r="D1580" s="13">
        <f ca="1">IFERROR(__xludf.DUMMYFUNCTION("""COMPUTED_VALUE"""),44058)</f>
        <v>44058</v>
      </c>
      <c r="E1580" s="5" t="str">
        <f ca="1">IFERROR(__xludf.DUMMYFUNCTION("""COMPUTED_VALUE"""),"Nu")</f>
        <v>Nu</v>
      </c>
      <c r="F1580" s="5"/>
      <c r="G1580" s="5"/>
      <c r="H1580" s="6"/>
      <c r="I1580" s="5"/>
      <c r="J1580" s="5"/>
      <c r="K1580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580" s="5"/>
      <c r="M1580" s="5" t="str">
        <f ca="1">IFERROR(__xludf.DUMMYFUNCTION("""COMPUTED_VALUE"""),"Valea lui Mihai")</f>
        <v>Valea lui Mihai</v>
      </c>
      <c r="N1580" s="5"/>
      <c r="O1580" s="5"/>
      <c r="P1580" s="5" t="str">
        <f ca="1">IFERROR(__xludf.DUMMYFUNCTION("""COMPUTED_VALUE"""),"Focar familie.")</f>
        <v>Focar familie.</v>
      </c>
      <c r="Q1580" s="5" t="str">
        <f ca="1">IFERROR(__xludf.DUMMYFUNCTION("""COMPUTED_VALUE"""),"Comunitar")</f>
        <v>Comunitar</v>
      </c>
      <c r="R1580" s="5" t="str">
        <f ca="1">IFERROR(__xludf.DUMMYFUNCTION("""COMPUTED_VALUE"""),"România")</f>
        <v>România</v>
      </c>
      <c r="S1580" s="5" t="str">
        <f ca="1">IFERROR(__xludf.DUMMYFUNCTION("""COMPUTED_VALUE"""),"Octavian")</f>
        <v>Octavian</v>
      </c>
      <c r="T1580" s="7" t="str">
        <f ca="1">IFERROR(__xludf.DUMMYFUNCTION("""COMPUTED_VALUE"""),"http://www.ms.ro/2020/08/15/33355/")</f>
        <v>http://www.ms.ro/2020/08/15/33355/</v>
      </c>
      <c r="U1580" s="5"/>
      <c r="V1580" s="5"/>
      <c r="W1580" s="5"/>
      <c r="X1580" s="5"/>
      <c r="Y1580" s="5"/>
      <c r="Z1580" s="5"/>
      <c r="AA1580" s="5"/>
      <c r="AB1580" s="5"/>
      <c r="AC1580" s="5"/>
    </row>
    <row r="1581" spans="1:29" ht="12.5">
      <c r="A1581" s="5">
        <f ca="1">IFERROR(__xludf.DUMMYFUNCTION("""COMPUTED_VALUE"""),68228)</f>
        <v>68228</v>
      </c>
      <c r="B1581" s="5">
        <f ca="1">IFERROR(__xludf.DUMMYFUNCTION("""COMPUTED_VALUE"""),68222)</f>
        <v>68222</v>
      </c>
      <c r="C1581" s="5" t="str">
        <f ca="1">IFERROR(__xludf.DUMMYFUNCTION("""COMPUTED_VALUE"""),"Bihor")</f>
        <v>Bihor</v>
      </c>
      <c r="D1581" s="13">
        <f ca="1">IFERROR(__xludf.DUMMYFUNCTION("""COMPUTED_VALUE"""),44058)</f>
        <v>44058</v>
      </c>
      <c r="E1581" s="5" t="str">
        <f ca="1">IFERROR(__xludf.DUMMYFUNCTION("""COMPUTED_VALUE"""),"Nu")</f>
        <v>Nu</v>
      </c>
      <c r="F1581" s="5"/>
      <c r="G1581" s="5"/>
      <c r="H1581" s="6"/>
      <c r="I1581" s="5"/>
      <c r="J1581" s="5"/>
      <c r="K1581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581" s="5"/>
      <c r="M1581" s="5" t="str">
        <f ca="1">IFERROR(__xludf.DUMMYFUNCTION("""COMPUTED_VALUE"""),"Valea lui Mihai")</f>
        <v>Valea lui Mihai</v>
      </c>
      <c r="N1581" s="5"/>
      <c r="O1581" s="5"/>
      <c r="P1581" s="5" t="str">
        <f ca="1">IFERROR(__xludf.DUMMYFUNCTION("""COMPUTED_VALUE"""),"Focar familie.")</f>
        <v>Focar familie.</v>
      </c>
      <c r="Q1581" s="5" t="str">
        <f ca="1">IFERROR(__xludf.DUMMYFUNCTION("""COMPUTED_VALUE"""),"Comunitar")</f>
        <v>Comunitar</v>
      </c>
      <c r="R1581" s="5" t="str">
        <f ca="1">IFERROR(__xludf.DUMMYFUNCTION("""COMPUTED_VALUE"""),"România")</f>
        <v>România</v>
      </c>
      <c r="S1581" s="5" t="str">
        <f ca="1">IFERROR(__xludf.DUMMYFUNCTION("""COMPUTED_VALUE"""),"Octavian")</f>
        <v>Octavian</v>
      </c>
      <c r="T1581" s="7" t="str">
        <f ca="1">IFERROR(__xludf.DUMMYFUNCTION("""COMPUTED_VALUE"""),"http://www.ms.ro/2020/08/15/33355/")</f>
        <v>http://www.ms.ro/2020/08/15/33355/</v>
      </c>
      <c r="U1581" s="5"/>
      <c r="V1581" s="5"/>
      <c r="W1581" s="5"/>
      <c r="X1581" s="5"/>
      <c r="Y1581" s="5"/>
      <c r="Z1581" s="5"/>
      <c r="AA1581" s="5"/>
      <c r="AB1581" s="5"/>
      <c r="AC1581" s="5"/>
    </row>
    <row r="1582" spans="1:29" ht="12.5">
      <c r="A1582" s="5">
        <f ca="1">IFERROR(__xludf.DUMMYFUNCTION("""COMPUTED_VALUE"""),68229)</f>
        <v>68229</v>
      </c>
      <c r="B1582" s="5"/>
      <c r="C1582" s="5" t="str">
        <f ca="1">IFERROR(__xludf.DUMMYFUNCTION("""COMPUTED_VALUE"""),"Bihor")</f>
        <v>Bihor</v>
      </c>
      <c r="D1582" s="13">
        <f ca="1">IFERROR(__xludf.DUMMYFUNCTION("""COMPUTED_VALUE"""),44058)</f>
        <v>44058</v>
      </c>
      <c r="E1582" s="5" t="str">
        <f ca="1">IFERROR(__xludf.DUMMYFUNCTION("""COMPUTED_VALUE"""),"Nu")</f>
        <v>Nu</v>
      </c>
      <c r="F1582" s="5"/>
      <c r="G1582" s="5"/>
      <c r="H1582" s="6"/>
      <c r="I1582" s="5"/>
      <c r="J1582" s="5"/>
      <c r="K1582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582" s="5"/>
      <c r="M1582" s="5" t="str">
        <f ca="1">IFERROR(__xludf.DUMMYFUNCTION("""COMPUTED_VALUE"""),"Lunca")</f>
        <v>Lunca</v>
      </c>
      <c r="N1582" s="5"/>
      <c r="O1582" s="5"/>
      <c r="P1582" s="5"/>
      <c r="Q1582" s="5"/>
      <c r="R1582" s="5" t="str">
        <f ca="1">IFERROR(__xludf.DUMMYFUNCTION("""COMPUTED_VALUE"""),"România")</f>
        <v>România</v>
      </c>
      <c r="S1582" s="5" t="str">
        <f ca="1">IFERROR(__xludf.DUMMYFUNCTION("""COMPUTED_VALUE"""),"Octavian")</f>
        <v>Octavian</v>
      </c>
      <c r="T1582" s="7" t="str">
        <f ca="1">IFERROR(__xludf.DUMMYFUNCTION("""COMPUTED_VALUE"""),"http://www.ms.ro/2020/08/15/33355/")</f>
        <v>http://www.ms.ro/2020/08/15/33355/</v>
      </c>
      <c r="U1582" s="5"/>
      <c r="V1582" s="5"/>
      <c r="W1582" s="5"/>
      <c r="X1582" s="5"/>
      <c r="Y1582" s="5"/>
      <c r="Z1582" s="5"/>
      <c r="AA1582" s="5"/>
      <c r="AB1582" s="5"/>
      <c r="AC1582" s="5"/>
    </row>
    <row r="1583" spans="1:29" ht="12.5">
      <c r="A1583" s="5">
        <f ca="1">IFERROR(__xludf.DUMMYFUNCTION("""COMPUTED_VALUE"""),68230)</f>
        <v>68230</v>
      </c>
      <c r="B1583" s="5"/>
      <c r="C1583" s="5" t="str">
        <f ca="1">IFERROR(__xludf.DUMMYFUNCTION("""COMPUTED_VALUE"""),"Bihor")</f>
        <v>Bihor</v>
      </c>
      <c r="D1583" s="13">
        <f ca="1">IFERROR(__xludf.DUMMYFUNCTION("""COMPUTED_VALUE"""),44058)</f>
        <v>44058</v>
      </c>
      <c r="E1583" s="5" t="str">
        <f ca="1">IFERROR(__xludf.DUMMYFUNCTION("""COMPUTED_VALUE"""),"Nu")</f>
        <v>Nu</v>
      </c>
      <c r="F1583" s="5"/>
      <c r="G1583" s="5"/>
      <c r="H1583" s="6"/>
      <c r="I1583" s="5"/>
      <c r="J1583" s="5"/>
      <c r="K1583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583" s="5"/>
      <c r="M1583" s="5" t="str">
        <f ca="1">IFERROR(__xludf.DUMMYFUNCTION("""COMPUTED_VALUE"""),"Drăgănești")</f>
        <v>Drăgănești</v>
      </c>
      <c r="N1583" s="5"/>
      <c r="O1583" s="5"/>
      <c r="P1583" s="5"/>
      <c r="Q1583" s="5"/>
      <c r="R1583" s="5" t="str">
        <f ca="1">IFERROR(__xludf.DUMMYFUNCTION("""COMPUTED_VALUE"""),"România")</f>
        <v>România</v>
      </c>
      <c r="S1583" s="5" t="str">
        <f ca="1">IFERROR(__xludf.DUMMYFUNCTION("""COMPUTED_VALUE"""),"Octavian")</f>
        <v>Octavian</v>
      </c>
      <c r="T1583" s="7" t="str">
        <f ca="1">IFERROR(__xludf.DUMMYFUNCTION("""COMPUTED_VALUE"""),"http://www.ms.ro/2020/08/15/33355/")</f>
        <v>http://www.ms.ro/2020/08/15/33355/</v>
      </c>
      <c r="U1583" s="5"/>
      <c r="V1583" s="5"/>
      <c r="W1583" s="5"/>
      <c r="X1583" s="5"/>
      <c r="Y1583" s="5"/>
      <c r="Z1583" s="5"/>
      <c r="AA1583" s="5"/>
      <c r="AB1583" s="5"/>
      <c r="AC1583" s="5"/>
    </row>
    <row r="1584" spans="1:29" ht="12.5">
      <c r="A1584" s="5">
        <f ca="1">IFERROR(__xludf.DUMMYFUNCTION("""COMPUTED_VALUE"""),68231)</f>
        <v>68231</v>
      </c>
      <c r="B1584" s="5"/>
      <c r="C1584" s="5" t="str">
        <f ca="1">IFERROR(__xludf.DUMMYFUNCTION("""COMPUTED_VALUE"""),"Bihor")</f>
        <v>Bihor</v>
      </c>
      <c r="D1584" s="13">
        <f ca="1">IFERROR(__xludf.DUMMYFUNCTION("""COMPUTED_VALUE"""),44058)</f>
        <v>44058</v>
      </c>
      <c r="E1584" s="5" t="str">
        <f ca="1">IFERROR(__xludf.DUMMYFUNCTION("""COMPUTED_VALUE"""),"Nu")</f>
        <v>Nu</v>
      </c>
      <c r="F1584" s="5"/>
      <c r="G1584" s="5"/>
      <c r="H1584" s="6"/>
      <c r="I1584" s="5"/>
      <c r="J1584" s="5"/>
      <c r="K1584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584" s="5"/>
      <c r="M1584" s="5" t="str">
        <f ca="1">IFERROR(__xludf.DUMMYFUNCTION("""COMPUTED_VALUE"""),"Câmpani")</f>
        <v>Câmpani</v>
      </c>
      <c r="N1584" s="5"/>
      <c r="O1584" s="5"/>
      <c r="P1584" s="5"/>
      <c r="Q1584" s="5"/>
      <c r="R1584" s="5" t="str">
        <f ca="1">IFERROR(__xludf.DUMMYFUNCTION("""COMPUTED_VALUE"""),"România")</f>
        <v>România</v>
      </c>
      <c r="S1584" s="5" t="str">
        <f ca="1">IFERROR(__xludf.DUMMYFUNCTION("""COMPUTED_VALUE"""),"Octavian")</f>
        <v>Octavian</v>
      </c>
      <c r="T1584" s="7" t="str">
        <f ca="1">IFERROR(__xludf.DUMMYFUNCTION("""COMPUTED_VALUE"""),"http://www.ms.ro/2020/08/15/33355/")</f>
        <v>http://www.ms.ro/2020/08/15/33355/</v>
      </c>
      <c r="U1584" s="5"/>
      <c r="V1584" s="5"/>
      <c r="W1584" s="5"/>
      <c r="X1584" s="5"/>
      <c r="Y1584" s="5"/>
      <c r="Z1584" s="5"/>
      <c r="AA1584" s="5"/>
      <c r="AB1584" s="5"/>
      <c r="AC1584" s="5"/>
    </row>
    <row r="1585" spans="1:29" ht="12.5">
      <c r="A1585" s="5">
        <f ca="1">IFERROR(__xludf.DUMMYFUNCTION("""COMPUTED_VALUE"""),68232)</f>
        <v>68232</v>
      </c>
      <c r="B1585" s="5"/>
      <c r="C1585" s="5" t="str">
        <f ca="1">IFERROR(__xludf.DUMMYFUNCTION("""COMPUTED_VALUE"""),"Bihor")</f>
        <v>Bihor</v>
      </c>
      <c r="D1585" s="13">
        <f ca="1">IFERROR(__xludf.DUMMYFUNCTION("""COMPUTED_VALUE"""),44058)</f>
        <v>44058</v>
      </c>
      <c r="E1585" s="5" t="str">
        <f ca="1">IFERROR(__xludf.DUMMYFUNCTION("""COMPUTED_VALUE"""),"Nu")</f>
        <v>Nu</v>
      </c>
      <c r="F1585" s="5"/>
      <c r="G1585" s="5"/>
      <c r="H1585" s="6"/>
      <c r="I1585" s="5"/>
      <c r="J1585" s="5"/>
      <c r="K1585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585" s="5"/>
      <c r="M1585" s="5" t="str">
        <f ca="1">IFERROR(__xludf.DUMMYFUNCTION("""COMPUTED_VALUE"""),"Roția")</f>
        <v>Roția</v>
      </c>
      <c r="N1585" s="5"/>
      <c r="O1585" s="5"/>
      <c r="P1585" s="5"/>
      <c r="Q1585" s="5"/>
      <c r="R1585" s="5" t="str">
        <f ca="1">IFERROR(__xludf.DUMMYFUNCTION("""COMPUTED_VALUE"""),"România")</f>
        <v>România</v>
      </c>
      <c r="S1585" s="5" t="str">
        <f ca="1">IFERROR(__xludf.DUMMYFUNCTION("""COMPUTED_VALUE"""),"Octavian")</f>
        <v>Octavian</v>
      </c>
      <c r="T1585" s="7" t="str">
        <f ca="1">IFERROR(__xludf.DUMMYFUNCTION("""COMPUTED_VALUE"""),"http://www.ms.ro/2020/08/15/33355/")</f>
        <v>http://www.ms.ro/2020/08/15/33355/</v>
      </c>
      <c r="U1585" s="5"/>
      <c r="V1585" s="5"/>
      <c r="W1585" s="5"/>
      <c r="X1585" s="5"/>
      <c r="Y1585" s="5"/>
      <c r="Z1585" s="5"/>
      <c r="AA1585" s="5"/>
      <c r="AB1585" s="5"/>
      <c r="AC1585" s="5"/>
    </row>
    <row r="1586" spans="1:29" ht="12.5">
      <c r="A1586" s="5">
        <f ca="1">IFERROR(__xludf.DUMMYFUNCTION("""COMPUTED_VALUE"""),68233)</f>
        <v>68233</v>
      </c>
      <c r="B1586" s="5"/>
      <c r="C1586" s="5" t="str">
        <f ca="1">IFERROR(__xludf.DUMMYFUNCTION("""COMPUTED_VALUE"""),"Bihor")</f>
        <v>Bihor</v>
      </c>
      <c r="D1586" s="13">
        <f ca="1">IFERROR(__xludf.DUMMYFUNCTION("""COMPUTED_VALUE"""),44058)</f>
        <v>44058</v>
      </c>
      <c r="E1586" s="5" t="str">
        <f ca="1">IFERROR(__xludf.DUMMYFUNCTION("""COMPUTED_VALUE"""),"Nu")</f>
        <v>Nu</v>
      </c>
      <c r="F1586" s="5"/>
      <c r="G1586" s="5"/>
      <c r="H1586" s="6"/>
      <c r="I1586" s="5"/>
      <c r="J1586" s="5"/>
      <c r="K1586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586" s="5"/>
      <c r="M1586" s="5" t="str">
        <f ca="1">IFERROR(__xludf.DUMMYFUNCTION("""COMPUTED_VALUE"""),"Roșia")</f>
        <v>Roșia</v>
      </c>
      <c r="N1586" s="5"/>
      <c r="O1586" s="5"/>
      <c r="P1586" s="5"/>
      <c r="Q1586" s="5"/>
      <c r="R1586" s="5" t="str">
        <f ca="1">IFERROR(__xludf.DUMMYFUNCTION("""COMPUTED_VALUE"""),"România")</f>
        <v>România</v>
      </c>
      <c r="S1586" s="5" t="str">
        <f ca="1">IFERROR(__xludf.DUMMYFUNCTION("""COMPUTED_VALUE"""),"Octavian")</f>
        <v>Octavian</v>
      </c>
      <c r="T1586" s="7" t="str">
        <f ca="1">IFERROR(__xludf.DUMMYFUNCTION("""COMPUTED_VALUE"""),"http://www.ms.ro/2020/08/15/33355/")</f>
        <v>http://www.ms.ro/2020/08/15/33355/</v>
      </c>
      <c r="U1586" s="5"/>
      <c r="V1586" s="5"/>
      <c r="W1586" s="5"/>
      <c r="X1586" s="5"/>
      <c r="Y1586" s="5"/>
      <c r="Z1586" s="5"/>
      <c r="AA1586" s="5"/>
      <c r="AB1586" s="5"/>
      <c r="AC1586" s="5"/>
    </row>
    <row r="1587" spans="1:29" ht="12.5">
      <c r="A1587" s="5">
        <f ca="1">IFERROR(__xludf.DUMMYFUNCTION("""COMPUTED_VALUE"""),68234)</f>
        <v>68234</v>
      </c>
      <c r="B1587" s="5"/>
      <c r="C1587" s="5" t="str">
        <f ca="1">IFERROR(__xludf.DUMMYFUNCTION("""COMPUTED_VALUE"""),"Bihor")</f>
        <v>Bihor</v>
      </c>
      <c r="D1587" s="13">
        <f ca="1">IFERROR(__xludf.DUMMYFUNCTION("""COMPUTED_VALUE"""),44058)</f>
        <v>44058</v>
      </c>
      <c r="E1587" s="5" t="str">
        <f ca="1">IFERROR(__xludf.DUMMYFUNCTION("""COMPUTED_VALUE"""),"Nu")</f>
        <v>Nu</v>
      </c>
      <c r="F1587" s="5"/>
      <c r="G1587" s="5"/>
      <c r="H1587" s="6"/>
      <c r="I1587" s="5"/>
      <c r="J1587" s="5"/>
      <c r="K1587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587" s="5"/>
      <c r="M1587" s="5" t="str">
        <f ca="1">IFERROR(__xludf.DUMMYFUNCTION("""COMPUTED_VALUE"""),"Sârbi")</f>
        <v>Sârbi</v>
      </c>
      <c r="N1587" s="5"/>
      <c r="O1587" s="5"/>
      <c r="P1587" s="5"/>
      <c r="Q1587" s="5"/>
      <c r="R1587" s="5" t="str">
        <f ca="1">IFERROR(__xludf.DUMMYFUNCTION("""COMPUTED_VALUE"""),"România")</f>
        <v>România</v>
      </c>
      <c r="S1587" s="5" t="str">
        <f ca="1">IFERROR(__xludf.DUMMYFUNCTION("""COMPUTED_VALUE"""),"Octavian")</f>
        <v>Octavian</v>
      </c>
      <c r="T1587" s="7" t="str">
        <f ca="1">IFERROR(__xludf.DUMMYFUNCTION("""COMPUTED_VALUE"""),"http://www.ms.ro/2020/08/15/33355/")</f>
        <v>http://www.ms.ro/2020/08/15/33355/</v>
      </c>
      <c r="U1587" s="5"/>
      <c r="V1587" s="5"/>
      <c r="W1587" s="5"/>
      <c r="X1587" s="5"/>
      <c r="Y1587" s="5"/>
      <c r="Z1587" s="5"/>
      <c r="AA1587" s="5"/>
      <c r="AB1587" s="5"/>
      <c r="AC1587" s="5"/>
    </row>
    <row r="1588" spans="1:29" ht="12.5">
      <c r="A1588" s="5">
        <f ca="1">IFERROR(__xludf.DUMMYFUNCTION("""COMPUTED_VALUE"""),68235)</f>
        <v>68235</v>
      </c>
      <c r="B1588" s="5"/>
      <c r="C1588" s="5" t="str">
        <f ca="1">IFERROR(__xludf.DUMMYFUNCTION("""COMPUTED_VALUE"""),"Bihor")</f>
        <v>Bihor</v>
      </c>
      <c r="D1588" s="13">
        <f ca="1">IFERROR(__xludf.DUMMYFUNCTION("""COMPUTED_VALUE"""),44058)</f>
        <v>44058</v>
      </c>
      <c r="E1588" s="5" t="str">
        <f ca="1">IFERROR(__xludf.DUMMYFUNCTION("""COMPUTED_VALUE"""),"Nu")</f>
        <v>Nu</v>
      </c>
      <c r="F1588" s="5"/>
      <c r="G1588" s="5"/>
      <c r="H1588" s="6"/>
      <c r="I1588" s="5"/>
      <c r="J1588" s="5"/>
      <c r="K1588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588" s="5"/>
      <c r="M1588" s="5" t="str">
        <f ca="1">IFERROR(__xludf.DUMMYFUNCTION("""COMPUTED_VALUE"""),"Lazuri de Beiuș")</f>
        <v>Lazuri de Beiuș</v>
      </c>
      <c r="N1588" s="5"/>
      <c r="O1588" s="5"/>
      <c r="P1588" s="5"/>
      <c r="Q1588" s="5"/>
      <c r="R1588" s="5" t="str">
        <f ca="1">IFERROR(__xludf.DUMMYFUNCTION("""COMPUTED_VALUE"""),"România")</f>
        <v>România</v>
      </c>
      <c r="S1588" s="5" t="str">
        <f ca="1">IFERROR(__xludf.DUMMYFUNCTION("""COMPUTED_VALUE"""),"Octavian")</f>
        <v>Octavian</v>
      </c>
      <c r="T1588" s="7" t="str">
        <f ca="1">IFERROR(__xludf.DUMMYFUNCTION("""COMPUTED_VALUE"""),"http://www.ms.ro/2020/08/15/33355/")</f>
        <v>http://www.ms.ro/2020/08/15/33355/</v>
      </c>
      <c r="U1588" s="5"/>
      <c r="V1588" s="5"/>
      <c r="W1588" s="5"/>
      <c r="X1588" s="5"/>
      <c r="Y1588" s="5"/>
      <c r="Z1588" s="5"/>
      <c r="AA1588" s="5"/>
      <c r="AB1588" s="5"/>
      <c r="AC1588" s="5"/>
    </row>
    <row r="1589" spans="1:29" ht="12.5">
      <c r="A1589" s="5">
        <f ca="1">IFERROR(__xludf.DUMMYFUNCTION("""COMPUTED_VALUE"""),68236)</f>
        <v>68236</v>
      </c>
      <c r="B1589" s="5"/>
      <c r="C1589" s="5" t="str">
        <f ca="1">IFERROR(__xludf.DUMMYFUNCTION("""COMPUTED_VALUE"""),"Bihor")</f>
        <v>Bihor</v>
      </c>
      <c r="D1589" s="13">
        <f ca="1">IFERROR(__xludf.DUMMYFUNCTION("""COMPUTED_VALUE"""),44058)</f>
        <v>44058</v>
      </c>
      <c r="E1589" s="5" t="str">
        <f ca="1">IFERROR(__xludf.DUMMYFUNCTION("""COMPUTED_VALUE"""),"Nu")</f>
        <v>Nu</v>
      </c>
      <c r="F1589" s="5"/>
      <c r="G1589" s="5"/>
      <c r="H1589" s="6"/>
      <c r="I1589" s="5"/>
      <c r="J1589" s="5"/>
      <c r="K1589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589" s="5"/>
      <c r="M1589" s="5" t="str">
        <f ca="1">IFERROR(__xludf.DUMMYFUNCTION("""COMPUTED_VALUE"""),"Tinca")</f>
        <v>Tinca</v>
      </c>
      <c r="N1589" s="5"/>
      <c r="O1589" s="5"/>
      <c r="P1589" s="5"/>
      <c r="Q1589" s="5"/>
      <c r="R1589" s="5" t="str">
        <f ca="1">IFERROR(__xludf.DUMMYFUNCTION("""COMPUTED_VALUE"""),"România")</f>
        <v>România</v>
      </c>
      <c r="S1589" s="5" t="str">
        <f ca="1">IFERROR(__xludf.DUMMYFUNCTION("""COMPUTED_VALUE"""),"Octavian")</f>
        <v>Octavian</v>
      </c>
      <c r="T1589" s="7" t="str">
        <f ca="1">IFERROR(__xludf.DUMMYFUNCTION("""COMPUTED_VALUE"""),"http://www.ms.ro/2020/08/15/33355/")</f>
        <v>http://www.ms.ro/2020/08/15/33355/</v>
      </c>
      <c r="U1589" s="5"/>
      <c r="V1589" s="5"/>
      <c r="W1589" s="5"/>
      <c r="X1589" s="5"/>
      <c r="Y1589" s="5"/>
      <c r="Z1589" s="5"/>
      <c r="AA1589" s="5"/>
      <c r="AB1589" s="5"/>
      <c r="AC1589" s="5"/>
    </row>
    <row r="1590" spans="1:29" ht="12.5">
      <c r="A1590" s="5">
        <f ca="1">IFERROR(__xludf.DUMMYFUNCTION("""COMPUTED_VALUE"""),68237)</f>
        <v>68237</v>
      </c>
      <c r="B1590" s="5"/>
      <c r="C1590" s="5" t="str">
        <f ca="1">IFERROR(__xludf.DUMMYFUNCTION("""COMPUTED_VALUE"""),"Bihor")</f>
        <v>Bihor</v>
      </c>
      <c r="D1590" s="13">
        <f ca="1">IFERROR(__xludf.DUMMYFUNCTION("""COMPUTED_VALUE"""),44058)</f>
        <v>44058</v>
      </c>
      <c r="E1590" s="5" t="str">
        <f ca="1">IFERROR(__xludf.DUMMYFUNCTION("""COMPUTED_VALUE"""),"Nu")</f>
        <v>Nu</v>
      </c>
      <c r="F1590" s="5"/>
      <c r="G1590" s="5"/>
      <c r="H1590" s="6"/>
      <c r="I1590" s="5"/>
      <c r="J1590" s="5"/>
      <c r="K1590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590" s="5"/>
      <c r="M1590" s="5" t="str">
        <f ca="1">IFERROR(__xludf.DUMMYFUNCTION("""COMPUTED_VALUE"""),"Tărcaia")</f>
        <v>Tărcaia</v>
      </c>
      <c r="N1590" s="5"/>
      <c r="O1590" s="5"/>
      <c r="P1590" s="5"/>
      <c r="Q1590" s="5"/>
      <c r="R1590" s="5" t="str">
        <f ca="1">IFERROR(__xludf.DUMMYFUNCTION("""COMPUTED_VALUE"""),"România")</f>
        <v>România</v>
      </c>
      <c r="S1590" s="5" t="str">
        <f ca="1">IFERROR(__xludf.DUMMYFUNCTION("""COMPUTED_VALUE"""),"Octavian")</f>
        <v>Octavian</v>
      </c>
      <c r="T1590" s="7" t="str">
        <f ca="1">IFERROR(__xludf.DUMMYFUNCTION("""COMPUTED_VALUE"""),"http://www.ms.ro/2020/08/15/33355/")</f>
        <v>http://www.ms.ro/2020/08/15/33355/</v>
      </c>
      <c r="U1590" s="5"/>
      <c r="V1590" s="5"/>
      <c r="W1590" s="5"/>
      <c r="X1590" s="5"/>
      <c r="Y1590" s="5"/>
      <c r="Z1590" s="5"/>
      <c r="AA1590" s="5"/>
      <c r="AB1590" s="5"/>
      <c r="AC1590" s="5"/>
    </row>
    <row r="1591" spans="1:29" ht="12.5">
      <c r="A1591" s="5">
        <f ca="1">IFERROR(__xludf.DUMMYFUNCTION("""COMPUTED_VALUE"""),68238)</f>
        <v>68238</v>
      </c>
      <c r="B1591" s="5"/>
      <c r="C1591" s="5" t="str">
        <f ca="1">IFERROR(__xludf.DUMMYFUNCTION("""COMPUTED_VALUE"""),"Bihor")</f>
        <v>Bihor</v>
      </c>
      <c r="D1591" s="13">
        <f ca="1">IFERROR(__xludf.DUMMYFUNCTION("""COMPUTED_VALUE"""),44058)</f>
        <v>44058</v>
      </c>
      <c r="E1591" s="5" t="str">
        <f ca="1">IFERROR(__xludf.DUMMYFUNCTION("""COMPUTED_VALUE"""),"Nu")</f>
        <v>Nu</v>
      </c>
      <c r="F1591" s="5"/>
      <c r="G1591" s="5"/>
      <c r="H1591" s="6"/>
      <c r="I1591" s="5"/>
      <c r="J1591" s="5"/>
      <c r="K1591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591" s="5"/>
      <c r="M1591" s="5" t="str">
        <f ca="1">IFERROR(__xludf.DUMMYFUNCTION("""COMPUTED_VALUE"""),"Șuncuiuș")</f>
        <v>Șuncuiuș</v>
      </c>
      <c r="N1591" s="5"/>
      <c r="O1591" s="5"/>
      <c r="P1591" s="5"/>
      <c r="Q1591" s="5"/>
      <c r="R1591" s="5" t="str">
        <f ca="1">IFERROR(__xludf.DUMMYFUNCTION("""COMPUTED_VALUE"""),"România")</f>
        <v>România</v>
      </c>
      <c r="S1591" s="5" t="str">
        <f ca="1">IFERROR(__xludf.DUMMYFUNCTION("""COMPUTED_VALUE"""),"Octavian")</f>
        <v>Octavian</v>
      </c>
      <c r="T1591" s="7" t="str">
        <f ca="1">IFERROR(__xludf.DUMMYFUNCTION("""COMPUTED_VALUE"""),"http://www.ms.ro/2020/08/15/33355/")</f>
        <v>http://www.ms.ro/2020/08/15/33355/</v>
      </c>
      <c r="U1591" s="5"/>
      <c r="V1591" s="5"/>
      <c r="W1591" s="5"/>
      <c r="X1591" s="5"/>
      <c r="Y1591" s="5"/>
      <c r="Z1591" s="5"/>
      <c r="AA1591" s="5"/>
      <c r="AB1591" s="5"/>
      <c r="AC1591" s="5"/>
    </row>
    <row r="1592" spans="1:29" ht="12.5">
      <c r="A1592" s="5">
        <f ca="1">IFERROR(__xludf.DUMMYFUNCTION("""COMPUTED_VALUE"""),68239)</f>
        <v>68239</v>
      </c>
      <c r="B1592" s="5"/>
      <c r="C1592" s="5" t="str">
        <f ca="1">IFERROR(__xludf.DUMMYFUNCTION("""COMPUTED_VALUE"""),"Bihor")</f>
        <v>Bihor</v>
      </c>
      <c r="D1592" s="13">
        <f ca="1">IFERROR(__xludf.DUMMYFUNCTION("""COMPUTED_VALUE"""),44058)</f>
        <v>44058</v>
      </c>
      <c r="E1592" s="5" t="str">
        <f ca="1">IFERROR(__xludf.DUMMYFUNCTION("""COMPUTED_VALUE"""),"Nu")</f>
        <v>Nu</v>
      </c>
      <c r="F1592" s="5"/>
      <c r="G1592" s="5"/>
      <c r="H1592" s="6"/>
      <c r="I1592" s="5"/>
      <c r="J1592" s="5"/>
      <c r="K1592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592" s="5"/>
      <c r="M1592" s="5" t="str">
        <f ca="1">IFERROR(__xludf.DUMMYFUNCTION("""COMPUTED_VALUE"""),"Țețchea")</f>
        <v>Țețchea</v>
      </c>
      <c r="N1592" s="5"/>
      <c r="O1592" s="5"/>
      <c r="P1592" s="5"/>
      <c r="Q1592" s="5"/>
      <c r="R1592" s="5" t="str">
        <f ca="1">IFERROR(__xludf.DUMMYFUNCTION("""COMPUTED_VALUE"""),"România")</f>
        <v>România</v>
      </c>
      <c r="S1592" s="5" t="str">
        <f ca="1">IFERROR(__xludf.DUMMYFUNCTION("""COMPUTED_VALUE"""),"Octavian")</f>
        <v>Octavian</v>
      </c>
      <c r="T1592" s="7" t="str">
        <f ca="1">IFERROR(__xludf.DUMMYFUNCTION("""COMPUTED_VALUE"""),"http://www.ms.ro/2020/08/15/33355/")</f>
        <v>http://www.ms.ro/2020/08/15/33355/</v>
      </c>
      <c r="U1592" s="5"/>
      <c r="V1592" s="5"/>
      <c r="W1592" s="5"/>
      <c r="X1592" s="5"/>
      <c r="Y1592" s="5"/>
      <c r="Z1592" s="5"/>
      <c r="AA1592" s="5"/>
      <c r="AB1592" s="5"/>
      <c r="AC1592" s="5"/>
    </row>
    <row r="1593" spans="1:29" ht="12.5">
      <c r="A1593" s="5">
        <f ca="1">IFERROR(__xludf.DUMMYFUNCTION("""COMPUTED_VALUE"""),68240)</f>
        <v>68240</v>
      </c>
      <c r="B1593" s="5"/>
      <c r="C1593" s="5" t="str">
        <f ca="1">IFERROR(__xludf.DUMMYFUNCTION("""COMPUTED_VALUE"""),"Bihor")</f>
        <v>Bihor</v>
      </c>
      <c r="D1593" s="13">
        <f ca="1">IFERROR(__xludf.DUMMYFUNCTION("""COMPUTED_VALUE"""),44058)</f>
        <v>44058</v>
      </c>
      <c r="E1593" s="5" t="str">
        <f ca="1">IFERROR(__xludf.DUMMYFUNCTION("""COMPUTED_VALUE"""),"Nu")</f>
        <v>Nu</v>
      </c>
      <c r="F1593" s="5"/>
      <c r="G1593" s="5"/>
      <c r="H1593" s="6"/>
      <c r="I1593" s="5" t="str">
        <f ca="1">IFERROR(__xludf.DUMMYFUNCTION("""COMPUTED_VALUE"""),"Masculin")</f>
        <v>Masculin</v>
      </c>
      <c r="J1593" s="5"/>
      <c r="K1593" s="7" t="str">
        <f ca="1">IFERROR(__xludf.DUMMYFUNCTION("""COMPUTED_VALUE"""),"https://www.hotnews.ro/stiri-coronavirus-24235881-seful-comisariatului-pentru-protectia-consumatorului-bihor-confirmat-covid-19-activitatea-institutiei-suspendata.htm")</f>
        <v>https://www.hotnews.ro/stiri-coronavirus-24235881-seful-comisariatului-pentru-protectia-consumatorului-bihor-confirmat-covid-19-activitatea-institutiei-suspendata.htm</v>
      </c>
      <c r="L1593" s="5"/>
      <c r="M1593" s="5" t="str">
        <f ca="1">IFERROR(__xludf.DUMMYFUNCTION("""COMPUTED_VALUE"""),"Oradea")</f>
        <v>Oradea</v>
      </c>
      <c r="N1593" s="5"/>
      <c r="O1593" s="5"/>
      <c r="P1593" s="5" t="str">
        <f ca="1">IFERROR(__xludf.DUMMYFUNCTION("""COMPUTED_VALUE"""),"Comisariatul pentru Protecția Consumatorilor, șef-Giani Bura.")</f>
        <v>Comisariatul pentru Protecția Consumatorilor, șef-Giani Bura.</v>
      </c>
      <c r="Q1593" s="5"/>
      <c r="R1593" s="5" t="str">
        <f ca="1">IFERROR(__xludf.DUMMYFUNCTION("""COMPUTED_VALUE"""),"România")</f>
        <v>România</v>
      </c>
      <c r="S1593" s="5" t="str">
        <f ca="1">IFERROR(__xludf.DUMMYFUNCTION("""COMPUTED_VALUE"""),"Octavian")</f>
        <v>Octavian</v>
      </c>
      <c r="T1593" s="7" t="str">
        <f ca="1">IFERROR(__xludf.DUMMYFUNCTION("""COMPUTED_VALUE"""),"http://www.ms.ro/2020/08/15/33355/")</f>
        <v>http://www.ms.ro/2020/08/15/33355/</v>
      </c>
      <c r="U1593" s="5"/>
      <c r="V1593" s="5"/>
      <c r="W1593" s="5"/>
      <c r="X1593" s="5"/>
      <c r="Y1593" s="5"/>
      <c r="Z1593" s="5"/>
      <c r="AA1593" s="5"/>
      <c r="AB1593" s="5"/>
      <c r="AC1593" s="5"/>
    </row>
    <row r="1594" spans="1:29" ht="12.5">
      <c r="A1594" s="5">
        <f ca="1">IFERROR(__xludf.DUMMYFUNCTION("""COMPUTED_VALUE"""),68241)</f>
        <v>68241</v>
      </c>
      <c r="B1594" s="5"/>
      <c r="C1594" s="5" t="str">
        <f ca="1">IFERROR(__xludf.DUMMYFUNCTION("""COMPUTED_VALUE"""),"Bihor")</f>
        <v>Bihor</v>
      </c>
      <c r="D1594" s="13">
        <f ca="1">IFERROR(__xludf.DUMMYFUNCTION("""COMPUTED_VALUE"""),44058)</f>
        <v>44058</v>
      </c>
      <c r="E1594" s="5" t="str">
        <f ca="1">IFERROR(__xludf.DUMMYFUNCTION("""COMPUTED_VALUE"""),"Nu")</f>
        <v>Nu</v>
      </c>
      <c r="F1594" s="5"/>
      <c r="G1594" s="5"/>
      <c r="H1594" s="6"/>
      <c r="I1594" s="5"/>
      <c r="J1594" s="5"/>
      <c r="K1594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594" s="5"/>
      <c r="M1594" s="5"/>
      <c r="N1594" s="5"/>
      <c r="O1594" s="5"/>
      <c r="P1594" s="5"/>
      <c r="Q1594" s="5"/>
      <c r="R1594" s="5" t="str">
        <f ca="1">IFERROR(__xludf.DUMMYFUNCTION("""COMPUTED_VALUE"""),"România")</f>
        <v>România</v>
      </c>
      <c r="S1594" s="5" t="str">
        <f ca="1">IFERROR(__xludf.DUMMYFUNCTION("""COMPUTED_VALUE"""),"Octavian")</f>
        <v>Octavian</v>
      </c>
      <c r="T1594" s="7" t="str">
        <f ca="1">IFERROR(__xludf.DUMMYFUNCTION("""COMPUTED_VALUE"""),"http://www.ms.ro/2020/08/15/33355/")</f>
        <v>http://www.ms.ro/2020/08/15/33355/</v>
      </c>
      <c r="U1594" s="5"/>
      <c r="V1594" s="5"/>
      <c r="W1594" s="5"/>
      <c r="X1594" s="5"/>
      <c r="Y1594" s="5"/>
      <c r="Z1594" s="5"/>
      <c r="AA1594" s="5"/>
      <c r="AB1594" s="5"/>
      <c r="AC1594" s="5"/>
    </row>
    <row r="1595" spans="1:29" ht="12.5">
      <c r="A1595" s="5">
        <f ca="1">IFERROR(__xludf.DUMMYFUNCTION("""COMPUTED_VALUE"""),68242)</f>
        <v>68242</v>
      </c>
      <c r="B1595" s="5"/>
      <c r="C1595" s="5" t="str">
        <f ca="1">IFERROR(__xludf.DUMMYFUNCTION("""COMPUTED_VALUE"""),"Bihor")</f>
        <v>Bihor</v>
      </c>
      <c r="D1595" s="13">
        <f ca="1">IFERROR(__xludf.DUMMYFUNCTION("""COMPUTED_VALUE"""),44058)</f>
        <v>44058</v>
      </c>
      <c r="E1595" s="5" t="str">
        <f ca="1">IFERROR(__xludf.DUMMYFUNCTION("""COMPUTED_VALUE"""),"Nu")</f>
        <v>Nu</v>
      </c>
      <c r="F1595" s="5"/>
      <c r="G1595" s="5"/>
      <c r="H1595" s="6"/>
      <c r="I1595" s="5"/>
      <c r="J1595" s="5"/>
      <c r="K1595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595" s="5"/>
      <c r="M1595" s="5"/>
      <c r="N1595" s="5"/>
      <c r="O1595" s="5"/>
      <c r="P1595" s="5"/>
      <c r="Q1595" s="5"/>
      <c r="R1595" s="5" t="str">
        <f ca="1">IFERROR(__xludf.DUMMYFUNCTION("""COMPUTED_VALUE"""),"România")</f>
        <v>România</v>
      </c>
      <c r="S1595" s="5" t="str">
        <f ca="1">IFERROR(__xludf.DUMMYFUNCTION("""COMPUTED_VALUE"""),"Octavian")</f>
        <v>Octavian</v>
      </c>
      <c r="T1595" s="7" t="str">
        <f ca="1">IFERROR(__xludf.DUMMYFUNCTION("""COMPUTED_VALUE"""),"http://www.ms.ro/2020/08/15/33355/")</f>
        <v>http://www.ms.ro/2020/08/15/33355/</v>
      </c>
      <c r="U1595" s="5"/>
      <c r="V1595" s="5"/>
      <c r="W1595" s="5"/>
      <c r="X1595" s="5"/>
      <c r="Y1595" s="5"/>
      <c r="Z1595" s="5"/>
      <c r="AA1595" s="5"/>
      <c r="AB1595" s="5"/>
      <c r="AC1595" s="5"/>
    </row>
    <row r="1596" spans="1:29" ht="12.5">
      <c r="A1596" s="5">
        <f ca="1">IFERROR(__xludf.DUMMYFUNCTION("""COMPUTED_VALUE"""),68243)</f>
        <v>68243</v>
      </c>
      <c r="B1596" s="5"/>
      <c r="C1596" s="5" t="str">
        <f ca="1">IFERROR(__xludf.DUMMYFUNCTION("""COMPUTED_VALUE"""),"Bihor")</f>
        <v>Bihor</v>
      </c>
      <c r="D1596" s="13">
        <f ca="1">IFERROR(__xludf.DUMMYFUNCTION("""COMPUTED_VALUE"""),44058)</f>
        <v>44058</v>
      </c>
      <c r="E1596" s="5" t="str">
        <f ca="1">IFERROR(__xludf.DUMMYFUNCTION("""COMPUTED_VALUE"""),"Nu")</f>
        <v>Nu</v>
      </c>
      <c r="F1596" s="5"/>
      <c r="G1596" s="5"/>
      <c r="H1596" s="6"/>
      <c r="I1596" s="5"/>
      <c r="J1596" s="5"/>
      <c r="K1596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596" s="5"/>
      <c r="M1596" s="5"/>
      <c r="N1596" s="5"/>
      <c r="O1596" s="5"/>
      <c r="P1596" s="5"/>
      <c r="Q1596" s="5"/>
      <c r="R1596" s="5" t="str">
        <f ca="1">IFERROR(__xludf.DUMMYFUNCTION("""COMPUTED_VALUE"""),"România")</f>
        <v>România</v>
      </c>
      <c r="S1596" s="5" t="str">
        <f ca="1">IFERROR(__xludf.DUMMYFUNCTION("""COMPUTED_VALUE"""),"Octavian")</f>
        <v>Octavian</v>
      </c>
      <c r="T1596" s="7" t="str">
        <f ca="1">IFERROR(__xludf.DUMMYFUNCTION("""COMPUTED_VALUE"""),"http://www.ms.ro/2020/08/15/33355/")</f>
        <v>http://www.ms.ro/2020/08/15/33355/</v>
      </c>
      <c r="U1596" s="5"/>
      <c r="V1596" s="5"/>
      <c r="W1596" s="5"/>
      <c r="X1596" s="5"/>
      <c r="Y1596" s="5"/>
      <c r="Z1596" s="5"/>
      <c r="AA1596" s="5"/>
      <c r="AB1596" s="5"/>
      <c r="AC1596" s="5"/>
    </row>
    <row r="1597" spans="1:29" ht="12.5">
      <c r="A1597" s="5">
        <f ca="1">IFERROR(__xludf.DUMMYFUNCTION("""COMPUTED_VALUE"""),68244)</f>
        <v>68244</v>
      </c>
      <c r="B1597" s="5"/>
      <c r="C1597" s="5" t="str">
        <f ca="1">IFERROR(__xludf.DUMMYFUNCTION("""COMPUTED_VALUE"""),"Bihor")</f>
        <v>Bihor</v>
      </c>
      <c r="D1597" s="13">
        <f ca="1">IFERROR(__xludf.DUMMYFUNCTION("""COMPUTED_VALUE"""),44058)</f>
        <v>44058</v>
      </c>
      <c r="E1597" s="5" t="str">
        <f ca="1">IFERROR(__xludf.DUMMYFUNCTION("""COMPUTED_VALUE"""),"Nu")</f>
        <v>Nu</v>
      </c>
      <c r="F1597" s="5"/>
      <c r="G1597" s="5"/>
      <c r="H1597" s="6"/>
      <c r="I1597" s="5"/>
      <c r="J1597" s="5"/>
      <c r="K1597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597" s="5"/>
      <c r="M1597" s="5"/>
      <c r="N1597" s="5"/>
      <c r="O1597" s="5"/>
      <c r="P1597" s="5"/>
      <c r="Q1597" s="5"/>
      <c r="R1597" s="5" t="str">
        <f ca="1">IFERROR(__xludf.DUMMYFUNCTION("""COMPUTED_VALUE"""),"România")</f>
        <v>România</v>
      </c>
      <c r="S1597" s="5" t="str">
        <f ca="1">IFERROR(__xludf.DUMMYFUNCTION("""COMPUTED_VALUE"""),"Octavian")</f>
        <v>Octavian</v>
      </c>
      <c r="T1597" s="7" t="str">
        <f ca="1">IFERROR(__xludf.DUMMYFUNCTION("""COMPUTED_VALUE"""),"http://www.ms.ro/2020/08/15/33355/")</f>
        <v>http://www.ms.ro/2020/08/15/33355/</v>
      </c>
      <c r="U1597" s="5"/>
      <c r="V1597" s="5"/>
      <c r="W1597" s="5"/>
      <c r="X1597" s="5"/>
      <c r="Y1597" s="5"/>
      <c r="Z1597" s="5"/>
      <c r="AA1597" s="5"/>
      <c r="AB1597" s="5"/>
      <c r="AC1597" s="5"/>
    </row>
    <row r="1598" spans="1:29" ht="12.5">
      <c r="A1598" s="5">
        <f ca="1">IFERROR(__xludf.DUMMYFUNCTION("""COMPUTED_VALUE"""),68245)</f>
        <v>68245</v>
      </c>
      <c r="B1598" s="5"/>
      <c r="C1598" s="5" t="str">
        <f ca="1">IFERROR(__xludf.DUMMYFUNCTION("""COMPUTED_VALUE"""),"Bihor")</f>
        <v>Bihor</v>
      </c>
      <c r="D1598" s="13">
        <f ca="1">IFERROR(__xludf.DUMMYFUNCTION("""COMPUTED_VALUE"""),44058)</f>
        <v>44058</v>
      </c>
      <c r="E1598" s="5" t="str">
        <f ca="1">IFERROR(__xludf.DUMMYFUNCTION("""COMPUTED_VALUE"""),"Nu")</f>
        <v>Nu</v>
      </c>
      <c r="F1598" s="5"/>
      <c r="G1598" s="5"/>
      <c r="H1598" s="6"/>
      <c r="I1598" s="5"/>
      <c r="J1598" s="5"/>
      <c r="K1598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598" s="5"/>
      <c r="M1598" s="5"/>
      <c r="N1598" s="5"/>
      <c r="O1598" s="5"/>
      <c r="P1598" s="5"/>
      <c r="Q1598" s="5"/>
      <c r="R1598" s="5" t="str">
        <f ca="1">IFERROR(__xludf.DUMMYFUNCTION("""COMPUTED_VALUE"""),"România")</f>
        <v>România</v>
      </c>
      <c r="S1598" s="5" t="str">
        <f ca="1">IFERROR(__xludf.DUMMYFUNCTION("""COMPUTED_VALUE"""),"Octavian")</f>
        <v>Octavian</v>
      </c>
      <c r="T1598" s="7" t="str">
        <f ca="1">IFERROR(__xludf.DUMMYFUNCTION("""COMPUTED_VALUE"""),"http://www.ms.ro/2020/08/15/33355/")</f>
        <v>http://www.ms.ro/2020/08/15/33355/</v>
      </c>
      <c r="U1598" s="5"/>
      <c r="V1598" s="5"/>
      <c r="W1598" s="5"/>
      <c r="X1598" s="5"/>
      <c r="Y1598" s="5"/>
      <c r="Z1598" s="5"/>
      <c r="AA1598" s="5"/>
      <c r="AB1598" s="5"/>
      <c r="AC1598" s="5"/>
    </row>
    <row r="1599" spans="1:29" ht="12.5">
      <c r="A1599" s="5">
        <f ca="1">IFERROR(__xludf.DUMMYFUNCTION("""COMPUTED_VALUE"""),68246)</f>
        <v>68246</v>
      </c>
      <c r="B1599" s="5"/>
      <c r="C1599" s="5" t="str">
        <f ca="1">IFERROR(__xludf.DUMMYFUNCTION("""COMPUTED_VALUE"""),"Bihor")</f>
        <v>Bihor</v>
      </c>
      <c r="D1599" s="13">
        <f ca="1">IFERROR(__xludf.DUMMYFUNCTION("""COMPUTED_VALUE"""),44058)</f>
        <v>44058</v>
      </c>
      <c r="E1599" s="5" t="str">
        <f ca="1">IFERROR(__xludf.DUMMYFUNCTION("""COMPUTED_VALUE"""),"Nu")</f>
        <v>Nu</v>
      </c>
      <c r="F1599" s="5"/>
      <c r="G1599" s="5"/>
      <c r="H1599" s="6"/>
      <c r="I1599" s="5"/>
      <c r="J1599" s="5"/>
      <c r="K1599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599" s="5"/>
      <c r="M1599" s="5"/>
      <c r="N1599" s="5"/>
      <c r="O1599" s="5"/>
      <c r="P1599" s="5"/>
      <c r="Q1599" s="5"/>
      <c r="R1599" s="5" t="str">
        <f ca="1">IFERROR(__xludf.DUMMYFUNCTION("""COMPUTED_VALUE"""),"România")</f>
        <v>România</v>
      </c>
      <c r="S1599" s="5" t="str">
        <f ca="1">IFERROR(__xludf.DUMMYFUNCTION("""COMPUTED_VALUE"""),"Octavian")</f>
        <v>Octavian</v>
      </c>
      <c r="T1599" s="7" t="str">
        <f ca="1">IFERROR(__xludf.DUMMYFUNCTION("""COMPUTED_VALUE"""),"http://www.ms.ro/2020/08/15/33355/")</f>
        <v>http://www.ms.ro/2020/08/15/33355/</v>
      </c>
      <c r="U1599" s="5"/>
      <c r="V1599" s="5"/>
      <c r="W1599" s="5"/>
      <c r="X1599" s="5"/>
      <c r="Y1599" s="5"/>
      <c r="Z1599" s="5"/>
      <c r="AA1599" s="5"/>
      <c r="AB1599" s="5"/>
      <c r="AC1599" s="5"/>
    </row>
    <row r="1600" spans="1:29" ht="12.5">
      <c r="A1600" s="5">
        <f ca="1">IFERROR(__xludf.DUMMYFUNCTION("""COMPUTED_VALUE"""),68247)</f>
        <v>68247</v>
      </c>
      <c r="B1600" s="5"/>
      <c r="C1600" s="5" t="str">
        <f ca="1">IFERROR(__xludf.DUMMYFUNCTION("""COMPUTED_VALUE"""),"Bihor")</f>
        <v>Bihor</v>
      </c>
      <c r="D1600" s="13">
        <f ca="1">IFERROR(__xludf.DUMMYFUNCTION("""COMPUTED_VALUE"""),44058)</f>
        <v>44058</v>
      </c>
      <c r="E1600" s="5" t="str">
        <f ca="1">IFERROR(__xludf.DUMMYFUNCTION("""COMPUTED_VALUE"""),"Nu")</f>
        <v>Nu</v>
      </c>
      <c r="F1600" s="5"/>
      <c r="G1600" s="5"/>
      <c r="H1600" s="6"/>
      <c r="I1600" s="5"/>
      <c r="J1600" s="5"/>
      <c r="K1600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600" s="5"/>
      <c r="M1600" s="5"/>
      <c r="N1600" s="5"/>
      <c r="O1600" s="5"/>
      <c r="P1600" s="5"/>
      <c r="Q1600" s="5"/>
      <c r="R1600" s="5" t="str">
        <f ca="1">IFERROR(__xludf.DUMMYFUNCTION("""COMPUTED_VALUE"""),"România")</f>
        <v>România</v>
      </c>
      <c r="S1600" s="5" t="str">
        <f ca="1">IFERROR(__xludf.DUMMYFUNCTION("""COMPUTED_VALUE"""),"Octavian")</f>
        <v>Octavian</v>
      </c>
      <c r="T1600" s="7" t="str">
        <f ca="1">IFERROR(__xludf.DUMMYFUNCTION("""COMPUTED_VALUE"""),"http://www.ms.ro/2020/08/15/33355/")</f>
        <v>http://www.ms.ro/2020/08/15/33355/</v>
      </c>
      <c r="U1600" s="5"/>
      <c r="V1600" s="5"/>
      <c r="W1600" s="5"/>
      <c r="X1600" s="5"/>
      <c r="Y1600" s="5"/>
      <c r="Z1600" s="5"/>
      <c r="AA1600" s="5"/>
      <c r="AB1600" s="5"/>
      <c r="AC1600" s="5"/>
    </row>
    <row r="1601" spans="1:29" ht="12.5">
      <c r="A1601" s="5">
        <f ca="1">IFERROR(__xludf.DUMMYFUNCTION("""COMPUTED_VALUE"""),68248)</f>
        <v>68248</v>
      </c>
      <c r="B1601" s="5"/>
      <c r="C1601" s="5" t="str">
        <f ca="1">IFERROR(__xludf.DUMMYFUNCTION("""COMPUTED_VALUE"""),"Bihor")</f>
        <v>Bihor</v>
      </c>
      <c r="D1601" s="13">
        <f ca="1">IFERROR(__xludf.DUMMYFUNCTION("""COMPUTED_VALUE"""),44058)</f>
        <v>44058</v>
      </c>
      <c r="E1601" s="5" t="str">
        <f ca="1">IFERROR(__xludf.DUMMYFUNCTION("""COMPUTED_VALUE"""),"Nu")</f>
        <v>Nu</v>
      </c>
      <c r="F1601" s="5"/>
      <c r="G1601" s="5"/>
      <c r="H1601" s="6"/>
      <c r="I1601" s="5"/>
      <c r="J1601" s="5"/>
      <c r="K1601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601" s="5"/>
      <c r="M1601" s="5"/>
      <c r="N1601" s="5"/>
      <c r="O1601" s="5"/>
      <c r="P1601" s="5"/>
      <c r="Q1601" s="5"/>
      <c r="R1601" s="5" t="str">
        <f ca="1">IFERROR(__xludf.DUMMYFUNCTION("""COMPUTED_VALUE"""),"România")</f>
        <v>România</v>
      </c>
      <c r="S1601" s="5" t="str">
        <f ca="1">IFERROR(__xludf.DUMMYFUNCTION("""COMPUTED_VALUE"""),"Octavian")</f>
        <v>Octavian</v>
      </c>
      <c r="T1601" s="7" t="str">
        <f ca="1">IFERROR(__xludf.DUMMYFUNCTION("""COMPUTED_VALUE"""),"http://www.ms.ro/2020/08/15/33355/")</f>
        <v>http://www.ms.ro/2020/08/15/33355/</v>
      </c>
      <c r="U1601" s="5"/>
      <c r="V1601" s="5"/>
      <c r="W1601" s="5"/>
      <c r="X1601" s="5"/>
      <c r="Y1601" s="5"/>
      <c r="Z1601" s="5"/>
      <c r="AA1601" s="5"/>
      <c r="AB1601" s="5"/>
      <c r="AC1601" s="5"/>
    </row>
    <row r="1602" spans="1:29" ht="12.5">
      <c r="A1602" s="5">
        <f ca="1">IFERROR(__xludf.DUMMYFUNCTION("""COMPUTED_VALUE"""),68249)</f>
        <v>68249</v>
      </c>
      <c r="B1602" s="5"/>
      <c r="C1602" s="5" t="str">
        <f ca="1">IFERROR(__xludf.DUMMYFUNCTION("""COMPUTED_VALUE"""),"Bihor")</f>
        <v>Bihor</v>
      </c>
      <c r="D1602" s="13">
        <f ca="1">IFERROR(__xludf.DUMMYFUNCTION("""COMPUTED_VALUE"""),44058)</f>
        <v>44058</v>
      </c>
      <c r="E1602" s="5" t="str">
        <f ca="1">IFERROR(__xludf.DUMMYFUNCTION("""COMPUTED_VALUE"""),"Nu")</f>
        <v>Nu</v>
      </c>
      <c r="F1602" s="5"/>
      <c r="G1602" s="5"/>
      <c r="H1602" s="6"/>
      <c r="I1602" s="5"/>
      <c r="J1602" s="5"/>
      <c r="K1602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602" s="5"/>
      <c r="M1602" s="5"/>
      <c r="N1602" s="5"/>
      <c r="O1602" s="5"/>
      <c r="P1602" s="5"/>
      <c r="Q1602" s="5"/>
      <c r="R1602" s="5" t="str">
        <f ca="1">IFERROR(__xludf.DUMMYFUNCTION("""COMPUTED_VALUE"""),"România")</f>
        <v>România</v>
      </c>
      <c r="S1602" s="5" t="str">
        <f ca="1">IFERROR(__xludf.DUMMYFUNCTION("""COMPUTED_VALUE"""),"Octavian")</f>
        <v>Octavian</v>
      </c>
      <c r="T1602" s="7" t="str">
        <f ca="1">IFERROR(__xludf.DUMMYFUNCTION("""COMPUTED_VALUE"""),"http://www.ms.ro/2020/08/15/33355/")</f>
        <v>http://www.ms.ro/2020/08/15/33355/</v>
      </c>
      <c r="U1602" s="5"/>
      <c r="V1602" s="5"/>
      <c r="W1602" s="5"/>
      <c r="X1602" s="5"/>
      <c r="Y1602" s="5"/>
      <c r="Z1602" s="5"/>
      <c r="AA1602" s="5"/>
      <c r="AB1602" s="5"/>
      <c r="AC1602" s="5"/>
    </row>
    <row r="1603" spans="1:29" ht="12.5">
      <c r="A1603" s="5">
        <f ca="1">IFERROR(__xludf.DUMMYFUNCTION("""COMPUTED_VALUE"""),68250)</f>
        <v>68250</v>
      </c>
      <c r="B1603" s="5"/>
      <c r="C1603" s="5" t="str">
        <f ca="1">IFERROR(__xludf.DUMMYFUNCTION("""COMPUTED_VALUE"""),"Bihor")</f>
        <v>Bihor</v>
      </c>
      <c r="D1603" s="13">
        <f ca="1">IFERROR(__xludf.DUMMYFUNCTION("""COMPUTED_VALUE"""),44058)</f>
        <v>44058</v>
      </c>
      <c r="E1603" s="5" t="str">
        <f ca="1">IFERROR(__xludf.DUMMYFUNCTION("""COMPUTED_VALUE"""),"Nu")</f>
        <v>Nu</v>
      </c>
      <c r="F1603" s="5"/>
      <c r="G1603" s="5"/>
      <c r="H1603" s="6"/>
      <c r="I1603" s="5"/>
      <c r="J1603" s="5"/>
      <c r="K1603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603" s="5"/>
      <c r="M1603" s="5"/>
      <c r="N1603" s="5"/>
      <c r="O1603" s="5"/>
      <c r="P1603" s="5"/>
      <c r="Q1603" s="5"/>
      <c r="R1603" s="5" t="str">
        <f ca="1">IFERROR(__xludf.DUMMYFUNCTION("""COMPUTED_VALUE"""),"România")</f>
        <v>România</v>
      </c>
      <c r="S1603" s="5" t="str">
        <f ca="1">IFERROR(__xludf.DUMMYFUNCTION("""COMPUTED_VALUE"""),"Octavian")</f>
        <v>Octavian</v>
      </c>
      <c r="T1603" s="7" t="str">
        <f ca="1">IFERROR(__xludf.DUMMYFUNCTION("""COMPUTED_VALUE"""),"http://www.ms.ro/2020/08/15/33355/")</f>
        <v>http://www.ms.ro/2020/08/15/33355/</v>
      </c>
      <c r="U1603" s="5"/>
      <c r="V1603" s="5"/>
      <c r="W1603" s="5"/>
      <c r="X1603" s="5"/>
      <c r="Y1603" s="5"/>
      <c r="Z1603" s="5"/>
      <c r="AA1603" s="5"/>
      <c r="AB1603" s="5"/>
      <c r="AC1603" s="5"/>
    </row>
    <row r="1604" spans="1:29" ht="12.5">
      <c r="A1604" s="5">
        <f ca="1">IFERROR(__xludf.DUMMYFUNCTION("""COMPUTED_VALUE"""),68251)</f>
        <v>68251</v>
      </c>
      <c r="B1604" s="5"/>
      <c r="C1604" s="5" t="str">
        <f ca="1">IFERROR(__xludf.DUMMYFUNCTION("""COMPUTED_VALUE"""),"Bihor")</f>
        <v>Bihor</v>
      </c>
      <c r="D1604" s="13">
        <f ca="1">IFERROR(__xludf.DUMMYFUNCTION("""COMPUTED_VALUE"""),44058)</f>
        <v>44058</v>
      </c>
      <c r="E1604" s="5" t="str">
        <f ca="1">IFERROR(__xludf.DUMMYFUNCTION("""COMPUTED_VALUE"""),"Nu")</f>
        <v>Nu</v>
      </c>
      <c r="F1604" s="5"/>
      <c r="G1604" s="5"/>
      <c r="H1604" s="6"/>
      <c r="I1604" s="5"/>
      <c r="J1604" s="5"/>
      <c r="K1604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604" s="5"/>
      <c r="M1604" s="5"/>
      <c r="N1604" s="5"/>
      <c r="O1604" s="5"/>
      <c r="P1604" s="5"/>
      <c r="Q1604" s="5"/>
      <c r="R1604" s="5" t="str">
        <f ca="1">IFERROR(__xludf.DUMMYFUNCTION("""COMPUTED_VALUE"""),"România")</f>
        <v>România</v>
      </c>
      <c r="S1604" s="5" t="str">
        <f ca="1">IFERROR(__xludf.DUMMYFUNCTION("""COMPUTED_VALUE"""),"Octavian")</f>
        <v>Octavian</v>
      </c>
      <c r="T1604" s="7" t="str">
        <f ca="1">IFERROR(__xludf.DUMMYFUNCTION("""COMPUTED_VALUE"""),"http://www.ms.ro/2020/08/15/33355/")</f>
        <v>http://www.ms.ro/2020/08/15/33355/</v>
      </c>
      <c r="U1604" s="5"/>
      <c r="V1604" s="5"/>
      <c r="W1604" s="5"/>
      <c r="X1604" s="5"/>
      <c r="Y1604" s="5"/>
      <c r="Z1604" s="5"/>
      <c r="AA1604" s="5"/>
      <c r="AB1604" s="5"/>
      <c r="AC1604" s="5"/>
    </row>
    <row r="1605" spans="1:29" ht="12.5">
      <c r="A1605" s="5">
        <f ca="1">IFERROR(__xludf.DUMMYFUNCTION("""COMPUTED_VALUE"""),68252)</f>
        <v>68252</v>
      </c>
      <c r="B1605" s="5"/>
      <c r="C1605" s="5" t="str">
        <f ca="1">IFERROR(__xludf.DUMMYFUNCTION("""COMPUTED_VALUE"""),"Bihor")</f>
        <v>Bihor</v>
      </c>
      <c r="D1605" s="13">
        <f ca="1">IFERROR(__xludf.DUMMYFUNCTION("""COMPUTED_VALUE"""),44058)</f>
        <v>44058</v>
      </c>
      <c r="E1605" s="5" t="str">
        <f ca="1">IFERROR(__xludf.DUMMYFUNCTION("""COMPUTED_VALUE"""),"Nu")</f>
        <v>Nu</v>
      </c>
      <c r="F1605" s="5"/>
      <c r="G1605" s="5"/>
      <c r="H1605" s="6"/>
      <c r="I1605" s="5"/>
      <c r="J1605" s="5"/>
      <c r="K1605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605" s="5"/>
      <c r="M1605" s="5"/>
      <c r="N1605" s="5"/>
      <c r="O1605" s="5"/>
      <c r="P1605" s="5"/>
      <c r="Q1605" s="5"/>
      <c r="R1605" s="5" t="str">
        <f ca="1">IFERROR(__xludf.DUMMYFUNCTION("""COMPUTED_VALUE"""),"România")</f>
        <v>România</v>
      </c>
      <c r="S1605" s="5" t="str">
        <f ca="1">IFERROR(__xludf.DUMMYFUNCTION("""COMPUTED_VALUE"""),"Octavian")</f>
        <v>Octavian</v>
      </c>
      <c r="T1605" s="7" t="str">
        <f ca="1">IFERROR(__xludf.DUMMYFUNCTION("""COMPUTED_VALUE"""),"http://www.ms.ro/2020/08/15/33355/")</f>
        <v>http://www.ms.ro/2020/08/15/33355/</v>
      </c>
      <c r="U1605" s="5"/>
      <c r="V1605" s="5"/>
      <c r="W1605" s="5"/>
      <c r="X1605" s="5"/>
      <c r="Y1605" s="5"/>
      <c r="Z1605" s="5"/>
      <c r="AA1605" s="5"/>
      <c r="AB1605" s="5"/>
      <c r="AC1605" s="5"/>
    </row>
    <row r="1606" spans="1:29" ht="12.5">
      <c r="A1606" s="5">
        <f ca="1">IFERROR(__xludf.DUMMYFUNCTION("""COMPUTED_VALUE"""),68253)</f>
        <v>68253</v>
      </c>
      <c r="B1606" s="5"/>
      <c r="C1606" s="5" t="str">
        <f ca="1">IFERROR(__xludf.DUMMYFUNCTION("""COMPUTED_VALUE"""),"Bihor")</f>
        <v>Bihor</v>
      </c>
      <c r="D1606" s="13">
        <f ca="1">IFERROR(__xludf.DUMMYFUNCTION("""COMPUTED_VALUE"""),44058)</f>
        <v>44058</v>
      </c>
      <c r="E1606" s="5" t="str">
        <f ca="1">IFERROR(__xludf.DUMMYFUNCTION("""COMPUTED_VALUE"""),"Nu")</f>
        <v>Nu</v>
      </c>
      <c r="F1606" s="5"/>
      <c r="G1606" s="5"/>
      <c r="H1606" s="6"/>
      <c r="I1606" s="5"/>
      <c r="J1606" s="5"/>
      <c r="K1606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606" s="5"/>
      <c r="M1606" s="5"/>
      <c r="N1606" s="5"/>
      <c r="O1606" s="5"/>
      <c r="P1606" s="5"/>
      <c r="Q1606" s="5"/>
      <c r="R1606" s="5" t="str">
        <f ca="1">IFERROR(__xludf.DUMMYFUNCTION("""COMPUTED_VALUE"""),"România")</f>
        <v>România</v>
      </c>
      <c r="S1606" s="5" t="str">
        <f ca="1">IFERROR(__xludf.DUMMYFUNCTION("""COMPUTED_VALUE"""),"Octavian")</f>
        <v>Octavian</v>
      </c>
      <c r="T1606" s="7" t="str">
        <f ca="1">IFERROR(__xludf.DUMMYFUNCTION("""COMPUTED_VALUE"""),"http://www.ms.ro/2020/08/15/33355/")</f>
        <v>http://www.ms.ro/2020/08/15/33355/</v>
      </c>
      <c r="U1606" s="5"/>
      <c r="V1606" s="5"/>
      <c r="W1606" s="5"/>
      <c r="X1606" s="5"/>
      <c r="Y1606" s="5"/>
      <c r="Z1606" s="5"/>
      <c r="AA1606" s="5"/>
      <c r="AB1606" s="5"/>
      <c r="AC1606" s="5"/>
    </row>
    <row r="1607" spans="1:29" ht="12.5">
      <c r="A1607" s="5">
        <f ca="1">IFERROR(__xludf.DUMMYFUNCTION("""COMPUTED_VALUE"""),68254)</f>
        <v>68254</v>
      </c>
      <c r="B1607" s="5"/>
      <c r="C1607" s="5" t="str">
        <f ca="1">IFERROR(__xludf.DUMMYFUNCTION("""COMPUTED_VALUE"""),"Bihor")</f>
        <v>Bihor</v>
      </c>
      <c r="D1607" s="13">
        <f ca="1">IFERROR(__xludf.DUMMYFUNCTION("""COMPUTED_VALUE"""),44058)</f>
        <v>44058</v>
      </c>
      <c r="E1607" s="5" t="str">
        <f ca="1">IFERROR(__xludf.DUMMYFUNCTION("""COMPUTED_VALUE"""),"Nu")</f>
        <v>Nu</v>
      </c>
      <c r="F1607" s="5"/>
      <c r="G1607" s="5"/>
      <c r="H1607" s="6"/>
      <c r="I1607" s="5"/>
      <c r="J1607" s="5"/>
      <c r="K1607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607" s="5"/>
      <c r="M1607" s="5"/>
      <c r="N1607" s="5"/>
      <c r="O1607" s="5"/>
      <c r="P1607" s="5"/>
      <c r="Q1607" s="5"/>
      <c r="R1607" s="5" t="str">
        <f ca="1">IFERROR(__xludf.DUMMYFUNCTION("""COMPUTED_VALUE"""),"România")</f>
        <v>România</v>
      </c>
      <c r="S1607" s="5" t="str">
        <f ca="1">IFERROR(__xludf.DUMMYFUNCTION("""COMPUTED_VALUE"""),"Octavian")</f>
        <v>Octavian</v>
      </c>
      <c r="T1607" s="7" t="str">
        <f ca="1">IFERROR(__xludf.DUMMYFUNCTION("""COMPUTED_VALUE"""),"http://www.ms.ro/2020/08/15/33355/")</f>
        <v>http://www.ms.ro/2020/08/15/33355/</v>
      </c>
      <c r="U1607" s="5"/>
      <c r="V1607" s="5"/>
      <c r="W1607" s="5"/>
      <c r="X1607" s="5"/>
      <c r="Y1607" s="5"/>
      <c r="Z1607" s="5"/>
      <c r="AA1607" s="5"/>
      <c r="AB1607" s="5"/>
      <c r="AC1607" s="5"/>
    </row>
    <row r="1608" spans="1:29" ht="12.5">
      <c r="A1608" s="5">
        <f ca="1">IFERROR(__xludf.DUMMYFUNCTION("""COMPUTED_VALUE"""),68255)</f>
        <v>68255</v>
      </c>
      <c r="B1608" s="5"/>
      <c r="C1608" s="5" t="str">
        <f ca="1">IFERROR(__xludf.DUMMYFUNCTION("""COMPUTED_VALUE"""),"Bihor")</f>
        <v>Bihor</v>
      </c>
      <c r="D1608" s="13">
        <f ca="1">IFERROR(__xludf.DUMMYFUNCTION("""COMPUTED_VALUE"""),44058)</f>
        <v>44058</v>
      </c>
      <c r="E1608" s="5" t="str">
        <f ca="1">IFERROR(__xludf.DUMMYFUNCTION("""COMPUTED_VALUE"""),"Nu")</f>
        <v>Nu</v>
      </c>
      <c r="F1608" s="5"/>
      <c r="G1608" s="5"/>
      <c r="H1608" s="6"/>
      <c r="I1608" s="5"/>
      <c r="J1608" s="5"/>
      <c r="K1608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608" s="5"/>
      <c r="M1608" s="5"/>
      <c r="N1608" s="5"/>
      <c r="O1608" s="5"/>
      <c r="P1608" s="5"/>
      <c r="Q1608" s="5"/>
      <c r="R1608" s="5" t="str">
        <f ca="1">IFERROR(__xludf.DUMMYFUNCTION("""COMPUTED_VALUE"""),"România")</f>
        <v>România</v>
      </c>
      <c r="S1608" s="5" t="str">
        <f ca="1">IFERROR(__xludf.DUMMYFUNCTION("""COMPUTED_VALUE"""),"Octavian")</f>
        <v>Octavian</v>
      </c>
      <c r="T1608" s="7" t="str">
        <f ca="1">IFERROR(__xludf.DUMMYFUNCTION("""COMPUTED_VALUE"""),"http://www.ms.ro/2020/08/15/33355/")</f>
        <v>http://www.ms.ro/2020/08/15/33355/</v>
      </c>
      <c r="U1608" s="5"/>
      <c r="V1608" s="5"/>
      <c r="W1608" s="5"/>
      <c r="X1608" s="5"/>
      <c r="Y1608" s="5"/>
      <c r="Z1608" s="5"/>
      <c r="AA1608" s="5"/>
      <c r="AB1608" s="5"/>
      <c r="AC1608" s="5"/>
    </row>
    <row r="1609" spans="1:29" ht="12.5">
      <c r="A1609" s="5">
        <f ca="1">IFERROR(__xludf.DUMMYFUNCTION("""COMPUTED_VALUE"""),68256)</f>
        <v>68256</v>
      </c>
      <c r="B1609" s="5"/>
      <c r="C1609" s="5" t="str">
        <f ca="1">IFERROR(__xludf.DUMMYFUNCTION("""COMPUTED_VALUE"""),"Bihor")</f>
        <v>Bihor</v>
      </c>
      <c r="D1609" s="13">
        <f ca="1">IFERROR(__xludf.DUMMYFUNCTION("""COMPUTED_VALUE"""),44058)</f>
        <v>44058</v>
      </c>
      <c r="E1609" s="5" t="str">
        <f ca="1">IFERROR(__xludf.DUMMYFUNCTION("""COMPUTED_VALUE"""),"Nu")</f>
        <v>Nu</v>
      </c>
      <c r="F1609" s="5"/>
      <c r="G1609" s="5"/>
      <c r="H1609" s="6"/>
      <c r="I1609" s="5"/>
      <c r="J1609" s="5"/>
      <c r="K1609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609" s="5"/>
      <c r="M1609" s="5"/>
      <c r="N1609" s="5"/>
      <c r="O1609" s="5"/>
      <c r="P1609" s="5"/>
      <c r="Q1609" s="5"/>
      <c r="R1609" s="5" t="str">
        <f ca="1">IFERROR(__xludf.DUMMYFUNCTION("""COMPUTED_VALUE"""),"România")</f>
        <v>România</v>
      </c>
      <c r="S1609" s="5" t="str">
        <f ca="1">IFERROR(__xludf.DUMMYFUNCTION("""COMPUTED_VALUE"""),"Octavian")</f>
        <v>Octavian</v>
      </c>
      <c r="T1609" s="7" t="str">
        <f ca="1">IFERROR(__xludf.DUMMYFUNCTION("""COMPUTED_VALUE"""),"http://www.ms.ro/2020/08/15/33355/")</f>
        <v>http://www.ms.ro/2020/08/15/33355/</v>
      </c>
      <c r="U1609" s="5"/>
      <c r="V1609" s="5"/>
      <c r="W1609" s="5"/>
      <c r="X1609" s="5"/>
      <c r="Y1609" s="5"/>
      <c r="Z1609" s="5"/>
      <c r="AA1609" s="5"/>
      <c r="AB1609" s="5"/>
      <c r="AC1609" s="5"/>
    </row>
    <row r="1610" spans="1:29" ht="12.5">
      <c r="A1610" s="5">
        <f ca="1">IFERROR(__xludf.DUMMYFUNCTION("""COMPUTED_VALUE"""),68257)</f>
        <v>68257</v>
      </c>
      <c r="B1610" s="5"/>
      <c r="C1610" s="5" t="str">
        <f ca="1">IFERROR(__xludf.DUMMYFUNCTION("""COMPUTED_VALUE"""),"Bihor")</f>
        <v>Bihor</v>
      </c>
      <c r="D1610" s="13">
        <f ca="1">IFERROR(__xludf.DUMMYFUNCTION("""COMPUTED_VALUE"""),44058)</f>
        <v>44058</v>
      </c>
      <c r="E1610" s="5" t="str">
        <f ca="1">IFERROR(__xludf.DUMMYFUNCTION("""COMPUTED_VALUE"""),"Nu")</f>
        <v>Nu</v>
      </c>
      <c r="F1610" s="5"/>
      <c r="G1610" s="5"/>
      <c r="H1610" s="6"/>
      <c r="I1610" s="5"/>
      <c r="J1610" s="5"/>
      <c r="K1610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610" s="5"/>
      <c r="M1610" s="5"/>
      <c r="N1610" s="5"/>
      <c r="O1610" s="5"/>
      <c r="P1610" s="5"/>
      <c r="Q1610" s="5"/>
      <c r="R1610" s="5" t="str">
        <f ca="1">IFERROR(__xludf.DUMMYFUNCTION("""COMPUTED_VALUE"""),"România")</f>
        <v>România</v>
      </c>
      <c r="S1610" s="5" t="str">
        <f ca="1">IFERROR(__xludf.DUMMYFUNCTION("""COMPUTED_VALUE"""),"Octavian")</f>
        <v>Octavian</v>
      </c>
      <c r="T1610" s="7" t="str">
        <f ca="1">IFERROR(__xludf.DUMMYFUNCTION("""COMPUTED_VALUE"""),"http://www.ms.ro/2020/08/15/33355/")</f>
        <v>http://www.ms.ro/2020/08/15/33355/</v>
      </c>
      <c r="U1610" s="5"/>
      <c r="V1610" s="5"/>
      <c r="W1610" s="5"/>
      <c r="X1610" s="5"/>
      <c r="Y1610" s="5"/>
      <c r="Z1610" s="5"/>
      <c r="AA1610" s="5"/>
      <c r="AB1610" s="5"/>
      <c r="AC1610" s="5"/>
    </row>
    <row r="1611" spans="1:29" ht="12.5">
      <c r="A1611" s="5">
        <f ca="1">IFERROR(__xludf.DUMMYFUNCTION("""COMPUTED_VALUE"""),68258)</f>
        <v>68258</v>
      </c>
      <c r="B1611" s="5"/>
      <c r="C1611" s="5" t="str">
        <f ca="1">IFERROR(__xludf.DUMMYFUNCTION("""COMPUTED_VALUE"""),"Bihor")</f>
        <v>Bihor</v>
      </c>
      <c r="D1611" s="13">
        <f ca="1">IFERROR(__xludf.DUMMYFUNCTION("""COMPUTED_VALUE"""),44058)</f>
        <v>44058</v>
      </c>
      <c r="E1611" s="5" t="str">
        <f ca="1">IFERROR(__xludf.DUMMYFUNCTION("""COMPUTED_VALUE"""),"Nu")</f>
        <v>Nu</v>
      </c>
      <c r="F1611" s="5"/>
      <c r="G1611" s="5"/>
      <c r="H1611" s="6"/>
      <c r="I1611" s="5"/>
      <c r="J1611" s="5"/>
      <c r="K1611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611" s="5"/>
      <c r="M1611" s="5"/>
      <c r="N1611" s="5"/>
      <c r="O1611" s="5"/>
      <c r="P1611" s="5"/>
      <c r="Q1611" s="5"/>
      <c r="R1611" s="5" t="str">
        <f ca="1">IFERROR(__xludf.DUMMYFUNCTION("""COMPUTED_VALUE"""),"România")</f>
        <v>România</v>
      </c>
      <c r="S1611" s="5" t="str">
        <f ca="1">IFERROR(__xludf.DUMMYFUNCTION("""COMPUTED_VALUE"""),"Octavian")</f>
        <v>Octavian</v>
      </c>
      <c r="T1611" s="7" t="str">
        <f ca="1">IFERROR(__xludf.DUMMYFUNCTION("""COMPUTED_VALUE"""),"http://www.ms.ro/2020/08/15/33355/")</f>
        <v>http://www.ms.ro/2020/08/15/33355/</v>
      </c>
      <c r="U1611" s="5"/>
      <c r="V1611" s="5"/>
      <c r="W1611" s="5"/>
      <c r="X1611" s="5"/>
      <c r="Y1611" s="5"/>
      <c r="Z1611" s="5"/>
      <c r="AA1611" s="5"/>
      <c r="AB1611" s="5"/>
      <c r="AC1611" s="5"/>
    </row>
    <row r="1612" spans="1:29" ht="12.5">
      <c r="A1612" s="5">
        <f ca="1">IFERROR(__xludf.DUMMYFUNCTION("""COMPUTED_VALUE"""),68259)</f>
        <v>68259</v>
      </c>
      <c r="B1612" s="5"/>
      <c r="C1612" s="5" t="str">
        <f ca="1">IFERROR(__xludf.DUMMYFUNCTION("""COMPUTED_VALUE"""),"Bihor")</f>
        <v>Bihor</v>
      </c>
      <c r="D1612" s="13">
        <f ca="1">IFERROR(__xludf.DUMMYFUNCTION("""COMPUTED_VALUE"""),44058)</f>
        <v>44058</v>
      </c>
      <c r="E1612" s="5" t="str">
        <f ca="1">IFERROR(__xludf.DUMMYFUNCTION("""COMPUTED_VALUE"""),"Nu")</f>
        <v>Nu</v>
      </c>
      <c r="F1612" s="5"/>
      <c r="G1612" s="5"/>
      <c r="H1612" s="6"/>
      <c r="I1612" s="5"/>
      <c r="J1612" s="5"/>
      <c r="K1612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612" s="5"/>
      <c r="M1612" s="5"/>
      <c r="N1612" s="5"/>
      <c r="O1612" s="5"/>
      <c r="P1612" s="5"/>
      <c r="Q1612" s="5"/>
      <c r="R1612" s="5" t="str">
        <f ca="1">IFERROR(__xludf.DUMMYFUNCTION("""COMPUTED_VALUE"""),"România")</f>
        <v>România</v>
      </c>
      <c r="S1612" s="5" t="str">
        <f ca="1">IFERROR(__xludf.DUMMYFUNCTION("""COMPUTED_VALUE"""),"Octavian")</f>
        <v>Octavian</v>
      </c>
      <c r="T1612" s="7" t="str">
        <f ca="1">IFERROR(__xludf.DUMMYFUNCTION("""COMPUTED_VALUE"""),"http://www.ms.ro/2020/08/15/33355/")</f>
        <v>http://www.ms.ro/2020/08/15/33355/</v>
      </c>
      <c r="U1612" s="5"/>
      <c r="V1612" s="5"/>
      <c r="W1612" s="5"/>
      <c r="X1612" s="5"/>
      <c r="Y1612" s="5"/>
      <c r="Z1612" s="5"/>
      <c r="AA1612" s="5"/>
      <c r="AB1612" s="5"/>
      <c r="AC1612" s="5"/>
    </row>
    <row r="1613" spans="1:29" ht="12.5">
      <c r="A1613" s="5">
        <f ca="1">IFERROR(__xludf.DUMMYFUNCTION("""COMPUTED_VALUE"""),68260)</f>
        <v>68260</v>
      </c>
      <c r="B1613" s="5"/>
      <c r="C1613" s="5" t="str">
        <f ca="1">IFERROR(__xludf.DUMMYFUNCTION("""COMPUTED_VALUE"""),"Bihor")</f>
        <v>Bihor</v>
      </c>
      <c r="D1613" s="13">
        <f ca="1">IFERROR(__xludf.DUMMYFUNCTION("""COMPUTED_VALUE"""),44058)</f>
        <v>44058</v>
      </c>
      <c r="E1613" s="5" t="str">
        <f ca="1">IFERROR(__xludf.DUMMYFUNCTION("""COMPUTED_VALUE"""),"Nu")</f>
        <v>Nu</v>
      </c>
      <c r="F1613" s="5"/>
      <c r="G1613" s="5"/>
      <c r="H1613" s="6"/>
      <c r="I1613" s="5"/>
      <c r="J1613" s="5"/>
      <c r="K1613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613" s="5"/>
      <c r="M1613" s="5"/>
      <c r="N1613" s="5"/>
      <c r="O1613" s="5"/>
      <c r="P1613" s="5"/>
      <c r="Q1613" s="5"/>
      <c r="R1613" s="5" t="str">
        <f ca="1">IFERROR(__xludf.DUMMYFUNCTION("""COMPUTED_VALUE"""),"România")</f>
        <v>România</v>
      </c>
      <c r="S1613" s="5" t="str">
        <f ca="1">IFERROR(__xludf.DUMMYFUNCTION("""COMPUTED_VALUE"""),"Octavian")</f>
        <v>Octavian</v>
      </c>
      <c r="T1613" s="7" t="str">
        <f ca="1">IFERROR(__xludf.DUMMYFUNCTION("""COMPUTED_VALUE"""),"http://www.ms.ro/2020/08/15/33355/")</f>
        <v>http://www.ms.ro/2020/08/15/33355/</v>
      </c>
      <c r="U1613" s="5"/>
      <c r="V1613" s="5"/>
      <c r="W1613" s="5"/>
      <c r="X1613" s="5"/>
      <c r="Y1613" s="5"/>
      <c r="Z1613" s="5"/>
      <c r="AA1613" s="5"/>
      <c r="AB1613" s="5"/>
      <c r="AC1613" s="5"/>
    </row>
    <row r="1614" spans="1:29" ht="12.5">
      <c r="A1614" s="5">
        <f ca="1">IFERROR(__xludf.DUMMYFUNCTION("""COMPUTED_VALUE"""),68261)</f>
        <v>68261</v>
      </c>
      <c r="B1614" s="5"/>
      <c r="C1614" s="5" t="str">
        <f ca="1">IFERROR(__xludf.DUMMYFUNCTION("""COMPUTED_VALUE"""),"Bihor")</f>
        <v>Bihor</v>
      </c>
      <c r="D1614" s="13">
        <f ca="1">IFERROR(__xludf.DUMMYFUNCTION("""COMPUTED_VALUE"""),44058)</f>
        <v>44058</v>
      </c>
      <c r="E1614" s="5" t="str">
        <f ca="1">IFERROR(__xludf.DUMMYFUNCTION("""COMPUTED_VALUE"""),"Nu")</f>
        <v>Nu</v>
      </c>
      <c r="F1614" s="5"/>
      <c r="G1614" s="5"/>
      <c r="H1614" s="6"/>
      <c r="I1614" s="5"/>
      <c r="J1614" s="5"/>
      <c r="K1614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614" s="5"/>
      <c r="M1614" s="5"/>
      <c r="N1614" s="5"/>
      <c r="O1614" s="5"/>
      <c r="P1614" s="5"/>
      <c r="Q1614" s="5"/>
      <c r="R1614" s="5" t="str">
        <f ca="1">IFERROR(__xludf.DUMMYFUNCTION("""COMPUTED_VALUE"""),"România")</f>
        <v>România</v>
      </c>
      <c r="S1614" s="5" t="str">
        <f ca="1">IFERROR(__xludf.DUMMYFUNCTION("""COMPUTED_VALUE"""),"Octavian")</f>
        <v>Octavian</v>
      </c>
      <c r="T1614" s="7" t="str">
        <f ca="1">IFERROR(__xludf.DUMMYFUNCTION("""COMPUTED_VALUE"""),"http://www.ms.ro/2020/08/15/33355/")</f>
        <v>http://www.ms.ro/2020/08/15/33355/</v>
      </c>
      <c r="U1614" s="5"/>
      <c r="V1614" s="5"/>
      <c r="W1614" s="5"/>
      <c r="X1614" s="5"/>
      <c r="Y1614" s="5"/>
      <c r="Z1614" s="5"/>
      <c r="AA1614" s="5"/>
      <c r="AB1614" s="5"/>
      <c r="AC1614" s="5"/>
    </row>
    <row r="1615" spans="1:29" ht="12.5">
      <c r="A1615" s="5">
        <f ca="1">IFERROR(__xludf.DUMMYFUNCTION("""COMPUTED_VALUE"""),68262)</f>
        <v>68262</v>
      </c>
      <c r="B1615" s="5"/>
      <c r="C1615" s="5" t="str">
        <f ca="1">IFERROR(__xludf.DUMMYFUNCTION("""COMPUTED_VALUE"""),"Bihor")</f>
        <v>Bihor</v>
      </c>
      <c r="D1615" s="13">
        <f ca="1">IFERROR(__xludf.DUMMYFUNCTION("""COMPUTED_VALUE"""),44058)</f>
        <v>44058</v>
      </c>
      <c r="E1615" s="5" t="str">
        <f ca="1">IFERROR(__xludf.DUMMYFUNCTION("""COMPUTED_VALUE"""),"Nu")</f>
        <v>Nu</v>
      </c>
      <c r="F1615" s="5"/>
      <c r="G1615" s="5"/>
      <c r="H1615" s="6"/>
      <c r="I1615" s="5"/>
      <c r="J1615" s="5"/>
      <c r="K1615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615" s="5"/>
      <c r="M1615" s="5"/>
      <c r="N1615" s="5"/>
      <c r="O1615" s="5"/>
      <c r="P1615" s="5"/>
      <c r="Q1615" s="5"/>
      <c r="R1615" s="5" t="str">
        <f ca="1">IFERROR(__xludf.DUMMYFUNCTION("""COMPUTED_VALUE"""),"România")</f>
        <v>România</v>
      </c>
      <c r="S1615" s="5" t="str">
        <f ca="1">IFERROR(__xludf.DUMMYFUNCTION("""COMPUTED_VALUE"""),"Octavian")</f>
        <v>Octavian</v>
      </c>
      <c r="T1615" s="7" t="str">
        <f ca="1">IFERROR(__xludf.DUMMYFUNCTION("""COMPUTED_VALUE"""),"http://www.ms.ro/2020/08/15/33355/")</f>
        <v>http://www.ms.ro/2020/08/15/33355/</v>
      </c>
      <c r="U1615" s="5"/>
      <c r="V1615" s="5"/>
      <c r="W1615" s="5"/>
      <c r="X1615" s="5"/>
      <c r="Y1615" s="5"/>
      <c r="Z1615" s="5"/>
      <c r="AA1615" s="5"/>
      <c r="AB1615" s="5"/>
      <c r="AC1615" s="5"/>
    </row>
    <row r="1616" spans="1:29" ht="12.5">
      <c r="A1616" s="5">
        <f ca="1">IFERROR(__xludf.DUMMYFUNCTION("""COMPUTED_VALUE"""),68263)</f>
        <v>68263</v>
      </c>
      <c r="B1616" s="5"/>
      <c r="C1616" s="5" t="str">
        <f ca="1">IFERROR(__xludf.DUMMYFUNCTION("""COMPUTED_VALUE"""),"Bihor")</f>
        <v>Bihor</v>
      </c>
      <c r="D1616" s="13">
        <f ca="1">IFERROR(__xludf.DUMMYFUNCTION("""COMPUTED_VALUE"""),44058)</f>
        <v>44058</v>
      </c>
      <c r="E1616" s="5" t="str">
        <f ca="1">IFERROR(__xludf.DUMMYFUNCTION("""COMPUTED_VALUE"""),"Nu")</f>
        <v>Nu</v>
      </c>
      <c r="F1616" s="5"/>
      <c r="G1616" s="5"/>
      <c r="H1616" s="6"/>
      <c r="I1616" s="5"/>
      <c r="J1616" s="5"/>
      <c r="K1616" s="7" t="str">
        <f ca="1">IFERROR(__xludf.DUMMYFUNCTION("""COMPUTED_VALUE"""),"https://www.ebihoreanul.ro/stiri/coronavirus-in-bihor-inca-doua-decese-inregistrate-58-de-noi-cazuri-diagnosticate-73-de-persoane-vindecate-158232.html")</f>
        <v>https://www.ebihoreanul.ro/stiri/coronavirus-in-bihor-inca-doua-decese-inregistrate-58-de-noi-cazuri-diagnosticate-73-de-persoane-vindecate-158232.html</v>
      </c>
      <c r="L1616" s="5"/>
      <c r="M1616" s="5"/>
      <c r="N1616" s="5"/>
      <c r="O1616" s="5"/>
      <c r="P1616" s="5"/>
      <c r="Q1616" s="5"/>
      <c r="R1616" s="5" t="str">
        <f ca="1">IFERROR(__xludf.DUMMYFUNCTION("""COMPUTED_VALUE"""),"România")</f>
        <v>România</v>
      </c>
      <c r="S1616" s="5" t="str">
        <f ca="1">IFERROR(__xludf.DUMMYFUNCTION("""COMPUTED_VALUE"""),"Octavian")</f>
        <v>Octavian</v>
      </c>
      <c r="T1616" s="7" t="str">
        <f ca="1">IFERROR(__xludf.DUMMYFUNCTION("""COMPUTED_VALUE"""),"http://www.ms.ro/2020/08/15/33355/")</f>
        <v>http://www.ms.ro/2020/08/15/33355/</v>
      </c>
      <c r="U1616" s="5"/>
      <c r="V1616" s="5"/>
      <c r="W1616" s="5"/>
      <c r="X1616" s="5"/>
      <c r="Y1616" s="5"/>
      <c r="Z1616" s="5"/>
      <c r="AA1616" s="5"/>
      <c r="AB1616" s="5"/>
      <c r="AC1616" s="5"/>
    </row>
    <row r="1617" spans="1:29" ht="12.5">
      <c r="A1617" s="5">
        <f ca="1">IFERROR(__xludf.DUMMYFUNCTION("""COMPUTED_VALUE"""),69490)</f>
        <v>69490</v>
      </c>
      <c r="B1617" s="5"/>
      <c r="C1617" s="5" t="str">
        <f ca="1">IFERROR(__xludf.DUMMYFUNCTION("""COMPUTED_VALUE"""),"Bihor")</f>
        <v>Bihor</v>
      </c>
      <c r="D1617" s="13">
        <f ca="1">IFERROR(__xludf.DUMMYFUNCTION("""COMPUTED_VALUE"""),44059)</f>
        <v>44059</v>
      </c>
      <c r="E1617" s="5" t="str">
        <f ca="1">IFERROR(__xludf.DUMMYFUNCTION("""COMPUTED_VALUE"""),"Nu")</f>
        <v>Nu</v>
      </c>
      <c r="F1617" s="5"/>
      <c r="G1617" s="5"/>
      <c r="H1617" s="6"/>
      <c r="I1617" s="5"/>
      <c r="J1617" s="5"/>
      <c r="K1617" s="7" t="str">
        <f ca="1">IFERROR(__xludf.DUMMYFUNCTION("""COMPUTED_VALUE"""),"https://www.ebihoreanul.ro/stiri/coronavirus-in-bihor-inca-trei-decese-inregistrate-50-de-cazuri-noi-diagnosticate-nicio-persoana-vindecata-158239.html")</f>
        <v>https://www.ebihoreanul.ro/stiri/coronavirus-in-bihor-inca-trei-decese-inregistrate-50-de-cazuri-noi-diagnosticate-nicio-persoana-vindecata-158239.html</v>
      </c>
      <c r="L1617" s="5"/>
      <c r="M1617" s="5" t="str">
        <f ca="1">IFERROR(__xludf.DUMMYFUNCTION("""COMPUTED_VALUE"""),"Oradea")</f>
        <v>Oradea</v>
      </c>
      <c r="N1617" s="5"/>
      <c r="O1617" s="5"/>
      <c r="P1617" s="5" t="str">
        <f ca="1">IFERROR(__xludf.DUMMYFUNCTION("""COMPUTED_VALUE"""),"SJU Oradea, pacient.")</f>
        <v>SJU Oradea, pacient.</v>
      </c>
      <c r="Q1617" s="5" t="str">
        <f ca="1">IFERROR(__xludf.DUMMYFUNCTION("""COMPUTED_VALUE"""),"Medical")</f>
        <v>Medical</v>
      </c>
      <c r="R1617" s="5" t="str">
        <f ca="1">IFERROR(__xludf.DUMMYFUNCTION("""COMPUTED_VALUE"""),"România")</f>
        <v>România</v>
      </c>
      <c r="S1617" s="5" t="str">
        <f ca="1">IFERROR(__xludf.DUMMYFUNCTION("""COMPUTED_VALUE"""),"Octavian")</f>
        <v>Octavian</v>
      </c>
      <c r="T1617" s="7" t="str">
        <f ca="1">IFERROR(__xludf.DUMMYFUNCTION("""COMPUTED_VALUE"""),"http://www.ms.ro/2020/08/16/buletin-informativ-16-08-2020")</f>
        <v>http://www.ms.ro/2020/08/16/buletin-informativ-16-08-2020</v>
      </c>
      <c r="U1617" s="5"/>
      <c r="V1617" s="5"/>
      <c r="W1617" s="5"/>
      <c r="X1617" s="5"/>
      <c r="Y1617" s="5"/>
      <c r="Z1617" s="5"/>
      <c r="AA1617" s="5"/>
      <c r="AB1617" s="5"/>
      <c r="AC1617" s="5"/>
    </row>
    <row r="1618" spans="1:29" ht="12.5">
      <c r="A1618" s="5">
        <f ca="1">IFERROR(__xludf.DUMMYFUNCTION("""COMPUTED_VALUE"""),69491)</f>
        <v>69491</v>
      </c>
      <c r="B1618" s="5"/>
      <c r="C1618" s="5" t="str">
        <f ca="1">IFERROR(__xludf.DUMMYFUNCTION("""COMPUTED_VALUE"""),"Bihor")</f>
        <v>Bihor</v>
      </c>
      <c r="D1618" s="13">
        <f ca="1">IFERROR(__xludf.DUMMYFUNCTION("""COMPUTED_VALUE"""),44059)</f>
        <v>44059</v>
      </c>
      <c r="E1618" s="5" t="str">
        <f ca="1">IFERROR(__xludf.DUMMYFUNCTION("""COMPUTED_VALUE"""),"Nu")</f>
        <v>Nu</v>
      </c>
      <c r="F1618" s="5"/>
      <c r="G1618" s="5"/>
      <c r="H1618" s="6"/>
      <c r="I1618" s="5"/>
      <c r="J1618" s="5"/>
      <c r="K1618" s="7" t="str">
        <f ca="1">IFERROR(__xludf.DUMMYFUNCTION("""COMPUTED_VALUE"""),"https://www.ebihoreanul.ro/stiri/coronavirus-in-bihor-inca-trei-decese-inregistrate-50-de-cazuri-noi-diagnosticate-nicio-persoana-vindecata-158239.html")</f>
        <v>https://www.ebihoreanul.ro/stiri/coronavirus-in-bihor-inca-trei-decese-inregistrate-50-de-cazuri-noi-diagnosticate-nicio-persoana-vindecata-158239.html</v>
      </c>
      <c r="L1618" s="5"/>
      <c r="M1618" s="5" t="str">
        <f ca="1">IFERROR(__xludf.DUMMYFUNCTION("""COMPUTED_VALUE"""),"Beiuș")</f>
        <v>Beiuș</v>
      </c>
      <c r="N1618" s="5"/>
      <c r="O1618" s="5"/>
      <c r="P1618" s="5" t="str">
        <f ca="1">IFERROR(__xludf.DUMMYFUNCTION("""COMPUTED_VALUE"""),"Spital Beiuș, pacient.")</f>
        <v>Spital Beiuș, pacient.</v>
      </c>
      <c r="Q1618" s="5" t="str">
        <f ca="1">IFERROR(__xludf.DUMMYFUNCTION("""COMPUTED_VALUE"""),"Medical")</f>
        <v>Medical</v>
      </c>
      <c r="R1618" s="5" t="str">
        <f ca="1">IFERROR(__xludf.DUMMYFUNCTION("""COMPUTED_VALUE"""),"România")</f>
        <v>România</v>
      </c>
      <c r="S1618" s="5" t="str">
        <f ca="1">IFERROR(__xludf.DUMMYFUNCTION("""COMPUTED_VALUE"""),"Octavian")</f>
        <v>Octavian</v>
      </c>
      <c r="T1618" s="7" t="str">
        <f ca="1">IFERROR(__xludf.DUMMYFUNCTION("""COMPUTED_VALUE"""),"http://www.ms.ro/2020/08/16/buletin-informativ-16-08-2020")</f>
        <v>http://www.ms.ro/2020/08/16/buletin-informativ-16-08-2020</v>
      </c>
      <c r="U1618" s="5"/>
      <c r="V1618" s="5"/>
      <c r="W1618" s="5"/>
      <c r="X1618" s="5"/>
      <c r="Y1618" s="5"/>
      <c r="Z1618" s="5"/>
      <c r="AA1618" s="5"/>
      <c r="AB1618" s="5"/>
      <c r="AC1618" s="5"/>
    </row>
    <row r="1619" spans="1:29" ht="12.5">
      <c r="A1619" s="5">
        <f ca="1">IFERROR(__xludf.DUMMYFUNCTION("""COMPUTED_VALUE"""),69492)</f>
        <v>69492</v>
      </c>
      <c r="B1619" s="5"/>
      <c r="C1619" s="5" t="str">
        <f ca="1">IFERROR(__xludf.DUMMYFUNCTION("""COMPUTED_VALUE"""),"Bihor")</f>
        <v>Bihor</v>
      </c>
      <c r="D1619" s="13">
        <f ca="1">IFERROR(__xludf.DUMMYFUNCTION("""COMPUTED_VALUE"""),44059)</f>
        <v>44059</v>
      </c>
      <c r="E1619" s="5" t="str">
        <f ca="1">IFERROR(__xludf.DUMMYFUNCTION("""COMPUTED_VALUE"""),"Nu")</f>
        <v>Nu</v>
      </c>
      <c r="F1619" s="5"/>
      <c r="G1619" s="5"/>
      <c r="H1619" s="6"/>
      <c r="I1619" s="5"/>
      <c r="J1619" s="5"/>
      <c r="K1619" s="7" t="str">
        <f ca="1">IFERROR(__xludf.DUMMYFUNCTION("""COMPUTED_VALUE"""),"https://www.ebihoreanul.ro/stiri/coronavirus-in-bihor-inca-trei-decese-inregistrate-50-de-cazuri-noi-diagnosticate-nicio-persoana-vindecata-158239.html")</f>
        <v>https://www.ebihoreanul.ro/stiri/coronavirus-in-bihor-inca-trei-decese-inregistrate-50-de-cazuri-noi-diagnosticate-nicio-persoana-vindecata-158239.html</v>
      </c>
      <c r="L1619" s="5"/>
      <c r="M1619" s="5" t="str">
        <f ca="1">IFERROR(__xludf.DUMMYFUNCTION("""COMPUTED_VALUE"""),"Beiuș")</f>
        <v>Beiuș</v>
      </c>
      <c r="N1619" s="5"/>
      <c r="O1619" s="5"/>
      <c r="P1619" s="5" t="str">
        <f ca="1">IFERROR(__xludf.DUMMYFUNCTION("""COMPUTED_VALUE"""),"Spital Beiuș, pacient.")</f>
        <v>Spital Beiuș, pacient.</v>
      </c>
      <c r="Q1619" s="5" t="str">
        <f ca="1">IFERROR(__xludf.DUMMYFUNCTION("""COMPUTED_VALUE"""),"Medical")</f>
        <v>Medical</v>
      </c>
      <c r="R1619" s="5" t="str">
        <f ca="1">IFERROR(__xludf.DUMMYFUNCTION("""COMPUTED_VALUE"""),"România")</f>
        <v>România</v>
      </c>
      <c r="S1619" s="5" t="str">
        <f ca="1">IFERROR(__xludf.DUMMYFUNCTION("""COMPUTED_VALUE"""),"Octavian")</f>
        <v>Octavian</v>
      </c>
      <c r="T1619" s="7" t="str">
        <f ca="1">IFERROR(__xludf.DUMMYFUNCTION("""COMPUTED_VALUE"""),"http://www.ms.ro/2020/08/16/buletin-informativ-16-08-2020")</f>
        <v>http://www.ms.ro/2020/08/16/buletin-informativ-16-08-2020</v>
      </c>
      <c r="U1619" s="5"/>
      <c r="V1619" s="5"/>
      <c r="W1619" s="5"/>
      <c r="X1619" s="5"/>
      <c r="Y1619" s="5"/>
      <c r="Z1619" s="5"/>
      <c r="AA1619" s="5"/>
      <c r="AB1619" s="5"/>
      <c r="AC1619" s="5"/>
    </row>
    <row r="1620" spans="1:29" ht="12.5">
      <c r="A1620" s="5">
        <f ca="1">IFERROR(__xludf.DUMMYFUNCTION("""COMPUTED_VALUE"""),69493)</f>
        <v>69493</v>
      </c>
      <c r="B1620" s="5"/>
      <c r="C1620" s="5" t="str">
        <f ca="1">IFERROR(__xludf.DUMMYFUNCTION("""COMPUTED_VALUE"""),"Bihor")</f>
        <v>Bihor</v>
      </c>
      <c r="D1620" s="13">
        <f ca="1">IFERROR(__xludf.DUMMYFUNCTION("""COMPUTED_VALUE"""),44059)</f>
        <v>44059</v>
      </c>
      <c r="E1620" s="5" t="str">
        <f ca="1">IFERROR(__xludf.DUMMYFUNCTION("""COMPUTED_VALUE"""),"Nu")</f>
        <v>Nu</v>
      </c>
      <c r="F1620" s="5"/>
      <c r="G1620" s="5"/>
      <c r="H1620" s="6"/>
      <c r="I1620" s="5"/>
      <c r="J1620" s="5"/>
      <c r="K1620" s="7" t="str">
        <f ca="1">IFERROR(__xludf.DUMMYFUNCTION("""COMPUTED_VALUE"""),"https://www.ebihoreanul.ro/stiri/coronavirus-in-bihor-inca-trei-decese-inregistrate-50-de-cazuri-noi-diagnosticate-nicio-persoana-vindecata-158239.html")</f>
        <v>https://www.ebihoreanul.ro/stiri/coronavirus-in-bihor-inca-trei-decese-inregistrate-50-de-cazuri-noi-diagnosticate-nicio-persoana-vindecata-158239.html</v>
      </c>
      <c r="L1620" s="5"/>
      <c r="M1620" s="5" t="str">
        <f ca="1">IFERROR(__xludf.DUMMYFUNCTION("""COMPUTED_VALUE"""),"Beiuș")</f>
        <v>Beiuș</v>
      </c>
      <c r="N1620" s="5"/>
      <c r="O1620" s="5"/>
      <c r="P1620" s="5" t="str">
        <f ca="1">IFERROR(__xludf.DUMMYFUNCTION("""COMPUTED_VALUE"""),"Spital Beiuș, pacient.")</f>
        <v>Spital Beiuș, pacient.</v>
      </c>
      <c r="Q1620" s="5" t="str">
        <f ca="1">IFERROR(__xludf.DUMMYFUNCTION("""COMPUTED_VALUE"""),"Medical")</f>
        <v>Medical</v>
      </c>
      <c r="R1620" s="5" t="str">
        <f ca="1">IFERROR(__xludf.DUMMYFUNCTION("""COMPUTED_VALUE"""),"România")</f>
        <v>România</v>
      </c>
      <c r="S1620" s="5" t="str">
        <f ca="1">IFERROR(__xludf.DUMMYFUNCTION("""COMPUTED_VALUE"""),"Octavian")</f>
        <v>Octavian</v>
      </c>
      <c r="T1620" s="7" t="str">
        <f ca="1">IFERROR(__xludf.DUMMYFUNCTION("""COMPUTED_VALUE"""),"http://www.ms.ro/2020/08/16/buletin-informativ-16-08-2020")</f>
        <v>http://www.ms.ro/2020/08/16/buletin-informativ-16-08-2020</v>
      </c>
      <c r="U1620" s="5"/>
      <c r="V1620" s="5"/>
      <c r="W1620" s="5"/>
      <c r="X1620" s="5"/>
      <c r="Y1620" s="5"/>
      <c r="Z1620" s="5"/>
      <c r="AA1620" s="5"/>
      <c r="AB1620" s="5"/>
      <c r="AC1620" s="5"/>
    </row>
    <row r="1621" spans="1:29" ht="12.5">
      <c r="A1621" s="5">
        <f ca="1">IFERROR(__xludf.DUMMYFUNCTION("""COMPUTED_VALUE"""),69494)</f>
        <v>69494</v>
      </c>
      <c r="B1621" s="5"/>
      <c r="C1621" s="5" t="str">
        <f ca="1">IFERROR(__xludf.DUMMYFUNCTION("""COMPUTED_VALUE"""),"Bihor")</f>
        <v>Bihor</v>
      </c>
      <c r="D1621" s="13">
        <f ca="1">IFERROR(__xludf.DUMMYFUNCTION("""COMPUTED_VALUE"""),44059)</f>
        <v>44059</v>
      </c>
      <c r="E1621" s="5" t="str">
        <f ca="1">IFERROR(__xludf.DUMMYFUNCTION("""COMPUTED_VALUE"""),"Nu")</f>
        <v>Nu</v>
      </c>
      <c r="F1621" s="5"/>
      <c r="G1621" s="5"/>
      <c r="H1621" s="6"/>
      <c r="I1621" s="5"/>
      <c r="J1621" s="5"/>
      <c r="K1621" s="7" t="str">
        <f ca="1">IFERROR(__xludf.DUMMYFUNCTION("""COMPUTED_VALUE"""),"https://www.ebihoreanul.ro/stiri/coronavirus-in-bihor-inca-trei-decese-inregistrate-50-de-cazuri-noi-diagnosticate-nicio-persoana-vindecata-158239.html")</f>
        <v>https://www.ebihoreanul.ro/stiri/coronavirus-in-bihor-inca-trei-decese-inregistrate-50-de-cazuri-noi-diagnosticate-nicio-persoana-vindecata-158239.html</v>
      </c>
      <c r="L1621" s="5"/>
      <c r="M1621" s="5" t="str">
        <f ca="1">IFERROR(__xludf.DUMMYFUNCTION("""COMPUTED_VALUE"""),"Beiuș")</f>
        <v>Beiuș</v>
      </c>
      <c r="N1621" s="5"/>
      <c r="O1621" s="5"/>
      <c r="P1621" s="5" t="str">
        <f ca="1">IFERROR(__xludf.DUMMYFUNCTION("""COMPUTED_VALUE"""),"Spital Beiuș, pacient.")</f>
        <v>Spital Beiuș, pacient.</v>
      </c>
      <c r="Q1621" s="5" t="str">
        <f ca="1">IFERROR(__xludf.DUMMYFUNCTION("""COMPUTED_VALUE"""),"Medical")</f>
        <v>Medical</v>
      </c>
      <c r="R1621" s="5" t="str">
        <f ca="1">IFERROR(__xludf.DUMMYFUNCTION("""COMPUTED_VALUE"""),"România")</f>
        <v>România</v>
      </c>
      <c r="S1621" s="5" t="str">
        <f ca="1">IFERROR(__xludf.DUMMYFUNCTION("""COMPUTED_VALUE"""),"Octavian")</f>
        <v>Octavian</v>
      </c>
      <c r="T1621" s="7" t="str">
        <f ca="1">IFERROR(__xludf.DUMMYFUNCTION("""COMPUTED_VALUE"""),"http://www.ms.ro/2020/08/16/buletin-informativ-16-08-2020")</f>
        <v>http://www.ms.ro/2020/08/16/buletin-informativ-16-08-2020</v>
      </c>
      <c r="U1621" s="5"/>
      <c r="V1621" s="5"/>
      <c r="W1621" s="5"/>
      <c r="X1621" s="5"/>
      <c r="Y1621" s="5"/>
      <c r="Z1621" s="5"/>
      <c r="AA1621" s="5"/>
      <c r="AB1621" s="5"/>
      <c r="AC1621" s="5"/>
    </row>
    <row r="1622" spans="1:29" ht="12.5">
      <c r="A1622" s="5">
        <f ca="1">IFERROR(__xludf.DUMMYFUNCTION("""COMPUTED_VALUE"""),69495)</f>
        <v>69495</v>
      </c>
      <c r="B1622" s="5"/>
      <c r="C1622" s="5" t="str">
        <f ca="1">IFERROR(__xludf.DUMMYFUNCTION("""COMPUTED_VALUE"""),"Bihor")</f>
        <v>Bihor</v>
      </c>
      <c r="D1622" s="13">
        <f ca="1">IFERROR(__xludf.DUMMYFUNCTION("""COMPUTED_VALUE"""),44059)</f>
        <v>44059</v>
      </c>
      <c r="E1622" s="5" t="str">
        <f ca="1">IFERROR(__xludf.DUMMYFUNCTION("""COMPUTED_VALUE"""),"Nu")</f>
        <v>Nu</v>
      </c>
      <c r="F1622" s="5"/>
      <c r="G1622" s="5"/>
      <c r="H1622" s="6"/>
      <c r="I1622" s="5"/>
      <c r="J1622" s="5"/>
      <c r="K1622" s="7" t="str">
        <f ca="1">IFERROR(__xludf.DUMMYFUNCTION("""COMPUTED_VALUE"""),"https://www.ebihoreanul.ro/stiri/coronavirus-in-bihor-inca-trei-decese-inregistrate-50-de-cazuri-noi-diagnosticate-nicio-persoana-vindecata-158239.html")</f>
        <v>https://www.ebihoreanul.ro/stiri/coronavirus-in-bihor-inca-trei-decese-inregistrate-50-de-cazuri-noi-diagnosticate-nicio-persoana-vindecata-158239.html</v>
      </c>
      <c r="L1622" s="5"/>
      <c r="M1622" s="5" t="str">
        <f ca="1">IFERROR(__xludf.DUMMYFUNCTION("""COMPUTED_VALUE"""),"Ștei")</f>
        <v>Ștei</v>
      </c>
      <c r="N1622" s="5"/>
      <c r="O1622" s="5"/>
      <c r="P1622" s="5" t="str">
        <f ca="1">IFERROR(__xludf.DUMMYFUNCTION("""COMPUTED_VALUE"""),"Spital Ștei, pacient.")</f>
        <v>Spital Ștei, pacient.</v>
      </c>
      <c r="Q1622" s="5" t="str">
        <f ca="1">IFERROR(__xludf.DUMMYFUNCTION("""COMPUTED_VALUE"""),"Medical")</f>
        <v>Medical</v>
      </c>
      <c r="R1622" s="5" t="str">
        <f ca="1">IFERROR(__xludf.DUMMYFUNCTION("""COMPUTED_VALUE"""),"România")</f>
        <v>România</v>
      </c>
      <c r="S1622" s="5" t="str">
        <f ca="1">IFERROR(__xludf.DUMMYFUNCTION("""COMPUTED_VALUE"""),"Octavian")</f>
        <v>Octavian</v>
      </c>
      <c r="T1622" s="7" t="str">
        <f ca="1">IFERROR(__xludf.DUMMYFUNCTION("""COMPUTED_VALUE"""),"http://www.ms.ro/2020/08/16/buletin-informativ-16-08-2020")</f>
        <v>http://www.ms.ro/2020/08/16/buletin-informativ-16-08-2020</v>
      </c>
      <c r="U1622" s="5"/>
      <c r="V1622" s="5"/>
      <c r="W1622" s="5"/>
      <c r="X1622" s="5"/>
      <c r="Y1622" s="5"/>
      <c r="Z1622" s="5"/>
      <c r="AA1622" s="5"/>
      <c r="AB1622" s="5"/>
      <c r="AC1622" s="5"/>
    </row>
    <row r="1623" spans="1:29" ht="12.5">
      <c r="A1623" s="5">
        <f ca="1">IFERROR(__xludf.DUMMYFUNCTION("""COMPUTED_VALUE"""),69496)</f>
        <v>69496</v>
      </c>
      <c r="B1623" s="5"/>
      <c r="C1623" s="5" t="str">
        <f ca="1">IFERROR(__xludf.DUMMYFUNCTION("""COMPUTED_VALUE"""),"Bihor")</f>
        <v>Bihor</v>
      </c>
      <c r="D1623" s="13">
        <f ca="1">IFERROR(__xludf.DUMMYFUNCTION("""COMPUTED_VALUE"""),44059)</f>
        <v>44059</v>
      </c>
      <c r="E1623" s="5" t="str">
        <f ca="1">IFERROR(__xludf.DUMMYFUNCTION("""COMPUTED_VALUE"""),"Nu")</f>
        <v>Nu</v>
      </c>
      <c r="F1623" s="5"/>
      <c r="G1623" s="5"/>
      <c r="H1623" s="6"/>
      <c r="I1623" s="5"/>
      <c r="J1623" s="5"/>
      <c r="K1623" s="7" t="str">
        <f ca="1">IFERROR(__xludf.DUMMYFUNCTION("""COMPUTED_VALUE"""),"https://www.ebihoreanul.ro/stiri/coronavirus-in-bihor-inca-trei-decese-inregistrate-50-de-cazuri-noi-diagnosticate-nicio-persoana-vindecata-158239.html")</f>
        <v>https://www.ebihoreanul.ro/stiri/coronavirus-in-bihor-inca-trei-decese-inregistrate-50-de-cazuri-noi-diagnosticate-nicio-persoana-vindecata-158239.html</v>
      </c>
      <c r="L1623" s="5"/>
      <c r="M1623" s="5" t="str">
        <f ca="1">IFERROR(__xludf.DUMMYFUNCTION("""COMPUTED_VALUE"""),"Ștei")</f>
        <v>Ștei</v>
      </c>
      <c r="N1623" s="5"/>
      <c r="O1623" s="5"/>
      <c r="P1623" s="5" t="str">
        <f ca="1">IFERROR(__xludf.DUMMYFUNCTION("""COMPUTED_VALUE"""),"Spital Ștei, pacient.")</f>
        <v>Spital Ștei, pacient.</v>
      </c>
      <c r="Q1623" s="5" t="str">
        <f ca="1">IFERROR(__xludf.DUMMYFUNCTION("""COMPUTED_VALUE"""),"Medical")</f>
        <v>Medical</v>
      </c>
      <c r="R1623" s="5" t="str">
        <f ca="1">IFERROR(__xludf.DUMMYFUNCTION("""COMPUTED_VALUE"""),"România")</f>
        <v>România</v>
      </c>
      <c r="S1623" s="5" t="str">
        <f ca="1">IFERROR(__xludf.DUMMYFUNCTION("""COMPUTED_VALUE"""),"Octavian")</f>
        <v>Octavian</v>
      </c>
      <c r="T1623" s="7" t="str">
        <f ca="1">IFERROR(__xludf.DUMMYFUNCTION("""COMPUTED_VALUE"""),"http://www.ms.ro/2020/08/16/buletin-informativ-16-08-2020")</f>
        <v>http://www.ms.ro/2020/08/16/buletin-informativ-16-08-2020</v>
      </c>
      <c r="U1623" s="5"/>
      <c r="V1623" s="5"/>
      <c r="W1623" s="5"/>
      <c r="X1623" s="5"/>
      <c r="Y1623" s="5"/>
      <c r="Z1623" s="5"/>
      <c r="AA1623" s="5"/>
      <c r="AB1623" s="5"/>
      <c r="AC1623" s="5"/>
    </row>
    <row r="1624" spans="1:29" ht="12.5">
      <c r="A1624" s="5">
        <f ca="1">IFERROR(__xludf.DUMMYFUNCTION("""COMPUTED_VALUE"""),69497)</f>
        <v>69497</v>
      </c>
      <c r="B1624" s="5"/>
      <c r="C1624" s="5" t="str">
        <f ca="1">IFERROR(__xludf.DUMMYFUNCTION("""COMPUTED_VALUE"""),"Bihor")</f>
        <v>Bihor</v>
      </c>
      <c r="D1624" s="13">
        <f ca="1">IFERROR(__xludf.DUMMYFUNCTION("""COMPUTED_VALUE"""),44059)</f>
        <v>44059</v>
      </c>
      <c r="E1624" s="5" t="str">
        <f ca="1">IFERROR(__xludf.DUMMYFUNCTION("""COMPUTED_VALUE"""),"Nu")</f>
        <v>Nu</v>
      </c>
      <c r="F1624" s="5"/>
      <c r="G1624" s="5"/>
      <c r="H1624" s="6"/>
      <c r="I1624" s="5"/>
      <c r="J1624" s="5"/>
      <c r="K1624" s="7" t="str">
        <f ca="1">IFERROR(__xludf.DUMMYFUNCTION("""COMPUTED_VALUE"""),"https://www.ebihoreanul.ro/stiri/coronavirus-in-bihor-inca-trei-decese-inregistrate-50-de-cazuri-noi-diagnosticate-nicio-persoana-vindecata-158239.html")</f>
        <v>https://www.ebihoreanul.ro/stiri/coronavirus-in-bihor-inca-trei-decese-inregistrate-50-de-cazuri-noi-diagnosticate-nicio-persoana-vindecata-158239.html</v>
      </c>
      <c r="L1624" s="5"/>
      <c r="M1624" s="5" t="str">
        <f ca="1">IFERROR(__xludf.DUMMYFUNCTION("""COMPUTED_VALUE"""),"Oradea")</f>
        <v>Oradea</v>
      </c>
      <c r="N1624" s="5"/>
      <c r="O1624" s="5"/>
      <c r="P1624" s="5" t="str">
        <f ca="1">IFERROR(__xludf.DUMMYFUNCTION("""COMPUTED_VALUE"""),"UPU SMURD.")</f>
        <v>UPU SMURD.</v>
      </c>
      <c r="Q1624" s="5" t="str">
        <f ca="1">IFERROR(__xludf.DUMMYFUNCTION("""COMPUTED_VALUE"""),"Medical")</f>
        <v>Medical</v>
      </c>
      <c r="R1624" s="5" t="str">
        <f ca="1">IFERROR(__xludf.DUMMYFUNCTION("""COMPUTED_VALUE"""),"România")</f>
        <v>România</v>
      </c>
      <c r="S1624" s="5" t="str">
        <f ca="1">IFERROR(__xludf.DUMMYFUNCTION("""COMPUTED_VALUE"""),"Octavian")</f>
        <v>Octavian</v>
      </c>
      <c r="T1624" s="7" t="str">
        <f ca="1">IFERROR(__xludf.DUMMYFUNCTION("""COMPUTED_VALUE"""),"http://www.ms.ro/2020/08/16/buletin-informativ-16-08-2020")</f>
        <v>http://www.ms.ro/2020/08/16/buletin-informativ-16-08-2020</v>
      </c>
      <c r="U1624" s="5"/>
      <c r="V1624" s="5"/>
      <c r="W1624" s="5"/>
      <c r="X1624" s="5"/>
      <c r="Y1624" s="5"/>
      <c r="Z1624" s="5"/>
      <c r="AA1624" s="5"/>
      <c r="AB1624" s="5"/>
      <c r="AC1624" s="5"/>
    </row>
    <row r="1625" spans="1:29" ht="12.5">
      <c r="A1625" s="5">
        <f ca="1">IFERROR(__xludf.DUMMYFUNCTION("""COMPUTED_VALUE"""),69498)</f>
        <v>69498</v>
      </c>
      <c r="B1625" s="5"/>
      <c r="C1625" s="5" t="str">
        <f ca="1">IFERROR(__xludf.DUMMYFUNCTION("""COMPUTED_VALUE"""),"Bihor")</f>
        <v>Bihor</v>
      </c>
      <c r="D1625" s="13">
        <f ca="1">IFERROR(__xludf.DUMMYFUNCTION("""COMPUTED_VALUE"""),44059)</f>
        <v>44059</v>
      </c>
      <c r="E1625" s="5" t="str">
        <f ca="1">IFERROR(__xludf.DUMMYFUNCTION("""COMPUTED_VALUE"""),"Nu")</f>
        <v>Nu</v>
      </c>
      <c r="F1625" s="5"/>
      <c r="G1625" s="5"/>
      <c r="H1625" s="6"/>
      <c r="I1625" s="5" t="str">
        <f ca="1">IFERROR(__xludf.DUMMYFUNCTION("""COMPUTED_VALUE"""),"Feminin")</f>
        <v>Feminin</v>
      </c>
      <c r="J1625" s="5"/>
      <c r="K1625" s="7" t="str">
        <f ca="1">IFERROR(__xludf.DUMMYFUNCTION("""COMPUTED_VALUE"""),"https://www.ebihoreanul.ro/stiri/coronavirus-in-bihor-inca-trei-decese-inregistrate-50-de-cazuri-noi-diagnosticate-nicio-persoana-vindecata-158239.html")</f>
        <v>https://www.ebihoreanul.ro/stiri/coronavirus-in-bihor-inca-trei-decese-inregistrate-50-de-cazuri-noi-diagnosticate-nicio-persoana-vindecata-158239.html</v>
      </c>
      <c r="L1625" s="5"/>
      <c r="M1625" s="5" t="str">
        <f ca="1">IFERROR(__xludf.DUMMYFUNCTION("""COMPUTED_VALUE"""),"Oradea")</f>
        <v>Oradea</v>
      </c>
      <c r="N1625" s="5"/>
      <c r="O1625" s="5"/>
      <c r="P1625" s="5" t="str">
        <f ca="1">IFERROR(__xludf.DUMMYFUNCTION("""COMPUTED_VALUE"""),"SM Oradea, infirmieră.")</f>
        <v>SM Oradea, infirmieră.</v>
      </c>
      <c r="Q1625" s="5" t="str">
        <f ca="1">IFERROR(__xludf.DUMMYFUNCTION("""COMPUTED_VALUE"""),"Medical")</f>
        <v>Medical</v>
      </c>
      <c r="R1625" s="5" t="str">
        <f ca="1">IFERROR(__xludf.DUMMYFUNCTION("""COMPUTED_VALUE"""),"România")</f>
        <v>România</v>
      </c>
      <c r="S1625" s="5" t="str">
        <f ca="1">IFERROR(__xludf.DUMMYFUNCTION("""COMPUTED_VALUE"""),"Octavian")</f>
        <v>Octavian</v>
      </c>
      <c r="T1625" s="7" t="str">
        <f ca="1">IFERROR(__xludf.DUMMYFUNCTION("""COMPUTED_VALUE"""),"http://www.ms.ro/2020/08/16/buletin-informativ-16-08-2020")</f>
        <v>http://www.ms.ro/2020/08/16/buletin-informativ-16-08-2020</v>
      </c>
      <c r="U1625" s="5"/>
      <c r="V1625" s="5"/>
      <c r="W1625" s="5"/>
      <c r="X1625" s="5"/>
      <c r="Y1625" s="5"/>
      <c r="Z1625" s="5"/>
      <c r="AA1625" s="5"/>
      <c r="AB1625" s="5"/>
      <c r="AC1625" s="5"/>
    </row>
    <row r="1626" spans="1:29" ht="12.5">
      <c r="A1626" s="5">
        <f ca="1">IFERROR(__xludf.DUMMYFUNCTION("""COMPUTED_VALUE"""),69499)</f>
        <v>69499</v>
      </c>
      <c r="B1626" s="5"/>
      <c r="C1626" s="5" t="str">
        <f ca="1">IFERROR(__xludf.DUMMYFUNCTION("""COMPUTED_VALUE"""),"Bihor")</f>
        <v>Bihor</v>
      </c>
      <c r="D1626" s="13">
        <f ca="1">IFERROR(__xludf.DUMMYFUNCTION("""COMPUTED_VALUE"""),44059)</f>
        <v>44059</v>
      </c>
      <c r="E1626" s="5" t="str">
        <f ca="1">IFERROR(__xludf.DUMMYFUNCTION("""COMPUTED_VALUE"""),"Nu")</f>
        <v>Nu</v>
      </c>
      <c r="F1626" s="5"/>
      <c r="G1626" s="5"/>
      <c r="H1626" s="6"/>
      <c r="I1626" s="5"/>
      <c r="J1626" s="5"/>
      <c r="K1626" s="7" t="str">
        <f ca="1">IFERROR(__xludf.DUMMYFUNCTION("""COMPUTED_VALUE"""),"https://www.ebihoreanul.ro/stiri/coronavirus-in-bihor-inca-trei-decese-inregistrate-50-de-cazuri-noi-diagnosticate-nicio-persoana-vindecata-158239.html")</f>
        <v>https://www.ebihoreanul.ro/stiri/coronavirus-in-bihor-inca-trei-decese-inregistrate-50-de-cazuri-noi-diagnosticate-nicio-persoana-vindecata-158239.html</v>
      </c>
      <c r="L1626" s="5"/>
      <c r="M1626" s="5" t="str">
        <f ca="1">IFERROR(__xludf.DUMMYFUNCTION("""COMPUTED_VALUE"""),"Țețchea")</f>
        <v>Țețchea</v>
      </c>
      <c r="N1626" s="5"/>
      <c r="O1626" s="5"/>
      <c r="P1626" s="5" t="str">
        <f ca="1">IFERROR(__xludf.DUMMYFUNCTION("""COMPUTED_VALUE"""),"Electrica, angajat.")</f>
        <v>Electrica, angajat.</v>
      </c>
      <c r="Q1626" s="5"/>
      <c r="R1626" s="5" t="str">
        <f ca="1">IFERROR(__xludf.DUMMYFUNCTION("""COMPUTED_VALUE"""),"România")</f>
        <v>România</v>
      </c>
      <c r="S1626" s="5" t="str">
        <f ca="1">IFERROR(__xludf.DUMMYFUNCTION("""COMPUTED_VALUE"""),"Octavian")</f>
        <v>Octavian</v>
      </c>
      <c r="T1626" s="7" t="str">
        <f ca="1">IFERROR(__xludf.DUMMYFUNCTION("""COMPUTED_VALUE"""),"http://www.ms.ro/2020/08/16/buletin-informativ-16-08-2020")</f>
        <v>http://www.ms.ro/2020/08/16/buletin-informativ-16-08-2020</v>
      </c>
      <c r="U1626" s="5"/>
      <c r="V1626" s="5"/>
      <c r="W1626" s="5"/>
      <c r="X1626" s="5"/>
      <c r="Y1626" s="5"/>
      <c r="Z1626" s="5"/>
      <c r="AA1626" s="5"/>
      <c r="AB1626" s="5"/>
      <c r="AC1626" s="5"/>
    </row>
    <row r="1627" spans="1:29" ht="12.5">
      <c r="A1627" s="5">
        <f ca="1">IFERROR(__xludf.DUMMYFUNCTION("""COMPUTED_VALUE"""),69500)</f>
        <v>69500</v>
      </c>
      <c r="B1627" s="5"/>
      <c r="C1627" s="5" t="str">
        <f ca="1">IFERROR(__xludf.DUMMYFUNCTION("""COMPUTED_VALUE"""),"Bihor")</f>
        <v>Bihor</v>
      </c>
      <c r="D1627" s="13">
        <f ca="1">IFERROR(__xludf.DUMMYFUNCTION("""COMPUTED_VALUE"""),44059)</f>
        <v>44059</v>
      </c>
      <c r="E1627" s="5" t="str">
        <f ca="1">IFERROR(__xludf.DUMMYFUNCTION("""COMPUTED_VALUE"""),"Nu")</f>
        <v>Nu</v>
      </c>
      <c r="F1627" s="5"/>
      <c r="G1627" s="5"/>
      <c r="H1627" s="6"/>
      <c r="I1627" s="5"/>
      <c r="J1627" s="5"/>
      <c r="K1627" s="7" t="str">
        <f ca="1">IFERROR(__xludf.DUMMYFUNCTION("""COMPUTED_VALUE"""),"https://www.ebihoreanul.ro/stiri/coronavirus-in-bihor-inca-trei-decese-inregistrate-50-de-cazuri-noi-diagnosticate-nicio-persoana-vindecata-158239.html")</f>
        <v>https://www.ebihoreanul.ro/stiri/coronavirus-in-bihor-inca-trei-decese-inregistrate-50-de-cazuri-noi-diagnosticate-nicio-persoana-vindecata-158239.html</v>
      </c>
      <c r="L1627" s="5"/>
      <c r="M1627" s="5" t="str">
        <f ca="1">IFERROR(__xludf.DUMMYFUNCTION("""COMPUTED_VALUE"""),"Avram Iancu")</f>
        <v>Avram Iancu</v>
      </c>
      <c r="N1627" s="5"/>
      <c r="O1627" s="5"/>
      <c r="P1627" s="5"/>
      <c r="Q1627" s="5"/>
      <c r="R1627" s="5" t="str">
        <f ca="1">IFERROR(__xludf.DUMMYFUNCTION("""COMPUTED_VALUE"""),"România")</f>
        <v>România</v>
      </c>
      <c r="S1627" s="5" t="str">
        <f ca="1">IFERROR(__xludf.DUMMYFUNCTION("""COMPUTED_VALUE"""),"Octavian")</f>
        <v>Octavian</v>
      </c>
      <c r="T1627" s="7" t="str">
        <f ca="1">IFERROR(__xludf.DUMMYFUNCTION("""COMPUTED_VALUE"""),"http://www.ms.ro/2020/08/16/buletin-informativ-16-08-2020")</f>
        <v>http://www.ms.ro/2020/08/16/buletin-informativ-16-08-2020</v>
      </c>
      <c r="U1627" s="5"/>
      <c r="V1627" s="5"/>
      <c r="W1627" s="5"/>
      <c r="X1627" s="5"/>
      <c r="Y1627" s="5"/>
      <c r="Z1627" s="5"/>
      <c r="AA1627" s="5"/>
      <c r="AB1627" s="5"/>
      <c r="AC1627" s="5"/>
    </row>
    <row r="1628" spans="1:29" ht="12.5">
      <c r="A1628" s="5">
        <f ca="1">IFERROR(__xludf.DUMMYFUNCTION("""COMPUTED_VALUE"""),69501)</f>
        <v>69501</v>
      </c>
      <c r="B1628" s="5"/>
      <c r="C1628" s="5" t="str">
        <f ca="1">IFERROR(__xludf.DUMMYFUNCTION("""COMPUTED_VALUE"""),"Bihor")</f>
        <v>Bihor</v>
      </c>
      <c r="D1628" s="13">
        <f ca="1">IFERROR(__xludf.DUMMYFUNCTION("""COMPUTED_VALUE"""),44059)</f>
        <v>44059</v>
      </c>
      <c r="E1628" s="5" t="str">
        <f ca="1">IFERROR(__xludf.DUMMYFUNCTION("""COMPUTED_VALUE"""),"Nu")</f>
        <v>Nu</v>
      </c>
      <c r="F1628" s="5"/>
      <c r="G1628" s="5"/>
      <c r="H1628" s="6"/>
      <c r="I1628" s="5"/>
      <c r="J1628" s="5"/>
      <c r="K1628" s="7" t="str">
        <f ca="1">IFERROR(__xludf.DUMMYFUNCTION("""COMPUTED_VALUE"""),"https://www.ebihoreanul.ro/stiri/coronavirus-in-bihor-inca-trei-decese-inregistrate-50-de-cazuri-noi-diagnosticate-nicio-persoana-vindecata-158239.html")</f>
        <v>https://www.ebihoreanul.ro/stiri/coronavirus-in-bihor-inca-trei-decese-inregistrate-50-de-cazuri-noi-diagnosticate-nicio-persoana-vindecata-158239.html</v>
      </c>
      <c r="L1628" s="5"/>
      <c r="M1628" s="5" t="str">
        <f ca="1">IFERROR(__xludf.DUMMYFUNCTION("""COMPUTED_VALUE"""),"Sânmartin")</f>
        <v>Sânmartin</v>
      </c>
      <c r="N1628" s="5"/>
      <c r="O1628" s="5"/>
      <c r="P1628" s="5"/>
      <c r="Q1628" s="5"/>
      <c r="R1628" s="5" t="str">
        <f ca="1">IFERROR(__xludf.DUMMYFUNCTION("""COMPUTED_VALUE"""),"România")</f>
        <v>România</v>
      </c>
      <c r="S1628" s="5" t="str">
        <f ca="1">IFERROR(__xludf.DUMMYFUNCTION("""COMPUTED_VALUE"""),"Octavian")</f>
        <v>Octavian</v>
      </c>
      <c r="T1628" s="7" t="str">
        <f ca="1">IFERROR(__xludf.DUMMYFUNCTION("""COMPUTED_VALUE"""),"http://www.ms.ro/2020/08/16/buletin-informativ-16-08-2020")</f>
        <v>http://www.ms.ro/2020/08/16/buletin-informativ-16-08-2020</v>
      </c>
      <c r="U1628" s="5"/>
      <c r="V1628" s="5"/>
      <c r="W1628" s="5"/>
      <c r="X1628" s="5"/>
      <c r="Y1628" s="5"/>
      <c r="Z1628" s="5"/>
      <c r="AA1628" s="5"/>
      <c r="AB1628" s="5"/>
      <c r="AC1628" s="5"/>
    </row>
    <row r="1629" spans="1:29" ht="12.5">
      <c r="A1629" s="5">
        <f ca="1">IFERROR(__xludf.DUMMYFUNCTION("""COMPUTED_VALUE"""),69502)</f>
        <v>69502</v>
      </c>
      <c r="B1629" s="5"/>
      <c r="C1629" s="5" t="str">
        <f ca="1">IFERROR(__xludf.DUMMYFUNCTION("""COMPUTED_VALUE"""),"Bihor")</f>
        <v>Bihor</v>
      </c>
      <c r="D1629" s="13">
        <f ca="1">IFERROR(__xludf.DUMMYFUNCTION("""COMPUTED_VALUE"""),44059)</f>
        <v>44059</v>
      </c>
      <c r="E1629" s="5" t="str">
        <f ca="1">IFERROR(__xludf.DUMMYFUNCTION("""COMPUTED_VALUE"""),"Nu")</f>
        <v>Nu</v>
      </c>
      <c r="F1629" s="5"/>
      <c r="G1629" s="5"/>
      <c r="H1629" s="6"/>
      <c r="I1629" s="5"/>
      <c r="J1629" s="5"/>
      <c r="K1629" s="7" t="str">
        <f ca="1">IFERROR(__xludf.DUMMYFUNCTION("""COMPUTED_VALUE"""),"https://www.ebihoreanul.ro/stiri/coronavirus-in-bihor-inca-trei-decese-inregistrate-50-de-cazuri-noi-diagnosticate-nicio-persoana-vindecata-158239.html")</f>
        <v>https://www.ebihoreanul.ro/stiri/coronavirus-in-bihor-inca-trei-decese-inregistrate-50-de-cazuri-noi-diagnosticate-nicio-persoana-vindecata-158239.html</v>
      </c>
      <c r="L1629" s="5"/>
      <c r="M1629" s="5" t="str">
        <f ca="1">IFERROR(__xludf.DUMMYFUNCTION("""COMPUTED_VALUE"""),"Nojorid")</f>
        <v>Nojorid</v>
      </c>
      <c r="N1629" s="5"/>
      <c r="O1629" s="5"/>
      <c r="P1629" s="5"/>
      <c r="Q1629" s="5"/>
      <c r="R1629" s="5" t="str">
        <f ca="1">IFERROR(__xludf.DUMMYFUNCTION("""COMPUTED_VALUE"""),"România")</f>
        <v>România</v>
      </c>
      <c r="S1629" s="5" t="str">
        <f ca="1">IFERROR(__xludf.DUMMYFUNCTION("""COMPUTED_VALUE"""),"Octavian")</f>
        <v>Octavian</v>
      </c>
      <c r="T1629" s="7" t="str">
        <f ca="1">IFERROR(__xludf.DUMMYFUNCTION("""COMPUTED_VALUE"""),"http://www.ms.ro/2020/08/16/buletin-informativ-16-08-2020")</f>
        <v>http://www.ms.ro/2020/08/16/buletin-informativ-16-08-2020</v>
      </c>
      <c r="U1629" s="5"/>
      <c r="V1629" s="5"/>
      <c r="W1629" s="5"/>
      <c r="X1629" s="5"/>
      <c r="Y1629" s="5"/>
      <c r="Z1629" s="5"/>
      <c r="AA1629" s="5"/>
      <c r="AB1629" s="5"/>
      <c r="AC1629" s="5"/>
    </row>
    <row r="1630" spans="1:29" ht="12.5">
      <c r="A1630" s="5">
        <f ca="1">IFERROR(__xludf.DUMMYFUNCTION("""COMPUTED_VALUE"""),69503)</f>
        <v>69503</v>
      </c>
      <c r="B1630" s="5"/>
      <c r="C1630" s="5" t="str">
        <f ca="1">IFERROR(__xludf.DUMMYFUNCTION("""COMPUTED_VALUE"""),"Bihor")</f>
        <v>Bihor</v>
      </c>
      <c r="D1630" s="13">
        <f ca="1">IFERROR(__xludf.DUMMYFUNCTION("""COMPUTED_VALUE"""),44059)</f>
        <v>44059</v>
      </c>
      <c r="E1630" s="5" t="str">
        <f ca="1">IFERROR(__xludf.DUMMYFUNCTION("""COMPUTED_VALUE"""),"Nu")</f>
        <v>Nu</v>
      </c>
      <c r="F1630" s="5"/>
      <c r="G1630" s="5"/>
      <c r="H1630" s="6"/>
      <c r="I1630" s="5"/>
      <c r="J1630" s="5"/>
      <c r="K1630" s="7" t="str">
        <f ca="1">IFERROR(__xludf.DUMMYFUNCTION("""COMPUTED_VALUE"""),"https://www.ebihoreanul.ro/stiri/coronavirus-in-bihor-inca-trei-decese-inregistrate-50-de-cazuri-noi-diagnosticate-nicio-persoana-vindecata-158239.html")</f>
        <v>https://www.ebihoreanul.ro/stiri/coronavirus-in-bihor-inca-trei-decese-inregistrate-50-de-cazuri-noi-diagnosticate-nicio-persoana-vindecata-158239.html</v>
      </c>
      <c r="L1630" s="5"/>
      <c r="M1630" s="5" t="str">
        <f ca="1">IFERROR(__xludf.DUMMYFUNCTION("""COMPUTED_VALUE"""),"Popești")</f>
        <v>Popești</v>
      </c>
      <c r="N1630" s="5"/>
      <c r="O1630" s="5"/>
      <c r="P1630" s="5"/>
      <c r="Q1630" s="5"/>
      <c r="R1630" s="5" t="str">
        <f ca="1">IFERROR(__xludf.DUMMYFUNCTION("""COMPUTED_VALUE"""),"România")</f>
        <v>România</v>
      </c>
      <c r="S1630" s="5" t="str">
        <f ca="1">IFERROR(__xludf.DUMMYFUNCTION("""COMPUTED_VALUE"""),"Octavian")</f>
        <v>Octavian</v>
      </c>
      <c r="T1630" s="7" t="str">
        <f ca="1">IFERROR(__xludf.DUMMYFUNCTION("""COMPUTED_VALUE"""),"http://www.ms.ro/2020/08/16/buletin-informativ-16-08-2020")</f>
        <v>http://www.ms.ro/2020/08/16/buletin-informativ-16-08-2020</v>
      </c>
      <c r="U1630" s="5"/>
      <c r="V1630" s="5"/>
      <c r="W1630" s="5"/>
      <c r="X1630" s="5"/>
      <c r="Y1630" s="5"/>
      <c r="Z1630" s="5"/>
      <c r="AA1630" s="5"/>
      <c r="AB1630" s="5"/>
      <c r="AC1630" s="5"/>
    </row>
    <row r="1631" spans="1:29" ht="12.5">
      <c r="A1631" s="5">
        <f ca="1">IFERROR(__xludf.DUMMYFUNCTION("""COMPUTED_VALUE"""),69504)</f>
        <v>69504</v>
      </c>
      <c r="B1631" s="5"/>
      <c r="C1631" s="5" t="str">
        <f ca="1">IFERROR(__xludf.DUMMYFUNCTION("""COMPUTED_VALUE"""),"Bihor")</f>
        <v>Bihor</v>
      </c>
      <c r="D1631" s="13">
        <f ca="1">IFERROR(__xludf.DUMMYFUNCTION("""COMPUTED_VALUE"""),44059)</f>
        <v>44059</v>
      </c>
      <c r="E1631" s="5" t="str">
        <f ca="1">IFERROR(__xludf.DUMMYFUNCTION("""COMPUTED_VALUE"""),"Nu")</f>
        <v>Nu</v>
      </c>
      <c r="F1631" s="5"/>
      <c r="G1631" s="5"/>
      <c r="H1631" s="6"/>
      <c r="I1631" s="5"/>
      <c r="J1631" s="5"/>
      <c r="K1631" s="7" t="str">
        <f ca="1">IFERROR(__xludf.DUMMYFUNCTION("""COMPUTED_VALUE"""),"https://www.ebihoreanul.ro/stiri/coronavirus-in-bihor-inca-trei-decese-inregistrate-50-de-cazuri-noi-diagnosticate-nicio-persoana-vindecata-158239.html")</f>
        <v>https://www.ebihoreanul.ro/stiri/coronavirus-in-bihor-inca-trei-decese-inregistrate-50-de-cazuri-noi-diagnosticate-nicio-persoana-vindecata-158239.html</v>
      </c>
      <c r="L1631" s="5"/>
      <c r="M1631" s="5" t="str">
        <f ca="1">IFERROR(__xludf.DUMMYFUNCTION("""COMPUTED_VALUE"""),"Pietroasa")</f>
        <v>Pietroasa</v>
      </c>
      <c r="N1631" s="5"/>
      <c r="O1631" s="5"/>
      <c r="P1631" s="5"/>
      <c r="Q1631" s="5"/>
      <c r="R1631" s="5" t="str">
        <f ca="1">IFERROR(__xludf.DUMMYFUNCTION("""COMPUTED_VALUE"""),"România")</f>
        <v>România</v>
      </c>
      <c r="S1631" s="5" t="str">
        <f ca="1">IFERROR(__xludf.DUMMYFUNCTION("""COMPUTED_VALUE"""),"Octavian")</f>
        <v>Octavian</v>
      </c>
      <c r="T1631" s="7" t="str">
        <f ca="1">IFERROR(__xludf.DUMMYFUNCTION("""COMPUTED_VALUE"""),"http://www.ms.ro/2020/08/16/buletin-informativ-16-08-2020")</f>
        <v>http://www.ms.ro/2020/08/16/buletin-informativ-16-08-2020</v>
      </c>
      <c r="U1631" s="5"/>
      <c r="V1631" s="5"/>
      <c r="W1631" s="5"/>
      <c r="X1631" s="5"/>
      <c r="Y1631" s="5"/>
      <c r="Z1631" s="5"/>
      <c r="AA1631" s="5"/>
      <c r="AB1631" s="5"/>
      <c r="AC1631" s="5"/>
    </row>
    <row r="1632" spans="1:29" ht="12.5">
      <c r="A1632" s="5">
        <f ca="1">IFERROR(__xludf.DUMMYFUNCTION("""COMPUTED_VALUE"""),69505)</f>
        <v>69505</v>
      </c>
      <c r="B1632" s="5"/>
      <c r="C1632" s="5" t="str">
        <f ca="1">IFERROR(__xludf.DUMMYFUNCTION("""COMPUTED_VALUE"""),"Bihor")</f>
        <v>Bihor</v>
      </c>
      <c r="D1632" s="13">
        <f ca="1">IFERROR(__xludf.DUMMYFUNCTION("""COMPUTED_VALUE"""),44059)</f>
        <v>44059</v>
      </c>
      <c r="E1632" s="5" t="str">
        <f ca="1">IFERROR(__xludf.DUMMYFUNCTION("""COMPUTED_VALUE"""),"Nu")</f>
        <v>Nu</v>
      </c>
      <c r="F1632" s="5"/>
      <c r="G1632" s="5"/>
      <c r="H1632" s="6"/>
      <c r="I1632" s="5"/>
      <c r="J1632" s="5"/>
      <c r="K1632" s="7" t="str">
        <f ca="1">IFERROR(__xludf.DUMMYFUNCTION("""COMPUTED_VALUE"""),"https://www.ebihoreanul.ro/stiri/coronavirus-in-bihor-inca-trei-decese-inregistrate-50-de-cazuri-noi-diagnosticate-nicio-persoana-vindecata-158239.html")</f>
        <v>https://www.ebihoreanul.ro/stiri/coronavirus-in-bihor-inca-trei-decese-inregistrate-50-de-cazuri-noi-diagnosticate-nicio-persoana-vindecata-158239.html</v>
      </c>
      <c r="L1632" s="5"/>
      <c r="M1632" s="5" t="str">
        <f ca="1">IFERROR(__xludf.DUMMYFUNCTION("""COMPUTED_VALUE"""),"Dobrești")</f>
        <v>Dobrești</v>
      </c>
      <c r="N1632" s="5"/>
      <c r="O1632" s="5"/>
      <c r="P1632" s="5"/>
      <c r="Q1632" s="5"/>
      <c r="R1632" s="5" t="str">
        <f ca="1">IFERROR(__xludf.DUMMYFUNCTION("""COMPUTED_VALUE"""),"România")</f>
        <v>România</v>
      </c>
      <c r="S1632" s="5" t="str">
        <f ca="1">IFERROR(__xludf.DUMMYFUNCTION("""COMPUTED_VALUE"""),"Octavian")</f>
        <v>Octavian</v>
      </c>
      <c r="T1632" s="7" t="str">
        <f ca="1">IFERROR(__xludf.DUMMYFUNCTION("""COMPUTED_VALUE"""),"http://www.ms.ro/2020/08/16/buletin-informativ-16-08-2020")</f>
        <v>http://www.ms.ro/2020/08/16/buletin-informativ-16-08-2020</v>
      </c>
      <c r="U1632" s="5"/>
      <c r="V1632" s="5"/>
      <c r="W1632" s="5"/>
      <c r="X1632" s="5"/>
      <c r="Y1632" s="5"/>
      <c r="Z1632" s="5"/>
      <c r="AA1632" s="5"/>
      <c r="AB1632" s="5"/>
      <c r="AC1632" s="5"/>
    </row>
    <row r="1633" spans="1:29" ht="12.5">
      <c r="A1633" s="5">
        <f ca="1">IFERROR(__xludf.DUMMYFUNCTION("""COMPUTED_VALUE"""),69506)</f>
        <v>69506</v>
      </c>
      <c r="B1633" s="5"/>
      <c r="C1633" s="5" t="str">
        <f ca="1">IFERROR(__xludf.DUMMYFUNCTION("""COMPUTED_VALUE"""),"Bihor")</f>
        <v>Bihor</v>
      </c>
      <c r="D1633" s="13">
        <f ca="1">IFERROR(__xludf.DUMMYFUNCTION("""COMPUTED_VALUE"""),44059)</f>
        <v>44059</v>
      </c>
      <c r="E1633" s="5" t="str">
        <f ca="1">IFERROR(__xludf.DUMMYFUNCTION("""COMPUTED_VALUE"""),"Nu")</f>
        <v>Nu</v>
      </c>
      <c r="F1633" s="5"/>
      <c r="G1633" s="5"/>
      <c r="H1633" s="6"/>
      <c r="I1633" s="5"/>
      <c r="J1633" s="5"/>
      <c r="K1633" s="7" t="str">
        <f ca="1">IFERROR(__xludf.DUMMYFUNCTION("""COMPUTED_VALUE"""),"https://www.ebihoreanul.ro/stiri/coronavirus-in-bihor-inca-trei-decese-inregistrate-50-de-cazuri-noi-diagnosticate-nicio-persoana-vindecata-158239.html")</f>
        <v>https://www.ebihoreanul.ro/stiri/coronavirus-in-bihor-inca-trei-decese-inregistrate-50-de-cazuri-noi-diagnosticate-nicio-persoana-vindecata-158239.html</v>
      </c>
      <c r="L1633" s="5"/>
      <c r="M1633" s="5" t="str">
        <f ca="1">IFERROR(__xludf.DUMMYFUNCTION("""COMPUTED_VALUE"""),"Lăzăreni")</f>
        <v>Lăzăreni</v>
      </c>
      <c r="N1633" s="5"/>
      <c r="O1633" s="5"/>
      <c r="P1633" s="5"/>
      <c r="Q1633" s="5"/>
      <c r="R1633" s="5" t="str">
        <f ca="1">IFERROR(__xludf.DUMMYFUNCTION("""COMPUTED_VALUE"""),"România")</f>
        <v>România</v>
      </c>
      <c r="S1633" s="5" t="str">
        <f ca="1">IFERROR(__xludf.DUMMYFUNCTION("""COMPUTED_VALUE"""),"Octavian")</f>
        <v>Octavian</v>
      </c>
      <c r="T1633" s="7" t="str">
        <f ca="1">IFERROR(__xludf.DUMMYFUNCTION("""COMPUTED_VALUE"""),"http://www.ms.ro/2020/08/16/buletin-informativ-16-08-2020")</f>
        <v>http://www.ms.ro/2020/08/16/buletin-informativ-16-08-2020</v>
      </c>
      <c r="U1633" s="5"/>
      <c r="V1633" s="5"/>
      <c r="W1633" s="5"/>
      <c r="X1633" s="5"/>
      <c r="Y1633" s="5"/>
      <c r="Z1633" s="5"/>
      <c r="AA1633" s="5"/>
      <c r="AB1633" s="5"/>
      <c r="AC1633" s="5"/>
    </row>
    <row r="1634" spans="1:29" ht="12.5">
      <c r="A1634" s="5">
        <f ca="1">IFERROR(__xludf.DUMMYFUNCTION("""COMPUTED_VALUE"""),69507)</f>
        <v>69507</v>
      </c>
      <c r="B1634" s="5"/>
      <c r="C1634" s="5" t="str">
        <f ca="1">IFERROR(__xludf.DUMMYFUNCTION("""COMPUTED_VALUE"""),"Bihor")</f>
        <v>Bihor</v>
      </c>
      <c r="D1634" s="13">
        <f ca="1">IFERROR(__xludf.DUMMYFUNCTION("""COMPUTED_VALUE"""),44059)</f>
        <v>44059</v>
      </c>
      <c r="E1634" s="5" t="str">
        <f ca="1">IFERROR(__xludf.DUMMYFUNCTION("""COMPUTED_VALUE"""),"Nu")</f>
        <v>Nu</v>
      </c>
      <c r="F1634" s="5"/>
      <c r="G1634" s="5"/>
      <c r="H1634" s="6"/>
      <c r="I1634" s="5"/>
      <c r="J1634" s="5"/>
      <c r="K1634" s="7" t="str">
        <f ca="1">IFERROR(__xludf.DUMMYFUNCTION("""COMPUTED_VALUE"""),"https://www.ebihoreanul.ro/stiri/coronavirus-in-bihor-inca-trei-decese-inregistrate-50-de-cazuri-noi-diagnosticate-nicio-persoana-vindecata-158239.html")</f>
        <v>https://www.ebihoreanul.ro/stiri/coronavirus-in-bihor-inca-trei-decese-inregistrate-50-de-cazuri-noi-diagnosticate-nicio-persoana-vindecata-158239.html</v>
      </c>
      <c r="L1634" s="5"/>
      <c r="M1634" s="5" t="str">
        <f ca="1">IFERROR(__xludf.DUMMYFUNCTION("""COMPUTED_VALUE"""),"Câmpani")</f>
        <v>Câmpani</v>
      </c>
      <c r="N1634" s="5"/>
      <c r="O1634" s="5"/>
      <c r="P1634" s="5"/>
      <c r="Q1634" s="5"/>
      <c r="R1634" s="5" t="str">
        <f ca="1">IFERROR(__xludf.DUMMYFUNCTION("""COMPUTED_VALUE"""),"România")</f>
        <v>România</v>
      </c>
      <c r="S1634" s="5" t="str">
        <f ca="1">IFERROR(__xludf.DUMMYFUNCTION("""COMPUTED_VALUE"""),"Octavian")</f>
        <v>Octavian</v>
      </c>
      <c r="T1634" s="7" t="str">
        <f ca="1">IFERROR(__xludf.DUMMYFUNCTION("""COMPUTED_VALUE"""),"http://www.ms.ro/2020/08/16/buletin-informativ-16-08-2020")</f>
        <v>http://www.ms.ro/2020/08/16/buletin-informativ-16-08-2020</v>
      </c>
      <c r="U1634" s="5"/>
      <c r="V1634" s="5"/>
      <c r="W1634" s="5"/>
      <c r="X1634" s="5"/>
      <c r="Y1634" s="5"/>
      <c r="Z1634" s="5"/>
      <c r="AA1634" s="5"/>
      <c r="AB1634" s="5"/>
      <c r="AC1634" s="5"/>
    </row>
    <row r="1635" spans="1:29" ht="12.5">
      <c r="A1635" s="5">
        <f ca="1">IFERROR(__xludf.DUMMYFUNCTION("""COMPUTED_VALUE"""),69508)</f>
        <v>69508</v>
      </c>
      <c r="B1635" s="5"/>
      <c r="C1635" s="5" t="str">
        <f ca="1">IFERROR(__xludf.DUMMYFUNCTION("""COMPUTED_VALUE"""),"Bihor")</f>
        <v>Bihor</v>
      </c>
      <c r="D1635" s="13">
        <f ca="1">IFERROR(__xludf.DUMMYFUNCTION("""COMPUTED_VALUE"""),44059)</f>
        <v>44059</v>
      </c>
      <c r="E1635" s="5" t="str">
        <f ca="1">IFERROR(__xludf.DUMMYFUNCTION("""COMPUTED_VALUE"""),"Nu")</f>
        <v>Nu</v>
      </c>
      <c r="F1635" s="5"/>
      <c r="G1635" s="5"/>
      <c r="H1635" s="6"/>
      <c r="I1635" s="5"/>
      <c r="J1635" s="5"/>
      <c r="K1635" s="7" t="str">
        <f ca="1">IFERROR(__xludf.DUMMYFUNCTION("""COMPUTED_VALUE"""),"https://www.ebihoreanul.ro/stiri/coronavirus-in-bihor-inca-trei-decese-inregistrate-50-de-cazuri-noi-diagnosticate-nicio-persoana-vindecata-158239.html")</f>
        <v>https://www.ebihoreanul.ro/stiri/coronavirus-in-bihor-inca-trei-decese-inregistrate-50-de-cazuri-noi-diagnosticate-nicio-persoana-vindecata-158239.html</v>
      </c>
      <c r="L1635" s="5"/>
      <c r="M1635" s="5" t="str">
        <f ca="1">IFERROR(__xludf.DUMMYFUNCTION("""COMPUTED_VALUE"""),"Cetariu")</f>
        <v>Cetariu</v>
      </c>
      <c r="N1635" s="5"/>
      <c r="O1635" s="5"/>
      <c r="P1635" s="5"/>
      <c r="Q1635" s="5"/>
      <c r="R1635" s="5" t="str">
        <f ca="1">IFERROR(__xludf.DUMMYFUNCTION("""COMPUTED_VALUE"""),"România")</f>
        <v>România</v>
      </c>
      <c r="S1635" s="5" t="str">
        <f ca="1">IFERROR(__xludf.DUMMYFUNCTION("""COMPUTED_VALUE"""),"Octavian")</f>
        <v>Octavian</v>
      </c>
      <c r="T1635" s="7" t="str">
        <f ca="1">IFERROR(__xludf.DUMMYFUNCTION("""COMPUTED_VALUE"""),"http://www.ms.ro/2020/08/16/buletin-informativ-16-08-2020")</f>
        <v>http://www.ms.ro/2020/08/16/buletin-informativ-16-08-2020</v>
      </c>
      <c r="U1635" s="5"/>
      <c r="V1635" s="5"/>
      <c r="W1635" s="5"/>
      <c r="X1635" s="5"/>
      <c r="Y1635" s="5"/>
      <c r="Z1635" s="5"/>
      <c r="AA1635" s="5"/>
      <c r="AB1635" s="5"/>
      <c r="AC1635" s="5"/>
    </row>
    <row r="1636" spans="1:29" ht="12.5">
      <c r="A1636" s="5">
        <f ca="1">IFERROR(__xludf.DUMMYFUNCTION("""COMPUTED_VALUE"""),69509)</f>
        <v>69509</v>
      </c>
      <c r="B1636" s="5"/>
      <c r="C1636" s="5" t="str">
        <f ca="1">IFERROR(__xludf.DUMMYFUNCTION("""COMPUTED_VALUE"""),"Bihor")</f>
        <v>Bihor</v>
      </c>
      <c r="D1636" s="13">
        <f ca="1">IFERROR(__xludf.DUMMYFUNCTION("""COMPUTED_VALUE"""),44059)</f>
        <v>44059</v>
      </c>
      <c r="E1636" s="5" t="str">
        <f ca="1">IFERROR(__xludf.DUMMYFUNCTION("""COMPUTED_VALUE"""),"Nu")</f>
        <v>Nu</v>
      </c>
      <c r="F1636" s="5"/>
      <c r="G1636" s="5"/>
      <c r="H1636" s="6"/>
      <c r="I1636" s="5"/>
      <c r="J1636" s="5"/>
      <c r="K1636" s="7" t="str">
        <f ca="1">IFERROR(__xludf.DUMMYFUNCTION("""COMPUTED_VALUE"""),"https://www.ebihoreanul.ro/stiri/coronavirus-in-bihor-inca-trei-decese-inregistrate-50-de-cazuri-noi-diagnosticate-nicio-persoana-vindecata-158239.html")</f>
        <v>https://www.ebihoreanul.ro/stiri/coronavirus-in-bihor-inca-trei-decese-inregistrate-50-de-cazuri-noi-diagnosticate-nicio-persoana-vindecata-158239.html</v>
      </c>
      <c r="L1636" s="5"/>
      <c r="M1636" s="5" t="str">
        <f ca="1">IFERROR(__xludf.DUMMYFUNCTION("""COMPUTED_VALUE"""),"Batâr")</f>
        <v>Batâr</v>
      </c>
      <c r="N1636" s="5"/>
      <c r="O1636" s="5"/>
      <c r="P1636" s="5"/>
      <c r="Q1636" s="5"/>
      <c r="R1636" s="5" t="str">
        <f ca="1">IFERROR(__xludf.DUMMYFUNCTION("""COMPUTED_VALUE"""),"România")</f>
        <v>România</v>
      </c>
      <c r="S1636" s="5" t="str">
        <f ca="1">IFERROR(__xludf.DUMMYFUNCTION("""COMPUTED_VALUE"""),"Octavian")</f>
        <v>Octavian</v>
      </c>
      <c r="T1636" s="7" t="str">
        <f ca="1">IFERROR(__xludf.DUMMYFUNCTION("""COMPUTED_VALUE"""),"http://www.ms.ro/2020/08/16/buletin-informativ-16-08-2020")</f>
        <v>http://www.ms.ro/2020/08/16/buletin-informativ-16-08-2020</v>
      </c>
      <c r="U1636" s="5"/>
      <c r="V1636" s="5"/>
      <c r="W1636" s="5"/>
      <c r="X1636" s="5"/>
      <c r="Y1636" s="5"/>
      <c r="Z1636" s="5"/>
      <c r="AA1636" s="5"/>
      <c r="AB1636" s="5"/>
      <c r="AC1636" s="5"/>
    </row>
    <row r="1637" spans="1:29" ht="12.5">
      <c r="A1637" s="5">
        <f ca="1">IFERROR(__xludf.DUMMYFUNCTION("""COMPUTED_VALUE"""),69510)</f>
        <v>69510</v>
      </c>
      <c r="B1637" s="5"/>
      <c r="C1637" s="5" t="str">
        <f ca="1">IFERROR(__xludf.DUMMYFUNCTION("""COMPUTED_VALUE"""),"Bihor")</f>
        <v>Bihor</v>
      </c>
      <c r="D1637" s="13">
        <f ca="1">IFERROR(__xludf.DUMMYFUNCTION("""COMPUTED_VALUE"""),44059)</f>
        <v>44059</v>
      </c>
      <c r="E1637" s="5" t="str">
        <f ca="1">IFERROR(__xludf.DUMMYFUNCTION("""COMPUTED_VALUE"""),"Nu")</f>
        <v>Nu</v>
      </c>
      <c r="F1637" s="5"/>
      <c r="G1637" s="5"/>
      <c r="H1637" s="6"/>
      <c r="I1637" s="5"/>
      <c r="J1637" s="5"/>
      <c r="K1637" s="7" t="str">
        <f ca="1">IFERROR(__xludf.DUMMYFUNCTION("""COMPUTED_VALUE"""),"https://www.ebihoreanul.ro/stiri/coronavirus-in-bihor-inca-trei-decese-inregistrate-50-de-cazuri-noi-diagnosticate-nicio-persoana-vindecata-158239.html")</f>
        <v>https://www.ebihoreanul.ro/stiri/coronavirus-in-bihor-inca-trei-decese-inregistrate-50-de-cazuri-noi-diagnosticate-nicio-persoana-vindecata-158239.html</v>
      </c>
      <c r="L1637" s="5"/>
      <c r="M1637" s="5" t="str">
        <f ca="1">IFERROR(__xludf.DUMMYFUNCTION("""COMPUTED_VALUE"""),"Ceica")</f>
        <v>Ceica</v>
      </c>
      <c r="N1637" s="5"/>
      <c r="O1637" s="5"/>
      <c r="P1637" s="5"/>
      <c r="Q1637" s="5"/>
      <c r="R1637" s="5" t="str">
        <f ca="1">IFERROR(__xludf.DUMMYFUNCTION("""COMPUTED_VALUE"""),"România")</f>
        <v>România</v>
      </c>
      <c r="S1637" s="5" t="str">
        <f ca="1">IFERROR(__xludf.DUMMYFUNCTION("""COMPUTED_VALUE"""),"Octavian")</f>
        <v>Octavian</v>
      </c>
      <c r="T1637" s="7" t="str">
        <f ca="1">IFERROR(__xludf.DUMMYFUNCTION("""COMPUTED_VALUE"""),"http://www.ms.ro/2020/08/16/buletin-informativ-16-08-2020")</f>
        <v>http://www.ms.ro/2020/08/16/buletin-informativ-16-08-2020</v>
      </c>
      <c r="U1637" s="5"/>
      <c r="V1637" s="5"/>
      <c r="W1637" s="5"/>
      <c r="X1637" s="5"/>
      <c r="Y1637" s="5"/>
      <c r="Z1637" s="5"/>
      <c r="AA1637" s="5"/>
      <c r="AB1637" s="5"/>
      <c r="AC1637" s="5"/>
    </row>
    <row r="1638" spans="1:29" ht="12.5">
      <c r="A1638" s="5">
        <f ca="1">IFERROR(__xludf.DUMMYFUNCTION("""COMPUTED_VALUE"""),69511)</f>
        <v>69511</v>
      </c>
      <c r="B1638" s="5"/>
      <c r="C1638" s="5" t="str">
        <f ca="1">IFERROR(__xludf.DUMMYFUNCTION("""COMPUTED_VALUE"""),"Bihor")</f>
        <v>Bihor</v>
      </c>
      <c r="D1638" s="13">
        <f ca="1">IFERROR(__xludf.DUMMYFUNCTION("""COMPUTED_VALUE"""),44059)</f>
        <v>44059</v>
      </c>
      <c r="E1638" s="5" t="str">
        <f ca="1">IFERROR(__xludf.DUMMYFUNCTION("""COMPUTED_VALUE"""),"Nu")</f>
        <v>Nu</v>
      </c>
      <c r="F1638" s="5"/>
      <c r="G1638" s="5"/>
      <c r="H1638" s="6"/>
      <c r="I1638" s="5"/>
      <c r="J1638" s="5"/>
      <c r="K1638" s="7" t="str">
        <f ca="1">IFERROR(__xludf.DUMMYFUNCTION("""COMPUTED_VALUE"""),"https://www.ebihoreanul.ro/stiri/coronavirus-in-bihor-inca-trei-decese-inregistrate-50-de-cazuri-noi-diagnosticate-nicio-persoana-vindecata-158239.html")</f>
        <v>https://www.ebihoreanul.ro/stiri/coronavirus-in-bihor-inca-trei-decese-inregistrate-50-de-cazuri-noi-diagnosticate-nicio-persoana-vindecata-158239.html</v>
      </c>
      <c r="L1638" s="5"/>
      <c r="M1638" s="5" t="str">
        <f ca="1">IFERROR(__xludf.DUMMYFUNCTION("""COMPUTED_VALUE"""),"Sâmbăta")</f>
        <v>Sâmbăta</v>
      </c>
      <c r="N1638" s="5"/>
      <c r="O1638" s="5"/>
      <c r="P1638" s="5"/>
      <c r="Q1638" s="5"/>
      <c r="R1638" s="5" t="str">
        <f ca="1">IFERROR(__xludf.DUMMYFUNCTION("""COMPUTED_VALUE"""),"România")</f>
        <v>România</v>
      </c>
      <c r="S1638" s="5" t="str">
        <f ca="1">IFERROR(__xludf.DUMMYFUNCTION("""COMPUTED_VALUE"""),"Octavian")</f>
        <v>Octavian</v>
      </c>
      <c r="T1638" s="7" t="str">
        <f ca="1">IFERROR(__xludf.DUMMYFUNCTION("""COMPUTED_VALUE"""),"http://www.ms.ro/2020/08/16/buletin-informativ-16-08-2020")</f>
        <v>http://www.ms.ro/2020/08/16/buletin-informativ-16-08-2020</v>
      </c>
      <c r="U1638" s="5"/>
      <c r="V1638" s="5"/>
      <c r="W1638" s="5"/>
      <c r="X1638" s="5"/>
      <c r="Y1638" s="5"/>
      <c r="Z1638" s="5"/>
      <c r="AA1638" s="5"/>
      <c r="AB1638" s="5"/>
      <c r="AC1638" s="5"/>
    </row>
    <row r="1639" spans="1:29" ht="12.5">
      <c r="A1639" s="5">
        <f ca="1">IFERROR(__xludf.DUMMYFUNCTION("""COMPUTED_VALUE"""),69512)</f>
        <v>69512</v>
      </c>
      <c r="B1639" s="5"/>
      <c r="C1639" s="5" t="str">
        <f ca="1">IFERROR(__xludf.DUMMYFUNCTION("""COMPUTED_VALUE"""),"Bihor")</f>
        <v>Bihor</v>
      </c>
      <c r="D1639" s="13">
        <f ca="1">IFERROR(__xludf.DUMMYFUNCTION("""COMPUTED_VALUE"""),44059)</f>
        <v>44059</v>
      </c>
      <c r="E1639" s="5" t="str">
        <f ca="1">IFERROR(__xludf.DUMMYFUNCTION("""COMPUTED_VALUE"""),"Nu")</f>
        <v>Nu</v>
      </c>
      <c r="F1639" s="5"/>
      <c r="G1639" s="5"/>
      <c r="H1639" s="6"/>
      <c r="I1639" s="5"/>
      <c r="J1639" s="5"/>
      <c r="K1639" s="7" t="str">
        <f ca="1">IFERROR(__xludf.DUMMYFUNCTION("""COMPUTED_VALUE"""),"https://www.ebihoreanul.ro/stiri/coronavirus-in-bihor-inca-trei-decese-inregistrate-50-de-cazuri-noi-diagnosticate-nicio-persoana-vindecata-158239.html")</f>
        <v>https://www.ebihoreanul.ro/stiri/coronavirus-in-bihor-inca-trei-decese-inregistrate-50-de-cazuri-noi-diagnosticate-nicio-persoana-vindecata-158239.html</v>
      </c>
      <c r="L1639" s="5"/>
      <c r="M1639" s="5" t="str">
        <f ca="1">IFERROR(__xludf.DUMMYFUNCTION("""COMPUTED_VALUE"""),"Buduslău")</f>
        <v>Buduslău</v>
      </c>
      <c r="N1639" s="5"/>
      <c r="O1639" s="5"/>
      <c r="P1639" s="5"/>
      <c r="Q1639" s="5"/>
      <c r="R1639" s="5" t="str">
        <f ca="1">IFERROR(__xludf.DUMMYFUNCTION("""COMPUTED_VALUE"""),"România")</f>
        <v>România</v>
      </c>
      <c r="S1639" s="5" t="str">
        <f ca="1">IFERROR(__xludf.DUMMYFUNCTION("""COMPUTED_VALUE"""),"Octavian")</f>
        <v>Octavian</v>
      </c>
      <c r="T1639" s="7" t="str">
        <f ca="1">IFERROR(__xludf.DUMMYFUNCTION("""COMPUTED_VALUE"""),"http://www.ms.ro/2020/08/16/buletin-informativ-16-08-2020")</f>
        <v>http://www.ms.ro/2020/08/16/buletin-informativ-16-08-2020</v>
      </c>
      <c r="U1639" s="5"/>
      <c r="V1639" s="5"/>
      <c r="W1639" s="5"/>
      <c r="X1639" s="5"/>
      <c r="Y1639" s="5"/>
      <c r="Z1639" s="5"/>
      <c r="AA1639" s="5"/>
      <c r="AB1639" s="5"/>
      <c r="AC1639" s="5"/>
    </row>
    <row r="1640" spans="1:29" ht="12.5">
      <c r="A1640" s="5">
        <f ca="1">IFERROR(__xludf.DUMMYFUNCTION("""COMPUTED_VALUE"""),69513)</f>
        <v>69513</v>
      </c>
      <c r="B1640" s="5"/>
      <c r="C1640" s="5" t="str">
        <f ca="1">IFERROR(__xludf.DUMMYFUNCTION("""COMPUTED_VALUE"""),"Bihor")</f>
        <v>Bihor</v>
      </c>
      <c r="D1640" s="13">
        <f ca="1">IFERROR(__xludf.DUMMYFUNCTION("""COMPUTED_VALUE"""),44059)</f>
        <v>44059</v>
      </c>
      <c r="E1640" s="5" t="str">
        <f ca="1">IFERROR(__xludf.DUMMYFUNCTION("""COMPUTED_VALUE"""),"Nu")</f>
        <v>Nu</v>
      </c>
      <c r="F1640" s="5"/>
      <c r="G1640" s="5"/>
      <c r="H1640" s="6"/>
      <c r="I1640" s="5"/>
      <c r="J1640" s="5"/>
      <c r="K1640" s="7" t="str">
        <f ca="1">IFERROR(__xludf.DUMMYFUNCTION("""COMPUTED_VALUE"""),"https://www.ebihoreanul.ro/stiri/coronavirus-in-bihor-inca-trei-decese-inregistrate-50-de-cazuri-noi-diagnosticate-nicio-persoana-vindecata-158239.html")</f>
        <v>https://www.ebihoreanul.ro/stiri/coronavirus-in-bihor-inca-trei-decese-inregistrate-50-de-cazuri-noi-diagnosticate-nicio-persoana-vindecata-158239.html</v>
      </c>
      <c r="L1640" s="5"/>
      <c r="M1640" s="5" t="str">
        <f ca="1">IFERROR(__xludf.DUMMYFUNCTION("""COMPUTED_VALUE"""),"Vârciorog")</f>
        <v>Vârciorog</v>
      </c>
      <c r="N1640" s="5"/>
      <c r="O1640" s="5"/>
      <c r="P1640" s="5"/>
      <c r="Q1640" s="5"/>
      <c r="R1640" s="5" t="str">
        <f ca="1">IFERROR(__xludf.DUMMYFUNCTION("""COMPUTED_VALUE"""),"România")</f>
        <v>România</v>
      </c>
      <c r="S1640" s="5" t="str">
        <f ca="1">IFERROR(__xludf.DUMMYFUNCTION("""COMPUTED_VALUE"""),"Octavian")</f>
        <v>Octavian</v>
      </c>
      <c r="T1640" s="7" t="str">
        <f ca="1">IFERROR(__xludf.DUMMYFUNCTION("""COMPUTED_VALUE"""),"http://www.ms.ro/2020/08/16/buletin-informativ-16-08-2020")</f>
        <v>http://www.ms.ro/2020/08/16/buletin-informativ-16-08-2020</v>
      </c>
      <c r="U1640" s="5"/>
      <c r="V1640" s="5"/>
      <c r="W1640" s="5"/>
      <c r="X1640" s="5"/>
      <c r="Y1640" s="5"/>
      <c r="Z1640" s="5"/>
      <c r="AA1640" s="5"/>
      <c r="AB1640" s="5"/>
      <c r="AC1640" s="5"/>
    </row>
    <row r="1641" spans="1:29" ht="12.5">
      <c r="A1641" s="5">
        <f ca="1">IFERROR(__xludf.DUMMYFUNCTION("""COMPUTED_VALUE"""),69514)</f>
        <v>69514</v>
      </c>
      <c r="B1641" s="5">
        <f ca="1">IFERROR(__xludf.DUMMYFUNCTION("""COMPUTED_VALUE"""),68240)</f>
        <v>68240</v>
      </c>
      <c r="C1641" s="5" t="str">
        <f ca="1">IFERROR(__xludf.DUMMYFUNCTION("""COMPUTED_VALUE"""),"Bihor")</f>
        <v>Bihor</v>
      </c>
      <c r="D1641" s="13">
        <f ca="1">IFERROR(__xludf.DUMMYFUNCTION("""COMPUTED_VALUE"""),44059)</f>
        <v>44059</v>
      </c>
      <c r="E1641" s="5" t="str">
        <f ca="1">IFERROR(__xludf.DUMMYFUNCTION("""COMPUTED_VALUE"""),"Nu")</f>
        <v>Nu</v>
      </c>
      <c r="F1641" s="5"/>
      <c r="G1641" s="5"/>
      <c r="H1641" s="6"/>
      <c r="I1641" s="5"/>
      <c r="J1641" s="5"/>
      <c r="K1641" s="7" t="str">
        <f ca="1">IFERROR(__xludf.DUMMYFUNCTION("""COMPUTED_VALUE"""),"https://www.hotnews.ro/stiri-coronavirus-24235881-seful-comisariatului-pentru-protectia-consumatorului-bihor-confirmat-covid-19-activitatea-institutiei-suspendata.htm")</f>
        <v>https://www.hotnews.ro/stiri-coronavirus-24235881-seful-comisariatului-pentru-protectia-consumatorului-bihor-confirmat-covid-19-activitatea-institutiei-suspendata.htm</v>
      </c>
      <c r="L1641" s="5"/>
      <c r="M1641" s="5" t="str">
        <f ca="1">IFERROR(__xludf.DUMMYFUNCTION("""COMPUTED_VALUE"""),"Oradea")</f>
        <v>Oradea</v>
      </c>
      <c r="N1641" s="5"/>
      <c r="O1641" s="5"/>
      <c r="P1641" s="5" t="str">
        <f ca="1">IFERROR(__xludf.DUMMYFUNCTION("""COMPUTED_VALUE"""),"Membru familie șef comisariat protecția consumatorilor.")</f>
        <v>Membru familie șef comisariat protecția consumatorilor.</v>
      </c>
      <c r="Q1641" s="5"/>
      <c r="R1641" s="5" t="str">
        <f ca="1">IFERROR(__xludf.DUMMYFUNCTION("""COMPUTED_VALUE"""),"România")</f>
        <v>România</v>
      </c>
      <c r="S1641" s="5" t="str">
        <f ca="1">IFERROR(__xludf.DUMMYFUNCTION("""COMPUTED_VALUE"""),"Octavian")</f>
        <v>Octavian</v>
      </c>
      <c r="T1641" s="7" t="str">
        <f ca="1">IFERROR(__xludf.DUMMYFUNCTION("""COMPUTED_VALUE"""),"http://www.ms.ro/2020/08/16/buletin-informativ-16-08-2020")</f>
        <v>http://www.ms.ro/2020/08/16/buletin-informativ-16-08-2020</v>
      </c>
      <c r="U1641" s="5"/>
      <c r="V1641" s="5"/>
      <c r="W1641" s="5"/>
      <c r="X1641" s="5"/>
      <c r="Y1641" s="5"/>
      <c r="Z1641" s="5"/>
      <c r="AA1641" s="5"/>
      <c r="AB1641" s="5"/>
      <c r="AC1641" s="5"/>
    </row>
    <row r="1642" spans="1:29" ht="12.5">
      <c r="A1642" s="5">
        <f ca="1">IFERROR(__xludf.DUMMYFUNCTION("""COMPUTED_VALUE"""),69515)</f>
        <v>69515</v>
      </c>
      <c r="B1642" s="5">
        <f ca="1">IFERROR(__xludf.DUMMYFUNCTION("""COMPUTED_VALUE"""),68240)</f>
        <v>68240</v>
      </c>
      <c r="C1642" s="5" t="str">
        <f ca="1">IFERROR(__xludf.DUMMYFUNCTION("""COMPUTED_VALUE"""),"Bihor")</f>
        <v>Bihor</v>
      </c>
      <c r="D1642" s="13">
        <f ca="1">IFERROR(__xludf.DUMMYFUNCTION("""COMPUTED_VALUE"""),44059)</f>
        <v>44059</v>
      </c>
      <c r="E1642" s="5" t="str">
        <f ca="1">IFERROR(__xludf.DUMMYFUNCTION("""COMPUTED_VALUE"""),"Nu")</f>
        <v>Nu</v>
      </c>
      <c r="F1642" s="5"/>
      <c r="G1642" s="5"/>
      <c r="H1642" s="6"/>
      <c r="I1642" s="5"/>
      <c r="J1642" s="5"/>
      <c r="K1642" s="7" t="str">
        <f ca="1">IFERROR(__xludf.DUMMYFUNCTION("""COMPUTED_VALUE"""),"https://www.hotnews.ro/stiri-coronavirus-24235881-seful-comisariatului-pentru-protectia-consumatorului-bihor-confirmat-covid-19-activitatea-institutiei-suspendata.htm")</f>
        <v>https://www.hotnews.ro/stiri-coronavirus-24235881-seful-comisariatului-pentru-protectia-consumatorului-bihor-confirmat-covid-19-activitatea-institutiei-suspendata.htm</v>
      </c>
      <c r="L1642" s="5"/>
      <c r="M1642" s="5" t="str">
        <f ca="1">IFERROR(__xludf.DUMMYFUNCTION("""COMPUTED_VALUE"""),"Oradea")</f>
        <v>Oradea</v>
      </c>
      <c r="N1642" s="5"/>
      <c r="O1642" s="5"/>
      <c r="P1642" s="5" t="str">
        <f ca="1">IFERROR(__xludf.DUMMYFUNCTION("""COMPUTED_VALUE"""),"Membru familie șef comisariat protecția consumatorilor.")</f>
        <v>Membru familie șef comisariat protecția consumatorilor.</v>
      </c>
      <c r="Q1642" s="5"/>
      <c r="R1642" s="5" t="str">
        <f ca="1">IFERROR(__xludf.DUMMYFUNCTION("""COMPUTED_VALUE"""),"România")</f>
        <v>România</v>
      </c>
      <c r="S1642" s="5" t="str">
        <f ca="1">IFERROR(__xludf.DUMMYFUNCTION("""COMPUTED_VALUE"""),"Octavian")</f>
        <v>Octavian</v>
      </c>
      <c r="T1642" s="7" t="str">
        <f ca="1">IFERROR(__xludf.DUMMYFUNCTION("""COMPUTED_VALUE"""),"http://www.ms.ro/2020/08/16/buletin-informativ-16-08-2020")</f>
        <v>http://www.ms.ro/2020/08/16/buletin-informativ-16-08-2020</v>
      </c>
      <c r="U1642" s="5"/>
      <c r="V1642" s="5"/>
      <c r="W1642" s="5"/>
      <c r="X1642" s="5"/>
      <c r="Y1642" s="5"/>
      <c r="Z1642" s="5"/>
      <c r="AA1642" s="5"/>
      <c r="AB1642" s="5"/>
      <c r="AC1642" s="5"/>
    </row>
    <row r="1643" spans="1:29" ht="12.5">
      <c r="A1643" s="5">
        <f ca="1">IFERROR(__xludf.DUMMYFUNCTION("""COMPUTED_VALUE"""),69516)</f>
        <v>69516</v>
      </c>
      <c r="B1643" s="5"/>
      <c r="C1643" s="5" t="str">
        <f ca="1">IFERROR(__xludf.DUMMYFUNCTION("""COMPUTED_VALUE"""),"Bihor")</f>
        <v>Bihor</v>
      </c>
      <c r="D1643" s="13">
        <f ca="1">IFERROR(__xludf.DUMMYFUNCTION("""COMPUTED_VALUE"""),44059)</f>
        <v>44059</v>
      </c>
      <c r="E1643" s="5" t="str">
        <f ca="1">IFERROR(__xludf.DUMMYFUNCTION("""COMPUTED_VALUE"""),"Nu")</f>
        <v>Nu</v>
      </c>
      <c r="F1643" s="5"/>
      <c r="G1643" s="5"/>
      <c r="H1643" s="6"/>
      <c r="I1643" s="5"/>
      <c r="J1643" s="5"/>
      <c r="K1643" s="7" t="str">
        <f ca="1">IFERROR(__xludf.DUMMYFUNCTION("""COMPUTED_VALUE"""),"https://www.ebihoreanul.ro/stiri/coronavirus-in-bihor-inca-trei-decese-inregistrate-50-de-cazuri-noi-diagnosticate-nicio-persoana-vindecata-158239.html")</f>
        <v>https://www.ebihoreanul.ro/stiri/coronavirus-in-bihor-inca-trei-decese-inregistrate-50-de-cazuri-noi-diagnosticate-nicio-persoana-vindecata-158239.html</v>
      </c>
      <c r="L1643" s="5"/>
      <c r="M1643" s="5"/>
      <c r="N1643" s="5"/>
      <c r="O1643" s="5"/>
      <c r="P1643" s="5"/>
      <c r="Q1643" s="5"/>
      <c r="R1643" s="5" t="str">
        <f ca="1">IFERROR(__xludf.DUMMYFUNCTION("""COMPUTED_VALUE"""),"România")</f>
        <v>România</v>
      </c>
      <c r="S1643" s="5" t="str">
        <f ca="1">IFERROR(__xludf.DUMMYFUNCTION("""COMPUTED_VALUE"""),"Octavian")</f>
        <v>Octavian</v>
      </c>
      <c r="T1643" s="7" t="str">
        <f ca="1">IFERROR(__xludf.DUMMYFUNCTION("""COMPUTED_VALUE"""),"http://www.ms.ro/2020/08/16/buletin-informativ-16-08-2020")</f>
        <v>http://www.ms.ro/2020/08/16/buletin-informativ-16-08-2020</v>
      </c>
      <c r="U1643" s="5"/>
      <c r="V1643" s="5"/>
      <c r="W1643" s="5"/>
      <c r="X1643" s="5"/>
      <c r="Y1643" s="5"/>
      <c r="Z1643" s="5"/>
      <c r="AA1643" s="5"/>
      <c r="AB1643" s="5"/>
      <c r="AC1643" s="5"/>
    </row>
    <row r="1644" spans="1:29" ht="12.5">
      <c r="A1644" s="5">
        <f ca="1">IFERROR(__xludf.DUMMYFUNCTION("""COMPUTED_VALUE"""),69517)</f>
        <v>69517</v>
      </c>
      <c r="B1644" s="5"/>
      <c r="C1644" s="5" t="str">
        <f ca="1">IFERROR(__xludf.DUMMYFUNCTION("""COMPUTED_VALUE"""),"Bihor")</f>
        <v>Bihor</v>
      </c>
      <c r="D1644" s="13">
        <f ca="1">IFERROR(__xludf.DUMMYFUNCTION("""COMPUTED_VALUE"""),44059)</f>
        <v>44059</v>
      </c>
      <c r="E1644" s="5" t="str">
        <f ca="1">IFERROR(__xludf.DUMMYFUNCTION("""COMPUTED_VALUE"""),"Nu")</f>
        <v>Nu</v>
      </c>
      <c r="F1644" s="5"/>
      <c r="G1644" s="5"/>
      <c r="H1644" s="6"/>
      <c r="I1644" s="5"/>
      <c r="J1644" s="5"/>
      <c r="K1644" s="7" t="str">
        <f ca="1">IFERROR(__xludf.DUMMYFUNCTION("""COMPUTED_VALUE"""),"https://www.ebihoreanul.ro/stiri/coronavirus-in-bihor-inca-trei-decese-inregistrate-50-de-cazuri-noi-diagnosticate-nicio-persoana-vindecata-158239.html")</f>
        <v>https://www.ebihoreanul.ro/stiri/coronavirus-in-bihor-inca-trei-decese-inregistrate-50-de-cazuri-noi-diagnosticate-nicio-persoana-vindecata-158239.html</v>
      </c>
      <c r="L1644" s="5"/>
      <c r="M1644" s="5"/>
      <c r="N1644" s="5"/>
      <c r="O1644" s="5"/>
      <c r="P1644" s="5"/>
      <c r="Q1644" s="5"/>
      <c r="R1644" s="5" t="str">
        <f ca="1">IFERROR(__xludf.DUMMYFUNCTION("""COMPUTED_VALUE"""),"România")</f>
        <v>România</v>
      </c>
      <c r="S1644" s="5" t="str">
        <f ca="1">IFERROR(__xludf.DUMMYFUNCTION("""COMPUTED_VALUE"""),"Octavian")</f>
        <v>Octavian</v>
      </c>
      <c r="T1644" s="7" t="str">
        <f ca="1">IFERROR(__xludf.DUMMYFUNCTION("""COMPUTED_VALUE"""),"http://www.ms.ro/2020/08/16/buletin-informativ-16-08-2020")</f>
        <v>http://www.ms.ro/2020/08/16/buletin-informativ-16-08-2020</v>
      </c>
      <c r="U1644" s="5"/>
      <c r="V1644" s="5"/>
      <c r="W1644" s="5"/>
      <c r="X1644" s="5"/>
      <c r="Y1644" s="5"/>
      <c r="Z1644" s="5"/>
      <c r="AA1644" s="5"/>
      <c r="AB1644" s="5"/>
      <c r="AC1644" s="5"/>
    </row>
    <row r="1645" spans="1:29" ht="12.5">
      <c r="A1645" s="5">
        <f ca="1">IFERROR(__xludf.DUMMYFUNCTION("""COMPUTED_VALUE"""),69518)</f>
        <v>69518</v>
      </c>
      <c r="B1645" s="5"/>
      <c r="C1645" s="5" t="str">
        <f ca="1">IFERROR(__xludf.DUMMYFUNCTION("""COMPUTED_VALUE"""),"Bihor")</f>
        <v>Bihor</v>
      </c>
      <c r="D1645" s="13">
        <f ca="1">IFERROR(__xludf.DUMMYFUNCTION("""COMPUTED_VALUE"""),44059)</f>
        <v>44059</v>
      </c>
      <c r="E1645" s="5" t="str">
        <f ca="1">IFERROR(__xludf.DUMMYFUNCTION("""COMPUTED_VALUE"""),"Nu")</f>
        <v>Nu</v>
      </c>
      <c r="F1645" s="5"/>
      <c r="G1645" s="5"/>
      <c r="H1645" s="6"/>
      <c r="I1645" s="5"/>
      <c r="J1645" s="5"/>
      <c r="K1645" s="7" t="str">
        <f ca="1">IFERROR(__xludf.DUMMYFUNCTION("""COMPUTED_VALUE"""),"https://www.ebihoreanul.ro/stiri/coronavirus-in-bihor-inca-trei-decese-inregistrate-50-de-cazuri-noi-diagnosticate-nicio-persoana-vindecata-158239.html")</f>
        <v>https://www.ebihoreanul.ro/stiri/coronavirus-in-bihor-inca-trei-decese-inregistrate-50-de-cazuri-noi-diagnosticate-nicio-persoana-vindecata-158239.html</v>
      </c>
      <c r="L1645" s="5"/>
      <c r="M1645" s="5"/>
      <c r="N1645" s="5"/>
      <c r="O1645" s="5"/>
      <c r="P1645" s="5"/>
      <c r="Q1645" s="5"/>
      <c r="R1645" s="5" t="str">
        <f ca="1">IFERROR(__xludf.DUMMYFUNCTION("""COMPUTED_VALUE"""),"România")</f>
        <v>România</v>
      </c>
      <c r="S1645" s="5" t="str">
        <f ca="1">IFERROR(__xludf.DUMMYFUNCTION("""COMPUTED_VALUE"""),"Octavian")</f>
        <v>Octavian</v>
      </c>
      <c r="T1645" s="7" t="str">
        <f ca="1">IFERROR(__xludf.DUMMYFUNCTION("""COMPUTED_VALUE"""),"http://www.ms.ro/2020/08/16/buletin-informativ-16-08-2020")</f>
        <v>http://www.ms.ro/2020/08/16/buletin-informativ-16-08-2020</v>
      </c>
      <c r="U1645" s="5"/>
      <c r="V1645" s="5"/>
      <c r="W1645" s="5"/>
      <c r="X1645" s="5"/>
      <c r="Y1645" s="5"/>
      <c r="Z1645" s="5"/>
      <c r="AA1645" s="5"/>
      <c r="AB1645" s="5"/>
      <c r="AC1645" s="5"/>
    </row>
    <row r="1646" spans="1:29" ht="12.5">
      <c r="A1646" s="5">
        <f ca="1">IFERROR(__xludf.DUMMYFUNCTION("""COMPUTED_VALUE"""),69519)</f>
        <v>69519</v>
      </c>
      <c r="B1646" s="5"/>
      <c r="C1646" s="5" t="str">
        <f ca="1">IFERROR(__xludf.DUMMYFUNCTION("""COMPUTED_VALUE"""),"Bihor")</f>
        <v>Bihor</v>
      </c>
      <c r="D1646" s="13">
        <f ca="1">IFERROR(__xludf.DUMMYFUNCTION("""COMPUTED_VALUE"""),44059)</f>
        <v>44059</v>
      </c>
      <c r="E1646" s="5" t="str">
        <f ca="1">IFERROR(__xludf.DUMMYFUNCTION("""COMPUTED_VALUE"""),"Nu")</f>
        <v>Nu</v>
      </c>
      <c r="F1646" s="5"/>
      <c r="G1646" s="5"/>
      <c r="H1646" s="6"/>
      <c r="I1646" s="5"/>
      <c r="J1646" s="5"/>
      <c r="K1646" s="7" t="str">
        <f ca="1">IFERROR(__xludf.DUMMYFUNCTION("""COMPUTED_VALUE"""),"https://www.ebihoreanul.ro/stiri/coronavirus-in-bihor-inca-trei-decese-inregistrate-50-de-cazuri-noi-diagnosticate-nicio-persoana-vindecata-158239.html")</f>
        <v>https://www.ebihoreanul.ro/stiri/coronavirus-in-bihor-inca-trei-decese-inregistrate-50-de-cazuri-noi-diagnosticate-nicio-persoana-vindecata-158239.html</v>
      </c>
      <c r="L1646" s="5"/>
      <c r="M1646" s="5"/>
      <c r="N1646" s="5"/>
      <c r="O1646" s="5"/>
      <c r="P1646" s="5"/>
      <c r="Q1646" s="5"/>
      <c r="R1646" s="5" t="str">
        <f ca="1">IFERROR(__xludf.DUMMYFUNCTION("""COMPUTED_VALUE"""),"România")</f>
        <v>România</v>
      </c>
      <c r="S1646" s="5" t="str">
        <f ca="1">IFERROR(__xludf.DUMMYFUNCTION("""COMPUTED_VALUE"""),"Octavian")</f>
        <v>Octavian</v>
      </c>
      <c r="T1646" s="7" t="str">
        <f ca="1">IFERROR(__xludf.DUMMYFUNCTION("""COMPUTED_VALUE"""),"http://www.ms.ro/2020/08/16/buletin-informativ-16-08-2020")</f>
        <v>http://www.ms.ro/2020/08/16/buletin-informativ-16-08-2020</v>
      </c>
      <c r="U1646" s="5"/>
      <c r="V1646" s="5"/>
      <c r="W1646" s="5"/>
      <c r="X1646" s="5"/>
      <c r="Y1646" s="5"/>
      <c r="Z1646" s="5"/>
      <c r="AA1646" s="5"/>
      <c r="AB1646" s="5"/>
      <c r="AC1646" s="5"/>
    </row>
    <row r="1647" spans="1:29" ht="12.5">
      <c r="A1647" s="5">
        <f ca="1">IFERROR(__xludf.DUMMYFUNCTION("""COMPUTED_VALUE"""),69520)</f>
        <v>69520</v>
      </c>
      <c r="B1647" s="5"/>
      <c r="C1647" s="5" t="str">
        <f ca="1">IFERROR(__xludf.DUMMYFUNCTION("""COMPUTED_VALUE"""),"Bihor")</f>
        <v>Bihor</v>
      </c>
      <c r="D1647" s="13">
        <f ca="1">IFERROR(__xludf.DUMMYFUNCTION("""COMPUTED_VALUE"""),44059)</f>
        <v>44059</v>
      </c>
      <c r="E1647" s="5" t="str">
        <f ca="1">IFERROR(__xludf.DUMMYFUNCTION("""COMPUTED_VALUE"""),"Nu")</f>
        <v>Nu</v>
      </c>
      <c r="F1647" s="5"/>
      <c r="G1647" s="5"/>
      <c r="H1647" s="6"/>
      <c r="I1647" s="5"/>
      <c r="J1647" s="5"/>
      <c r="K1647" s="7" t="str">
        <f ca="1">IFERROR(__xludf.DUMMYFUNCTION("""COMPUTED_VALUE"""),"https://www.ebihoreanul.ro/stiri/coronavirus-in-bihor-inca-trei-decese-inregistrate-50-de-cazuri-noi-diagnosticate-nicio-persoana-vindecata-158239.html")</f>
        <v>https://www.ebihoreanul.ro/stiri/coronavirus-in-bihor-inca-trei-decese-inregistrate-50-de-cazuri-noi-diagnosticate-nicio-persoana-vindecata-158239.html</v>
      </c>
      <c r="L1647" s="5"/>
      <c r="M1647" s="5"/>
      <c r="N1647" s="5"/>
      <c r="O1647" s="5"/>
      <c r="P1647" s="5"/>
      <c r="Q1647" s="5"/>
      <c r="R1647" s="5" t="str">
        <f ca="1">IFERROR(__xludf.DUMMYFUNCTION("""COMPUTED_VALUE"""),"România")</f>
        <v>România</v>
      </c>
      <c r="S1647" s="5" t="str">
        <f ca="1">IFERROR(__xludf.DUMMYFUNCTION("""COMPUTED_VALUE"""),"Octavian")</f>
        <v>Octavian</v>
      </c>
      <c r="T1647" s="7" t="str">
        <f ca="1">IFERROR(__xludf.DUMMYFUNCTION("""COMPUTED_VALUE"""),"http://www.ms.ro/2020/08/16/buletin-informativ-16-08-2020")</f>
        <v>http://www.ms.ro/2020/08/16/buletin-informativ-16-08-2020</v>
      </c>
      <c r="U1647" s="5"/>
      <c r="V1647" s="5"/>
      <c r="W1647" s="5"/>
      <c r="X1647" s="5"/>
      <c r="Y1647" s="5"/>
      <c r="Z1647" s="5"/>
      <c r="AA1647" s="5"/>
      <c r="AB1647" s="5"/>
      <c r="AC1647" s="5"/>
    </row>
    <row r="1648" spans="1:29" ht="12.5">
      <c r="A1648" s="5">
        <f ca="1">IFERROR(__xludf.DUMMYFUNCTION("""COMPUTED_VALUE"""),69521)</f>
        <v>69521</v>
      </c>
      <c r="B1648" s="5"/>
      <c r="C1648" s="5" t="str">
        <f ca="1">IFERROR(__xludf.DUMMYFUNCTION("""COMPUTED_VALUE"""),"Bihor")</f>
        <v>Bihor</v>
      </c>
      <c r="D1648" s="13">
        <f ca="1">IFERROR(__xludf.DUMMYFUNCTION("""COMPUTED_VALUE"""),44059)</f>
        <v>44059</v>
      </c>
      <c r="E1648" s="5" t="str">
        <f ca="1">IFERROR(__xludf.DUMMYFUNCTION("""COMPUTED_VALUE"""),"Nu")</f>
        <v>Nu</v>
      </c>
      <c r="F1648" s="5"/>
      <c r="G1648" s="5"/>
      <c r="H1648" s="6"/>
      <c r="I1648" s="5"/>
      <c r="J1648" s="5"/>
      <c r="K1648" s="7" t="str">
        <f ca="1">IFERROR(__xludf.DUMMYFUNCTION("""COMPUTED_VALUE"""),"https://www.ebihoreanul.ro/stiri/coronavirus-in-bihor-inca-trei-decese-inregistrate-50-de-cazuri-noi-diagnosticate-nicio-persoana-vindecata-158239.html")</f>
        <v>https://www.ebihoreanul.ro/stiri/coronavirus-in-bihor-inca-trei-decese-inregistrate-50-de-cazuri-noi-diagnosticate-nicio-persoana-vindecata-158239.html</v>
      </c>
      <c r="L1648" s="5"/>
      <c r="M1648" s="5"/>
      <c r="N1648" s="5"/>
      <c r="O1648" s="5"/>
      <c r="P1648" s="5"/>
      <c r="Q1648" s="5"/>
      <c r="R1648" s="5" t="str">
        <f ca="1">IFERROR(__xludf.DUMMYFUNCTION("""COMPUTED_VALUE"""),"România")</f>
        <v>România</v>
      </c>
      <c r="S1648" s="5" t="str">
        <f ca="1">IFERROR(__xludf.DUMMYFUNCTION("""COMPUTED_VALUE"""),"Octavian")</f>
        <v>Octavian</v>
      </c>
      <c r="T1648" s="7" t="str">
        <f ca="1">IFERROR(__xludf.DUMMYFUNCTION("""COMPUTED_VALUE"""),"http://www.ms.ro/2020/08/16/buletin-informativ-16-08-2020")</f>
        <v>http://www.ms.ro/2020/08/16/buletin-informativ-16-08-2020</v>
      </c>
      <c r="U1648" s="5"/>
      <c r="V1648" s="5"/>
      <c r="W1648" s="5"/>
      <c r="X1648" s="5"/>
      <c r="Y1648" s="5"/>
      <c r="Z1648" s="5"/>
      <c r="AA1648" s="5"/>
      <c r="AB1648" s="5"/>
      <c r="AC1648" s="5"/>
    </row>
    <row r="1649" spans="1:29" ht="12.5">
      <c r="A1649" s="5">
        <f ca="1">IFERROR(__xludf.DUMMYFUNCTION("""COMPUTED_VALUE"""),69522)</f>
        <v>69522</v>
      </c>
      <c r="B1649" s="5"/>
      <c r="C1649" s="5" t="str">
        <f ca="1">IFERROR(__xludf.DUMMYFUNCTION("""COMPUTED_VALUE"""),"Bihor")</f>
        <v>Bihor</v>
      </c>
      <c r="D1649" s="13">
        <f ca="1">IFERROR(__xludf.DUMMYFUNCTION("""COMPUTED_VALUE"""),44059)</f>
        <v>44059</v>
      </c>
      <c r="E1649" s="5" t="str">
        <f ca="1">IFERROR(__xludf.DUMMYFUNCTION("""COMPUTED_VALUE"""),"Nu")</f>
        <v>Nu</v>
      </c>
      <c r="F1649" s="5"/>
      <c r="G1649" s="5"/>
      <c r="H1649" s="6"/>
      <c r="I1649" s="5"/>
      <c r="J1649" s="5"/>
      <c r="K1649" s="7" t="str">
        <f ca="1">IFERROR(__xludf.DUMMYFUNCTION("""COMPUTED_VALUE"""),"https://www.ebihoreanul.ro/stiri/coronavirus-in-bihor-inca-trei-decese-inregistrate-50-de-cazuri-noi-diagnosticate-nicio-persoana-vindecata-158239.html")</f>
        <v>https://www.ebihoreanul.ro/stiri/coronavirus-in-bihor-inca-trei-decese-inregistrate-50-de-cazuri-noi-diagnosticate-nicio-persoana-vindecata-158239.html</v>
      </c>
      <c r="L1649" s="5"/>
      <c r="M1649" s="5"/>
      <c r="N1649" s="5"/>
      <c r="O1649" s="5"/>
      <c r="P1649" s="5"/>
      <c r="Q1649" s="5"/>
      <c r="R1649" s="5" t="str">
        <f ca="1">IFERROR(__xludf.DUMMYFUNCTION("""COMPUTED_VALUE"""),"România")</f>
        <v>România</v>
      </c>
      <c r="S1649" s="5" t="str">
        <f ca="1">IFERROR(__xludf.DUMMYFUNCTION("""COMPUTED_VALUE"""),"Octavian")</f>
        <v>Octavian</v>
      </c>
      <c r="T1649" s="7" t="str">
        <f ca="1">IFERROR(__xludf.DUMMYFUNCTION("""COMPUTED_VALUE"""),"http://www.ms.ro/2020/08/16/buletin-informativ-16-08-2020")</f>
        <v>http://www.ms.ro/2020/08/16/buletin-informativ-16-08-2020</v>
      </c>
      <c r="U1649" s="5"/>
      <c r="V1649" s="5"/>
      <c r="W1649" s="5"/>
      <c r="X1649" s="5"/>
      <c r="Y1649" s="5"/>
      <c r="Z1649" s="5"/>
      <c r="AA1649" s="5"/>
      <c r="AB1649" s="5"/>
      <c r="AC1649" s="5"/>
    </row>
    <row r="1650" spans="1:29" ht="12.5">
      <c r="A1650" s="5">
        <f ca="1">IFERROR(__xludf.DUMMYFUNCTION("""COMPUTED_VALUE"""),69523)</f>
        <v>69523</v>
      </c>
      <c r="B1650" s="5"/>
      <c r="C1650" s="5" t="str">
        <f ca="1">IFERROR(__xludf.DUMMYFUNCTION("""COMPUTED_VALUE"""),"Bihor")</f>
        <v>Bihor</v>
      </c>
      <c r="D1650" s="13">
        <f ca="1">IFERROR(__xludf.DUMMYFUNCTION("""COMPUTED_VALUE"""),44059)</f>
        <v>44059</v>
      </c>
      <c r="E1650" s="5" t="str">
        <f ca="1">IFERROR(__xludf.DUMMYFUNCTION("""COMPUTED_VALUE"""),"Nu")</f>
        <v>Nu</v>
      </c>
      <c r="F1650" s="5"/>
      <c r="G1650" s="5"/>
      <c r="H1650" s="6"/>
      <c r="I1650" s="5"/>
      <c r="J1650" s="5"/>
      <c r="K1650" s="7" t="str">
        <f ca="1">IFERROR(__xludf.DUMMYFUNCTION("""COMPUTED_VALUE"""),"https://www.ebihoreanul.ro/stiri/coronavirus-in-bihor-inca-trei-decese-inregistrate-50-de-cazuri-noi-diagnosticate-nicio-persoana-vindecata-158239.html")</f>
        <v>https://www.ebihoreanul.ro/stiri/coronavirus-in-bihor-inca-trei-decese-inregistrate-50-de-cazuri-noi-diagnosticate-nicio-persoana-vindecata-158239.html</v>
      </c>
      <c r="L1650" s="5"/>
      <c r="M1650" s="5"/>
      <c r="N1650" s="5"/>
      <c r="O1650" s="5"/>
      <c r="P1650" s="5"/>
      <c r="Q1650" s="5"/>
      <c r="R1650" s="5" t="str">
        <f ca="1">IFERROR(__xludf.DUMMYFUNCTION("""COMPUTED_VALUE"""),"România")</f>
        <v>România</v>
      </c>
      <c r="S1650" s="5" t="str">
        <f ca="1">IFERROR(__xludf.DUMMYFUNCTION("""COMPUTED_VALUE"""),"Octavian")</f>
        <v>Octavian</v>
      </c>
      <c r="T1650" s="7" t="str">
        <f ca="1">IFERROR(__xludf.DUMMYFUNCTION("""COMPUTED_VALUE"""),"http://www.ms.ro/2020/08/16/buletin-informativ-16-08-2020")</f>
        <v>http://www.ms.ro/2020/08/16/buletin-informativ-16-08-2020</v>
      </c>
      <c r="U1650" s="5"/>
      <c r="V1650" s="5"/>
      <c r="W1650" s="5"/>
      <c r="X1650" s="5"/>
      <c r="Y1650" s="5"/>
      <c r="Z1650" s="5"/>
      <c r="AA1650" s="5"/>
      <c r="AB1650" s="5"/>
      <c r="AC1650" s="5"/>
    </row>
    <row r="1651" spans="1:29" ht="12.5">
      <c r="A1651" s="5">
        <f ca="1">IFERROR(__xludf.DUMMYFUNCTION("""COMPUTED_VALUE"""),69524)</f>
        <v>69524</v>
      </c>
      <c r="B1651" s="5"/>
      <c r="C1651" s="5" t="str">
        <f ca="1">IFERROR(__xludf.DUMMYFUNCTION("""COMPUTED_VALUE"""),"Bihor")</f>
        <v>Bihor</v>
      </c>
      <c r="D1651" s="13">
        <f ca="1">IFERROR(__xludf.DUMMYFUNCTION("""COMPUTED_VALUE"""),44059)</f>
        <v>44059</v>
      </c>
      <c r="E1651" s="5" t="str">
        <f ca="1">IFERROR(__xludf.DUMMYFUNCTION("""COMPUTED_VALUE"""),"Nu")</f>
        <v>Nu</v>
      </c>
      <c r="F1651" s="5"/>
      <c r="G1651" s="5"/>
      <c r="H1651" s="6"/>
      <c r="I1651" s="5"/>
      <c r="J1651" s="5"/>
      <c r="K1651" s="7" t="str">
        <f ca="1">IFERROR(__xludf.DUMMYFUNCTION("""COMPUTED_VALUE"""),"https://www.ebihoreanul.ro/stiri/coronavirus-in-bihor-inca-trei-decese-inregistrate-50-de-cazuri-noi-diagnosticate-nicio-persoana-vindecata-158239.html")</f>
        <v>https://www.ebihoreanul.ro/stiri/coronavirus-in-bihor-inca-trei-decese-inregistrate-50-de-cazuri-noi-diagnosticate-nicio-persoana-vindecata-158239.html</v>
      </c>
      <c r="L1651" s="5"/>
      <c r="M1651" s="5"/>
      <c r="N1651" s="5"/>
      <c r="O1651" s="5"/>
      <c r="P1651" s="5"/>
      <c r="Q1651" s="5"/>
      <c r="R1651" s="5" t="str">
        <f ca="1">IFERROR(__xludf.DUMMYFUNCTION("""COMPUTED_VALUE"""),"România")</f>
        <v>România</v>
      </c>
      <c r="S1651" s="5" t="str">
        <f ca="1">IFERROR(__xludf.DUMMYFUNCTION("""COMPUTED_VALUE"""),"Octavian")</f>
        <v>Octavian</v>
      </c>
      <c r="T1651" s="7" t="str">
        <f ca="1">IFERROR(__xludf.DUMMYFUNCTION("""COMPUTED_VALUE"""),"http://www.ms.ro/2020/08/16/buletin-informativ-16-08-2020")</f>
        <v>http://www.ms.ro/2020/08/16/buletin-informativ-16-08-2020</v>
      </c>
      <c r="U1651" s="5"/>
      <c r="V1651" s="5"/>
      <c r="W1651" s="5"/>
      <c r="X1651" s="5"/>
      <c r="Y1651" s="5"/>
      <c r="Z1651" s="5"/>
      <c r="AA1651" s="5"/>
      <c r="AB1651" s="5"/>
      <c r="AC1651" s="5"/>
    </row>
    <row r="1652" spans="1:29" ht="12.5">
      <c r="A1652" s="5">
        <f ca="1">IFERROR(__xludf.DUMMYFUNCTION("""COMPUTED_VALUE"""),69525)</f>
        <v>69525</v>
      </c>
      <c r="B1652" s="5"/>
      <c r="C1652" s="5" t="str">
        <f ca="1">IFERROR(__xludf.DUMMYFUNCTION("""COMPUTED_VALUE"""),"Bihor")</f>
        <v>Bihor</v>
      </c>
      <c r="D1652" s="13">
        <f ca="1">IFERROR(__xludf.DUMMYFUNCTION("""COMPUTED_VALUE"""),44059)</f>
        <v>44059</v>
      </c>
      <c r="E1652" s="5" t="str">
        <f ca="1">IFERROR(__xludf.DUMMYFUNCTION("""COMPUTED_VALUE"""),"Nu")</f>
        <v>Nu</v>
      </c>
      <c r="F1652" s="5"/>
      <c r="G1652" s="5"/>
      <c r="H1652" s="6"/>
      <c r="I1652" s="5"/>
      <c r="J1652" s="5"/>
      <c r="K1652" s="7" t="str">
        <f ca="1">IFERROR(__xludf.DUMMYFUNCTION("""COMPUTED_VALUE"""),"https://www.ebihoreanul.ro/stiri/coronavirus-in-bihor-inca-trei-decese-inregistrate-50-de-cazuri-noi-diagnosticate-nicio-persoana-vindecata-158239.html")</f>
        <v>https://www.ebihoreanul.ro/stiri/coronavirus-in-bihor-inca-trei-decese-inregistrate-50-de-cazuri-noi-diagnosticate-nicio-persoana-vindecata-158239.html</v>
      </c>
      <c r="L1652" s="5"/>
      <c r="M1652" s="5"/>
      <c r="N1652" s="5"/>
      <c r="O1652" s="5"/>
      <c r="P1652" s="5"/>
      <c r="Q1652" s="5"/>
      <c r="R1652" s="5" t="str">
        <f ca="1">IFERROR(__xludf.DUMMYFUNCTION("""COMPUTED_VALUE"""),"România")</f>
        <v>România</v>
      </c>
      <c r="S1652" s="5" t="str">
        <f ca="1">IFERROR(__xludf.DUMMYFUNCTION("""COMPUTED_VALUE"""),"Octavian")</f>
        <v>Octavian</v>
      </c>
      <c r="T1652" s="7" t="str">
        <f ca="1">IFERROR(__xludf.DUMMYFUNCTION("""COMPUTED_VALUE"""),"http://www.ms.ro/2020/08/16/buletin-informativ-16-08-2020")</f>
        <v>http://www.ms.ro/2020/08/16/buletin-informativ-16-08-2020</v>
      </c>
      <c r="U1652" s="5"/>
      <c r="V1652" s="5"/>
      <c r="W1652" s="5"/>
      <c r="X1652" s="5"/>
      <c r="Y1652" s="5"/>
      <c r="Z1652" s="5"/>
      <c r="AA1652" s="5"/>
      <c r="AB1652" s="5"/>
      <c r="AC1652" s="5"/>
    </row>
    <row r="1653" spans="1:29" ht="12.5">
      <c r="A1653" s="5">
        <f ca="1">IFERROR(__xludf.DUMMYFUNCTION("""COMPUTED_VALUE"""),69526)</f>
        <v>69526</v>
      </c>
      <c r="B1653" s="5"/>
      <c r="C1653" s="5" t="str">
        <f ca="1">IFERROR(__xludf.DUMMYFUNCTION("""COMPUTED_VALUE"""),"Bihor")</f>
        <v>Bihor</v>
      </c>
      <c r="D1653" s="13">
        <f ca="1">IFERROR(__xludf.DUMMYFUNCTION("""COMPUTED_VALUE"""),44059)</f>
        <v>44059</v>
      </c>
      <c r="E1653" s="5" t="str">
        <f ca="1">IFERROR(__xludf.DUMMYFUNCTION("""COMPUTED_VALUE"""),"Nu")</f>
        <v>Nu</v>
      </c>
      <c r="F1653" s="5"/>
      <c r="G1653" s="5"/>
      <c r="H1653" s="6"/>
      <c r="I1653" s="5"/>
      <c r="J1653" s="5"/>
      <c r="K1653" s="7" t="str">
        <f ca="1">IFERROR(__xludf.DUMMYFUNCTION("""COMPUTED_VALUE"""),"https://www.ebihoreanul.ro/stiri/coronavirus-in-bihor-inca-trei-decese-inregistrate-50-de-cazuri-noi-diagnosticate-nicio-persoana-vindecata-158239.html")</f>
        <v>https://www.ebihoreanul.ro/stiri/coronavirus-in-bihor-inca-trei-decese-inregistrate-50-de-cazuri-noi-diagnosticate-nicio-persoana-vindecata-158239.html</v>
      </c>
      <c r="L1653" s="5"/>
      <c r="M1653" s="5"/>
      <c r="N1653" s="5"/>
      <c r="O1653" s="5"/>
      <c r="P1653" s="5"/>
      <c r="Q1653" s="5"/>
      <c r="R1653" s="5" t="str">
        <f ca="1">IFERROR(__xludf.DUMMYFUNCTION("""COMPUTED_VALUE"""),"România")</f>
        <v>România</v>
      </c>
      <c r="S1653" s="5" t="str">
        <f ca="1">IFERROR(__xludf.DUMMYFUNCTION("""COMPUTED_VALUE"""),"Octavian")</f>
        <v>Octavian</v>
      </c>
      <c r="T1653" s="7" t="str">
        <f ca="1">IFERROR(__xludf.DUMMYFUNCTION("""COMPUTED_VALUE"""),"http://www.ms.ro/2020/08/16/buletin-informativ-16-08-2020")</f>
        <v>http://www.ms.ro/2020/08/16/buletin-informativ-16-08-2020</v>
      </c>
      <c r="U1653" s="5"/>
      <c r="V1653" s="5"/>
      <c r="W1653" s="5"/>
      <c r="X1653" s="5"/>
      <c r="Y1653" s="5"/>
      <c r="Z1653" s="5"/>
      <c r="AA1653" s="5"/>
      <c r="AB1653" s="5"/>
      <c r="AC1653" s="5"/>
    </row>
    <row r="1654" spans="1:29" ht="12.5">
      <c r="A1654" s="5">
        <f ca="1">IFERROR(__xludf.DUMMYFUNCTION("""COMPUTED_VALUE"""),69527)</f>
        <v>69527</v>
      </c>
      <c r="B1654" s="5"/>
      <c r="C1654" s="5" t="str">
        <f ca="1">IFERROR(__xludf.DUMMYFUNCTION("""COMPUTED_VALUE"""),"Bihor")</f>
        <v>Bihor</v>
      </c>
      <c r="D1654" s="13">
        <f ca="1">IFERROR(__xludf.DUMMYFUNCTION("""COMPUTED_VALUE"""),44059)</f>
        <v>44059</v>
      </c>
      <c r="E1654" s="5" t="str">
        <f ca="1">IFERROR(__xludf.DUMMYFUNCTION("""COMPUTED_VALUE"""),"Nu")</f>
        <v>Nu</v>
      </c>
      <c r="F1654" s="5"/>
      <c r="G1654" s="5"/>
      <c r="H1654" s="6"/>
      <c r="I1654" s="5"/>
      <c r="J1654" s="5"/>
      <c r="K1654" s="7" t="str">
        <f ca="1">IFERROR(__xludf.DUMMYFUNCTION("""COMPUTED_VALUE"""),"https://www.ebihoreanul.ro/stiri/coronavirus-in-bihor-inca-trei-decese-inregistrate-50-de-cazuri-noi-diagnosticate-nicio-persoana-vindecata-158239.html")</f>
        <v>https://www.ebihoreanul.ro/stiri/coronavirus-in-bihor-inca-trei-decese-inregistrate-50-de-cazuri-noi-diagnosticate-nicio-persoana-vindecata-158239.html</v>
      </c>
      <c r="L1654" s="5"/>
      <c r="M1654" s="5"/>
      <c r="N1654" s="5"/>
      <c r="O1654" s="5"/>
      <c r="P1654" s="5"/>
      <c r="Q1654" s="5"/>
      <c r="R1654" s="5" t="str">
        <f ca="1">IFERROR(__xludf.DUMMYFUNCTION("""COMPUTED_VALUE"""),"România")</f>
        <v>România</v>
      </c>
      <c r="S1654" s="5" t="str">
        <f ca="1">IFERROR(__xludf.DUMMYFUNCTION("""COMPUTED_VALUE"""),"Octavian")</f>
        <v>Octavian</v>
      </c>
      <c r="T1654" s="7" t="str">
        <f ca="1">IFERROR(__xludf.DUMMYFUNCTION("""COMPUTED_VALUE"""),"http://www.ms.ro/2020/08/16/buletin-informativ-16-08-2020")</f>
        <v>http://www.ms.ro/2020/08/16/buletin-informativ-16-08-2020</v>
      </c>
      <c r="U1654" s="5"/>
      <c r="V1654" s="5"/>
      <c r="W1654" s="5"/>
      <c r="X1654" s="5"/>
      <c r="Y1654" s="5"/>
      <c r="Z1654" s="5"/>
      <c r="AA1654" s="5"/>
      <c r="AB1654" s="5"/>
      <c r="AC1654" s="5"/>
    </row>
    <row r="1655" spans="1:29" ht="12.5">
      <c r="A1655" s="5">
        <f ca="1">IFERROR(__xludf.DUMMYFUNCTION("""COMPUTED_VALUE"""),69528)</f>
        <v>69528</v>
      </c>
      <c r="B1655" s="5"/>
      <c r="C1655" s="5" t="str">
        <f ca="1">IFERROR(__xludf.DUMMYFUNCTION("""COMPUTED_VALUE"""),"Bihor")</f>
        <v>Bihor</v>
      </c>
      <c r="D1655" s="13">
        <f ca="1">IFERROR(__xludf.DUMMYFUNCTION("""COMPUTED_VALUE"""),44059)</f>
        <v>44059</v>
      </c>
      <c r="E1655" s="5" t="str">
        <f ca="1">IFERROR(__xludf.DUMMYFUNCTION("""COMPUTED_VALUE"""),"Nu")</f>
        <v>Nu</v>
      </c>
      <c r="F1655" s="5"/>
      <c r="G1655" s="5"/>
      <c r="H1655" s="6"/>
      <c r="I1655" s="5"/>
      <c r="J1655" s="5"/>
      <c r="K1655" s="7" t="str">
        <f ca="1">IFERROR(__xludf.DUMMYFUNCTION("""COMPUTED_VALUE"""),"https://www.ebihoreanul.ro/stiri/coronavirus-in-bihor-inca-trei-decese-inregistrate-50-de-cazuri-noi-diagnosticate-nicio-persoana-vindecata-158239.html")</f>
        <v>https://www.ebihoreanul.ro/stiri/coronavirus-in-bihor-inca-trei-decese-inregistrate-50-de-cazuri-noi-diagnosticate-nicio-persoana-vindecata-158239.html</v>
      </c>
      <c r="L1655" s="5"/>
      <c r="M1655" s="5"/>
      <c r="N1655" s="5"/>
      <c r="O1655" s="5"/>
      <c r="P1655" s="5"/>
      <c r="Q1655" s="5"/>
      <c r="R1655" s="5" t="str">
        <f ca="1">IFERROR(__xludf.DUMMYFUNCTION("""COMPUTED_VALUE"""),"România")</f>
        <v>România</v>
      </c>
      <c r="S1655" s="5" t="str">
        <f ca="1">IFERROR(__xludf.DUMMYFUNCTION("""COMPUTED_VALUE"""),"Octavian")</f>
        <v>Octavian</v>
      </c>
      <c r="T1655" s="7" t="str">
        <f ca="1">IFERROR(__xludf.DUMMYFUNCTION("""COMPUTED_VALUE"""),"http://www.ms.ro/2020/08/16/buletin-informativ-16-08-2020")</f>
        <v>http://www.ms.ro/2020/08/16/buletin-informativ-16-08-2020</v>
      </c>
      <c r="U1655" s="5"/>
      <c r="V1655" s="5"/>
      <c r="W1655" s="5"/>
      <c r="X1655" s="5"/>
      <c r="Y1655" s="5"/>
      <c r="Z1655" s="5"/>
      <c r="AA1655" s="5"/>
      <c r="AB1655" s="5"/>
      <c r="AC1655" s="5"/>
    </row>
    <row r="1656" spans="1:29" ht="12.5">
      <c r="A1656" s="5">
        <f ca="1">IFERROR(__xludf.DUMMYFUNCTION("""COMPUTED_VALUE"""),69529)</f>
        <v>69529</v>
      </c>
      <c r="B1656" s="5"/>
      <c r="C1656" s="5" t="str">
        <f ca="1">IFERROR(__xludf.DUMMYFUNCTION("""COMPUTED_VALUE"""),"Bihor")</f>
        <v>Bihor</v>
      </c>
      <c r="D1656" s="13">
        <f ca="1">IFERROR(__xludf.DUMMYFUNCTION("""COMPUTED_VALUE"""),44059)</f>
        <v>44059</v>
      </c>
      <c r="E1656" s="5" t="str">
        <f ca="1">IFERROR(__xludf.DUMMYFUNCTION("""COMPUTED_VALUE"""),"Nu")</f>
        <v>Nu</v>
      </c>
      <c r="F1656" s="5"/>
      <c r="G1656" s="5"/>
      <c r="H1656" s="6"/>
      <c r="I1656" s="5"/>
      <c r="J1656" s="5"/>
      <c r="K1656" s="7" t="str">
        <f ca="1">IFERROR(__xludf.DUMMYFUNCTION("""COMPUTED_VALUE"""),"https://www.ebihoreanul.ro/stiri/coronavirus-in-bihor-inca-trei-decese-inregistrate-50-de-cazuri-noi-diagnosticate-nicio-persoana-vindecata-158239.html")</f>
        <v>https://www.ebihoreanul.ro/stiri/coronavirus-in-bihor-inca-trei-decese-inregistrate-50-de-cazuri-noi-diagnosticate-nicio-persoana-vindecata-158239.html</v>
      </c>
      <c r="L1656" s="5"/>
      <c r="M1656" s="5"/>
      <c r="N1656" s="5"/>
      <c r="O1656" s="5"/>
      <c r="P1656" s="5"/>
      <c r="Q1656" s="5"/>
      <c r="R1656" s="5" t="str">
        <f ca="1">IFERROR(__xludf.DUMMYFUNCTION("""COMPUTED_VALUE"""),"România")</f>
        <v>România</v>
      </c>
      <c r="S1656" s="5" t="str">
        <f ca="1">IFERROR(__xludf.DUMMYFUNCTION("""COMPUTED_VALUE"""),"Octavian")</f>
        <v>Octavian</v>
      </c>
      <c r="T1656" s="7" t="str">
        <f ca="1">IFERROR(__xludf.DUMMYFUNCTION("""COMPUTED_VALUE"""),"http://www.ms.ro/2020/08/16/buletin-informativ-16-08-2020")</f>
        <v>http://www.ms.ro/2020/08/16/buletin-informativ-16-08-2020</v>
      </c>
      <c r="U1656" s="5"/>
      <c r="V1656" s="5"/>
      <c r="W1656" s="5"/>
      <c r="X1656" s="5"/>
      <c r="Y1656" s="5"/>
      <c r="Z1656" s="5"/>
      <c r="AA1656" s="5"/>
      <c r="AB1656" s="5"/>
      <c r="AC1656" s="5"/>
    </row>
    <row r="1657" spans="1:29" ht="12.5">
      <c r="A1657" s="5">
        <f ca="1">IFERROR(__xludf.DUMMYFUNCTION("""COMPUTED_VALUE"""),69530)</f>
        <v>69530</v>
      </c>
      <c r="B1657" s="5"/>
      <c r="C1657" s="5" t="str">
        <f ca="1">IFERROR(__xludf.DUMMYFUNCTION("""COMPUTED_VALUE"""),"Bihor")</f>
        <v>Bihor</v>
      </c>
      <c r="D1657" s="13">
        <f ca="1">IFERROR(__xludf.DUMMYFUNCTION("""COMPUTED_VALUE"""),44059)</f>
        <v>44059</v>
      </c>
      <c r="E1657" s="5" t="str">
        <f ca="1">IFERROR(__xludf.DUMMYFUNCTION("""COMPUTED_VALUE"""),"Nu")</f>
        <v>Nu</v>
      </c>
      <c r="F1657" s="5"/>
      <c r="G1657" s="5"/>
      <c r="H1657" s="6"/>
      <c r="I1657" s="5"/>
      <c r="J1657" s="5"/>
      <c r="K1657" s="7" t="str">
        <f ca="1">IFERROR(__xludf.DUMMYFUNCTION("""COMPUTED_VALUE"""),"https://www.ebihoreanul.ro/stiri/coronavirus-in-bihor-inca-trei-decese-inregistrate-50-de-cazuri-noi-diagnosticate-nicio-persoana-vindecata-158239.html")</f>
        <v>https://www.ebihoreanul.ro/stiri/coronavirus-in-bihor-inca-trei-decese-inregistrate-50-de-cazuri-noi-diagnosticate-nicio-persoana-vindecata-158239.html</v>
      </c>
      <c r="L1657" s="5"/>
      <c r="M1657" s="5"/>
      <c r="N1657" s="5"/>
      <c r="O1657" s="5"/>
      <c r="P1657" s="5"/>
      <c r="Q1657" s="5"/>
      <c r="R1657" s="5" t="str">
        <f ca="1">IFERROR(__xludf.DUMMYFUNCTION("""COMPUTED_VALUE"""),"România")</f>
        <v>România</v>
      </c>
      <c r="S1657" s="5" t="str">
        <f ca="1">IFERROR(__xludf.DUMMYFUNCTION("""COMPUTED_VALUE"""),"Octavian")</f>
        <v>Octavian</v>
      </c>
      <c r="T1657" s="7" t="str">
        <f ca="1">IFERROR(__xludf.DUMMYFUNCTION("""COMPUTED_VALUE"""),"http://www.ms.ro/2020/08/16/buletin-informativ-16-08-2020")</f>
        <v>http://www.ms.ro/2020/08/16/buletin-informativ-16-08-2020</v>
      </c>
      <c r="U1657" s="5"/>
      <c r="V1657" s="5"/>
      <c r="W1657" s="5"/>
      <c r="X1657" s="5"/>
      <c r="Y1657" s="5"/>
      <c r="Z1657" s="5"/>
      <c r="AA1657" s="5"/>
      <c r="AB1657" s="5"/>
      <c r="AC1657" s="5"/>
    </row>
    <row r="1658" spans="1:29" ht="12.5">
      <c r="A1658" s="5">
        <f ca="1">IFERROR(__xludf.DUMMYFUNCTION("""COMPUTED_VALUE"""),69531)</f>
        <v>69531</v>
      </c>
      <c r="B1658" s="5"/>
      <c r="C1658" s="5" t="str">
        <f ca="1">IFERROR(__xludf.DUMMYFUNCTION("""COMPUTED_VALUE"""),"Bihor")</f>
        <v>Bihor</v>
      </c>
      <c r="D1658" s="13">
        <f ca="1">IFERROR(__xludf.DUMMYFUNCTION("""COMPUTED_VALUE"""),44059)</f>
        <v>44059</v>
      </c>
      <c r="E1658" s="5" t="str">
        <f ca="1">IFERROR(__xludf.DUMMYFUNCTION("""COMPUTED_VALUE"""),"Nu")</f>
        <v>Nu</v>
      </c>
      <c r="F1658" s="5"/>
      <c r="G1658" s="5"/>
      <c r="H1658" s="6"/>
      <c r="I1658" s="5"/>
      <c r="J1658" s="5"/>
      <c r="K1658" s="7" t="str">
        <f ca="1">IFERROR(__xludf.DUMMYFUNCTION("""COMPUTED_VALUE"""),"https://www.ebihoreanul.ro/stiri/coronavirus-in-bihor-inca-trei-decese-inregistrate-50-de-cazuri-noi-diagnosticate-nicio-persoana-vindecata-158239.html")</f>
        <v>https://www.ebihoreanul.ro/stiri/coronavirus-in-bihor-inca-trei-decese-inregistrate-50-de-cazuri-noi-diagnosticate-nicio-persoana-vindecata-158239.html</v>
      </c>
      <c r="L1658" s="5"/>
      <c r="M1658" s="5"/>
      <c r="N1658" s="5"/>
      <c r="O1658" s="5"/>
      <c r="P1658" s="5"/>
      <c r="Q1658" s="5"/>
      <c r="R1658" s="5" t="str">
        <f ca="1">IFERROR(__xludf.DUMMYFUNCTION("""COMPUTED_VALUE"""),"România")</f>
        <v>România</v>
      </c>
      <c r="S1658" s="5" t="str">
        <f ca="1">IFERROR(__xludf.DUMMYFUNCTION("""COMPUTED_VALUE"""),"Octavian")</f>
        <v>Octavian</v>
      </c>
      <c r="T1658" s="7" t="str">
        <f ca="1">IFERROR(__xludf.DUMMYFUNCTION("""COMPUTED_VALUE"""),"http://www.ms.ro/2020/08/16/buletin-informativ-16-08-2020")</f>
        <v>http://www.ms.ro/2020/08/16/buletin-informativ-16-08-2020</v>
      </c>
      <c r="U1658" s="5"/>
      <c r="V1658" s="5"/>
      <c r="W1658" s="5"/>
      <c r="X1658" s="5"/>
      <c r="Y1658" s="5"/>
      <c r="Z1658" s="5"/>
      <c r="AA1658" s="5"/>
      <c r="AB1658" s="5"/>
      <c r="AC1658" s="5"/>
    </row>
    <row r="1659" spans="1:29" ht="12.5">
      <c r="A1659" s="5">
        <f ca="1">IFERROR(__xludf.DUMMYFUNCTION("""COMPUTED_VALUE"""),69532)</f>
        <v>69532</v>
      </c>
      <c r="B1659" s="5"/>
      <c r="C1659" s="5" t="str">
        <f ca="1">IFERROR(__xludf.DUMMYFUNCTION("""COMPUTED_VALUE"""),"Bihor")</f>
        <v>Bihor</v>
      </c>
      <c r="D1659" s="13">
        <f ca="1">IFERROR(__xludf.DUMMYFUNCTION("""COMPUTED_VALUE"""),44059)</f>
        <v>44059</v>
      </c>
      <c r="E1659" s="5" t="str">
        <f ca="1">IFERROR(__xludf.DUMMYFUNCTION("""COMPUTED_VALUE"""),"Nu")</f>
        <v>Nu</v>
      </c>
      <c r="F1659" s="5"/>
      <c r="G1659" s="5"/>
      <c r="H1659" s="6"/>
      <c r="I1659" s="5"/>
      <c r="J1659" s="5"/>
      <c r="K1659" s="7" t="str">
        <f ca="1">IFERROR(__xludf.DUMMYFUNCTION("""COMPUTED_VALUE"""),"https://www.ebihoreanul.ro/stiri/coronavirus-in-bihor-inca-trei-decese-inregistrate-50-de-cazuri-noi-diagnosticate-nicio-persoana-vindecata-158239.html")</f>
        <v>https://www.ebihoreanul.ro/stiri/coronavirus-in-bihor-inca-trei-decese-inregistrate-50-de-cazuri-noi-diagnosticate-nicio-persoana-vindecata-158239.html</v>
      </c>
      <c r="L1659" s="5"/>
      <c r="M1659" s="5"/>
      <c r="N1659" s="5"/>
      <c r="O1659" s="5"/>
      <c r="P1659" s="5"/>
      <c r="Q1659" s="5"/>
      <c r="R1659" s="5" t="str">
        <f ca="1">IFERROR(__xludf.DUMMYFUNCTION("""COMPUTED_VALUE"""),"România")</f>
        <v>România</v>
      </c>
      <c r="S1659" s="5" t="str">
        <f ca="1">IFERROR(__xludf.DUMMYFUNCTION("""COMPUTED_VALUE"""),"Octavian")</f>
        <v>Octavian</v>
      </c>
      <c r="T1659" s="7" t="str">
        <f ca="1">IFERROR(__xludf.DUMMYFUNCTION("""COMPUTED_VALUE"""),"http://www.ms.ro/2020/08/16/buletin-informativ-16-08-2020")</f>
        <v>http://www.ms.ro/2020/08/16/buletin-informativ-16-08-2020</v>
      </c>
      <c r="U1659" s="5"/>
      <c r="V1659" s="5"/>
      <c r="W1659" s="5"/>
      <c r="X1659" s="5"/>
      <c r="Y1659" s="5"/>
      <c r="Z1659" s="5"/>
      <c r="AA1659" s="5"/>
      <c r="AB1659" s="5"/>
      <c r="AC1659" s="5"/>
    </row>
    <row r="1660" spans="1:29" ht="12.5">
      <c r="A1660" s="5">
        <f ca="1">IFERROR(__xludf.DUMMYFUNCTION("""COMPUTED_VALUE"""),69533)</f>
        <v>69533</v>
      </c>
      <c r="B1660" s="5"/>
      <c r="C1660" s="5" t="str">
        <f ca="1">IFERROR(__xludf.DUMMYFUNCTION("""COMPUTED_VALUE"""),"Bihor")</f>
        <v>Bihor</v>
      </c>
      <c r="D1660" s="13">
        <f ca="1">IFERROR(__xludf.DUMMYFUNCTION("""COMPUTED_VALUE"""),44059)</f>
        <v>44059</v>
      </c>
      <c r="E1660" s="5" t="str">
        <f ca="1">IFERROR(__xludf.DUMMYFUNCTION("""COMPUTED_VALUE"""),"Nu")</f>
        <v>Nu</v>
      </c>
      <c r="F1660" s="5"/>
      <c r="G1660" s="5"/>
      <c r="H1660" s="6"/>
      <c r="I1660" s="5"/>
      <c r="J1660" s="5"/>
      <c r="K1660" s="7" t="str">
        <f ca="1">IFERROR(__xludf.DUMMYFUNCTION("""COMPUTED_VALUE"""),"https://www.ebihoreanul.ro/stiri/coronavirus-in-bihor-inca-trei-decese-inregistrate-50-de-cazuri-noi-diagnosticate-nicio-persoana-vindecata-158239.html")</f>
        <v>https://www.ebihoreanul.ro/stiri/coronavirus-in-bihor-inca-trei-decese-inregistrate-50-de-cazuri-noi-diagnosticate-nicio-persoana-vindecata-158239.html</v>
      </c>
      <c r="L1660" s="5"/>
      <c r="M1660" s="5"/>
      <c r="N1660" s="5"/>
      <c r="O1660" s="5"/>
      <c r="P1660" s="5"/>
      <c r="Q1660" s="5"/>
      <c r="R1660" s="5" t="str">
        <f ca="1">IFERROR(__xludf.DUMMYFUNCTION("""COMPUTED_VALUE"""),"România")</f>
        <v>România</v>
      </c>
      <c r="S1660" s="5" t="str">
        <f ca="1">IFERROR(__xludf.DUMMYFUNCTION("""COMPUTED_VALUE"""),"Octavian")</f>
        <v>Octavian</v>
      </c>
      <c r="T1660" s="7" t="str">
        <f ca="1">IFERROR(__xludf.DUMMYFUNCTION("""COMPUTED_VALUE"""),"http://www.ms.ro/2020/08/16/buletin-informativ-16-08-2020")</f>
        <v>http://www.ms.ro/2020/08/16/buletin-informativ-16-08-2020</v>
      </c>
      <c r="U1660" s="5"/>
      <c r="V1660" s="5"/>
      <c r="W1660" s="5"/>
      <c r="X1660" s="5"/>
      <c r="Y1660" s="5"/>
      <c r="Z1660" s="5"/>
      <c r="AA1660" s="5"/>
      <c r="AB1660" s="5"/>
      <c r="AC1660" s="5"/>
    </row>
    <row r="1661" spans="1:29" ht="12.5">
      <c r="A1661" s="5">
        <f ca="1">IFERROR(__xludf.DUMMYFUNCTION("""COMPUTED_VALUE"""),69534)</f>
        <v>69534</v>
      </c>
      <c r="B1661" s="5"/>
      <c r="C1661" s="5" t="str">
        <f ca="1">IFERROR(__xludf.DUMMYFUNCTION("""COMPUTED_VALUE"""),"Bihor")</f>
        <v>Bihor</v>
      </c>
      <c r="D1661" s="13">
        <f ca="1">IFERROR(__xludf.DUMMYFUNCTION("""COMPUTED_VALUE"""),44059)</f>
        <v>44059</v>
      </c>
      <c r="E1661" s="5" t="str">
        <f ca="1">IFERROR(__xludf.DUMMYFUNCTION("""COMPUTED_VALUE"""),"Nu")</f>
        <v>Nu</v>
      </c>
      <c r="F1661" s="5"/>
      <c r="G1661" s="5"/>
      <c r="H1661" s="6"/>
      <c r="I1661" s="5"/>
      <c r="J1661" s="5"/>
      <c r="K1661" s="7" t="str">
        <f ca="1">IFERROR(__xludf.DUMMYFUNCTION("""COMPUTED_VALUE"""),"https://www.ebihoreanul.ro/stiri/coronavirus-in-bihor-inca-trei-decese-inregistrate-50-de-cazuri-noi-diagnosticate-nicio-persoana-vindecata-158239.html")</f>
        <v>https://www.ebihoreanul.ro/stiri/coronavirus-in-bihor-inca-trei-decese-inregistrate-50-de-cazuri-noi-diagnosticate-nicio-persoana-vindecata-158239.html</v>
      </c>
      <c r="L1661" s="5"/>
      <c r="M1661" s="5"/>
      <c r="N1661" s="5"/>
      <c r="O1661" s="5"/>
      <c r="P1661" s="5"/>
      <c r="Q1661" s="5"/>
      <c r="R1661" s="5" t="str">
        <f ca="1">IFERROR(__xludf.DUMMYFUNCTION("""COMPUTED_VALUE"""),"România")</f>
        <v>România</v>
      </c>
      <c r="S1661" s="5" t="str">
        <f ca="1">IFERROR(__xludf.DUMMYFUNCTION("""COMPUTED_VALUE"""),"Octavian")</f>
        <v>Octavian</v>
      </c>
      <c r="T1661" s="7" t="str">
        <f ca="1">IFERROR(__xludf.DUMMYFUNCTION("""COMPUTED_VALUE"""),"http://www.ms.ro/2020/08/16/buletin-informativ-16-08-2020")</f>
        <v>http://www.ms.ro/2020/08/16/buletin-informativ-16-08-2020</v>
      </c>
      <c r="U1661" s="5"/>
      <c r="V1661" s="5"/>
      <c r="W1661" s="5"/>
      <c r="X1661" s="5"/>
      <c r="Y1661" s="5"/>
      <c r="Z1661" s="5"/>
      <c r="AA1661" s="5"/>
      <c r="AB1661" s="5"/>
      <c r="AC1661" s="5"/>
    </row>
    <row r="1662" spans="1:29" ht="12.5">
      <c r="A1662" s="5">
        <f ca="1">IFERROR(__xludf.DUMMYFUNCTION("""COMPUTED_VALUE"""),69535)</f>
        <v>69535</v>
      </c>
      <c r="B1662" s="5"/>
      <c r="C1662" s="5" t="str">
        <f ca="1">IFERROR(__xludf.DUMMYFUNCTION("""COMPUTED_VALUE"""),"Bihor")</f>
        <v>Bihor</v>
      </c>
      <c r="D1662" s="13">
        <f ca="1">IFERROR(__xludf.DUMMYFUNCTION("""COMPUTED_VALUE"""),44059)</f>
        <v>44059</v>
      </c>
      <c r="E1662" s="5" t="str">
        <f ca="1">IFERROR(__xludf.DUMMYFUNCTION("""COMPUTED_VALUE"""),"Nu")</f>
        <v>Nu</v>
      </c>
      <c r="F1662" s="5"/>
      <c r="G1662" s="5"/>
      <c r="H1662" s="6"/>
      <c r="I1662" s="5"/>
      <c r="J1662" s="5"/>
      <c r="K1662" s="7" t="str">
        <f ca="1">IFERROR(__xludf.DUMMYFUNCTION("""COMPUTED_VALUE"""),"https://www.ebihoreanul.ro/stiri/coronavirus-in-bihor-inca-trei-decese-inregistrate-50-de-cazuri-noi-diagnosticate-nicio-persoana-vindecata-158239.html")</f>
        <v>https://www.ebihoreanul.ro/stiri/coronavirus-in-bihor-inca-trei-decese-inregistrate-50-de-cazuri-noi-diagnosticate-nicio-persoana-vindecata-158239.html</v>
      </c>
      <c r="L1662" s="5"/>
      <c r="M1662" s="5"/>
      <c r="N1662" s="5"/>
      <c r="O1662" s="5"/>
      <c r="P1662" s="5"/>
      <c r="Q1662" s="5"/>
      <c r="R1662" s="5" t="str">
        <f ca="1">IFERROR(__xludf.DUMMYFUNCTION("""COMPUTED_VALUE"""),"România")</f>
        <v>România</v>
      </c>
      <c r="S1662" s="5" t="str">
        <f ca="1">IFERROR(__xludf.DUMMYFUNCTION("""COMPUTED_VALUE"""),"Octavian")</f>
        <v>Octavian</v>
      </c>
      <c r="T1662" s="7" t="str">
        <f ca="1">IFERROR(__xludf.DUMMYFUNCTION("""COMPUTED_VALUE"""),"http://www.ms.ro/2020/08/16/buletin-informativ-16-08-2020")</f>
        <v>http://www.ms.ro/2020/08/16/buletin-informativ-16-08-2020</v>
      </c>
      <c r="U1662" s="5"/>
      <c r="V1662" s="5"/>
      <c r="W1662" s="5"/>
      <c r="X1662" s="5"/>
      <c r="Y1662" s="5"/>
      <c r="Z1662" s="5"/>
      <c r="AA1662" s="5"/>
      <c r="AB1662" s="5"/>
      <c r="AC1662" s="5"/>
    </row>
    <row r="1663" spans="1:29" ht="12.5">
      <c r="A1663" s="5">
        <f ca="1">IFERROR(__xludf.DUMMYFUNCTION("""COMPUTED_VALUE"""),69536)</f>
        <v>69536</v>
      </c>
      <c r="B1663" s="5"/>
      <c r="C1663" s="5" t="str">
        <f ca="1">IFERROR(__xludf.DUMMYFUNCTION("""COMPUTED_VALUE"""),"Bihor")</f>
        <v>Bihor</v>
      </c>
      <c r="D1663" s="13">
        <f ca="1">IFERROR(__xludf.DUMMYFUNCTION("""COMPUTED_VALUE"""),44059)</f>
        <v>44059</v>
      </c>
      <c r="E1663" s="5" t="str">
        <f ca="1">IFERROR(__xludf.DUMMYFUNCTION("""COMPUTED_VALUE"""),"Nu")</f>
        <v>Nu</v>
      </c>
      <c r="F1663" s="5"/>
      <c r="G1663" s="5"/>
      <c r="H1663" s="6"/>
      <c r="I1663" s="5"/>
      <c r="J1663" s="5"/>
      <c r="K1663" s="7" t="str">
        <f ca="1">IFERROR(__xludf.DUMMYFUNCTION("""COMPUTED_VALUE"""),"https://www.ebihoreanul.ro/stiri/coronavirus-in-bihor-inca-trei-decese-inregistrate-50-de-cazuri-noi-diagnosticate-nicio-persoana-vindecata-158239.html")</f>
        <v>https://www.ebihoreanul.ro/stiri/coronavirus-in-bihor-inca-trei-decese-inregistrate-50-de-cazuri-noi-diagnosticate-nicio-persoana-vindecata-158239.html</v>
      </c>
      <c r="L1663" s="5"/>
      <c r="M1663" s="5"/>
      <c r="N1663" s="5"/>
      <c r="O1663" s="5"/>
      <c r="P1663" s="5"/>
      <c r="Q1663" s="5"/>
      <c r="R1663" s="5" t="str">
        <f ca="1">IFERROR(__xludf.DUMMYFUNCTION("""COMPUTED_VALUE"""),"România")</f>
        <v>România</v>
      </c>
      <c r="S1663" s="5" t="str">
        <f ca="1">IFERROR(__xludf.DUMMYFUNCTION("""COMPUTED_VALUE"""),"Octavian")</f>
        <v>Octavian</v>
      </c>
      <c r="T1663" s="7" t="str">
        <f ca="1">IFERROR(__xludf.DUMMYFUNCTION("""COMPUTED_VALUE"""),"http://www.ms.ro/2020/08/16/buletin-informativ-16-08-2020")</f>
        <v>http://www.ms.ro/2020/08/16/buletin-informativ-16-08-2020</v>
      </c>
      <c r="U1663" s="5"/>
      <c r="V1663" s="5"/>
      <c r="W1663" s="5"/>
      <c r="X1663" s="5"/>
      <c r="Y1663" s="5"/>
      <c r="Z1663" s="5"/>
      <c r="AA1663" s="5"/>
      <c r="AB1663" s="5"/>
      <c r="AC1663" s="5"/>
    </row>
    <row r="1664" spans="1:29" ht="12.5">
      <c r="A1664" s="5">
        <f ca="1">IFERROR(__xludf.DUMMYFUNCTION("""COMPUTED_VALUE"""),69537)</f>
        <v>69537</v>
      </c>
      <c r="B1664" s="5"/>
      <c r="C1664" s="5" t="str">
        <f ca="1">IFERROR(__xludf.DUMMYFUNCTION("""COMPUTED_VALUE"""),"Bihor")</f>
        <v>Bihor</v>
      </c>
      <c r="D1664" s="13">
        <f ca="1">IFERROR(__xludf.DUMMYFUNCTION("""COMPUTED_VALUE"""),44059)</f>
        <v>44059</v>
      </c>
      <c r="E1664" s="5" t="str">
        <f ca="1">IFERROR(__xludf.DUMMYFUNCTION("""COMPUTED_VALUE"""),"Nu")</f>
        <v>Nu</v>
      </c>
      <c r="F1664" s="5"/>
      <c r="G1664" s="5"/>
      <c r="H1664" s="6"/>
      <c r="I1664" s="5"/>
      <c r="J1664" s="5"/>
      <c r="K1664" s="7" t="str">
        <f ca="1">IFERROR(__xludf.DUMMYFUNCTION("""COMPUTED_VALUE"""),"https://www.ebihoreanul.ro/stiri/coronavirus-in-bihor-inca-trei-decese-inregistrate-50-de-cazuri-noi-diagnosticate-nicio-persoana-vindecata-158239.html")</f>
        <v>https://www.ebihoreanul.ro/stiri/coronavirus-in-bihor-inca-trei-decese-inregistrate-50-de-cazuri-noi-diagnosticate-nicio-persoana-vindecata-158239.html</v>
      </c>
      <c r="L1664" s="5"/>
      <c r="M1664" s="5"/>
      <c r="N1664" s="5"/>
      <c r="O1664" s="5"/>
      <c r="P1664" s="5"/>
      <c r="Q1664" s="5"/>
      <c r="R1664" s="5" t="str">
        <f ca="1">IFERROR(__xludf.DUMMYFUNCTION("""COMPUTED_VALUE"""),"România")</f>
        <v>România</v>
      </c>
      <c r="S1664" s="5" t="str">
        <f ca="1">IFERROR(__xludf.DUMMYFUNCTION("""COMPUTED_VALUE"""),"Octavian")</f>
        <v>Octavian</v>
      </c>
      <c r="T1664" s="7" t="str">
        <f ca="1">IFERROR(__xludf.DUMMYFUNCTION("""COMPUTED_VALUE"""),"http://www.ms.ro/2020/08/16/buletin-informativ-16-08-2020")</f>
        <v>http://www.ms.ro/2020/08/16/buletin-informativ-16-08-2020</v>
      </c>
      <c r="U1664" s="5"/>
      <c r="V1664" s="5"/>
      <c r="W1664" s="5"/>
      <c r="X1664" s="5"/>
      <c r="Y1664" s="5"/>
      <c r="Z1664" s="5"/>
      <c r="AA1664" s="5"/>
      <c r="AB1664" s="5"/>
      <c r="AC1664" s="5"/>
    </row>
    <row r="1665" spans="1:29" ht="12.5">
      <c r="A1665" s="5">
        <f ca="1">IFERROR(__xludf.DUMMYFUNCTION("""COMPUTED_VALUE"""),69538)</f>
        <v>69538</v>
      </c>
      <c r="B1665" s="5"/>
      <c r="C1665" s="5" t="str">
        <f ca="1">IFERROR(__xludf.DUMMYFUNCTION("""COMPUTED_VALUE"""),"Bihor")</f>
        <v>Bihor</v>
      </c>
      <c r="D1665" s="13">
        <f ca="1">IFERROR(__xludf.DUMMYFUNCTION("""COMPUTED_VALUE"""),44059)</f>
        <v>44059</v>
      </c>
      <c r="E1665" s="5" t="str">
        <f ca="1">IFERROR(__xludf.DUMMYFUNCTION("""COMPUTED_VALUE"""),"Nu")</f>
        <v>Nu</v>
      </c>
      <c r="F1665" s="5"/>
      <c r="G1665" s="5"/>
      <c r="H1665" s="6"/>
      <c r="I1665" s="5"/>
      <c r="J1665" s="5"/>
      <c r="K1665" s="7" t="str">
        <f ca="1">IFERROR(__xludf.DUMMYFUNCTION("""COMPUTED_VALUE"""),"https://www.ebihoreanul.ro/stiri/coronavirus-in-bihor-inca-trei-decese-inregistrate-50-de-cazuri-noi-diagnosticate-nicio-persoana-vindecata-158239.html")</f>
        <v>https://www.ebihoreanul.ro/stiri/coronavirus-in-bihor-inca-trei-decese-inregistrate-50-de-cazuri-noi-diagnosticate-nicio-persoana-vindecata-158239.html</v>
      </c>
      <c r="L1665" s="5"/>
      <c r="M1665" s="5"/>
      <c r="N1665" s="5"/>
      <c r="O1665" s="5"/>
      <c r="P1665" s="5"/>
      <c r="Q1665" s="5"/>
      <c r="R1665" s="5" t="str">
        <f ca="1">IFERROR(__xludf.DUMMYFUNCTION("""COMPUTED_VALUE"""),"România")</f>
        <v>România</v>
      </c>
      <c r="S1665" s="5" t="str">
        <f ca="1">IFERROR(__xludf.DUMMYFUNCTION("""COMPUTED_VALUE"""),"Octavian")</f>
        <v>Octavian</v>
      </c>
      <c r="T1665" s="7" t="str">
        <f ca="1">IFERROR(__xludf.DUMMYFUNCTION("""COMPUTED_VALUE"""),"http://www.ms.ro/2020/08/16/buletin-informativ-16-08-2020")</f>
        <v>http://www.ms.ro/2020/08/16/buletin-informativ-16-08-2020</v>
      </c>
      <c r="U1665" s="5"/>
      <c r="V1665" s="5"/>
      <c r="W1665" s="5"/>
      <c r="X1665" s="5"/>
      <c r="Y1665" s="5"/>
      <c r="Z1665" s="5"/>
      <c r="AA1665" s="5"/>
      <c r="AB1665" s="5"/>
      <c r="AC1665" s="5"/>
    </row>
    <row r="1666" spans="1:29" ht="12.5">
      <c r="A1666" s="5">
        <f ca="1">IFERROR(__xludf.DUMMYFUNCTION("""COMPUTED_VALUE"""),69539)</f>
        <v>69539</v>
      </c>
      <c r="B1666" s="5"/>
      <c r="C1666" s="5" t="str">
        <f ca="1">IFERROR(__xludf.DUMMYFUNCTION("""COMPUTED_VALUE"""),"Bihor")</f>
        <v>Bihor</v>
      </c>
      <c r="D1666" s="13">
        <f ca="1">IFERROR(__xludf.DUMMYFUNCTION("""COMPUTED_VALUE"""),44059)</f>
        <v>44059</v>
      </c>
      <c r="E1666" s="5" t="str">
        <f ca="1">IFERROR(__xludf.DUMMYFUNCTION("""COMPUTED_VALUE"""),"Nu")</f>
        <v>Nu</v>
      </c>
      <c r="F1666" s="5"/>
      <c r="G1666" s="5"/>
      <c r="H1666" s="6"/>
      <c r="I1666" s="5"/>
      <c r="J1666" s="5"/>
      <c r="K1666" s="7" t="str">
        <f ca="1">IFERROR(__xludf.DUMMYFUNCTION("""COMPUTED_VALUE"""),"https://www.ebihoreanul.ro/stiri/coronavirus-in-bihor-inca-trei-decese-inregistrate-50-de-cazuri-noi-diagnosticate-nicio-persoana-vindecata-158239.html")</f>
        <v>https://www.ebihoreanul.ro/stiri/coronavirus-in-bihor-inca-trei-decese-inregistrate-50-de-cazuri-noi-diagnosticate-nicio-persoana-vindecata-158239.html</v>
      </c>
      <c r="L1666" s="5"/>
      <c r="M1666" s="5"/>
      <c r="N1666" s="5"/>
      <c r="O1666" s="5"/>
      <c r="P1666" s="5"/>
      <c r="Q1666" s="5"/>
      <c r="R1666" s="5" t="str">
        <f ca="1">IFERROR(__xludf.DUMMYFUNCTION("""COMPUTED_VALUE"""),"România")</f>
        <v>România</v>
      </c>
      <c r="S1666" s="5" t="str">
        <f ca="1">IFERROR(__xludf.DUMMYFUNCTION("""COMPUTED_VALUE"""),"Octavian")</f>
        <v>Octavian</v>
      </c>
      <c r="T1666" s="7" t="str">
        <f ca="1">IFERROR(__xludf.DUMMYFUNCTION("""COMPUTED_VALUE"""),"http://www.ms.ro/2020/08/16/buletin-informativ-16-08-2020")</f>
        <v>http://www.ms.ro/2020/08/16/buletin-informativ-16-08-2020</v>
      </c>
      <c r="U1666" s="5"/>
      <c r="V1666" s="5"/>
      <c r="W1666" s="5"/>
      <c r="X1666" s="5"/>
      <c r="Y1666" s="5"/>
      <c r="Z1666" s="5"/>
      <c r="AA1666" s="5"/>
      <c r="AB1666" s="5"/>
      <c r="AC1666" s="5"/>
    </row>
    <row r="1667" spans="1:29" ht="12.5">
      <c r="A1667" s="5">
        <f ca="1">IFERROR(__xludf.DUMMYFUNCTION("""COMPUTED_VALUE"""),70562)</f>
        <v>70562</v>
      </c>
      <c r="B1667" s="5"/>
      <c r="C1667" s="5" t="str">
        <f ca="1">IFERROR(__xludf.DUMMYFUNCTION("""COMPUTED_VALUE"""),"Bihor")</f>
        <v>Bihor</v>
      </c>
      <c r="D1667" s="13">
        <f ca="1">IFERROR(__xludf.DUMMYFUNCTION("""COMPUTED_VALUE"""),44060)</f>
        <v>44060</v>
      </c>
      <c r="E1667" s="5" t="str">
        <f ca="1">IFERROR(__xludf.DUMMYFUNCTION("""COMPUTED_VALUE"""),"Nu")</f>
        <v>Nu</v>
      </c>
      <c r="F1667" s="5"/>
      <c r="G1667" s="5"/>
      <c r="H1667" s="6"/>
      <c r="I1667" s="5" t="str">
        <f ca="1">IFERROR(__xludf.DUMMYFUNCTION("""COMPUTED_VALUE"""),"Feminin")</f>
        <v>Feminin</v>
      </c>
      <c r="J1667" s="5"/>
      <c r="K1667" s="7" t="str">
        <f ca="1">IFERROR(__xludf.DUMMYFUNCTION("""COMPUTED_VALUE"""),"https://www.ebihoreanul.ro/stiri/dupa-doua-saptamani-numarul-imbolnavirilor-covid-scade-in-bihor-31-noi-infectari-dar-si-un-deces-158256.html")</f>
        <v>https://www.ebihoreanul.ro/stiri/dupa-doua-saptamani-numarul-imbolnavirilor-covid-scade-in-bihor-31-noi-infectari-dar-si-un-deces-158256.html</v>
      </c>
      <c r="L1667" s="5"/>
      <c r="M1667" s="5" t="str">
        <f ca="1">IFERROR(__xludf.DUMMYFUNCTION("""COMPUTED_VALUE"""),"Oradea")</f>
        <v>Oradea</v>
      </c>
      <c r="N1667" s="5" t="str">
        <f ca="1">IFERROR(__xludf.DUMMYFUNCTION("""COMPUTED_VALUE"""),"Da")</f>
        <v>Da</v>
      </c>
      <c r="O1667" s="5"/>
      <c r="P1667" s="5" t="str">
        <f ca="1">IFERROR(__xludf.DUMMYFUNCTION("""COMPUTED_VALUE"""),"Spitalul Pelican, infirmieră. Izolată la domiciliu, depistată la revenirea din concediu.")</f>
        <v>Spitalul Pelican, infirmieră. Izolată la domiciliu, depistată la revenirea din concediu.</v>
      </c>
      <c r="Q1667" s="5" t="str">
        <f ca="1">IFERROR(__xludf.DUMMYFUNCTION("""COMPUTED_VALUE"""),"Medical")</f>
        <v>Medical</v>
      </c>
      <c r="R1667" s="5" t="str">
        <f ca="1">IFERROR(__xludf.DUMMYFUNCTION("""COMPUTED_VALUE"""),"România")</f>
        <v>România</v>
      </c>
      <c r="S1667" s="5" t="str">
        <f ca="1">IFERROR(__xludf.DUMMYFUNCTION("""COMPUTED_VALUE"""),"Octavian")</f>
        <v>Octavian</v>
      </c>
      <c r="T1667" s="7" t="str">
        <f ca="1">IFERROR(__xludf.DUMMYFUNCTION("""COMPUTED_VALUE"""),"http://www.ms.ro/2020/08/17/buletin-informativ-17-08-2020")</f>
        <v>http://www.ms.ro/2020/08/17/buletin-informativ-17-08-2020</v>
      </c>
      <c r="U1667" s="5"/>
      <c r="V1667" s="5"/>
      <c r="W1667" s="5"/>
      <c r="X1667" s="5"/>
      <c r="Y1667" s="5"/>
      <c r="Z1667" s="5"/>
      <c r="AA1667" s="5"/>
      <c r="AB1667" s="5"/>
      <c r="AC1667" s="5"/>
    </row>
    <row r="1668" spans="1:29" ht="12.5">
      <c r="A1668" s="5">
        <f ca="1">IFERROR(__xludf.DUMMYFUNCTION("""COMPUTED_VALUE"""),70563)</f>
        <v>70563</v>
      </c>
      <c r="B1668" s="5"/>
      <c r="C1668" s="5" t="str">
        <f ca="1">IFERROR(__xludf.DUMMYFUNCTION("""COMPUTED_VALUE"""),"Bihor")</f>
        <v>Bihor</v>
      </c>
      <c r="D1668" s="13">
        <f ca="1">IFERROR(__xludf.DUMMYFUNCTION("""COMPUTED_VALUE"""),44060)</f>
        <v>44060</v>
      </c>
      <c r="E1668" s="5" t="str">
        <f ca="1">IFERROR(__xludf.DUMMYFUNCTION("""COMPUTED_VALUE"""),"Nu")</f>
        <v>Nu</v>
      </c>
      <c r="F1668" s="5"/>
      <c r="G1668" s="5"/>
      <c r="H1668" s="6"/>
      <c r="I1668" s="5"/>
      <c r="J1668" s="5"/>
      <c r="K1668" s="7" t="str">
        <f ca="1">IFERROR(__xludf.DUMMYFUNCTION("""COMPUTED_VALUE"""),"https://www.ebihoreanul.ro/stiri/dupa-doua-saptamani-numarul-imbolnavirilor-covid-scade-in-bihor-31-noi-infectari-dar-si-un-deces-158256.html")</f>
        <v>https://www.ebihoreanul.ro/stiri/dupa-doua-saptamani-numarul-imbolnavirilor-covid-scade-in-bihor-31-noi-infectari-dar-si-un-deces-158256.html</v>
      </c>
      <c r="L1668" s="5"/>
      <c r="M1668" s="5" t="str">
        <f ca="1">IFERROR(__xludf.DUMMYFUNCTION("""COMPUTED_VALUE"""),"Oradea")</f>
        <v>Oradea</v>
      </c>
      <c r="N1668" s="5"/>
      <c r="O1668" s="5"/>
      <c r="P1668" s="5" t="str">
        <f ca="1">IFERROR(__xludf.DUMMYFUNCTION("""COMPUTED_VALUE"""),"SJU, pacient.")</f>
        <v>SJU, pacient.</v>
      </c>
      <c r="Q1668" s="5" t="str">
        <f ca="1">IFERROR(__xludf.DUMMYFUNCTION("""COMPUTED_VALUE"""),"Medical")</f>
        <v>Medical</v>
      </c>
      <c r="R1668" s="5" t="str">
        <f ca="1">IFERROR(__xludf.DUMMYFUNCTION("""COMPUTED_VALUE"""),"România")</f>
        <v>România</v>
      </c>
      <c r="S1668" s="5" t="str">
        <f ca="1">IFERROR(__xludf.DUMMYFUNCTION("""COMPUTED_VALUE"""),"Octavian")</f>
        <v>Octavian</v>
      </c>
      <c r="T1668" s="7" t="str">
        <f ca="1">IFERROR(__xludf.DUMMYFUNCTION("""COMPUTED_VALUE"""),"http://www.ms.ro/2020/08/17/buletin-informativ-17-08-2020")</f>
        <v>http://www.ms.ro/2020/08/17/buletin-informativ-17-08-2020</v>
      </c>
      <c r="U1668" s="5"/>
      <c r="V1668" s="5"/>
      <c r="W1668" s="5"/>
      <c r="X1668" s="5"/>
      <c r="Y1668" s="5"/>
      <c r="Z1668" s="5"/>
      <c r="AA1668" s="5"/>
      <c r="AB1668" s="5"/>
      <c r="AC1668" s="5"/>
    </row>
    <row r="1669" spans="1:29" ht="12.5">
      <c r="A1669" s="5">
        <f ca="1">IFERROR(__xludf.DUMMYFUNCTION("""COMPUTED_VALUE"""),70564)</f>
        <v>70564</v>
      </c>
      <c r="B1669" s="5"/>
      <c r="C1669" s="5" t="str">
        <f ca="1">IFERROR(__xludf.DUMMYFUNCTION("""COMPUTED_VALUE"""),"Bihor")</f>
        <v>Bihor</v>
      </c>
      <c r="D1669" s="13">
        <f ca="1">IFERROR(__xludf.DUMMYFUNCTION("""COMPUTED_VALUE"""),44060)</f>
        <v>44060</v>
      </c>
      <c r="E1669" s="5" t="str">
        <f ca="1">IFERROR(__xludf.DUMMYFUNCTION("""COMPUTED_VALUE"""),"Nu")</f>
        <v>Nu</v>
      </c>
      <c r="F1669" s="5"/>
      <c r="G1669" s="5"/>
      <c r="H1669" s="6"/>
      <c r="I1669" s="5"/>
      <c r="J1669" s="5"/>
      <c r="K1669" s="7" t="str">
        <f ca="1">IFERROR(__xludf.DUMMYFUNCTION("""COMPUTED_VALUE"""),"https://www.ebihoreanul.ro/stiri/dupa-doua-saptamani-numarul-imbolnavirilor-covid-scade-in-bihor-31-noi-infectari-dar-si-un-deces-158256.html")</f>
        <v>https://www.ebihoreanul.ro/stiri/dupa-doua-saptamani-numarul-imbolnavirilor-covid-scade-in-bihor-31-noi-infectari-dar-si-un-deces-158256.html</v>
      </c>
      <c r="L1669" s="5"/>
      <c r="M1669" s="5" t="str">
        <f ca="1">IFERROR(__xludf.DUMMYFUNCTION("""COMPUTED_VALUE"""),"Oradea")</f>
        <v>Oradea</v>
      </c>
      <c r="N1669" s="5"/>
      <c r="O1669" s="5"/>
      <c r="P1669" s="5" t="str">
        <f ca="1">IFERROR(__xludf.DUMMYFUNCTION("""COMPUTED_VALUE"""),"SJU, pacient.")</f>
        <v>SJU, pacient.</v>
      </c>
      <c r="Q1669" s="5" t="str">
        <f ca="1">IFERROR(__xludf.DUMMYFUNCTION("""COMPUTED_VALUE"""),"Medical")</f>
        <v>Medical</v>
      </c>
      <c r="R1669" s="5" t="str">
        <f ca="1">IFERROR(__xludf.DUMMYFUNCTION("""COMPUTED_VALUE"""),"România")</f>
        <v>România</v>
      </c>
      <c r="S1669" s="5" t="str">
        <f ca="1">IFERROR(__xludf.DUMMYFUNCTION("""COMPUTED_VALUE"""),"Octavian")</f>
        <v>Octavian</v>
      </c>
      <c r="T1669" s="7" t="str">
        <f ca="1">IFERROR(__xludf.DUMMYFUNCTION("""COMPUTED_VALUE"""),"http://www.ms.ro/2020/08/17/buletin-informativ-17-08-2020")</f>
        <v>http://www.ms.ro/2020/08/17/buletin-informativ-17-08-2020</v>
      </c>
      <c r="U1669" s="5"/>
      <c r="V1669" s="5"/>
      <c r="W1669" s="5"/>
      <c r="X1669" s="5"/>
      <c r="Y1669" s="5"/>
      <c r="Z1669" s="5"/>
      <c r="AA1669" s="5"/>
      <c r="AB1669" s="5"/>
      <c r="AC1669" s="5"/>
    </row>
    <row r="1670" spans="1:29" ht="12.5">
      <c r="A1670" s="5">
        <f ca="1">IFERROR(__xludf.DUMMYFUNCTION("""COMPUTED_VALUE"""),70565)</f>
        <v>70565</v>
      </c>
      <c r="B1670" s="5"/>
      <c r="C1670" s="5" t="str">
        <f ca="1">IFERROR(__xludf.DUMMYFUNCTION("""COMPUTED_VALUE"""),"Bihor")</f>
        <v>Bihor</v>
      </c>
      <c r="D1670" s="13">
        <f ca="1">IFERROR(__xludf.DUMMYFUNCTION("""COMPUTED_VALUE"""),44060)</f>
        <v>44060</v>
      </c>
      <c r="E1670" s="5" t="str">
        <f ca="1">IFERROR(__xludf.DUMMYFUNCTION("""COMPUTED_VALUE"""),"Nu")</f>
        <v>Nu</v>
      </c>
      <c r="F1670" s="5"/>
      <c r="G1670" s="5"/>
      <c r="H1670" s="6"/>
      <c r="I1670" s="5"/>
      <c r="J1670" s="5"/>
      <c r="K1670" s="7" t="str">
        <f ca="1">IFERROR(__xludf.DUMMYFUNCTION("""COMPUTED_VALUE"""),"https://www.ebihoreanul.ro/stiri/dupa-doua-saptamani-numarul-imbolnavirilor-covid-scade-in-bihor-31-noi-infectari-dar-si-un-deces-158256.html")</f>
        <v>https://www.ebihoreanul.ro/stiri/dupa-doua-saptamani-numarul-imbolnavirilor-covid-scade-in-bihor-31-noi-infectari-dar-si-un-deces-158256.html</v>
      </c>
      <c r="L1670" s="5"/>
      <c r="M1670" s="5" t="str">
        <f ca="1">IFERROR(__xludf.DUMMYFUNCTION("""COMPUTED_VALUE"""),"Oradea")</f>
        <v>Oradea</v>
      </c>
      <c r="N1670" s="5"/>
      <c r="O1670" s="5"/>
      <c r="P1670" s="5" t="str">
        <f ca="1">IFERROR(__xludf.DUMMYFUNCTION("""COMPUTED_VALUE"""),"SJU, pacient.")</f>
        <v>SJU, pacient.</v>
      </c>
      <c r="Q1670" s="5" t="str">
        <f ca="1">IFERROR(__xludf.DUMMYFUNCTION("""COMPUTED_VALUE"""),"Medical")</f>
        <v>Medical</v>
      </c>
      <c r="R1670" s="5" t="str">
        <f ca="1">IFERROR(__xludf.DUMMYFUNCTION("""COMPUTED_VALUE"""),"România")</f>
        <v>România</v>
      </c>
      <c r="S1670" s="5" t="str">
        <f ca="1">IFERROR(__xludf.DUMMYFUNCTION("""COMPUTED_VALUE"""),"Octavian")</f>
        <v>Octavian</v>
      </c>
      <c r="T1670" s="7" t="str">
        <f ca="1">IFERROR(__xludf.DUMMYFUNCTION("""COMPUTED_VALUE"""),"http://www.ms.ro/2020/08/17/buletin-informativ-17-08-2020")</f>
        <v>http://www.ms.ro/2020/08/17/buletin-informativ-17-08-2020</v>
      </c>
      <c r="U1670" s="5"/>
      <c r="V1670" s="5"/>
      <c r="W1670" s="5"/>
      <c r="X1670" s="5"/>
      <c r="Y1670" s="5"/>
      <c r="Z1670" s="5"/>
      <c r="AA1670" s="5"/>
      <c r="AB1670" s="5"/>
      <c r="AC1670" s="5"/>
    </row>
    <row r="1671" spans="1:29" ht="12.5">
      <c r="A1671" s="5">
        <f ca="1">IFERROR(__xludf.DUMMYFUNCTION("""COMPUTED_VALUE"""),70566)</f>
        <v>70566</v>
      </c>
      <c r="B1671" s="5"/>
      <c r="C1671" s="5" t="str">
        <f ca="1">IFERROR(__xludf.DUMMYFUNCTION("""COMPUTED_VALUE"""),"Bihor")</f>
        <v>Bihor</v>
      </c>
      <c r="D1671" s="13">
        <f ca="1">IFERROR(__xludf.DUMMYFUNCTION("""COMPUTED_VALUE"""),44060)</f>
        <v>44060</v>
      </c>
      <c r="E1671" s="5" t="str">
        <f ca="1">IFERROR(__xludf.DUMMYFUNCTION("""COMPUTED_VALUE"""),"Nu")</f>
        <v>Nu</v>
      </c>
      <c r="F1671" s="5"/>
      <c r="G1671" s="5"/>
      <c r="H1671" s="6"/>
      <c r="I1671" s="5"/>
      <c r="J1671" s="5"/>
      <c r="K1671" s="7" t="str">
        <f ca="1">IFERROR(__xludf.DUMMYFUNCTION("""COMPUTED_VALUE"""),"https://www.ebihoreanul.ro/stiri/dupa-doua-saptamani-numarul-imbolnavirilor-covid-scade-in-bihor-31-noi-infectari-dar-si-un-deces-158256.html")</f>
        <v>https://www.ebihoreanul.ro/stiri/dupa-doua-saptamani-numarul-imbolnavirilor-covid-scade-in-bihor-31-noi-infectari-dar-si-un-deces-158256.html</v>
      </c>
      <c r="L1671" s="5"/>
      <c r="M1671" s="5" t="str">
        <f ca="1">IFERROR(__xludf.DUMMYFUNCTION("""COMPUTED_VALUE"""),"Oradea")</f>
        <v>Oradea</v>
      </c>
      <c r="N1671" s="5"/>
      <c r="O1671" s="5"/>
      <c r="P1671" s="5" t="str">
        <f ca="1">IFERROR(__xludf.DUMMYFUNCTION("""COMPUTED_VALUE"""),"SJU, pacient.")</f>
        <v>SJU, pacient.</v>
      </c>
      <c r="Q1671" s="5" t="str">
        <f ca="1">IFERROR(__xludf.DUMMYFUNCTION("""COMPUTED_VALUE"""),"Medical")</f>
        <v>Medical</v>
      </c>
      <c r="R1671" s="5" t="str">
        <f ca="1">IFERROR(__xludf.DUMMYFUNCTION("""COMPUTED_VALUE"""),"România")</f>
        <v>România</v>
      </c>
      <c r="S1671" s="5" t="str">
        <f ca="1">IFERROR(__xludf.DUMMYFUNCTION("""COMPUTED_VALUE"""),"Octavian")</f>
        <v>Octavian</v>
      </c>
      <c r="T1671" s="7" t="str">
        <f ca="1">IFERROR(__xludf.DUMMYFUNCTION("""COMPUTED_VALUE"""),"http://www.ms.ro/2020/08/17/buletin-informativ-17-08-2020")</f>
        <v>http://www.ms.ro/2020/08/17/buletin-informativ-17-08-2020</v>
      </c>
      <c r="U1671" s="5"/>
      <c r="V1671" s="5"/>
      <c r="W1671" s="5"/>
      <c r="X1671" s="5"/>
      <c r="Y1671" s="5"/>
      <c r="Z1671" s="5"/>
      <c r="AA1671" s="5"/>
      <c r="AB1671" s="5"/>
      <c r="AC1671" s="5"/>
    </row>
    <row r="1672" spans="1:29" ht="12.5">
      <c r="A1672" s="5">
        <f ca="1">IFERROR(__xludf.DUMMYFUNCTION("""COMPUTED_VALUE"""),70567)</f>
        <v>70567</v>
      </c>
      <c r="B1672" s="5"/>
      <c r="C1672" s="5" t="str">
        <f ca="1">IFERROR(__xludf.DUMMYFUNCTION("""COMPUTED_VALUE"""),"Bihor")</f>
        <v>Bihor</v>
      </c>
      <c r="D1672" s="13">
        <f ca="1">IFERROR(__xludf.DUMMYFUNCTION("""COMPUTED_VALUE"""),44060)</f>
        <v>44060</v>
      </c>
      <c r="E1672" s="5" t="str">
        <f ca="1">IFERROR(__xludf.DUMMYFUNCTION("""COMPUTED_VALUE"""),"Nu")</f>
        <v>Nu</v>
      </c>
      <c r="F1672" s="5"/>
      <c r="G1672" s="5"/>
      <c r="H1672" s="6"/>
      <c r="I1672" s="5"/>
      <c r="J1672" s="5"/>
      <c r="K1672" s="7" t="str">
        <f ca="1">IFERROR(__xludf.DUMMYFUNCTION("""COMPUTED_VALUE"""),"https://www.ebihoreanul.ro/stiri/dupa-doua-saptamani-numarul-imbolnavirilor-covid-scade-in-bihor-31-noi-infectari-dar-si-un-deces-158256.html")</f>
        <v>https://www.ebihoreanul.ro/stiri/dupa-doua-saptamani-numarul-imbolnavirilor-covid-scade-in-bihor-31-noi-infectari-dar-si-un-deces-158256.html</v>
      </c>
      <c r="L1672" s="5"/>
      <c r="M1672" s="5" t="str">
        <f ca="1">IFERROR(__xludf.DUMMYFUNCTION("""COMPUTED_VALUE"""),"Beiuș")</f>
        <v>Beiuș</v>
      </c>
      <c r="N1672" s="5"/>
      <c r="O1672" s="5"/>
      <c r="P1672" s="5" t="str">
        <f ca="1">IFERROR(__xludf.DUMMYFUNCTION("""COMPUTED_VALUE"""),"Spital Beiuș, pacient.")</f>
        <v>Spital Beiuș, pacient.</v>
      </c>
      <c r="Q1672" s="5" t="str">
        <f ca="1">IFERROR(__xludf.DUMMYFUNCTION("""COMPUTED_VALUE"""),"Medical")</f>
        <v>Medical</v>
      </c>
      <c r="R1672" s="5" t="str">
        <f ca="1">IFERROR(__xludf.DUMMYFUNCTION("""COMPUTED_VALUE"""),"România")</f>
        <v>România</v>
      </c>
      <c r="S1672" s="5" t="str">
        <f ca="1">IFERROR(__xludf.DUMMYFUNCTION("""COMPUTED_VALUE"""),"Octavian")</f>
        <v>Octavian</v>
      </c>
      <c r="T1672" s="7" t="str">
        <f ca="1">IFERROR(__xludf.DUMMYFUNCTION("""COMPUTED_VALUE"""),"http://www.ms.ro/2020/08/17/buletin-informativ-17-08-2020")</f>
        <v>http://www.ms.ro/2020/08/17/buletin-informativ-17-08-2020</v>
      </c>
      <c r="U1672" s="5"/>
      <c r="V1672" s="5"/>
      <c r="W1672" s="5"/>
      <c r="X1672" s="5"/>
      <c r="Y1672" s="5"/>
      <c r="Z1672" s="5"/>
      <c r="AA1672" s="5"/>
      <c r="AB1672" s="5"/>
      <c r="AC1672" s="5"/>
    </row>
    <row r="1673" spans="1:29" ht="12.5">
      <c r="A1673" s="5">
        <f ca="1">IFERROR(__xludf.DUMMYFUNCTION("""COMPUTED_VALUE"""),70568)</f>
        <v>70568</v>
      </c>
      <c r="B1673" s="5"/>
      <c r="C1673" s="5" t="str">
        <f ca="1">IFERROR(__xludf.DUMMYFUNCTION("""COMPUTED_VALUE"""),"Bihor")</f>
        <v>Bihor</v>
      </c>
      <c r="D1673" s="13">
        <f ca="1">IFERROR(__xludf.DUMMYFUNCTION("""COMPUTED_VALUE"""),44060)</f>
        <v>44060</v>
      </c>
      <c r="E1673" s="5" t="str">
        <f ca="1">IFERROR(__xludf.DUMMYFUNCTION("""COMPUTED_VALUE"""),"Nu")</f>
        <v>Nu</v>
      </c>
      <c r="F1673" s="5"/>
      <c r="G1673" s="5"/>
      <c r="H1673" s="6"/>
      <c r="I1673" s="5"/>
      <c r="J1673" s="5"/>
      <c r="K1673" s="7" t="str">
        <f ca="1">IFERROR(__xludf.DUMMYFUNCTION("""COMPUTED_VALUE"""),"https://www.ebihoreanul.ro/stiri/dupa-doua-saptamani-numarul-imbolnavirilor-covid-scade-in-bihor-31-noi-infectari-dar-si-un-deces-158256.html")</f>
        <v>https://www.ebihoreanul.ro/stiri/dupa-doua-saptamani-numarul-imbolnavirilor-covid-scade-in-bihor-31-noi-infectari-dar-si-un-deces-158256.html</v>
      </c>
      <c r="L1673" s="5"/>
      <c r="M1673" s="5" t="str">
        <f ca="1">IFERROR(__xludf.DUMMYFUNCTION("""COMPUTED_VALUE"""),"Beiuș")</f>
        <v>Beiuș</v>
      </c>
      <c r="N1673" s="5"/>
      <c r="O1673" s="5"/>
      <c r="P1673" s="5" t="str">
        <f ca="1">IFERROR(__xludf.DUMMYFUNCTION("""COMPUTED_VALUE"""),"Spital Beiuș, pacient.")</f>
        <v>Spital Beiuș, pacient.</v>
      </c>
      <c r="Q1673" s="5" t="str">
        <f ca="1">IFERROR(__xludf.DUMMYFUNCTION("""COMPUTED_VALUE"""),"Medical")</f>
        <v>Medical</v>
      </c>
      <c r="R1673" s="5" t="str">
        <f ca="1">IFERROR(__xludf.DUMMYFUNCTION("""COMPUTED_VALUE"""),"România")</f>
        <v>România</v>
      </c>
      <c r="S1673" s="5" t="str">
        <f ca="1">IFERROR(__xludf.DUMMYFUNCTION("""COMPUTED_VALUE"""),"Octavian")</f>
        <v>Octavian</v>
      </c>
      <c r="T1673" s="7" t="str">
        <f ca="1">IFERROR(__xludf.DUMMYFUNCTION("""COMPUTED_VALUE"""),"http://www.ms.ro/2020/08/17/buletin-informativ-17-08-2020")</f>
        <v>http://www.ms.ro/2020/08/17/buletin-informativ-17-08-2020</v>
      </c>
      <c r="U1673" s="5"/>
      <c r="V1673" s="5"/>
      <c r="W1673" s="5"/>
      <c r="X1673" s="5"/>
      <c r="Y1673" s="5"/>
      <c r="Z1673" s="5"/>
      <c r="AA1673" s="5"/>
      <c r="AB1673" s="5"/>
      <c r="AC1673" s="5"/>
    </row>
    <row r="1674" spans="1:29" ht="12.5">
      <c r="A1674" s="5">
        <f ca="1">IFERROR(__xludf.DUMMYFUNCTION("""COMPUTED_VALUE"""),70569)</f>
        <v>70569</v>
      </c>
      <c r="B1674" s="5"/>
      <c r="C1674" s="5" t="str">
        <f ca="1">IFERROR(__xludf.DUMMYFUNCTION("""COMPUTED_VALUE"""),"Bihor")</f>
        <v>Bihor</v>
      </c>
      <c r="D1674" s="13">
        <f ca="1">IFERROR(__xludf.DUMMYFUNCTION("""COMPUTED_VALUE"""),44060)</f>
        <v>44060</v>
      </c>
      <c r="E1674" s="5" t="str">
        <f ca="1">IFERROR(__xludf.DUMMYFUNCTION("""COMPUTED_VALUE"""),"Nu")</f>
        <v>Nu</v>
      </c>
      <c r="F1674" s="5"/>
      <c r="G1674" s="5"/>
      <c r="H1674" s="6"/>
      <c r="I1674" s="5"/>
      <c r="J1674" s="5"/>
      <c r="K1674" s="7" t="str">
        <f ca="1">IFERROR(__xludf.DUMMYFUNCTION("""COMPUTED_VALUE"""),"https://www.ebihoreanul.ro/stiri/dupa-doua-saptamani-numarul-imbolnavirilor-covid-scade-in-bihor-31-noi-infectari-dar-si-un-deces-158256.html")</f>
        <v>https://www.ebihoreanul.ro/stiri/dupa-doua-saptamani-numarul-imbolnavirilor-covid-scade-in-bihor-31-noi-infectari-dar-si-un-deces-158256.html</v>
      </c>
      <c r="L1674" s="5"/>
      <c r="M1674" s="5" t="str">
        <f ca="1">IFERROR(__xludf.DUMMYFUNCTION("""COMPUTED_VALUE"""),"Beiuș")</f>
        <v>Beiuș</v>
      </c>
      <c r="N1674" s="5"/>
      <c r="O1674" s="5"/>
      <c r="P1674" s="5" t="str">
        <f ca="1">IFERROR(__xludf.DUMMYFUNCTION("""COMPUTED_VALUE"""),"Spital Beiuș, pacient.")</f>
        <v>Spital Beiuș, pacient.</v>
      </c>
      <c r="Q1674" s="5" t="str">
        <f ca="1">IFERROR(__xludf.DUMMYFUNCTION("""COMPUTED_VALUE"""),"Medical")</f>
        <v>Medical</v>
      </c>
      <c r="R1674" s="5" t="str">
        <f ca="1">IFERROR(__xludf.DUMMYFUNCTION("""COMPUTED_VALUE"""),"România")</f>
        <v>România</v>
      </c>
      <c r="S1674" s="5" t="str">
        <f ca="1">IFERROR(__xludf.DUMMYFUNCTION("""COMPUTED_VALUE"""),"Octavian")</f>
        <v>Octavian</v>
      </c>
      <c r="T1674" s="7" t="str">
        <f ca="1">IFERROR(__xludf.DUMMYFUNCTION("""COMPUTED_VALUE"""),"http://www.ms.ro/2020/08/17/buletin-informativ-17-08-2020")</f>
        <v>http://www.ms.ro/2020/08/17/buletin-informativ-17-08-2020</v>
      </c>
      <c r="U1674" s="5"/>
      <c r="V1674" s="5"/>
      <c r="W1674" s="5"/>
      <c r="X1674" s="5"/>
      <c r="Y1674" s="5"/>
      <c r="Z1674" s="5"/>
      <c r="AA1674" s="5"/>
      <c r="AB1674" s="5"/>
      <c r="AC1674" s="5"/>
    </row>
    <row r="1675" spans="1:29" ht="12.5">
      <c r="A1675" s="5">
        <f ca="1">IFERROR(__xludf.DUMMYFUNCTION("""COMPUTED_VALUE"""),70570)</f>
        <v>70570</v>
      </c>
      <c r="B1675" s="5"/>
      <c r="C1675" s="5" t="str">
        <f ca="1">IFERROR(__xludf.DUMMYFUNCTION("""COMPUTED_VALUE"""),"Bihor")</f>
        <v>Bihor</v>
      </c>
      <c r="D1675" s="13">
        <f ca="1">IFERROR(__xludf.DUMMYFUNCTION("""COMPUTED_VALUE"""),44060)</f>
        <v>44060</v>
      </c>
      <c r="E1675" s="5" t="str">
        <f ca="1">IFERROR(__xludf.DUMMYFUNCTION("""COMPUTED_VALUE"""),"Nu")</f>
        <v>Nu</v>
      </c>
      <c r="F1675" s="5"/>
      <c r="G1675" s="5"/>
      <c r="H1675" s="6"/>
      <c r="I1675" s="5"/>
      <c r="J1675" s="5"/>
      <c r="K1675" s="7" t="str">
        <f ca="1">IFERROR(__xludf.DUMMYFUNCTION("""COMPUTED_VALUE"""),"https://www.ebihoreanul.ro/stiri/dupa-doua-saptamani-numarul-imbolnavirilor-covid-scade-in-bihor-31-noi-infectari-dar-si-un-deces-158256.html")</f>
        <v>https://www.ebihoreanul.ro/stiri/dupa-doua-saptamani-numarul-imbolnavirilor-covid-scade-in-bihor-31-noi-infectari-dar-si-un-deces-158256.html</v>
      </c>
      <c r="L1675" s="5"/>
      <c r="M1675" s="5" t="str">
        <f ca="1">IFERROR(__xludf.DUMMYFUNCTION("""COMPUTED_VALUE"""),"Aleșd")</f>
        <v>Aleșd</v>
      </c>
      <c r="N1675" s="5"/>
      <c r="O1675" s="5"/>
      <c r="P1675" s="5"/>
      <c r="Q1675" s="5"/>
      <c r="R1675" s="5" t="str">
        <f ca="1">IFERROR(__xludf.DUMMYFUNCTION("""COMPUTED_VALUE"""),"România")</f>
        <v>România</v>
      </c>
      <c r="S1675" s="5" t="str">
        <f ca="1">IFERROR(__xludf.DUMMYFUNCTION("""COMPUTED_VALUE"""),"Octavian")</f>
        <v>Octavian</v>
      </c>
      <c r="T1675" s="7" t="str">
        <f ca="1">IFERROR(__xludf.DUMMYFUNCTION("""COMPUTED_VALUE"""),"http://www.ms.ro/2020/08/17/buletin-informativ-17-08-2020")</f>
        <v>http://www.ms.ro/2020/08/17/buletin-informativ-17-08-2020</v>
      </c>
      <c r="U1675" s="5"/>
      <c r="V1675" s="5"/>
      <c r="W1675" s="5"/>
      <c r="X1675" s="5"/>
      <c r="Y1675" s="5"/>
      <c r="Z1675" s="5"/>
      <c r="AA1675" s="5"/>
      <c r="AB1675" s="5"/>
      <c r="AC1675" s="5"/>
    </row>
    <row r="1676" spans="1:29" ht="12.5">
      <c r="A1676" s="5">
        <f ca="1">IFERROR(__xludf.DUMMYFUNCTION("""COMPUTED_VALUE"""),70571)</f>
        <v>70571</v>
      </c>
      <c r="B1676" s="5"/>
      <c r="C1676" s="5" t="str">
        <f ca="1">IFERROR(__xludf.DUMMYFUNCTION("""COMPUTED_VALUE"""),"Bihor")</f>
        <v>Bihor</v>
      </c>
      <c r="D1676" s="13">
        <f ca="1">IFERROR(__xludf.DUMMYFUNCTION("""COMPUTED_VALUE"""),44060)</f>
        <v>44060</v>
      </c>
      <c r="E1676" s="5" t="str">
        <f ca="1">IFERROR(__xludf.DUMMYFUNCTION("""COMPUTED_VALUE"""),"Nu")</f>
        <v>Nu</v>
      </c>
      <c r="F1676" s="5"/>
      <c r="G1676" s="5"/>
      <c r="H1676" s="6"/>
      <c r="I1676" s="5"/>
      <c r="J1676" s="5"/>
      <c r="K1676" s="7" t="str">
        <f ca="1">IFERROR(__xludf.DUMMYFUNCTION("""COMPUTED_VALUE"""),"https://www.ebihoreanul.ro/stiri/dupa-doua-saptamani-numarul-imbolnavirilor-covid-scade-in-bihor-31-noi-infectari-dar-si-un-deces-158256.html")</f>
        <v>https://www.ebihoreanul.ro/stiri/dupa-doua-saptamani-numarul-imbolnavirilor-covid-scade-in-bihor-31-noi-infectari-dar-si-un-deces-158256.html</v>
      </c>
      <c r="L1676" s="5"/>
      <c r="M1676" s="5" t="str">
        <f ca="1">IFERROR(__xludf.DUMMYFUNCTION("""COMPUTED_VALUE"""),"Aleșd")</f>
        <v>Aleșd</v>
      </c>
      <c r="N1676" s="5"/>
      <c r="O1676" s="5"/>
      <c r="P1676" s="5"/>
      <c r="Q1676" s="5"/>
      <c r="R1676" s="5" t="str">
        <f ca="1">IFERROR(__xludf.DUMMYFUNCTION("""COMPUTED_VALUE"""),"România")</f>
        <v>România</v>
      </c>
      <c r="S1676" s="5" t="str">
        <f ca="1">IFERROR(__xludf.DUMMYFUNCTION("""COMPUTED_VALUE"""),"Octavian")</f>
        <v>Octavian</v>
      </c>
      <c r="T1676" s="7" t="str">
        <f ca="1">IFERROR(__xludf.DUMMYFUNCTION("""COMPUTED_VALUE"""),"http://www.ms.ro/2020/08/17/buletin-informativ-17-08-2020")</f>
        <v>http://www.ms.ro/2020/08/17/buletin-informativ-17-08-2020</v>
      </c>
      <c r="U1676" s="5"/>
      <c r="V1676" s="5"/>
      <c r="W1676" s="5"/>
      <c r="X1676" s="5"/>
      <c r="Y1676" s="5"/>
      <c r="Z1676" s="5"/>
      <c r="AA1676" s="5"/>
      <c r="AB1676" s="5"/>
      <c r="AC1676" s="5"/>
    </row>
    <row r="1677" spans="1:29" ht="12.5">
      <c r="A1677" s="5">
        <f ca="1">IFERROR(__xludf.DUMMYFUNCTION("""COMPUTED_VALUE"""),70572)</f>
        <v>70572</v>
      </c>
      <c r="B1677" s="5"/>
      <c r="C1677" s="5" t="str">
        <f ca="1">IFERROR(__xludf.DUMMYFUNCTION("""COMPUTED_VALUE"""),"Bihor")</f>
        <v>Bihor</v>
      </c>
      <c r="D1677" s="13">
        <f ca="1">IFERROR(__xludf.DUMMYFUNCTION("""COMPUTED_VALUE"""),44060)</f>
        <v>44060</v>
      </c>
      <c r="E1677" s="5" t="str">
        <f ca="1">IFERROR(__xludf.DUMMYFUNCTION("""COMPUTED_VALUE"""),"Nu")</f>
        <v>Nu</v>
      </c>
      <c r="F1677" s="5"/>
      <c r="G1677" s="5"/>
      <c r="H1677" s="6"/>
      <c r="I1677" s="5"/>
      <c r="J1677" s="5"/>
      <c r="K1677" s="7" t="str">
        <f ca="1">IFERROR(__xludf.DUMMYFUNCTION("""COMPUTED_VALUE"""),"https://www.ebihoreanul.ro/stiri/dupa-doua-saptamani-numarul-imbolnavirilor-covid-scade-in-bihor-31-noi-infectari-dar-si-un-deces-158256.html")</f>
        <v>https://www.ebihoreanul.ro/stiri/dupa-doua-saptamani-numarul-imbolnavirilor-covid-scade-in-bihor-31-noi-infectari-dar-si-un-deces-158256.html</v>
      </c>
      <c r="L1677" s="5"/>
      <c r="M1677" s="5" t="str">
        <f ca="1">IFERROR(__xludf.DUMMYFUNCTION("""COMPUTED_VALUE"""),"Nucet")</f>
        <v>Nucet</v>
      </c>
      <c r="N1677" s="5"/>
      <c r="O1677" s="5"/>
      <c r="P1677" s="5"/>
      <c r="Q1677" s="5"/>
      <c r="R1677" s="5" t="str">
        <f ca="1">IFERROR(__xludf.DUMMYFUNCTION("""COMPUTED_VALUE"""),"România")</f>
        <v>România</v>
      </c>
      <c r="S1677" s="5" t="str">
        <f ca="1">IFERROR(__xludf.DUMMYFUNCTION("""COMPUTED_VALUE"""),"Octavian")</f>
        <v>Octavian</v>
      </c>
      <c r="T1677" s="7" t="str">
        <f ca="1">IFERROR(__xludf.DUMMYFUNCTION("""COMPUTED_VALUE"""),"http://www.ms.ro/2020/08/17/buletin-informativ-17-08-2020")</f>
        <v>http://www.ms.ro/2020/08/17/buletin-informativ-17-08-2020</v>
      </c>
      <c r="U1677" s="5"/>
      <c r="V1677" s="5"/>
      <c r="W1677" s="5"/>
      <c r="X1677" s="5"/>
      <c r="Y1677" s="5"/>
      <c r="Z1677" s="5"/>
      <c r="AA1677" s="5"/>
      <c r="AB1677" s="5"/>
      <c r="AC1677" s="5"/>
    </row>
    <row r="1678" spans="1:29" ht="12.5">
      <c r="A1678" s="5">
        <f ca="1">IFERROR(__xludf.DUMMYFUNCTION("""COMPUTED_VALUE"""),70573)</f>
        <v>70573</v>
      </c>
      <c r="B1678" s="5"/>
      <c r="C1678" s="5" t="str">
        <f ca="1">IFERROR(__xludf.DUMMYFUNCTION("""COMPUTED_VALUE"""),"Bihor")</f>
        <v>Bihor</v>
      </c>
      <c r="D1678" s="13">
        <f ca="1">IFERROR(__xludf.DUMMYFUNCTION("""COMPUTED_VALUE"""),44060)</f>
        <v>44060</v>
      </c>
      <c r="E1678" s="5" t="str">
        <f ca="1">IFERROR(__xludf.DUMMYFUNCTION("""COMPUTED_VALUE"""),"Nu")</f>
        <v>Nu</v>
      </c>
      <c r="F1678" s="5"/>
      <c r="G1678" s="5"/>
      <c r="H1678" s="6"/>
      <c r="I1678" s="5"/>
      <c r="J1678" s="5"/>
      <c r="K1678" s="7" t="str">
        <f ca="1">IFERROR(__xludf.DUMMYFUNCTION("""COMPUTED_VALUE"""),"https://www.ebihoreanul.ro/stiri/dupa-doua-saptamani-numarul-imbolnavirilor-covid-scade-in-bihor-31-noi-infectari-dar-si-un-deces-158256.html")</f>
        <v>https://www.ebihoreanul.ro/stiri/dupa-doua-saptamani-numarul-imbolnavirilor-covid-scade-in-bihor-31-noi-infectari-dar-si-un-deces-158256.html</v>
      </c>
      <c r="L1678" s="5"/>
      <c r="M1678" s="5" t="str">
        <f ca="1">IFERROR(__xludf.DUMMYFUNCTION("""COMPUTED_VALUE"""),"Vârciorog")</f>
        <v>Vârciorog</v>
      </c>
      <c r="N1678" s="5"/>
      <c r="O1678" s="5"/>
      <c r="P1678" s="5"/>
      <c r="Q1678" s="5"/>
      <c r="R1678" s="5" t="str">
        <f ca="1">IFERROR(__xludf.DUMMYFUNCTION("""COMPUTED_VALUE"""),"România")</f>
        <v>România</v>
      </c>
      <c r="S1678" s="5" t="str">
        <f ca="1">IFERROR(__xludf.DUMMYFUNCTION("""COMPUTED_VALUE"""),"Octavian")</f>
        <v>Octavian</v>
      </c>
      <c r="T1678" s="7" t="str">
        <f ca="1">IFERROR(__xludf.DUMMYFUNCTION("""COMPUTED_VALUE"""),"http://www.ms.ro/2020/08/17/buletin-informativ-17-08-2020")</f>
        <v>http://www.ms.ro/2020/08/17/buletin-informativ-17-08-2020</v>
      </c>
      <c r="U1678" s="5"/>
      <c r="V1678" s="5"/>
      <c r="W1678" s="5"/>
      <c r="X1678" s="5"/>
      <c r="Y1678" s="5"/>
      <c r="Z1678" s="5"/>
      <c r="AA1678" s="5"/>
      <c r="AB1678" s="5"/>
      <c r="AC1678" s="5"/>
    </row>
    <row r="1679" spans="1:29" ht="12.5">
      <c r="A1679" s="5">
        <f ca="1">IFERROR(__xludf.DUMMYFUNCTION("""COMPUTED_VALUE"""),70574)</f>
        <v>70574</v>
      </c>
      <c r="B1679" s="5"/>
      <c r="C1679" s="5" t="str">
        <f ca="1">IFERROR(__xludf.DUMMYFUNCTION("""COMPUTED_VALUE"""),"Bihor")</f>
        <v>Bihor</v>
      </c>
      <c r="D1679" s="13">
        <f ca="1">IFERROR(__xludf.DUMMYFUNCTION("""COMPUTED_VALUE"""),44060)</f>
        <v>44060</v>
      </c>
      <c r="E1679" s="5" t="str">
        <f ca="1">IFERROR(__xludf.DUMMYFUNCTION("""COMPUTED_VALUE"""),"Nu")</f>
        <v>Nu</v>
      </c>
      <c r="F1679" s="5"/>
      <c r="G1679" s="5"/>
      <c r="H1679" s="6"/>
      <c r="I1679" s="5"/>
      <c r="J1679" s="5"/>
      <c r="K1679" s="7" t="str">
        <f ca="1">IFERROR(__xludf.DUMMYFUNCTION("""COMPUTED_VALUE"""),"https://www.ebihoreanul.ro/stiri/dupa-doua-saptamani-numarul-imbolnavirilor-covid-scade-in-bihor-31-noi-infectari-dar-si-un-deces-158256.html")</f>
        <v>https://www.ebihoreanul.ro/stiri/dupa-doua-saptamani-numarul-imbolnavirilor-covid-scade-in-bihor-31-noi-infectari-dar-si-un-deces-158256.html</v>
      </c>
      <c r="L1679" s="5"/>
      <c r="M1679" s="5" t="str">
        <f ca="1">IFERROR(__xludf.DUMMYFUNCTION("""COMPUTED_VALUE"""),"Popești")</f>
        <v>Popești</v>
      </c>
      <c r="N1679" s="5"/>
      <c r="O1679" s="5"/>
      <c r="P1679" s="5"/>
      <c r="Q1679" s="5"/>
      <c r="R1679" s="5" t="str">
        <f ca="1">IFERROR(__xludf.DUMMYFUNCTION("""COMPUTED_VALUE"""),"România")</f>
        <v>România</v>
      </c>
      <c r="S1679" s="5" t="str">
        <f ca="1">IFERROR(__xludf.DUMMYFUNCTION("""COMPUTED_VALUE"""),"Octavian")</f>
        <v>Octavian</v>
      </c>
      <c r="T1679" s="7" t="str">
        <f ca="1">IFERROR(__xludf.DUMMYFUNCTION("""COMPUTED_VALUE"""),"http://www.ms.ro/2020/08/17/buletin-informativ-17-08-2020")</f>
        <v>http://www.ms.ro/2020/08/17/buletin-informativ-17-08-2020</v>
      </c>
      <c r="U1679" s="5"/>
      <c r="V1679" s="5"/>
      <c r="W1679" s="5"/>
      <c r="X1679" s="5"/>
      <c r="Y1679" s="5"/>
      <c r="Z1679" s="5"/>
      <c r="AA1679" s="5"/>
      <c r="AB1679" s="5"/>
      <c r="AC1679" s="5"/>
    </row>
    <row r="1680" spans="1:29" ht="12.5">
      <c r="A1680" s="5">
        <f ca="1">IFERROR(__xludf.DUMMYFUNCTION("""COMPUTED_VALUE"""),70575)</f>
        <v>70575</v>
      </c>
      <c r="B1680" s="5"/>
      <c r="C1680" s="5" t="str">
        <f ca="1">IFERROR(__xludf.DUMMYFUNCTION("""COMPUTED_VALUE"""),"Bihor")</f>
        <v>Bihor</v>
      </c>
      <c r="D1680" s="13">
        <f ca="1">IFERROR(__xludf.DUMMYFUNCTION("""COMPUTED_VALUE"""),44060)</f>
        <v>44060</v>
      </c>
      <c r="E1680" s="5" t="str">
        <f ca="1">IFERROR(__xludf.DUMMYFUNCTION("""COMPUTED_VALUE"""),"Nu")</f>
        <v>Nu</v>
      </c>
      <c r="F1680" s="5"/>
      <c r="G1680" s="5"/>
      <c r="H1680" s="6"/>
      <c r="I1680" s="5"/>
      <c r="J1680" s="5"/>
      <c r="K1680" s="7" t="str">
        <f ca="1">IFERROR(__xludf.DUMMYFUNCTION("""COMPUTED_VALUE"""),"https://www.ebihoreanul.ro/stiri/dupa-doua-saptamani-numarul-imbolnavirilor-covid-scade-in-bihor-31-noi-infectari-dar-si-un-deces-158256.html")</f>
        <v>https://www.ebihoreanul.ro/stiri/dupa-doua-saptamani-numarul-imbolnavirilor-covid-scade-in-bihor-31-noi-infectari-dar-si-un-deces-158256.html</v>
      </c>
      <c r="L1680" s="5"/>
      <c r="M1680" s="5" t="str">
        <f ca="1">IFERROR(__xludf.DUMMYFUNCTION("""COMPUTED_VALUE"""),"Salonta")</f>
        <v>Salonta</v>
      </c>
      <c r="N1680" s="5"/>
      <c r="O1680" s="5"/>
      <c r="P1680" s="5"/>
      <c r="Q1680" s="5"/>
      <c r="R1680" s="5" t="str">
        <f ca="1">IFERROR(__xludf.DUMMYFUNCTION("""COMPUTED_VALUE"""),"România")</f>
        <v>România</v>
      </c>
      <c r="S1680" s="5" t="str">
        <f ca="1">IFERROR(__xludf.DUMMYFUNCTION("""COMPUTED_VALUE"""),"Octavian")</f>
        <v>Octavian</v>
      </c>
      <c r="T1680" s="7" t="str">
        <f ca="1">IFERROR(__xludf.DUMMYFUNCTION("""COMPUTED_VALUE"""),"http://www.ms.ro/2020/08/17/buletin-informativ-17-08-2020")</f>
        <v>http://www.ms.ro/2020/08/17/buletin-informativ-17-08-2020</v>
      </c>
      <c r="U1680" s="5"/>
      <c r="V1680" s="5"/>
      <c r="W1680" s="5"/>
      <c r="X1680" s="5"/>
      <c r="Y1680" s="5"/>
      <c r="Z1680" s="5"/>
      <c r="AA1680" s="5"/>
      <c r="AB1680" s="5"/>
      <c r="AC1680" s="5"/>
    </row>
    <row r="1681" spans="1:29" ht="12.5">
      <c r="A1681" s="5">
        <f ca="1">IFERROR(__xludf.DUMMYFUNCTION("""COMPUTED_VALUE"""),70576)</f>
        <v>70576</v>
      </c>
      <c r="B1681" s="5"/>
      <c r="C1681" s="5" t="str">
        <f ca="1">IFERROR(__xludf.DUMMYFUNCTION("""COMPUTED_VALUE"""),"Bihor")</f>
        <v>Bihor</v>
      </c>
      <c r="D1681" s="13">
        <f ca="1">IFERROR(__xludf.DUMMYFUNCTION("""COMPUTED_VALUE"""),44060)</f>
        <v>44060</v>
      </c>
      <c r="E1681" s="5" t="str">
        <f ca="1">IFERROR(__xludf.DUMMYFUNCTION("""COMPUTED_VALUE"""),"Nu")</f>
        <v>Nu</v>
      </c>
      <c r="F1681" s="5"/>
      <c r="G1681" s="5"/>
      <c r="H1681" s="6"/>
      <c r="I1681" s="5"/>
      <c r="J1681" s="5"/>
      <c r="K1681" s="7" t="str">
        <f ca="1">IFERROR(__xludf.DUMMYFUNCTION("""COMPUTED_VALUE"""),"https://www.ebihoreanul.ro/stiri/dupa-doua-saptamani-numarul-imbolnavirilor-covid-scade-in-bihor-31-noi-infectari-dar-si-un-deces-158256.html")</f>
        <v>https://www.ebihoreanul.ro/stiri/dupa-doua-saptamani-numarul-imbolnavirilor-covid-scade-in-bihor-31-noi-infectari-dar-si-un-deces-158256.html</v>
      </c>
      <c r="L1681" s="5"/>
      <c r="M1681" s="5" t="str">
        <f ca="1">IFERROR(__xludf.DUMMYFUNCTION("""COMPUTED_VALUE"""),"Săcădat")</f>
        <v>Săcădat</v>
      </c>
      <c r="N1681" s="5"/>
      <c r="O1681" s="5"/>
      <c r="P1681" s="5"/>
      <c r="Q1681" s="5"/>
      <c r="R1681" s="5" t="str">
        <f ca="1">IFERROR(__xludf.DUMMYFUNCTION("""COMPUTED_VALUE"""),"România")</f>
        <v>România</v>
      </c>
      <c r="S1681" s="5" t="str">
        <f ca="1">IFERROR(__xludf.DUMMYFUNCTION("""COMPUTED_VALUE"""),"Octavian")</f>
        <v>Octavian</v>
      </c>
      <c r="T1681" s="7" t="str">
        <f ca="1">IFERROR(__xludf.DUMMYFUNCTION("""COMPUTED_VALUE"""),"http://www.ms.ro/2020/08/17/buletin-informativ-17-08-2020")</f>
        <v>http://www.ms.ro/2020/08/17/buletin-informativ-17-08-2020</v>
      </c>
      <c r="U1681" s="5"/>
      <c r="V1681" s="5"/>
      <c r="W1681" s="5"/>
      <c r="X1681" s="5"/>
      <c r="Y1681" s="5"/>
      <c r="Z1681" s="5"/>
      <c r="AA1681" s="5"/>
      <c r="AB1681" s="5"/>
      <c r="AC1681" s="5"/>
    </row>
    <row r="1682" spans="1:29" ht="12.5">
      <c r="A1682" s="5">
        <f ca="1">IFERROR(__xludf.DUMMYFUNCTION("""COMPUTED_VALUE"""),70577)</f>
        <v>70577</v>
      </c>
      <c r="B1682" s="5"/>
      <c r="C1682" s="5" t="str">
        <f ca="1">IFERROR(__xludf.DUMMYFUNCTION("""COMPUTED_VALUE"""),"Bihor")</f>
        <v>Bihor</v>
      </c>
      <c r="D1682" s="13">
        <f ca="1">IFERROR(__xludf.DUMMYFUNCTION("""COMPUTED_VALUE"""),44060)</f>
        <v>44060</v>
      </c>
      <c r="E1682" s="5" t="str">
        <f ca="1">IFERROR(__xludf.DUMMYFUNCTION("""COMPUTED_VALUE"""),"Nu")</f>
        <v>Nu</v>
      </c>
      <c r="F1682" s="5"/>
      <c r="G1682" s="5"/>
      <c r="H1682" s="6"/>
      <c r="I1682" s="5"/>
      <c r="J1682" s="5"/>
      <c r="K1682" s="7" t="str">
        <f ca="1">IFERROR(__xludf.DUMMYFUNCTION("""COMPUTED_VALUE"""),"https://www.ebihoreanul.ro/stiri/dupa-doua-saptamani-numarul-imbolnavirilor-covid-scade-in-bihor-31-noi-infectari-dar-si-un-deces-158256.html")</f>
        <v>https://www.ebihoreanul.ro/stiri/dupa-doua-saptamani-numarul-imbolnavirilor-covid-scade-in-bihor-31-noi-infectari-dar-si-un-deces-158256.html</v>
      </c>
      <c r="L1682" s="5"/>
      <c r="M1682" s="5" t="str">
        <f ca="1">IFERROR(__xludf.DUMMYFUNCTION("""COMPUTED_VALUE"""),"Drăgănești")</f>
        <v>Drăgănești</v>
      </c>
      <c r="N1682" s="5"/>
      <c r="O1682" s="5"/>
      <c r="P1682" s="5"/>
      <c r="Q1682" s="5"/>
      <c r="R1682" s="5" t="str">
        <f ca="1">IFERROR(__xludf.DUMMYFUNCTION("""COMPUTED_VALUE"""),"România")</f>
        <v>România</v>
      </c>
      <c r="S1682" s="5" t="str">
        <f ca="1">IFERROR(__xludf.DUMMYFUNCTION("""COMPUTED_VALUE"""),"Octavian")</f>
        <v>Octavian</v>
      </c>
      <c r="T1682" s="7" t="str">
        <f ca="1">IFERROR(__xludf.DUMMYFUNCTION("""COMPUTED_VALUE"""),"http://www.ms.ro/2020/08/17/buletin-informativ-17-08-2020")</f>
        <v>http://www.ms.ro/2020/08/17/buletin-informativ-17-08-2020</v>
      </c>
      <c r="U1682" s="5"/>
      <c r="V1682" s="5"/>
      <c r="W1682" s="5"/>
      <c r="X1682" s="5"/>
      <c r="Y1682" s="5"/>
      <c r="Z1682" s="5"/>
      <c r="AA1682" s="5"/>
      <c r="AB1682" s="5"/>
      <c r="AC1682" s="5"/>
    </row>
    <row r="1683" spans="1:29" ht="12.5">
      <c r="A1683" s="5">
        <f ca="1">IFERROR(__xludf.DUMMYFUNCTION("""COMPUTED_VALUE"""),70578)</f>
        <v>70578</v>
      </c>
      <c r="B1683" s="5"/>
      <c r="C1683" s="5" t="str">
        <f ca="1">IFERROR(__xludf.DUMMYFUNCTION("""COMPUTED_VALUE"""),"Bihor")</f>
        <v>Bihor</v>
      </c>
      <c r="D1683" s="13">
        <f ca="1">IFERROR(__xludf.DUMMYFUNCTION("""COMPUTED_VALUE"""),44060)</f>
        <v>44060</v>
      </c>
      <c r="E1683" s="5" t="str">
        <f ca="1">IFERROR(__xludf.DUMMYFUNCTION("""COMPUTED_VALUE"""),"Nu")</f>
        <v>Nu</v>
      </c>
      <c r="F1683" s="5"/>
      <c r="G1683" s="5"/>
      <c r="H1683" s="6"/>
      <c r="I1683" s="5"/>
      <c r="J1683" s="5"/>
      <c r="K1683" s="7" t="str">
        <f ca="1">IFERROR(__xludf.DUMMYFUNCTION("""COMPUTED_VALUE"""),"https://www.ebihoreanul.ro/stiri/dupa-doua-saptamani-numarul-imbolnavirilor-covid-scade-in-bihor-31-noi-infectari-dar-si-un-deces-158256.html")</f>
        <v>https://www.ebihoreanul.ro/stiri/dupa-doua-saptamani-numarul-imbolnavirilor-covid-scade-in-bihor-31-noi-infectari-dar-si-un-deces-158256.html</v>
      </c>
      <c r="L1683" s="5"/>
      <c r="M1683" s="5" t="str">
        <f ca="1">IFERROR(__xludf.DUMMYFUNCTION("""COMPUTED_VALUE"""),"Pocola")</f>
        <v>Pocola</v>
      </c>
      <c r="N1683" s="5"/>
      <c r="O1683" s="5"/>
      <c r="P1683" s="5"/>
      <c r="Q1683" s="5"/>
      <c r="R1683" s="5" t="str">
        <f ca="1">IFERROR(__xludf.DUMMYFUNCTION("""COMPUTED_VALUE"""),"România")</f>
        <v>România</v>
      </c>
      <c r="S1683" s="5" t="str">
        <f ca="1">IFERROR(__xludf.DUMMYFUNCTION("""COMPUTED_VALUE"""),"Octavian")</f>
        <v>Octavian</v>
      </c>
      <c r="T1683" s="7" t="str">
        <f ca="1">IFERROR(__xludf.DUMMYFUNCTION("""COMPUTED_VALUE"""),"http://www.ms.ro/2020/08/17/buletin-informativ-17-08-2020")</f>
        <v>http://www.ms.ro/2020/08/17/buletin-informativ-17-08-2020</v>
      </c>
      <c r="U1683" s="5"/>
      <c r="V1683" s="5"/>
      <c r="W1683" s="5"/>
      <c r="X1683" s="5"/>
      <c r="Y1683" s="5"/>
      <c r="Z1683" s="5"/>
      <c r="AA1683" s="5"/>
      <c r="AB1683" s="5"/>
      <c r="AC1683" s="5"/>
    </row>
    <row r="1684" spans="1:29" ht="12.5">
      <c r="A1684" s="5">
        <f ca="1">IFERROR(__xludf.DUMMYFUNCTION("""COMPUTED_VALUE"""),70579)</f>
        <v>70579</v>
      </c>
      <c r="B1684" s="5"/>
      <c r="C1684" s="5" t="str">
        <f ca="1">IFERROR(__xludf.DUMMYFUNCTION("""COMPUTED_VALUE"""),"Bihor")</f>
        <v>Bihor</v>
      </c>
      <c r="D1684" s="13">
        <f ca="1">IFERROR(__xludf.DUMMYFUNCTION("""COMPUTED_VALUE"""),44060)</f>
        <v>44060</v>
      </c>
      <c r="E1684" s="5" t="str">
        <f ca="1">IFERROR(__xludf.DUMMYFUNCTION("""COMPUTED_VALUE"""),"Nu")</f>
        <v>Nu</v>
      </c>
      <c r="F1684" s="5"/>
      <c r="G1684" s="5"/>
      <c r="H1684" s="6"/>
      <c r="I1684" s="5"/>
      <c r="J1684" s="5"/>
      <c r="K1684" s="7" t="str">
        <f ca="1">IFERROR(__xludf.DUMMYFUNCTION("""COMPUTED_VALUE"""),"https://www.ebihoreanul.ro/stiri/dupa-doua-saptamani-numarul-imbolnavirilor-covid-scade-in-bihor-31-noi-infectari-dar-si-un-deces-158256.html")</f>
        <v>https://www.ebihoreanul.ro/stiri/dupa-doua-saptamani-numarul-imbolnavirilor-covid-scade-in-bihor-31-noi-infectari-dar-si-un-deces-158256.html</v>
      </c>
      <c r="L1684" s="5"/>
      <c r="M1684" s="5" t="str">
        <f ca="1">IFERROR(__xludf.DUMMYFUNCTION("""COMPUTED_VALUE"""),"Abram")</f>
        <v>Abram</v>
      </c>
      <c r="N1684" s="5"/>
      <c r="O1684" s="5"/>
      <c r="P1684" s="5"/>
      <c r="Q1684" s="5"/>
      <c r="R1684" s="5" t="str">
        <f ca="1">IFERROR(__xludf.DUMMYFUNCTION("""COMPUTED_VALUE"""),"România")</f>
        <v>România</v>
      </c>
      <c r="S1684" s="5" t="str">
        <f ca="1">IFERROR(__xludf.DUMMYFUNCTION("""COMPUTED_VALUE"""),"Octavian")</f>
        <v>Octavian</v>
      </c>
      <c r="T1684" s="7" t="str">
        <f ca="1">IFERROR(__xludf.DUMMYFUNCTION("""COMPUTED_VALUE"""),"http://www.ms.ro/2020/08/17/buletin-informativ-17-08-2020")</f>
        <v>http://www.ms.ro/2020/08/17/buletin-informativ-17-08-2020</v>
      </c>
      <c r="U1684" s="5"/>
      <c r="V1684" s="5"/>
      <c r="W1684" s="5"/>
      <c r="X1684" s="5"/>
      <c r="Y1684" s="5"/>
      <c r="Z1684" s="5"/>
      <c r="AA1684" s="5"/>
      <c r="AB1684" s="5"/>
      <c r="AC1684" s="5"/>
    </row>
    <row r="1685" spans="1:29" ht="12.5">
      <c r="A1685" s="5">
        <f ca="1">IFERROR(__xludf.DUMMYFUNCTION("""COMPUTED_VALUE"""),70580)</f>
        <v>70580</v>
      </c>
      <c r="B1685" s="5"/>
      <c r="C1685" s="5" t="str">
        <f ca="1">IFERROR(__xludf.DUMMYFUNCTION("""COMPUTED_VALUE"""),"Bihor")</f>
        <v>Bihor</v>
      </c>
      <c r="D1685" s="13">
        <f ca="1">IFERROR(__xludf.DUMMYFUNCTION("""COMPUTED_VALUE"""),44060)</f>
        <v>44060</v>
      </c>
      <c r="E1685" s="5" t="str">
        <f ca="1">IFERROR(__xludf.DUMMYFUNCTION("""COMPUTED_VALUE"""),"Nu")</f>
        <v>Nu</v>
      </c>
      <c r="F1685" s="5"/>
      <c r="G1685" s="5"/>
      <c r="H1685" s="6"/>
      <c r="I1685" s="5"/>
      <c r="J1685" s="5"/>
      <c r="K1685" s="7" t="str">
        <f ca="1">IFERROR(__xludf.DUMMYFUNCTION("""COMPUTED_VALUE"""),"https://www.ebihoreanul.ro/stiri/dupa-doua-saptamani-numarul-imbolnavirilor-covid-scade-in-bihor-31-noi-infectari-dar-si-un-deces-158256.html")</f>
        <v>https://www.ebihoreanul.ro/stiri/dupa-doua-saptamani-numarul-imbolnavirilor-covid-scade-in-bihor-31-noi-infectari-dar-si-un-deces-158256.html</v>
      </c>
      <c r="L1685" s="5"/>
      <c r="M1685" s="5" t="str">
        <f ca="1">IFERROR(__xludf.DUMMYFUNCTION("""COMPUTED_VALUE"""),"Ineu")</f>
        <v>Ineu</v>
      </c>
      <c r="N1685" s="5"/>
      <c r="O1685" s="5"/>
      <c r="P1685" s="5"/>
      <c r="Q1685" s="5"/>
      <c r="R1685" s="5" t="str">
        <f ca="1">IFERROR(__xludf.DUMMYFUNCTION("""COMPUTED_VALUE"""),"România")</f>
        <v>România</v>
      </c>
      <c r="S1685" s="5" t="str">
        <f ca="1">IFERROR(__xludf.DUMMYFUNCTION("""COMPUTED_VALUE"""),"Octavian")</f>
        <v>Octavian</v>
      </c>
      <c r="T1685" s="7" t="str">
        <f ca="1">IFERROR(__xludf.DUMMYFUNCTION("""COMPUTED_VALUE"""),"http://www.ms.ro/2020/08/17/buletin-informativ-17-08-2020")</f>
        <v>http://www.ms.ro/2020/08/17/buletin-informativ-17-08-2020</v>
      </c>
      <c r="U1685" s="5"/>
      <c r="V1685" s="5"/>
      <c r="W1685" s="5"/>
      <c r="X1685" s="5"/>
      <c r="Y1685" s="5"/>
      <c r="Z1685" s="5"/>
      <c r="AA1685" s="5"/>
      <c r="AB1685" s="5"/>
      <c r="AC1685" s="5"/>
    </row>
    <row r="1686" spans="1:29" ht="12.5">
      <c r="A1686" s="5">
        <f ca="1">IFERROR(__xludf.DUMMYFUNCTION("""COMPUTED_VALUE"""),70581)</f>
        <v>70581</v>
      </c>
      <c r="B1686" s="5"/>
      <c r="C1686" s="5" t="str">
        <f ca="1">IFERROR(__xludf.DUMMYFUNCTION("""COMPUTED_VALUE"""),"Bihor")</f>
        <v>Bihor</v>
      </c>
      <c r="D1686" s="13">
        <f ca="1">IFERROR(__xludf.DUMMYFUNCTION("""COMPUTED_VALUE"""),44060)</f>
        <v>44060</v>
      </c>
      <c r="E1686" s="5" t="str">
        <f ca="1">IFERROR(__xludf.DUMMYFUNCTION("""COMPUTED_VALUE"""),"Nu")</f>
        <v>Nu</v>
      </c>
      <c r="F1686" s="5"/>
      <c r="G1686" s="5"/>
      <c r="H1686" s="6"/>
      <c r="I1686" s="5"/>
      <c r="J1686" s="5"/>
      <c r="K1686" s="7" t="str">
        <f ca="1">IFERROR(__xludf.DUMMYFUNCTION("""COMPUTED_VALUE"""),"https://www.ebihoreanul.ro/stiri/dupa-doua-saptamani-numarul-imbolnavirilor-covid-scade-in-bihor-31-noi-infectari-dar-si-un-deces-158256.html")</f>
        <v>https://www.ebihoreanul.ro/stiri/dupa-doua-saptamani-numarul-imbolnavirilor-covid-scade-in-bihor-31-noi-infectari-dar-si-un-deces-158256.html</v>
      </c>
      <c r="L1686" s="5"/>
      <c r="M1686" s="5"/>
      <c r="N1686" s="5"/>
      <c r="O1686" s="5"/>
      <c r="P1686" s="5"/>
      <c r="Q1686" s="5"/>
      <c r="R1686" s="5" t="str">
        <f ca="1">IFERROR(__xludf.DUMMYFUNCTION("""COMPUTED_VALUE"""),"România")</f>
        <v>România</v>
      </c>
      <c r="S1686" s="5" t="str">
        <f ca="1">IFERROR(__xludf.DUMMYFUNCTION("""COMPUTED_VALUE"""),"Octavian")</f>
        <v>Octavian</v>
      </c>
      <c r="T1686" s="7" t="str">
        <f ca="1">IFERROR(__xludf.DUMMYFUNCTION("""COMPUTED_VALUE"""),"http://www.ms.ro/2020/08/17/buletin-informativ-17-08-2020")</f>
        <v>http://www.ms.ro/2020/08/17/buletin-informativ-17-08-2020</v>
      </c>
      <c r="U1686" s="5"/>
      <c r="V1686" s="5"/>
      <c r="W1686" s="5"/>
      <c r="X1686" s="5"/>
      <c r="Y1686" s="5"/>
      <c r="Z1686" s="5"/>
      <c r="AA1686" s="5"/>
      <c r="AB1686" s="5"/>
      <c r="AC1686" s="5"/>
    </row>
    <row r="1687" spans="1:29" ht="12.5">
      <c r="A1687" s="5">
        <f ca="1">IFERROR(__xludf.DUMMYFUNCTION("""COMPUTED_VALUE"""),70582)</f>
        <v>70582</v>
      </c>
      <c r="B1687" s="5"/>
      <c r="C1687" s="5" t="str">
        <f ca="1">IFERROR(__xludf.DUMMYFUNCTION("""COMPUTED_VALUE"""),"Bihor")</f>
        <v>Bihor</v>
      </c>
      <c r="D1687" s="13">
        <f ca="1">IFERROR(__xludf.DUMMYFUNCTION("""COMPUTED_VALUE"""),44060)</f>
        <v>44060</v>
      </c>
      <c r="E1687" s="5" t="str">
        <f ca="1">IFERROR(__xludf.DUMMYFUNCTION("""COMPUTED_VALUE"""),"Nu")</f>
        <v>Nu</v>
      </c>
      <c r="F1687" s="5"/>
      <c r="G1687" s="5"/>
      <c r="H1687" s="6"/>
      <c r="I1687" s="5"/>
      <c r="J1687" s="5"/>
      <c r="K1687" s="7" t="str">
        <f ca="1">IFERROR(__xludf.DUMMYFUNCTION("""COMPUTED_VALUE"""),"https://www.ebihoreanul.ro/stiri/dupa-doua-saptamani-numarul-imbolnavirilor-covid-scade-in-bihor-31-noi-infectari-dar-si-un-deces-158256.html")</f>
        <v>https://www.ebihoreanul.ro/stiri/dupa-doua-saptamani-numarul-imbolnavirilor-covid-scade-in-bihor-31-noi-infectari-dar-si-un-deces-158256.html</v>
      </c>
      <c r="L1687" s="5"/>
      <c r="M1687" s="5"/>
      <c r="N1687" s="5"/>
      <c r="O1687" s="5"/>
      <c r="P1687" s="5"/>
      <c r="Q1687" s="5"/>
      <c r="R1687" s="5" t="str">
        <f ca="1">IFERROR(__xludf.DUMMYFUNCTION("""COMPUTED_VALUE"""),"România")</f>
        <v>România</v>
      </c>
      <c r="S1687" s="5" t="str">
        <f ca="1">IFERROR(__xludf.DUMMYFUNCTION("""COMPUTED_VALUE"""),"Octavian")</f>
        <v>Octavian</v>
      </c>
      <c r="T1687" s="7" t="str">
        <f ca="1">IFERROR(__xludf.DUMMYFUNCTION("""COMPUTED_VALUE"""),"http://www.ms.ro/2020/08/17/buletin-informativ-17-08-2020")</f>
        <v>http://www.ms.ro/2020/08/17/buletin-informativ-17-08-2020</v>
      </c>
      <c r="U1687" s="5"/>
      <c r="V1687" s="5"/>
      <c r="W1687" s="5"/>
      <c r="X1687" s="5"/>
      <c r="Y1687" s="5"/>
      <c r="Z1687" s="5"/>
      <c r="AA1687" s="5"/>
      <c r="AB1687" s="5"/>
      <c r="AC1687" s="5"/>
    </row>
    <row r="1688" spans="1:29" ht="12.5">
      <c r="A1688" s="5">
        <f ca="1">IFERROR(__xludf.DUMMYFUNCTION("""COMPUTED_VALUE"""),70583)</f>
        <v>70583</v>
      </c>
      <c r="B1688" s="5"/>
      <c r="C1688" s="5" t="str">
        <f ca="1">IFERROR(__xludf.DUMMYFUNCTION("""COMPUTED_VALUE"""),"Bihor")</f>
        <v>Bihor</v>
      </c>
      <c r="D1688" s="13">
        <f ca="1">IFERROR(__xludf.DUMMYFUNCTION("""COMPUTED_VALUE"""),44060)</f>
        <v>44060</v>
      </c>
      <c r="E1688" s="5" t="str">
        <f ca="1">IFERROR(__xludf.DUMMYFUNCTION("""COMPUTED_VALUE"""),"Nu")</f>
        <v>Nu</v>
      </c>
      <c r="F1688" s="5"/>
      <c r="G1688" s="5"/>
      <c r="H1688" s="6"/>
      <c r="I1688" s="5"/>
      <c r="J1688" s="5"/>
      <c r="K1688" s="7" t="str">
        <f ca="1">IFERROR(__xludf.DUMMYFUNCTION("""COMPUTED_VALUE"""),"https://www.ebihoreanul.ro/stiri/dupa-doua-saptamani-numarul-imbolnavirilor-covid-scade-in-bihor-31-noi-infectari-dar-si-un-deces-158256.html")</f>
        <v>https://www.ebihoreanul.ro/stiri/dupa-doua-saptamani-numarul-imbolnavirilor-covid-scade-in-bihor-31-noi-infectari-dar-si-un-deces-158256.html</v>
      </c>
      <c r="L1688" s="5"/>
      <c r="M1688" s="5"/>
      <c r="N1688" s="5"/>
      <c r="O1688" s="5"/>
      <c r="P1688" s="5"/>
      <c r="Q1688" s="5"/>
      <c r="R1688" s="5" t="str">
        <f ca="1">IFERROR(__xludf.DUMMYFUNCTION("""COMPUTED_VALUE"""),"România")</f>
        <v>România</v>
      </c>
      <c r="S1688" s="5" t="str">
        <f ca="1">IFERROR(__xludf.DUMMYFUNCTION("""COMPUTED_VALUE"""),"Octavian")</f>
        <v>Octavian</v>
      </c>
      <c r="T1688" s="7" t="str">
        <f ca="1">IFERROR(__xludf.DUMMYFUNCTION("""COMPUTED_VALUE"""),"http://www.ms.ro/2020/08/17/buletin-informativ-17-08-2020")</f>
        <v>http://www.ms.ro/2020/08/17/buletin-informativ-17-08-2020</v>
      </c>
      <c r="U1688" s="5"/>
      <c r="V1688" s="5"/>
      <c r="W1688" s="5"/>
      <c r="X1688" s="5"/>
      <c r="Y1688" s="5"/>
      <c r="Z1688" s="5"/>
      <c r="AA1688" s="5"/>
      <c r="AB1688" s="5"/>
      <c r="AC1688" s="5"/>
    </row>
    <row r="1689" spans="1:29" ht="12.5">
      <c r="A1689" s="5">
        <f ca="1">IFERROR(__xludf.DUMMYFUNCTION("""COMPUTED_VALUE"""),70584)</f>
        <v>70584</v>
      </c>
      <c r="B1689" s="5"/>
      <c r="C1689" s="5" t="str">
        <f ca="1">IFERROR(__xludf.DUMMYFUNCTION("""COMPUTED_VALUE"""),"Bihor")</f>
        <v>Bihor</v>
      </c>
      <c r="D1689" s="13">
        <f ca="1">IFERROR(__xludf.DUMMYFUNCTION("""COMPUTED_VALUE"""),44060)</f>
        <v>44060</v>
      </c>
      <c r="E1689" s="5" t="str">
        <f ca="1">IFERROR(__xludf.DUMMYFUNCTION("""COMPUTED_VALUE"""),"Nu")</f>
        <v>Nu</v>
      </c>
      <c r="F1689" s="5"/>
      <c r="G1689" s="5"/>
      <c r="H1689" s="6"/>
      <c r="I1689" s="5"/>
      <c r="J1689" s="5"/>
      <c r="K1689" s="7" t="str">
        <f ca="1">IFERROR(__xludf.DUMMYFUNCTION("""COMPUTED_VALUE"""),"https://www.ebihoreanul.ro/stiri/dupa-doua-saptamani-numarul-imbolnavirilor-covid-scade-in-bihor-31-noi-infectari-dar-si-un-deces-158256.html")</f>
        <v>https://www.ebihoreanul.ro/stiri/dupa-doua-saptamani-numarul-imbolnavirilor-covid-scade-in-bihor-31-noi-infectari-dar-si-un-deces-158256.html</v>
      </c>
      <c r="L1689" s="5"/>
      <c r="M1689" s="5"/>
      <c r="N1689" s="5"/>
      <c r="O1689" s="5"/>
      <c r="P1689" s="5"/>
      <c r="Q1689" s="5"/>
      <c r="R1689" s="5" t="str">
        <f ca="1">IFERROR(__xludf.DUMMYFUNCTION("""COMPUTED_VALUE"""),"România")</f>
        <v>România</v>
      </c>
      <c r="S1689" s="5" t="str">
        <f ca="1">IFERROR(__xludf.DUMMYFUNCTION("""COMPUTED_VALUE"""),"Octavian")</f>
        <v>Octavian</v>
      </c>
      <c r="T1689" s="7" t="str">
        <f ca="1">IFERROR(__xludf.DUMMYFUNCTION("""COMPUTED_VALUE"""),"http://www.ms.ro/2020/08/17/buletin-informativ-17-08-2020")</f>
        <v>http://www.ms.ro/2020/08/17/buletin-informativ-17-08-2020</v>
      </c>
      <c r="U1689" s="5"/>
      <c r="V1689" s="5"/>
      <c r="W1689" s="5"/>
      <c r="X1689" s="5"/>
      <c r="Y1689" s="5"/>
      <c r="Z1689" s="5"/>
      <c r="AA1689" s="5"/>
      <c r="AB1689" s="5"/>
      <c r="AC1689" s="5"/>
    </row>
    <row r="1690" spans="1:29" ht="12.5">
      <c r="A1690" s="5">
        <f ca="1">IFERROR(__xludf.DUMMYFUNCTION("""COMPUTED_VALUE"""),70585)</f>
        <v>70585</v>
      </c>
      <c r="B1690" s="5"/>
      <c r="C1690" s="5" t="str">
        <f ca="1">IFERROR(__xludf.DUMMYFUNCTION("""COMPUTED_VALUE"""),"Bihor")</f>
        <v>Bihor</v>
      </c>
      <c r="D1690" s="13">
        <f ca="1">IFERROR(__xludf.DUMMYFUNCTION("""COMPUTED_VALUE"""),44060)</f>
        <v>44060</v>
      </c>
      <c r="E1690" s="5" t="str">
        <f ca="1">IFERROR(__xludf.DUMMYFUNCTION("""COMPUTED_VALUE"""),"Nu")</f>
        <v>Nu</v>
      </c>
      <c r="F1690" s="5"/>
      <c r="G1690" s="5"/>
      <c r="H1690" s="6"/>
      <c r="I1690" s="5"/>
      <c r="J1690" s="5"/>
      <c r="K1690" s="7" t="str">
        <f ca="1">IFERROR(__xludf.DUMMYFUNCTION("""COMPUTED_VALUE"""),"https://www.ebihoreanul.ro/stiri/dupa-doua-saptamani-numarul-imbolnavirilor-covid-scade-in-bihor-31-noi-infectari-dar-si-un-deces-158256.html")</f>
        <v>https://www.ebihoreanul.ro/stiri/dupa-doua-saptamani-numarul-imbolnavirilor-covid-scade-in-bihor-31-noi-infectari-dar-si-un-deces-158256.html</v>
      </c>
      <c r="L1690" s="5"/>
      <c r="M1690" s="5"/>
      <c r="N1690" s="5"/>
      <c r="O1690" s="5"/>
      <c r="P1690" s="5"/>
      <c r="Q1690" s="5"/>
      <c r="R1690" s="5" t="str">
        <f ca="1">IFERROR(__xludf.DUMMYFUNCTION("""COMPUTED_VALUE"""),"România")</f>
        <v>România</v>
      </c>
      <c r="S1690" s="5" t="str">
        <f ca="1">IFERROR(__xludf.DUMMYFUNCTION("""COMPUTED_VALUE"""),"Octavian")</f>
        <v>Octavian</v>
      </c>
      <c r="T1690" s="7" t="str">
        <f ca="1">IFERROR(__xludf.DUMMYFUNCTION("""COMPUTED_VALUE"""),"http://www.ms.ro/2020/08/17/buletin-informativ-17-08-2020")</f>
        <v>http://www.ms.ro/2020/08/17/buletin-informativ-17-08-2020</v>
      </c>
      <c r="U1690" s="5"/>
      <c r="V1690" s="5"/>
      <c r="W1690" s="5"/>
      <c r="X1690" s="5"/>
      <c r="Y1690" s="5"/>
      <c r="Z1690" s="5"/>
      <c r="AA1690" s="5"/>
      <c r="AB1690" s="5"/>
      <c r="AC1690" s="5"/>
    </row>
    <row r="1691" spans="1:29" ht="12.5">
      <c r="A1691" s="5">
        <f ca="1">IFERROR(__xludf.DUMMYFUNCTION("""COMPUTED_VALUE"""),70586)</f>
        <v>70586</v>
      </c>
      <c r="B1691" s="5"/>
      <c r="C1691" s="5" t="str">
        <f ca="1">IFERROR(__xludf.DUMMYFUNCTION("""COMPUTED_VALUE"""),"Bihor")</f>
        <v>Bihor</v>
      </c>
      <c r="D1691" s="13">
        <f ca="1">IFERROR(__xludf.DUMMYFUNCTION("""COMPUTED_VALUE"""),44060)</f>
        <v>44060</v>
      </c>
      <c r="E1691" s="5" t="str">
        <f ca="1">IFERROR(__xludf.DUMMYFUNCTION("""COMPUTED_VALUE"""),"Nu")</f>
        <v>Nu</v>
      </c>
      <c r="F1691" s="5"/>
      <c r="G1691" s="5"/>
      <c r="H1691" s="6"/>
      <c r="I1691" s="5"/>
      <c r="J1691" s="5"/>
      <c r="K1691" s="7" t="str">
        <f ca="1">IFERROR(__xludf.DUMMYFUNCTION("""COMPUTED_VALUE"""),"https://www.ebihoreanul.ro/stiri/dupa-doua-saptamani-numarul-imbolnavirilor-covid-scade-in-bihor-31-noi-infectari-dar-si-un-deces-158256.html")</f>
        <v>https://www.ebihoreanul.ro/stiri/dupa-doua-saptamani-numarul-imbolnavirilor-covid-scade-in-bihor-31-noi-infectari-dar-si-un-deces-158256.html</v>
      </c>
      <c r="L1691" s="5"/>
      <c r="M1691" s="5"/>
      <c r="N1691" s="5"/>
      <c r="O1691" s="5"/>
      <c r="P1691" s="5"/>
      <c r="Q1691" s="5"/>
      <c r="R1691" s="5" t="str">
        <f ca="1">IFERROR(__xludf.DUMMYFUNCTION("""COMPUTED_VALUE"""),"România")</f>
        <v>România</v>
      </c>
      <c r="S1691" s="5" t="str">
        <f ca="1">IFERROR(__xludf.DUMMYFUNCTION("""COMPUTED_VALUE"""),"Octavian")</f>
        <v>Octavian</v>
      </c>
      <c r="T1691" s="7" t="str">
        <f ca="1">IFERROR(__xludf.DUMMYFUNCTION("""COMPUTED_VALUE"""),"http://www.ms.ro/2020/08/17/buletin-informativ-17-08-2020")</f>
        <v>http://www.ms.ro/2020/08/17/buletin-informativ-17-08-2020</v>
      </c>
      <c r="U1691" s="5"/>
      <c r="V1691" s="5"/>
      <c r="W1691" s="5"/>
      <c r="X1691" s="5"/>
      <c r="Y1691" s="5"/>
      <c r="Z1691" s="5"/>
      <c r="AA1691" s="5"/>
      <c r="AB1691" s="5"/>
      <c r="AC1691" s="5"/>
    </row>
    <row r="1692" spans="1:29" ht="12.5">
      <c r="A1692" s="5">
        <f ca="1">IFERROR(__xludf.DUMMYFUNCTION("""COMPUTED_VALUE"""),70587)</f>
        <v>70587</v>
      </c>
      <c r="B1692" s="5"/>
      <c r="C1692" s="5" t="str">
        <f ca="1">IFERROR(__xludf.DUMMYFUNCTION("""COMPUTED_VALUE"""),"Bihor")</f>
        <v>Bihor</v>
      </c>
      <c r="D1692" s="13">
        <f ca="1">IFERROR(__xludf.DUMMYFUNCTION("""COMPUTED_VALUE"""),44060)</f>
        <v>44060</v>
      </c>
      <c r="E1692" s="5" t="str">
        <f ca="1">IFERROR(__xludf.DUMMYFUNCTION("""COMPUTED_VALUE"""),"Nu")</f>
        <v>Nu</v>
      </c>
      <c r="F1692" s="5"/>
      <c r="G1692" s="5"/>
      <c r="H1692" s="6"/>
      <c r="I1692" s="5"/>
      <c r="J1692" s="5"/>
      <c r="K1692" s="7" t="str">
        <f ca="1">IFERROR(__xludf.DUMMYFUNCTION("""COMPUTED_VALUE"""),"https://www.ebihoreanul.ro/stiri/dupa-doua-saptamani-numarul-imbolnavirilor-covid-scade-in-bihor-31-noi-infectari-dar-si-un-deces-158256.html")</f>
        <v>https://www.ebihoreanul.ro/stiri/dupa-doua-saptamani-numarul-imbolnavirilor-covid-scade-in-bihor-31-noi-infectari-dar-si-un-deces-158256.html</v>
      </c>
      <c r="L1692" s="5"/>
      <c r="M1692" s="5"/>
      <c r="N1692" s="5"/>
      <c r="O1692" s="5"/>
      <c r="P1692" s="5"/>
      <c r="Q1692" s="5"/>
      <c r="R1692" s="5" t="str">
        <f ca="1">IFERROR(__xludf.DUMMYFUNCTION("""COMPUTED_VALUE"""),"România")</f>
        <v>România</v>
      </c>
      <c r="S1692" s="5" t="str">
        <f ca="1">IFERROR(__xludf.DUMMYFUNCTION("""COMPUTED_VALUE"""),"Octavian")</f>
        <v>Octavian</v>
      </c>
      <c r="T1692" s="7" t="str">
        <f ca="1">IFERROR(__xludf.DUMMYFUNCTION("""COMPUTED_VALUE"""),"http://www.ms.ro/2020/08/17/buletin-informativ-17-08-2020")</f>
        <v>http://www.ms.ro/2020/08/17/buletin-informativ-17-08-2020</v>
      </c>
      <c r="U1692" s="5"/>
      <c r="V1692" s="5"/>
      <c r="W1692" s="5"/>
      <c r="X1692" s="5"/>
      <c r="Y1692" s="5"/>
      <c r="Z1692" s="5"/>
      <c r="AA1692" s="5"/>
      <c r="AB1692" s="5"/>
      <c r="AC1692" s="5"/>
    </row>
    <row r="1693" spans="1:29" ht="12.5">
      <c r="A1693" s="5">
        <f ca="1">IFERROR(__xludf.DUMMYFUNCTION("""COMPUTED_VALUE"""),70588)</f>
        <v>70588</v>
      </c>
      <c r="B1693" s="5"/>
      <c r="C1693" s="5" t="str">
        <f ca="1">IFERROR(__xludf.DUMMYFUNCTION("""COMPUTED_VALUE"""),"Bihor")</f>
        <v>Bihor</v>
      </c>
      <c r="D1693" s="13">
        <f ca="1">IFERROR(__xludf.DUMMYFUNCTION("""COMPUTED_VALUE"""),44060)</f>
        <v>44060</v>
      </c>
      <c r="E1693" s="5" t="str">
        <f ca="1">IFERROR(__xludf.DUMMYFUNCTION("""COMPUTED_VALUE"""),"Nu")</f>
        <v>Nu</v>
      </c>
      <c r="F1693" s="5"/>
      <c r="G1693" s="5"/>
      <c r="H1693" s="6"/>
      <c r="I1693" s="5"/>
      <c r="J1693" s="5"/>
      <c r="K1693" s="7" t="str">
        <f ca="1">IFERROR(__xludf.DUMMYFUNCTION("""COMPUTED_VALUE"""),"https://www.ebihoreanul.ro/stiri/dupa-doua-saptamani-numarul-imbolnavirilor-covid-scade-in-bihor-31-noi-infectari-dar-si-un-deces-158256.html")</f>
        <v>https://www.ebihoreanul.ro/stiri/dupa-doua-saptamani-numarul-imbolnavirilor-covid-scade-in-bihor-31-noi-infectari-dar-si-un-deces-158256.html</v>
      </c>
      <c r="L1693" s="5"/>
      <c r="M1693" s="5"/>
      <c r="N1693" s="5"/>
      <c r="O1693" s="5"/>
      <c r="P1693" s="5"/>
      <c r="Q1693" s="5"/>
      <c r="R1693" s="5" t="str">
        <f ca="1">IFERROR(__xludf.DUMMYFUNCTION("""COMPUTED_VALUE"""),"România")</f>
        <v>România</v>
      </c>
      <c r="S1693" s="5" t="str">
        <f ca="1">IFERROR(__xludf.DUMMYFUNCTION("""COMPUTED_VALUE"""),"Octavian")</f>
        <v>Octavian</v>
      </c>
      <c r="T1693" s="7" t="str">
        <f ca="1">IFERROR(__xludf.DUMMYFUNCTION("""COMPUTED_VALUE"""),"http://www.ms.ro/2020/08/17/buletin-informativ-17-08-2020")</f>
        <v>http://www.ms.ro/2020/08/17/buletin-informativ-17-08-2020</v>
      </c>
      <c r="U1693" s="5"/>
      <c r="V1693" s="5"/>
      <c r="W1693" s="5"/>
      <c r="X1693" s="5"/>
      <c r="Y1693" s="5"/>
      <c r="Z1693" s="5"/>
      <c r="AA1693" s="5"/>
      <c r="AB1693" s="5"/>
      <c r="AC1693" s="5"/>
    </row>
    <row r="1694" spans="1:29" ht="12.5">
      <c r="A1694" s="5">
        <f ca="1">IFERROR(__xludf.DUMMYFUNCTION("""COMPUTED_VALUE"""),70589)</f>
        <v>70589</v>
      </c>
      <c r="B1694" s="5"/>
      <c r="C1694" s="5" t="str">
        <f ca="1">IFERROR(__xludf.DUMMYFUNCTION("""COMPUTED_VALUE"""),"Bihor")</f>
        <v>Bihor</v>
      </c>
      <c r="D1694" s="13">
        <f ca="1">IFERROR(__xludf.DUMMYFUNCTION("""COMPUTED_VALUE"""),44060)</f>
        <v>44060</v>
      </c>
      <c r="E1694" s="5" t="str">
        <f ca="1">IFERROR(__xludf.DUMMYFUNCTION("""COMPUTED_VALUE"""),"Nu")</f>
        <v>Nu</v>
      </c>
      <c r="F1694" s="5"/>
      <c r="G1694" s="5"/>
      <c r="H1694" s="6"/>
      <c r="I1694" s="5"/>
      <c r="J1694" s="5"/>
      <c r="K1694" s="7" t="str">
        <f ca="1">IFERROR(__xludf.DUMMYFUNCTION("""COMPUTED_VALUE"""),"https://www.ebihoreanul.ro/stiri/dupa-doua-saptamani-numarul-imbolnavirilor-covid-scade-in-bihor-31-noi-infectari-dar-si-un-deces-158256.html")</f>
        <v>https://www.ebihoreanul.ro/stiri/dupa-doua-saptamani-numarul-imbolnavirilor-covid-scade-in-bihor-31-noi-infectari-dar-si-un-deces-158256.html</v>
      </c>
      <c r="L1694" s="5"/>
      <c r="M1694" s="5"/>
      <c r="N1694" s="5"/>
      <c r="O1694" s="5"/>
      <c r="P1694" s="5"/>
      <c r="Q1694" s="5"/>
      <c r="R1694" s="5" t="str">
        <f ca="1">IFERROR(__xludf.DUMMYFUNCTION("""COMPUTED_VALUE"""),"România")</f>
        <v>România</v>
      </c>
      <c r="S1694" s="5" t="str">
        <f ca="1">IFERROR(__xludf.DUMMYFUNCTION("""COMPUTED_VALUE"""),"Octavian")</f>
        <v>Octavian</v>
      </c>
      <c r="T1694" s="7" t="str">
        <f ca="1">IFERROR(__xludf.DUMMYFUNCTION("""COMPUTED_VALUE"""),"http://www.ms.ro/2020/08/17/buletin-informativ-17-08-2020")</f>
        <v>http://www.ms.ro/2020/08/17/buletin-informativ-17-08-2020</v>
      </c>
      <c r="U1694" s="5"/>
      <c r="V1694" s="5"/>
      <c r="W1694" s="5"/>
      <c r="X1694" s="5"/>
      <c r="Y1694" s="5"/>
      <c r="Z1694" s="5"/>
      <c r="AA1694" s="5"/>
      <c r="AB1694" s="5"/>
      <c r="AC1694" s="5"/>
    </row>
    <row r="1695" spans="1:29" ht="12.5">
      <c r="A1695" s="5">
        <f ca="1">IFERROR(__xludf.DUMMYFUNCTION("""COMPUTED_VALUE"""),70590)</f>
        <v>70590</v>
      </c>
      <c r="B1695" s="5"/>
      <c r="C1695" s="5" t="str">
        <f ca="1">IFERROR(__xludf.DUMMYFUNCTION("""COMPUTED_VALUE"""),"Bihor")</f>
        <v>Bihor</v>
      </c>
      <c r="D1695" s="13">
        <f ca="1">IFERROR(__xludf.DUMMYFUNCTION("""COMPUTED_VALUE"""),44060)</f>
        <v>44060</v>
      </c>
      <c r="E1695" s="5" t="str">
        <f ca="1">IFERROR(__xludf.DUMMYFUNCTION("""COMPUTED_VALUE"""),"Nu")</f>
        <v>Nu</v>
      </c>
      <c r="F1695" s="5"/>
      <c r="G1695" s="5"/>
      <c r="H1695" s="6"/>
      <c r="I1695" s="5"/>
      <c r="J1695" s="5"/>
      <c r="K1695" s="7" t="str">
        <f ca="1">IFERROR(__xludf.DUMMYFUNCTION("""COMPUTED_VALUE"""),"https://www.ebihoreanul.ro/stiri/dupa-doua-saptamani-numarul-imbolnavirilor-covid-scade-in-bihor-31-noi-infectari-dar-si-un-deces-158256.html")</f>
        <v>https://www.ebihoreanul.ro/stiri/dupa-doua-saptamani-numarul-imbolnavirilor-covid-scade-in-bihor-31-noi-infectari-dar-si-un-deces-158256.html</v>
      </c>
      <c r="L1695" s="5"/>
      <c r="M1695" s="5"/>
      <c r="N1695" s="5"/>
      <c r="O1695" s="5"/>
      <c r="P1695" s="5"/>
      <c r="Q1695" s="5"/>
      <c r="R1695" s="5" t="str">
        <f ca="1">IFERROR(__xludf.DUMMYFUNCTION("""COMPUTED_VALUE"""),"România")</f>
        <v>România</v>
      </c>
      <c r="S1695" s="5" t="str">
        <f ca="1">IFERROR(__xludf.DUMMYFUNCTION("""COMPUTED_VALUE"""),"Octavian")</f>
        <v>Octavian</v>
      </c>
      <c r="T1695" s="7" t="str">
        <f ca="1">IFERROR(__xludf.DUMMYFUNCTION("""COMPUTED_VALUE"""),"http://www.ms.ro/2020/08/17/buletin-informativ-17-08-2020")</f>
        <v>http://www.ms.ro/2020/08/17/buletin-informativ-17-08-2020</v>
      </c>
      <c r="U1695" s="5"/>
      <c r="V1695" s="5"/>
      <c r="W1695" s="5"/>
      <c r="X1695" s="5"/>
      <c r="Y1695" s="5"/>
      <c r="Z1695" s="5"/>
      <c r="AA1695" s="5"/>
      <c r="AB1695" s="5"/>
      <c r="AC1695" s="5"/>
    </row>
    <row r="1696" spans="1:29" ht="12.5">
      <c r="A1696" s="5">
        <f ca="1">IFERROR(__xludf.DUMMYFUNCTION("""COMPUTED_VALUE"""),70591)</f>
        <v>70591</v>
      </c>
      <c r="B1696" s="5"/>
      <c r="C1696" s="5" t="str">
        <f ca="1">IFERROR(__xludf.DUMMYFUNCTION("""COMPUTED_VALUE"""),"Bihor")</f>
        <v>Bihor</v>
      </c>
      <c r="D1696" s="13">
        <f ca="1">IFERROR(__xludf.DUMMYFUNCTION("""COMPUTED_VALUE"""),44060)</f>
        <v>44060</v>
      </c>
      <c r="E1696" s="5" t="str">
        <f ca="1">IFERROR(__xludf.DUMMYFUNCTION("""COMPUTED_VALUE"""),"Nu")</f>
        <v>Nu</v>
      </c>
      <c r="F1696" s="5"/>
      <c r="G1696" s="5"/>
      <c r="H1696" s="6"/>
      <c r="I1696" s="5"/>
      <c r="J1696" s="5"/>
      <c r="K1696" s="7" t="str">
        <f ca="1">IFERROR(__xludf.DUMMYFUNCTION("""COMPUTED_VALUE"""),"https://www.ebihoreanul.ro/stiri/dupa-doua-saptamani-numarul-imbolnavirilor-covid-scade-in-bihor-31-noi-infectari-dar-si-un-deces-158256.html")</f>
        <v>https://www.ebihoreanul.ro/stiri/dupa-doua-saptamani-numarul-imbolnavirilor-covid-scade-in-bihor-31-noi-infectari-dar-si-un-deces-158256.html</v>
      </c>
      <c r="L1696" s="5"/>
      <c r="M1696" s="5"/>
      <c r="N1696" s="5"/>
      <c r="O1696" s="5"/>
      <c r="P1696" s="5"/>
      <c r="Q1696" s="5"/>
      <c r="R1696" s="5" t="str">
        <f ca="1">IFERROR(__xludf.DUMMYFUNCTION("""COMPUTED_VALUE"""),"România")</f>
        <v>România</v>
      </c>
      <c r="S1696" s="5" t="str">
        <f ca="1">IFERROR(__xludf.DUMMYFUNCTION("""COMPUTED_VALUE"""),"Octavian")</f>
        <v>Octavian</v>
      </c>
      <c r="T1696" s="7" t="str">
        <f ca="1">IFERROR(__xludf.DUMMYFUNCTION("""COMPUTED_VALUE"""),"http://www.ms.ro/2020/08/17/buletin-informativ-17-08-2020")</f>
        <v>http://www.ms.ro/2020/08/17/buletin-informativ-17-08-2020</v>
      </c>
      <c r="U1696" s="5"/>
      <c r="V1696" s="5"/>
      <c r="W1696" s="5"/>
      <c r="X1696" s="5"/>
      <c r="Y1696" s="5"/>
      <c r="Z1696" s="5"/>
      <c r="AA1696" s="5"/>
      <c r="AB1696" s="5"/>
      <c r="AC1696" s="5"/>
    </row>
    <row r="1697" spans="1:29" ht="12.5">
      <c r="A1697" s="5">
        <f ca="1">IFERROR(__xludf.DUMMYFUNCTION("""COMPUTED_VALUE"""),70592)</f>
        <v>70592</v>
      </c>
      <c r="B1697" s="5"/>
      <c r="C1697" s="5" t="str">
        <f ca="1">IFERROR(__xludf.DUMMYFUNCTION("""COMPUTED_VALUE"""),"Bihor")</f>
        <v>Bihor</v>
      </c>
      <c r="D1697" s="13">
        <f ca="1">IFERROR(__xludf.DUMMYFUNCTION("""COMPUTED_VALUE"""),44060)</f>
        <v>44060</v>
      </c>
      <c r="E1697" s="5" t="str">
        <f ca="1">IFERROR(__xludf.DUMMYFUNCTION("""COMPUTED_VALUE"""),"Nu")</f>
        <v>Nu</v>
      </c>
      <c r="F1697" s="5"/>
      <c r="G1697" s="5"/>
      <c r="H1697" s="6"/>
      <c r="I1697" s="5"/>
      <c r="J1697" s="5"/>
      <c r="K1697" s="7" t="str">
        <f ca="1">IFERROR(__xludf.DUMMYFUNCTION("""COMPUTED_VALUE"""),"https://www.ebihoreanul.ro/stiri/dupa-doua-saptamani-numarul-imbolnavirilor-covid-scade-in-bihor-31-noi-infectari-dar-si-un-deces-158256.html")</f>
        <v>https://www.ebihoreanul.ro/stiri/dupa-doua-saptamani-numarul-imbolnavirilor-covid-scade-in-bihor-31-noi-infectari-dar-si-un-deces-158256.html</v>
      </c>
      <c r="L1697" s="5"/>
      <c r="M1697" s="5"/>
      <c r="N1697" s="5"/>
      <c r="O1697" s="5"/>
      <c r="P1697" s="5"/>
      <c r="Q1697" s="5"/>
      <c r="R1697" s="5" t="str">
        <f ca="1">IFERROR(__xludf.DUMMYFUNCTION("""COMPUTED_VALUE"""),"România")</f>
        <v>România</v>
      </c>
      <c r="S1697" s="5" t="str">
        <f ca="1">IFERROR(__xludf.DUMMYFUNCTION("""COMPUTED_VALUE"""),"Octavian")</f>
        <v>Octavian</v>
      </c>
      <c r="T1697" s="7" t="str">
        <f ca="1">IFERROR(__xludf.DUMMYFUNCTION("""COMPUTED_VALUE"""),"http://www.ms.ro/2020/08/17/buletin-informativ-17-08-2020")</f>
        <v>http://www.ms.ro/2020/08/17/buletin-informativ-17-08-2020</v>
      </c>
      <c r="U1697" s="5"/>
      <c r="V1697" s="5"/>
      <c r="W1697" s="5"/>
      <c r="X1697" s="5"/>
      <c r="Y1697" s="5"/>
      <c r="Z1697" s="5"/>
      <c r="AA1697" s="5"/>
      <c r="AB1697" s="5"/>
      <c r="AC1697" s="5"/>
    </row>
    <row r="1698" spans="1:29" ht="12.5">
      <c r="A1698" s="5">
        <f ca="1">IFERROR(__xludf.DUMMYFUNCTION("""COMPUTED_VALUE"""),71289)</f>
        <v>71289</v>
      </c>
      <c r="B1698" s="5"/>
      <c r="C1698" s="5" t="str">
        <f ca="1">IFERROR(__xludf.DUMMYFUNCTION("""COMPUTED_VALUE"""),"Bihor")</f>
        <v>Bihor</v>
      </c>
      <c r="D1698" s="13">
        <f ca="1">IFERROR(__xludf.DUMMYFUNCTION("""COMPUTED_VALUE"""),44061)</f>
        <v>44061</v>
      </c>
      <c r="E1698" s="5" t="str">
        <f ca="1">IFERROR(__xludf.DUMMYFUNCTION("""COMPUTED_VALUE"""),"Nu")</f>
        <v>Nu</v>
      </c>
      <c r="F1698" s="5"/>
      <c r="G1698" s="5"/>
      <c r="H1698" s="6"/>
      <c r="I1698" s="5" t="str">
        <f ca="1">IFERROR(__xludf.DUMMYFUNCTION("""COMPUTED_VALUE"""),"Feminin")</f>
        <v>Feminin</v>
      </c>
      <c r="J1698" s="5"/>
      <c r="K1698" s="7" t="str">
        <f ca="1">IFERROR(__xludf.DUMMYFUNCTION("""COMPUTED_VALUE"""),"https://www.ebihoreanul.ro/stiri/coronavirus-in-bihor-inca-doua-decese-si-45-de-cazuri-noi-vezi-din-ce-localitati-158277.html")</f>
        <v>https://www.ebihoreanul.ro/stiri/coronavirus-in-bihor-inca-doua-decese-si-45-de-cazuri-noi-vezi-din-ce-localitati-158277.html</v>
      </c>
      <c r="L1698" s="5"/>
      <c r="M1698" s="5" t="str">
        <f ca="1">IFERROR(__xludf.DUMMYFUNCTION("""COMPUTED_VALUE"""),"Oradea")</f>
        <v>Oradea</v>
      </c>
      <c r="N1698" s="5"/>
      <c r="O1698" s="5"/>
      <c r="P1698" s="5" t="str">
        <f ca="1">IFERROR(__xludf.DUMMYFUNCTION("""COMPUTED_VALUE"""),"SM Oradea, cadru medical. Testată pozitiv la reîntoarcerea în activitate după concediu.")</f>
        <v>SM Oradea, cadru medical. Testată pozitiv la reîntoarcerea în activitate după concediu.</v>
      </c>
      <c r="Q1698" s="5" t="str">
        <f ca="1">IFERROR(__xludf.DUMMYFUNCTION("""COMPUTED_VALUE"""),"Comunitar")</f>
        <v>Comunitar</v>
      </c>
      <c r="R1698" s="5" t="str">
        <f ca="1">IFERROR(__xludf.DUMMYFUNCTION("""COMPUTED_VALUE"""),"România")</f>
        <v>România</v>
      </c>
      <c r="S1698" s="5" t="str">
        <f ca="1">IFERROR(__xludf.DUMMYFUNCTION("""COMPUTED_VALUE"""),"Octavian")</f>
        <v>Octavian</v>
      </c>
      <c r="T1698" s="7" t="str">
        <f ca="1">IFERROR(__xludf.DUMMYFUNCTION("""COMPUTED_VALUE"""),"http://www.ms.ro/2020/08/18/buletin-informativ-18-08-2020")</f>
        <v>http://www.ms.ro/2020/08/18/buletin-informativ-18-08-2020</v>
      </c>
      <c r="U1698" s="5"/>
      <c r="V1698" s="5"/>
      <c r="W1698" s="5"/>
      <c r="X1698" s="5"/>
      <c r="Y1698" s="5"/>
      <c r="Z1698" s="5"/>
      <c r="AA1698" s="5"/>
      <c r="AB1698" s="5"/>
      <c r="AC1698" s="5"/>
    </row>
    <row r="1699" spans="1:29" ht="12.5">
      <c r="A1699" s="5">
        <f ca="1">IFERROR(__xludf.DUMMYFUNCTION("""COMPUTED_VALUE"""),71290)</f>
        <v>71290</v>
      </c>
      <c r="B1699" s="5"/>
      <c r="C1699" s="5" t="str">
        <f ca="1">IFERROR(__xludf.DUMMYFUNCTION("""COMPUTED_VALUE"""),"Bihor")</f>
        <v>Bihor</v>
      </c>
      <c r="D1699" s="13">
        <f ca="1">IFERROR(__xludf.DUMMYFUNCTION("""COMPUTED_VALUE"""),44061)</f>
        <v>44061</v>
      </c>
      <c r="E1699" s="5" t="str">
        <f ca="1">IFERROR(__xludf.DUMMYFUNCTION("""COMPUTED_VALUE"""),"Nu")</f>
        <v>Nu</v>
      </c>
      <c r="F1699" s="5"/>
      <c r="G1699" s="5"/>
      <c r="H1699" s="6"/>
      <c r="I1699" s="5" t="str">
        <f ca="1">IFERROR(__xludf.DUMMYFUNCTION("""COMPUTED_VALUE"""),"Feminin")</f>
        <v>Feminin</v>
      </c>
      <c r="J1699" s="5"/>
      <c r="K1699" s="7" t="str">
        <f ca="1">IFERROR(__xludf.DUMMYFUNCTION("""COMPUTED_VALUE"""),"https://www.ebihoreanul.ro/stiri/coronavirus-in-bihor-inca-doua-decese-si-45-de-cazuri-noi-vezi-din-ce-localitati-158277.html")</f>
        <v>https://www.ebihoreanul.ro/stiri/coronavirus-in-bihor-inca-doua-decese-si-45-de-cazuri-noi-vezi-din-ce-localitati-158277.html</v>
      </c>
      <c r="L1699" s="5"/>
      <c r="M1699" s="5" t="str">
        <f ca="1">IFERROR(__xludf.DUMMYFUNCTION("""COMPUTED_VALUE"""),"Oradea")</f>
        <v>Oradea</v>
      </c>
      <c r="N1699" s="5"/>
      <c r="O1699" s="5"/>
      <c r="P1699" s="5" t="str">
        <f ca="1">IFERROR(__xludf.DUMMYFUNCTION("""COMPUTED_VALUE"""),"SM Oradea, cadru medical.")</f>
        <v>SM Oradea, cadru medical.</v>
      </c>
      <c r="Q1699" s="5" t="str">
        <f ca="1">IFERROR(__xludf.DUMMYFUNCTION("""COMPUTED_VALUE"""),"Medical")</f>
        <v>Medical</v>
      </c>
      <c r="R1699" s="5" t="str">
        <f ca="1">IFERROR(__xludf.DUMMYFUNCTION("""COMPUTED_VALUE"""),"România")</f>
        <v>România</v>
      </c>
      <c r="S1699" s="5" t="str">
        <f ca="1">IFERROR(__xludf.DUMMYFUNCTION("""COMPUTED_VALUE"""),"Octavian")</f>
        <v>Octavian</v>
      </c>
      <c r="T1699" s="7" t="str">
        <f ca="1">IFERROR(__xludf.DUMMYFUNCTION("""COMPUTED_VALUE"""),"http://www.ms.ro/2020/08/18/buletin-informativ-18-08-2020")</f>
        <v>http://www.ms.ro/2020/08/18/buletin-informativ-18-08-2020</v>
      </c>
      <c r="U1699" s="5"/>
      <c r="V1699" s="5"/>
      <c r="W1699" s="5"/>
      <c r="X1699" s="5"/>
      <c r="Y1699" s="5"/>
      <c r="Z1699" s="5"/>
      <c r="AA1699" s="5"/>
      <c r="AB1699" s="5"/>
      <c r="AC1699" s="5"/>
    </row>
    <row r="1700" spans="1:29" ht="12.5">
      <c r="A1700" s="5">
        <f ca="1">IFERROR(__xludf.DUMMYFUNCTION("""COMPUTED_VALUE"""),71291)</f>
        <v>71291</v>
      </c>
      <c r="B1700" s="5"/>
      <c r="C1700" s="5" t="str">
        <f ca="1">IFERROR(__xludf.DUMMYFUNCTION("""COMPUTED_VALUE"""),"Bihor")</f>
        <v>Bihor</v>
      </c>
      <c r="D1700" s="13">
        <f ca="1">IFERROR(__xludf.DUMMYFUNCTION("""COMPUTED_VALUE"""),44061)</f>
        <v>44061</v>
      </c>
      <c r="E1700" s="5" t="str">
        <f ca="1">IFERROR(__xludf.DUMMYFUNCTION("""COMPUTED_VALUE"""),"Nu")</f>
        <v>Nu</v>
      </c>
      <c r="F1700" s="5"/>
      <c r="G1700" s="5"/>
      <c r="H1700" s="6"/>
      <c r="I1700" s="5" t="str">
        <f ca="1">IFERROR(__xludf.DUMMYFUNCTION("""COMPUTED_VALUE"""),"Feminin")</f>
        <v>Feminin</v>
      </c>
      <c r="J1700" s="5"/>
      <c r="K1700" s="7" t="str">
        <f ca="1">IFERROR(__xludf.DUMMYFUNCTION("""COMPUTED_VALUE"""),"https://www.ebihoreanul.ro/stiri/coronavirus-in-bihor-inca-doua-decese-si-45-de-cazuri-noi-vezi-din-ce-localitati-158277.html")</f>
        <v>https://www.ebihoreanul.ro/stiri/coronavirus-in-bihor-inca-doua-decese-si-45-de-cazuri-noi-vezi-din-ce-localitati-158277.html</v>
      </c>
      <c r="L1700" s="5"/>
      <c r="M1700" s="5" t="str">
        <f ca="1">IFERROR(__xludf.DUMMYFUNCTION("""COMPUTED_VALUE"""),"Oradea")</f>
        <v>Oradea</v>
      </c>
      <c r="N1700" s="5"/>
      <c r="O1700" s="5"/>
      <c r="P1700" s="5" t="str">
        <f ca="1">IFERROR(__xludf.DUMMYFUNCTION("""COMPUTED_VALUE"""),"SM Oradea, cadru medical.")</f>
        <v>SM Oradea, cadru medical.</v>
      </c>
      <c r="Q1700" s="5" t="str">
        <f ca="1">IFERROR(__xludf.DUMMYFUNCTION("""COMPUTED_VALUE"""),"Medical")</f>
        <v>Medical</v>
      </c>
      <c r="R1700" s="5" t="str">
        <f ca="1">IFERROR(__xludf.DUMMYFUNCTION("""COMPUTED_VALUE"""),"România")</f>
        <v>România</v>
      </c>
      <c r="S1700" s="5" t="str">
        <f ca="1">IFERROR(__xludf.DUMMYFUNCTION("""COMPUTED_VALUE"""),"Octavian")</f>
        <v>Octavian</v>
      </c>
      <c r="T1700" s="7" t="str">
        <f ca="1">IFERROR(__xludf.DUMMYFUNCTION("""COMPUTED_VALUE"""),"http://www.ms.ro/2020/08/18/buletin-informativ-18-08-2020")</f>
        <v>http://www.ms.ro/2020/08/18/buletin-informativ-18-08-2020</v>
      </c>
      <c r="U1700" s="5"/>
      <c r="V1700" s="5"/>
      <c r="W1700" s="5"/>
      <c r="X1700" s="5"/>
      <c r="Y1700" s="5"/>
      <c r="Z1700" s="5"/>
      <c r="AA1700" s="5"/>
      <c r="AB1700" s="5"/>
      <c r="AC1700" s="5"/>
    </row>
    <row r="1701" spans="1:29" ht="12.5">
      <c r="A1701" s="5">
        <f ca="1">IFERROR(__xludf.DUMMYFUNCTION("""COMPUTED_VALUE"""),71292)</f>
        <v>71292</v>
      </c>
      <c r="B1701" s="5"/>
      <c r="C1701" s="5" t="str">
        <f ca="1">IFERROR(__xludf.DUMMYFUNCTION("""COMPUTED_VALUE"""),"Bihor")</f>
        <v>Bihor</v>
      </c>
      <c r="D1701" s="13">
        <f ca="1">IFERROR(__xludf.DUMMYFUNCTION("""COMPUTED_VALUE"""),44061)</f>
        <v>44061</v>
      </c>
      <c r="E1701" s="5" t="str">
        <f ca="1">IFERROR(__xludf.DUMMYFUNCTION("""COMPUTED_VALUE"""),"Nu")</f>
        <v>Nu</v>
      </c>
      <c r="F1701" s="5"/>
      <c r="G1701" s="5"/>
      <c r="H1701" s="6"/>
      <c r="I1701" s="5" t="str">
        <f ca="1">IFERROR(__xludf.DUMMYFUNCTION("""COMPUTED_VALUE"""),"Masculin")</f>
        <v>Masculin</v>
      </c>
      <c r="J1701" s="5"/>
      <c r="K1701" s="7" t="str">
        <f ca="1">IFERROR(__xludf.DUMMYFUNCTION("""COMPUTED_VALUE"""),"https://www.ebihoreanul.ro/stiri/coronavirus-in-bihor-inca-doua-decese-si-45-de-cazuri-noi-vezi-din-ce-localitati-158277.html")</f>
        <v>https://www.ebihoreanul.ro/stiri/coronavirus-in-bihor-inca-doua-decese-si-45-de-cazuri-noi-vezi-din-ce-localitati-158277.html</v>
      </c>
      <c r="L1701" s="5"/>
      <c r="M1701" s="5"/>
      <c r="N1701" s="5"/>
      <c r="O1701" s="5"/>
      <c r="P1701" s="5" t="str">
        <f ca="1">IFERROR(__xludf.DUMMYFUNCTION("""COMPUTED_VALUE"""),"Testat la cerere.")</f>
        <v>Testat la cerere.</v>
      </c>
      <c r="Q1701" s="5" t="str">
        <f ca="1">IFERROR(__xludf.DUMMYFUNCTION("""COMPUTED_VALUE"""),"Necunoscut")</f>
        <v>Necunoscut</v>
      </c>
      <c r="R1701" s="5" t="str">
        <f ca="1">IFERROR(__xludf.DUMMYFUNCTION("""COMPUTED_VALUE"""),"România")</f>
        <v>România</v>
      </c>
      <c r="S1701" s="5" t="str">
        <f ca="1">IFERROR(__xludf.DUMMYFUNCTION("""COMPUTED_VALUE"""),"Octavian")</f>
        <v>Octavian</v>
      </c>
      <c r="T1701" s="7" t="str">
        <f ca="1">IFERROR(__xludf.DUMMYFUNCTION("""COMPUTED_VALUE"""),"http://www.ms.ro/2020/08/18/buletin-informativ-18-08-2020")</f>
        <v>http://www.ms.ro/2020/08/18/buletin-informativ-18-08-2020</v>
      </c>
      <c r="U1701" s="5"/>
      <c r="V1701" s="5"/>
      <c r="W1701" s="5"/>
      <c r="X1701" s="5"/>
      <c r="Y1701" s="5"/>
      <c r="Z1701" s="5"/>
      <c r="AA1701" s="5"/>
      <c r="AB1701" s="5"/>
      <c r="AC1701" s="5"/>
    </row>
    <row r="1702" spans="1:29" ht="12.5">
      <c r="A1702" s="5">
        <f ca="1">IFERROR(__xludf.DUMMYFUNCTION("""COMPUTED_VALUE"""),71293)</f>
        <v>71293</v>
      </c>
      <c r="B1702" s="5"/>
      <c r="C1702" s="5" t="str">
        <f ca="1">IFERROR(__xludf.DUMMYFUNCTION("""COMPUTED_VALUE"""),"Bihor")</f>
        <v>Bihor</v>
      </c>
      <c r="D1702" s="13">
        <f ca="1">IFERROR(__xludf.DUMMYFUNCTION("""COMPUTED_VALUE"""),44061)</f>
        <v>44061</v>
      </c>
      <c r="E1702" s="5" t="str">
        <f ca="1">IFERROR(__xludf.DUMMYFUNCTION("""COMPUTED_VALUE"""),"Nu")</f>
        <v>Nu</v>
      </c>
      <c r="F1702" s="5"/>
      <c r="G1702" s="5"/>
      <c r="H1702" s="6"/>
      <c r="I1702" s="5"/>
      <c r="J1702" s="5"/>
      <c r="K1702" s="7" t="str">
        <f ca="1">IFERROR(__xludf.DUMMYFUNCTION("""COMPUTED_VALUE"""),"https://www.ebihoreanul.ro/stiri/coronavirus-in-bihor-inca-doua-decese-si-45-de-cazuri-noi-vezi-din-ce-localitati-158277.html")</f>
        <v>https://www.ebihoreanul.ro/stiri/coronavirus-in-bihor-inca-doua-decese-si-45-de-cazuri-noi-vezi-din-ce-localitati-158277.html</v>
      </c>
      <c r="L1702" s="5"/>
      <c r="M1702" s="5" t="str">
        <f ca="1">IFERROR(__xludf.DUMMYFUNCTION("""COMPUTED_VALUE"""),"Marghita")</f>
        <v>Marghita</v>
      </c>
      <c r="N1702" s="5"/>
      <c r="O1702" s="5"/>
      <c r="P1702" s="5"/>
      <c r="Q1702" s="5" t="str">
        <f ca="1">IFERROR(__xludf.DUMMYFUNCTION("""COMPUTED_VALUE"""),"Comunitar")</f>
        <v>Comunitar</v>
      </c>
      <c r="R1702" s="5" t="str">
        <f ca="1">IFERROR(__xludf.DUMMYFUNCTION("""COMPUTED_VALUE"""),"România")</f>
        <v>România</v>
      </c>
      <c r="S1702" s="5" t="str">
        <f ca="1">IFERROR(__xludf.DUMMYFUNCTION("""COMPUTED_VALUE"""),"Octavian")</f>
        <v>Octavian</v>
      </c>
      <c r="T1702" s="7" t="str">
        <f ca="1">IFERROR(__xludf.DUMMYFUNCTION("""COMPUTED_VALUE"""),"http://www.ms.ro/2020/08/18/buletin-informativ-18-08-2020")</f>
        <v>http://www.ms.ro/2020/08/18/buletin-informativ-18-08-2020</v>
      </c>
      <c r="U1702" s="5"/>
      <c r="V1702" s="5"/>
      <c r="W1702" s="5"/>
      <c r="X1702" s="5"/>
      <c r="Y1702" s="5"/>
      <c r="Z1702" s="5"/>
      <c r="AA1702" s="5"/>
      <c r="AB1702" s="5"/>
      <c r="AC1702" s="5"/>
    </row>
    <row r="1703" spans="1:29" ht="12.5">
      <c r="A1703" s="5">
        <f ca="1">IFERROR(__xludf.DUMMYFUNCTION("""COMPUTED_VALUE"""),71294)</f>
        <v>71294</v>
      </c>
      <c r="B1703" s="5"/>
      <c r="C1703" s="5" t="str">
        <f ca="1">IFERROR(__xludf.DUMMYFUNCTION("""COMPUTED_VALUE"""),"Bihor")</f>
        <v>Bihor</v>
      </c>
      <c r="D1703" s="13">
        <f ca="1">IFERROR(__xludf.DUMMYFUNCTION("""COMPUTED_VALUE"""),44061)</f>
        <v>44061</v>
      </c>
      <c r="E1703" s="5" t="str">
        <f ca="1">IFERROR(__xludf.DUMMYFUNCTION("""COMPUTED_VALUE"""),"Nu")</f>
        <v>Nu</v>
      </c>
      <c r="F1703" s="5"/>
      <c r="G1703" s="5"/>
      <c r="H1703" s="6"/>
      <c r="I1703" s="5"/>
      <c r="J1703" s="5"/>
      <c r="K1703" s="7" t="str">
        <f ca="1">IFERROR(__xludf.DUMMYFUNCTION("""COMPUTED_VALUE"""),"https://www.ebihoreanul.ro/stiri/coronavirus-in-bihor-inca-doua-decese-si-45-de-cazuri-noi-vezi-din-ce-localitati-158277.html")</f>
        <v>https://www.ebihoreanul.ro/stiri/coronavirus-in-bihor-inca-doua-decese-si-45-de-cazuri-noi-vezi-din-ce-localitati-158277.html</v>
      </c>
      <c r="L1703" s="5"/>
      <c r="M1703" s="5" t="str">
        <f ca="1">IFERROR(__xludf.DUMMYFUNCTION("""COMPUTED_VALUE"""),"Voivozi")</f>
        <v>Voivozi</v>
      </c>
      <c r="N1703" s="5"/>
      <c r="O1703" s="5"/>
      <c r="P1703" s="5"/>
      <c r="Q1703" s="5" t="str">
        <f ca="1">IFERROR(__xludf.DUMMYFUNCTION("""COMPUTED_VALUE"""),"Comunitar")</f>
        <v>Comunitar</v>
      </c>
      <c r="R1703" s="5" t="str">
        <f ca="1">IFERROR(__xludf.DUMMYFUNCTION("""COMPUTED_VALUE"""),"România")</f>
        <v>România</v>
      </c>
      <c r="S1703" s="5" t="str">
        <f ca="1">IFERROR(__xludf.DUMMYFUNCTION("""COMPUTED_VALUE"""),"Octavian")</f>
        <v>Octavian</v>
      </c>
      <c r="T1703" s="7" t="str">
        <f ca="1">IFERROR(__xludf.DUMMYFUNCTION("""COMPUTED_VALUE"""),"http://www.ms.ro/2020/08/18/buletin-informativ-18-08-2020")</f>
        <v>http://www.ms.ro/2020/08/18/buletin-informativ-18-08-2020</v>
      </c>
      <c r="U1703" s="5"/>
      <c r="V1703" s="5"/>
      <c r="W1703" s="5"/>
      <c r="X1703" s="5"/>
      <c r="Y1703" s="5"/>
      <c r="Z1703" s="5"/>
      <c r="AA1703" s="5"/>
      <c r="AB1703" s="5"/>
      <c r="AC1703" s="5"/>
    </row>
    <row r="1704" spans="1:29" ht="12.5">
      <c r="A1704" s="5">
        <f ca="1">IFERROR(__xludf.DUMMYFUNCTION("""COMPUTED_VALUE"""),71295)</f>
        <v>71295</v>
      </c>
      <c r="B1704" s="5"/>
      <c r="C1704" s="5" t="str">
        <f ca="1">IFERROR(__xludf.DUMMYFUNCTION("""COMPUTED_VALUE"""),"Bihor")</f>
        <v>Bihor</v>
      </c>
      <c r="D1704" s="13">
        <f ca="1">IFERROR(__xludf.DUMMYFUNCTION("""COMPUTED_VALUE"""),44061)</f>
        <v>44061</v>
      </c>
      <c r="E1704" s="5" t="str">
        <f ca="1">IFERROR(__xludf.DUMMYFUNCTION("""COMPUTED_VALUE"""),"Nu")</f>
        <v>Nu</v>
      </c>
      <c r="F1704" s="5"/>
      <c r="G1704" s="5"/>
      <c r="H1704" s="6"/>
      <c r="I1704" s="5"/>
      <c r="J1704" s="5"/>
      <c r="K1704" s="7" t="str">
        <f ca="1">IFERROR(__xludf.DUMMYFUNCTION("""COMPUTED_VALUE"""),"https://www.ebihoreanul.ro/stiri/coronavirus-in-bihor-inca-doua-decese-si-45-de-cazuri-noi-vezi-din-ce-localitati-158277.html")</f>
        <v>https://www.ebihoreanul.ro/stiri/coronavirus-in-bihor-inca-doua-decese-si-45-de-cazuri-noi-vezi-din-ce-localitati-158277.html</v>
      </c>
      <c r="L1704" s="5"/>
      <c r="M1704" s="5" t="str">
        <f ca="1">IFERROR(__xludf.DUMMYFUNCTION("""COMPUTED_VALUE"""),"Popești")</f>
        <v>Popești</v>
      </c>
      <c r="N1704" s="5"/>
      <c r="O1704" s="5"/>
      <c r="P1704" s="5"/>
      <c r="Q1704" s="5" t="str">
        <f ca="1">IFERROR(__xludf.DUMMYFUNCTION("""COMPUTED_VALUE"""),"Comunitar")</f>
        <v>Comunitar</v>
      </c>
      <c r="R1704" s="5" t="str">
        <f ca="1">IFERROR(__xludf.DUMMYFUNCTION("""COMPUTED_VALUE"""),"România")</f>
        <v>România</v>
      </c>
      <c r="S1704" s="5" t="str">
        <f ca="1">IFERROR(__xludf.DUMMYFUNCTION("""COMPUTED_VALUE"""),"Octavian")</f>
        <v>Octavian</v>
      </c>
      <c r="T1704" s="7" t="str">
        <f ca="1">IFERROR(__xludf.DUMMYFUNCTION("""COMPUTED_VALUE"""),"http://www.ms.ro/2020/08/18/buletin-informativ-18-08-2020")</f>
        <v>http://www.ms.ro/2020/08/18/buletin-informativ-18-08-2020</v>
      </c>
      <c r="U1704" s="5"/>
      <c r="V1704" s="5"/>
      <c r="W1704" s="5"/>
      <c r="X1704" s="5"/>
      <c r="Y1704" s="5"/>
      <c r="Z1704" s="5"/>
      <c r="AA1704" s="5"/>
      <c r="AB1704" s="5"/>
      <c r="AC1704" s="5"/>
    </row>
    <row r="1705" spans="1:29" ht="12.5">
      <c r="A1705" s="5">
        <f ca="1">IFERROR(__xludf.DUMMYFUNCTION("""COMPUTED_VALUE"""),71296)</f>
        <v>71296</v>
      </c>
      <c r="B1705" s="5"/>
      <c r="C1705" s="5" t="str">
        <f ca="1">IFERROR(__xludf.DUMMYFUNCTION("""COMPUTED_VALUE"""),"Bihor")</f>
        <v>Bihor</v>
      </c>
      <c r="D1705" s="13">
        <f ca="1">IFERROR(__xludf.DUMMYFUNCTION("""COMPUTED_VALUE"""),44061)</f>
        <v>44061</v>
      </c>
      <c r="E1705" s="5" t="str">
        <f ca="1">IFERROR(__xludf.DUMMYFUNCTION("""COMPUTED_VALUE"""),"Nu")</f>
        <v>Nu</v>
      </c>
      <c r="F1705" s="5"/>
      <c r="G1705" s="5"/>
      <c r="H1705" s="6"/>
      <c r="I1705" s="5"/>
      <c r="J1705" s="5"/>
      <c r="K1705" s="7" t="str">
        <f ca="1">IFERROR(__xludf.DUMMYFUNCTION("""COMPUTED_VALUE"""),"https://www.ebihoreanul.ro/stiri/coronavirus-in-bihor-inca-doua-decese-si-45-de-cazuri-noi-vezi-din-ce-localitati-158277.html")</f>
        <v>https://www.ebihoreanul.ro/stiri/coronavirus-in-bihor-inca-doua-decese-si-45-de-cazuri-noi-vezi-din-ce-localitati-158277.html</v>
      </c>
      <c r="L1705" s="5"/>
      <c r="M1705" s="5" t="str">
        <f ca="1">IFERROR(__xludf.DUMMYFUNCTION("""COMPUTED_VALUE"""),"Valea lui Mihai")</f>
        <v>Valea lui Mihai</v>
      </c>
      <c r="N1705" s="5"/>
      <c r="O1705" s="5"/>
      <c r="P1705" s="5"/>
      <c r="Q1705" s="5" t="str">
        <f ca="1">IFERROR(__xludf.DUMMYFUNCTION("""COMPUTED_VALUE"""),"Comunitar")</f>
        <v>Comunitar</v>
      </c>
      <c r="R1705" s="5" t="str">
        <f ca="1">IFERROR(__xludf.DUMMYFUNCTION("""COMPUTED_VALUE"""),"România")</f>
        <v>România</v>
      </c>
      <c r="S1705" s="5" t="str">
        <f ca="1">IFERROR(__xludf.DUMMYFUNCTION("""COMPUTED_VALUE"""),"Octavian")</f>
        <v>Octavian</v>
      </c>
      <c r="T1705" s="7" t="str">
        <f ca="1">IFERROR(__xludf.DUMMYFUNCTION("""COMPUTED_VALUE"""),"http://www.ms.ro/2020/08/18/buletin-informativ-18-08-2020")</f>
        <v>http://www.ms.ro/2020/08/18/buletin-informativ-18-08-2020</v>
      </c>
      <c r="U1705" s="5"/>
      <c r="V1705" s="5"/>
      <c r="W1705" s="5"/>
      <c r="X1705" s="5"/>
      <c r="Y1705" s="5"/>
      <c r="Z1705" s="5"/>
      <c r="AA1705" s="5"/>
      <c r="AB1705" s="5"/>
      <c r="AC1705" s="5"/>
    </row>
    <row r="1706" spans="1:29" ht="12.5">
      <c r="A1706" s="5">
        <f ca="1">IFERROR(__xludf.DUMMYFUNCTION("""COMPUTED_VALUE"""),71297)</f>
        <v>71297</v>
      </c>
      <c r="B1706" s="5"/>
      <c r="C1706" s="5" t="str">
        <f ca="1">IFERROR(__xludf.DUMMYFUNCTION("""COMPUTED_VALUE"""),"Bihor")</f>
        <v>Bihor</v>
      </c>
      <c r="D1706" s="13">
        <f ca="1">IFERROR(__xludf.DUMMYFUNCTION("""COMPUTED_VALUE"""),44061)</f>
        <v>44061</v>
      </c>
      <c r="E1706" s="5" t="str">
        <f ca="1">IFERROR(__xludf.DUMMYFUNCTION("""COMPUTED_VALUE"""),"Nu")</f>
        <v>Nu</v>
      </c>
      <c r="F1706" s="5"/>
      <c r="G1706" s="5"/>
      <c r="H1706" s="6"/>
      <c r="I1706" s="5"/>
      <c r="J1706" s="5"/>
      <c r="K1706" s="7" t="str">
        <f ca="1">IFERROR(__xludf.DUMMYFUNCTION("""COMPUTED_VALUE"""),"https://www.ebihoreanul.ro/stiri/coronavirus-in-bihor-inca-doua-decese-si-45-de-cazuri-noi-vezi-din-ce-localitati-158277.html")</f>
        <v>https://www.ebihoreanul.ro/stiri/coronavirus-in-bihor-inca-doua-decese-si-45-de-cazuri-noi-vezi-din-ce-localitati-158277.html</v>
      </c>
      <c r="L1706" s="5"/>
      <c r="M1706" s="5" t="str">
        <f ca="1">IFERROR(__xludf.DUMMYFUNCTION("""COMPUTED_VALUE"""),"Curățele")</f>
        <v>Curățele</v>
      </c>
      <c r="N1706" s="5"/>
      <c r="O1706" s="5"/>
      <c r="P1706" s="5"/>
      <c r="Q1706" s="5" t="str">
        <f ca="1">IFERROR(__xludf.DUMMYFUNCTION("""COMPUTED_VALUE"""),"Comunitar")</f>
        <v>Comunitar</v>
      </c>
      <c r="R1706" s="5" t="str">
        <f ca="1">IFERROR(__xludf.DUMMYFUNCTION("""COMPUTED_VALUE"""),"România")</f>
        <v>România</v>
      </c>
      <c r="S1706" s="5" t="str">
        <f ca="1">IFERROR(__xludf.DUMMYFUNCTION("""COMPUTED_VALUE"""),"Octavian")</f>
        <v>Octavian</v>
      </c>
      <c r="T1706" s="7" t="str">
        <f ca="1">IFERROR(__xludf.DUMMYFUNCTION("""COMPUTED_VALUE"""),"http://www.ms.ro/2020/08/18/buletin-informativ-18-08-2020")</f>
        <v>http://www.ms.ro/2020/08/18/buletin-informativ-18-08-2020</v>
      </c>
      <c r="U1706" s="5"/>
      <c r="V1706" s="5"/>
      <c r="W1706" s="5"/>
      <c r="X1706" s="5"/>
      <c r="Y1706" s="5"/>
      <c r="Z1706" s="5"/>
      <c r="AA1706" s="5"/>
      <c r="AB1706" s="5"/>
      <c r="AC1706" s="5"/>
    </row>
    <row r="1707" spans="1:29" ht="12.5">
      <c r="A1707" s="5">
        <f ca="1">IFERROR(__xludf.DUMMYFUNCTION("""COMPUTED_VALUE"""),71298)</f>
        <v>71298</v>
      </c>
      <c r="B1707" s="5"/>
      <c r="C1707" s="5" t="str">
        <f ca="1">IFERROR(__xludf.DUMMYFUNCTION("""COMPUTED_VALUE"""),"Bihor")</f>
        <v>Bihor</v>
      </c>
      <c r="D1707" s="13">
        <f ca="1">IFERROR(__xludf.DUMMYFUNCTION("""COMPUTED_VALUE"""),44061)</f>
        <v>44061</v>
      </c>
      <c r="E1707" s="5" t="str">
        <f ca="1">IFERROR(__xludf.DUMMYFUNCTION("""COMPUTED_VALUE"""),"Nu")</f>
        <v>Nu</v>
      </c>
      <c r="F1707" s="5"/>
      <c r="G1707" s="5"/>
      <c r="H1707" s="6"/>
      <c r="I1707" s="5"/>
      <c r="J1707" s="5"/>
      <c r="K1707" s="7" t="str">
        <f ca="1">IFERROR(__xludf.DUMMYFUNCTION("""COMPUTED_VALUE"""),"https://www.ebihoreanul.ro/stiri/coronavirus-in-bihor-inca-doua-decese-si-45-de-cazuri-noi-vezi-din-ce-localitati-158277.html")</f>
        <v>https://www.ebihoreanul.ro/stiri/coronavirus-in-bihor-inca-doua-decese-si-45-de-cazuri-noi-vezi-din-ce-localitati-158277.html</v>
      </c>
      <c r="L1707" s="5"/>
      <c r="M1707" s="5" t="str">
        <f ca="1">IFERROR(__xludf.DUMMYFUNCTION("""COMPUTED_VALUE"""),"Ineu")</f>
        <v>Ineu</v>
      </c>
      <c r="N1707" s="5"/>
      <c r="O1707" s="5"/>
      <c r="P1707" s="5"/>
      <c r="Q1707" s="5" t="str">
        <f ca="1">IFERROR(__xludf.DUMMYFUNCTION("""COMPUTED_VALUE"""),"Comunitar")</f>
        <v>Comunitar</v>
      </c>
      <c r="R1707" s="5" t="str">
        <f ca="1">IFERROR(__xludf.DUMMYFUNCTION("""COMPUTED_VALUE"""),"România")</f>
        <v>România</v>
      </c>
      <c r="S1707" s="5" t="str">
        <f ca="1">IFERROR(__xludf.DUMMYFUNCTION("""COMPUTED_VALUE"""),"Octavian")</f>
        <v>Octavian</v>
      </c>
      <c r="T1707" s="7" t="str">
        <f ca="1">IFERROR(__xludf.DUMMYFUNCTION("""COMPUTED_VALUE"""),"http://www.ms.ro/2020/08/18/buletin-informativ-18-08-2020")</f>
        <v>http://www.ms.ro/2020/08/18/buletin-informativ-18-08-2020</v>
      </c>
      <c r="U1707" s="5"/>
      <c r="V1707" s="5"/>
      <c r="W1707" s="5"/>
      <c r="X1707" s="5"/>
      <c r="Y1707" s="5"/>
      <c r="Z1707" s="5"/>
      <c r="AA1707" s="5"/>
      <c r="AB1707" s="5"/>
      <c r="AC1707" s="5"/>
    </row>
    <row r="1708" spans="1:29" ht="12.5">
      <c r="A1708" s="5">
        <f ca="1">IFERROR(__xludf.DUMMYFUNCTION("""COMPUTED_VALUE"""),71299)</f>
        <v>71299</v>
      </c>
      <c r="B1708" s="5"/>
      <c r="C1708" s="5" t="str">
        <f ca="1">IFERROR(__xludf.DUMMYFUNCTION("""COMPUTED_VALUE"""),"Bihor")</f>
        <v>Bihor</v>
      </c>
      <c r="D1708" s="13">
        <f ca="1">IFERROR(__xludf.DUMMYFUNCTION("""COMPUTED_VALUE"""),44061)</f>
        <v>44061</v>
      </c>
      <c r="E1708" s="5" t="str">
        <f ca="1">IFERROR(__xludf.DUMMYFUNCTION("""COMPUTED_VALUE"""),"Nu")</f>
        <v>Nu</v>
      </c>
      <c r="F1708" s="5"/>
      <c r="G1708" s="5"/>
      <c r="H1708" s="6"/>
      <c r="I1708" s="5"/>
      <c r="J1708" s="5"/>
      <c r="K1708" s="7" t="str">
        <f ca="1">IFERROR(__xludf.DUMMYFUNCTION("""COMPUTED_VALUE"""),"https://www.ebihoreanul.ro/stiri/coronavirus-in-bihor-inca-doua-decese-si-45-de-cazuri-noi-vezi-din-ce-localitati-158277.html")</f>
        <v>https://www.ebihoreanul.ro/stiri/coronavirus-in-bihor-inca-doua-decese-si-45-de-cazuri-noi-vezi-din-ce-localitati-158277.html</v>
      </c>
      <c r="L1708" s="5"/>
      <c r="M1708" s="5" t="str">
        <f ca="1">IFERROR(__xludf.DUMMYFUNCTION("""COMPUTED_VALUE"""),"Bursturi")</f>
        <v>Bursturi</v>
      </c>
      <c r="N1708" s="5"/>
      <c r="O1708" s="5"/>
      <c r="P1708" s="5"/>
      <c r="Q1708" s="5" t="str">
        <f ca="1">IFERROR(__xludf.DUMMYFUNCTION("""COMPUTED_VALUE"""),"Comunitar")</f>
        <v>Comunitar</v>
      </c>
      <c r="R1708" s="5" t="str">
        <f ca="1">IFERROR(__xludf.DUMMYFUNCTION("""COMPUTED_VALUE"""),"România")</f>
        <v>România</v>
      </c>
      <c r="S1708" s="5" t="str">
        <f ca="1">IFERROR(__xludf.DUMMYFUNCTION("""COMPUTED_VALUE"""),"Octavian")</f>
        <v>Octavian</v>
      </c>
      <c r="T1708" s="7" t="str">
        <f ca="1">IFERROR(__xludf.DUMMYFUNCTION("""COMPUTED_VALUE"""),"http://www.ms.ro/2020/08/18/buletin-informativ-18-08-2020")</f>
        <v>http://www.ms.ro/2020/08/18/buletin-informativ-18-08-2020</v>
      </c>
      <c r="U1708" s="5"/>
      <c r="V1708" s="5"/>
      <c r="W1708" s="5"/>
      <c r="X1708" s="5"/>
      <c r="Y1708" s="5"/>
      <c r="Z1708" s="5"/>
      <c r="AA1708" s="5"/>
      <c r="AB1708" s="5"/>
      <c r="AC1708" s="5"/>
    </row>
    <row r="1709" spans="1:29" ht="12.5">
      <c r="A1709" s="5">
        <f ca="1">IFERROR(__xludf.DUMMYFUNCTION("""COMPUTED_VALUE"""),71300)</f>
        <v>71300</v>
      </c>
      <c r="B1709" s="5"/>
      <c r="C1709" s="5" t="str">
        <f ca="1">IFERROR(__xludf.DUMMYFUNCTION("""COMPUTED_VALUE"""),"Bihor")</f>
        <v>Bihor</v>
      </c>
      <c r="D1709" s="13">
        <f ca="1">IFERROR(__xludf.DUMMYFUNCTION("""COMPUTED_VALUE"""),44061)</f>
        <v>44061</v>
      </c>
      <c r="E1709" s="5" t="str">
        <f ca="1">IFERROR(__xludf.DUMMYFUNCTION("""COMPUTED_VALUE"""),"Nu")</f>
        <v>Nu</v>
      </c>
      <c r="F1709" s="5"/>
      <c r="G1709" s="5"/>
      <c r="H1709" s="6"/>
      <c r="I1709" s="5"/>
      <c r="J1709" s="5"/>
      <c r="K1709" s="7" t="str">
        <f ca="1">IFERROR(__xludf.DUMMYFUNCTION("""COMPUTED_VALUE"""),"https://www.ebihoreanul.ro/stiri/coronavirus-in-bihor-inca-doua-decese-si-45-de-cazuri-noi-vezi-din-ce-localitati-158277.html")</f>
        <v>https://www.ebihoreanul.ro/stiri/coronavirus-in-bihor-inca-doua-decese-si-45-de-cazuri-noi-vezi-din-ce-localitati-158277.html</v>
      </c>
      <c r="L1709" s="5"/>
      <c r="M1709" s="5" t="str">
        <f ca="1">IFERROR(__xludf.DUMMYFUNCTION("""COMPUTED_VALUE"""),"Câmpani")</f>
        <v>Câmpani</v>
      </c>
      <c r="N1709" s="5"/>
      <c r="O1709" s="5"/>
      <c r="P1709" s="5"/>
      <c r="Q1709" s="5" t="str">
        <f ca="1">IFERROR(__xludf.DUMMYFUNCTION("""COMPUTED_VALUE"""),"Comunitar")</f>
        <v>Comunitar</v>
      </c>
      <c r="R1709" s="5" t="str">
        <f ca="1">IFERROR(__xludf.DUMMYFUNCTION("""COMPUTED_VALUE"""),"România")</f>
        <v>România</v>
      </c>
      <c r="S1709" s="5" t="str">
        <f ca="1">IFERROR(__xludf.DUMMYFUNCTION("""COMPUTED_VALUE"""),"Octavian")</f>
        <v>Octavian</v>
      </c>
      <c r="T1709" s="7" t="str">
        <f ca="1">IFERROR(__xludf.DUMMYFUNCTION("""COMPUTED_VALUE"""),"http://www.ms.ro/2020/08/18/buletin-informativ-18-08-2020")</f>
        <v>http://www.ms.ro/2020/08/18/buletin-informativ-18-08-2020</v>
      </c>
      <c r="U1709" s="5"/>
      <c r="V1709" s="5"/>
      <c r="W1709" s="5"/>
      <c r="X1709" s="5"/>
      <c r="Y1709" s="5"/>
      <c r="Z1709" s="5"/>
      <c r="AA1709" s="5"/>
      <c r="AB1709" s="5"/>
      <c r="AC1709" s="5"/>
    </row>
    <row r="1710" spans="1:29" ht="12.5">
      <c r="A1710" s="5">
        <f ca="1">IFERROR(__xludf.DUMMYFUNCTION("""COMPUTED_VALUE"""),71301)</f>
        <v>71301</v>
      </c>
      <c r="B1710" s="5"/>
      <c r="C1710" s="5" t="str">
        <f ca="1">IFERROR(__xludf.DUMMYFUNCTION("""COMPUTED_VALUE"""),"Bihor")</f>
        <v>Bihor</v>
      </c>
      <c r="D1710" s="13">
        <f ca="1">IFERROR(__xludf.DUMMYFUNCTION("""COMPUTED_VALUE"""),44061)</f>
        <v>44061</v>
      </c>
      <c r="E1710" s="5" t="str">
        <f ca="1">IFERROR(__xludf.DUMMYFUNCTION("""COMPUTED_VALUE"""),"Nu")</f>
        <v>Nu</v>
      </c>
      <c r="F1710" s="5"/>
      <c r="G1710" s="5"/>
      <c r="H1710" s="6"/>
      <c r="I1710" s="5"/>
      <c r="J1710" s="5"/>
      <c r="K1710" s="7" t="str">
        <f ca="1">IFERROR(__xludf.DUMMYFUNCTION("""COMPUTED_VALUE"""),"https://www.ebihoreanul.ro/stiri/coronavirus-in-bihor-inca-doua-decese-si-45-de-cazuri-noi-vezi-din-ce-localitati-158277.html")</f>
        <v>https://www.ebihoreanul.ro/stiri/coronavirus-in-bihor-inca-doua-decese-si-45-de-cazuri-noi-vezi-din-ce-localitati-158277.html</v>
      </c>
      <c r="L1710" s="5"/>
      <c r="M1710" s="5" t="str">
        <f ca="1">IFERROR(__xludf.DUMMYFUNCTION("""COMPUTED_VALUE"""),"Aleșd")</f>
        <v>Aleșd</v>
      </c>
      <c r="N1710" s="5"/>
      <c r="O1710" s="5"/>
      <c r="P1710" s="5"/>
      <c r="Q1710" s="5" t="str">
        <f ca="1">IFERROR(__xludf.DUMMYFUNCTION("""COMPUTED_VALUE"""),"Comunitar")</f>
        <v>Comunitar</v>
      </c>
      <c r="R1710" s="5" t="str">
        <f ca="1">IFERROR(__xludf.DUMMYFUNCTION("""COMPUTED_VALUE"""),"România")</f>
        <v>România</v>
      </c>
      <c r="S1710" s="5" t="str">
        <f ca="1">IFERROR(__xludf.DUMMYFUNCTION("""COMPUTED_VALUE"""),"Octavian")</f>
        <v>Octavian</v>
      </c>
      <c r="T1710" s="7" t="str">
        <f ca="1">IFERROR(__xludf.DUMMYFUNCTION("""COMPUTED_VALUE"""),"http://www.ms.ro/2020/08/18/buletin-informativ-18-08-2020")</f>
        <v>http://www.ms.ro/2020/08/18/buletin-informativ-18-08-2020</v>
      </c>
      <c r="U1710" s="5"/>
      <c r="V1710" s="5"/>
      <c r="W1710" s="5"/>
      <c r="X1710" s="5"/>
      <c r="Y1710" s="5"/>
      <c r="Z1710" s="5"/>
      <c r="AA1710" s="5"/>
      <c r="AB1710" s="5"/>
      <c r="AC1710" s="5"/>
    </row>
    <row r="1711" spans="1:29" ht="12.5">
      <c r="A1711" s="5">
        <f ca="1">IFERROR(__xludf.DUMMYFUNCTION("""COMPUTED_VALUE"""),71302)</f>
        <v>71302</v>
      </c>
      <c r="B1711" s="5"/>
      <c r="C1711" s="5" t="str">
        <f ca="1">IFERROR(__xludf.DUMMYFUNCTION("""COMPUTED_VALUE"""),"Bihor")</f>
        <v>Bihor</v>
      </c>
      <c r="D1711" s="13">
        <f ca="1">IFERROR(__xludf.DUMMYFUNCTION("""COMPUTED_VALUE"""),44061)</f>
        <v>44061</v>
      </c>
      <c r="E1711" s="5" t="str">
        <f ca="1">IFERROR(__xludf.DUMMYFUNCTION("""COMPUTED_VALUE"""),"Nu")</f>
        <v>Nu</v>
      </c>
      <c r="F1711" s="5"/>
      <c r="G1711" s="5"/>
      <c r="H1711" s="6"/>
      <c r="I1711" s="5"/>
      <c r="J1711" s="5"/>
      <c r="K1711" s="7" t="str">
        <f ca="1">IFERROR(__xludf.DUMMYFUNCTION("""COMPUTED_VALUE"""),"https://www.ebihoreanul.ro/stiri/coronavirus-in-bihor-inca-doua-decese-si-45-de-cazuri-noi-vezi-din-ce-localitati-158277.html")</f>
        <v>https://www.ebihoreanul.ro/stiri/coronavirus-in-bihor-inca-doua-decese-si-45-de-cazuri-noi-vezi-din-ce-localitati-158277.html</v>
      </c>
      <c r="L1711" s="5"/>
      <c r="M1711" s="5" t="str">
        <f ca="1">IFERROR(__xludf.DUMMYFUNCTION("""COMPUTED_VALUE"""),"Măgești")</f>
        <v>Măgești</v>
      </c>
      <c r="N1711" s="5"/>
      <c r="O1711" s="5"/>
      <c r="P1711" s="5"/>
      <c r="Q1711" s="5" t="str">
        <f ca="1">IFERROR(__xludf.DUMMYFUNCTION("""COMPUTED_VALUE"""),"Comunitar")</f>
        <v>Comunitar</v>
      </c>
      <c r="R1711" s="5" t="str">
        <f ca="1">IFERROR(__xludf.DUMMYFUNCTION("""COMPUTED_VALUE"""),"România")</f>
        <v>România</v>
      </c>
      <c r="S1711" s="5" t="str">
        <f ca="1">IFERROR(__xludf.DUMMYFUNCTION("""COMPUTED_VALUE"""),"Octavian")</f>
        <v>Octavian</v>
      </c>
      <c r="T1711" s="7" t="str">
        <f ca="1">IFERROR(__xludf.DUMMYFUNCTION("""COMPUTED_VALUE"""),"http://www.ms.ro/2020/08/18/buletin-informativ-18-08-2020")</f>
        <v>http://www.ms.ro/2020/08/18/buletin-informativ-18-08-2020</v>
      </c>
      <c r="U1711" s="5"/>
      <c r="V1711" s="5"/>
      <c r="W1711" s="5"/>
      <c r="X1711" s="5"/>
      <c r="Y1711" s="5"/>
      <c r="Z1711" s="5"/>
      <c r="AA1711" s="5"/>
      <c r="AB1711" s="5"/>
      <c r="AC1711" s="5"/>
    </row>
    <row r="1712" spans="1:29" ht="12.5">
      <c r="A1712" s="5">
        <f ca="1">IFERROR(__xludf.DUMMYFUNCTION("""COMPUTED_VALUE"""),71303)</f>
        <v>71303</v>
      </c>
      <c r="B1712" s="5"/>
      <c r="C1712" s="5" t="str">
        <f ca="1">IFERROR(__xludf.DUMMYFUNCTION("""COMPUTED_VALUE"""),"Bihor")</f>
        <v>Bihor</v>
      </c>
      <c r="D1712" s="13">
        <f ca="1">IFERROR(__xludf.DUMMYFUNCTION("""COMPUTED_VALUE"""),44061)</f>
        <v>44061</v>
      </c>
      <c r="E1712" s="5" t="str">
        <f ca="1">IFERROR(__xludf.DUMMYFUNCTION("""COMPUTED_VALUE"""),"Nu")</f>
        <v>Nu</v>
      </c>
      <c r="F1712" s="5"/>
      <c r="G1712" s="5"/>
      <c r="H1712" s="6"/>
      <c r="I1712" s="5"/>
      <c r="J1712" s="5"/>
      <c r="K1712" s="7" t="str">
        <f ca="1">IFERROR(__xludf.DUMMYFUNCTION("""COMPUTED_VALUE"""),"https://www.ebihoreanul.ro/stiri/coronavirus-in-bihor-inca-doua-decese-si-45-de-cazuri-noi-vezi-din-ce-localitati-158277.html")</f>
        <v>https://www.ebihoreanul.ro/stiri/coronavirus-in-bihor-inca-doua-decese-si-45-de-cazuri-noi-vezi-din-ce-localitati-158277.html</v>
      </c>
      <c r="L1712" s="5"/>
      <c r="M1712" s="5" t="str">
        <f ca="1">IFERROR(__xludf.DUMMYFUNCTION("""COMPUTED_VALUE"""),"Vadu Crișului")</f>
        <v>Vadu Crișului</v>
      </c>
      <c r="N1712" s="5"/>
      <c r="O1712" s="5"/>
      <c r="P1712" s="5"/>
      <c r="Q1712" s="5" t="str">
        <f ca="1">IFERROR(__xludf.DUMMYFUNCTION("""COMPUTED_VALUE"""),"Comunitar")</f>
        <v>Comunitar</v>
      </c>
      <c r="R1712" s="5" t="str">
        <f ca="1">IFERROR(__xludf.DUMMYFUNCTION("""COMPUTED_VALUE"""),"România")</f>
        <v>România</v>
      </c>
      <c r="S1712" s="5" t="str">
        <f ca="1">IFERROR(__xludf.DUMMYFUNCTION("""COMPUTED_VALUE"""),"Octavian")</f>
        <v>Octavian</v>
      </c>
      <c r="T1712" s="7" t="str">
        <f ca="1">IFERROR(__xludf.DUMMYFUNCTION("""COMPUTED_VALUE"""),"http://www.ms.ro/2020/08/18/buletin-informativ-18-08-2020")</f>
        <v>http://www.ms.ro/2020/08/18/buletin-informativ-18-08-2020</v>
      </c>
      <c r="U1712" s="5"/>
      <c r="V1712" s="5"/>
      <c r="W1712" s="5"/>
      <c r="X1712" s="5"/>
      <c r="Y1712" s="5"/>
      <c r="Z1712" s="5"/>
      <c r="AA1712" s="5"/>
      <c r="AB1712" s="5"/>
      <c r="AC1712" s="5"/>
    </row>
    <row r="1713" spans="1:29" ht="12.5">
      <c r="A1713" s="5">
        <f ca="1">IFERROR(__xludf.DUMMYFUNCTION("""COMPUTED_VALUE"""),71304)</f>
        <v>71304</v>
      </c>
      <c r="B1713" s="5"/>
      <c r="C1713" s="5" t="str">
        <f ca="1">IFERROR(__xludf.DUMMYFUNCTION("""COMPUTED_VALUE"""),"Bihor")</f>
        <v>Bihor</v>
      </c>
      <c r="D1713" s="13">
        <f ca="1">IFERROR(__xludf.DUMMYFUNCTION("""COMPUTED_VALUE"""),44061)</f>
        <v>44061</v>
      </c>
      <c r="E1713" s="5" t="str">
        <f ca="1">IFERROR(__xludf.DUMMYFUNCTION("""COMPUTED_VALUE"""),"Nu")</f>
        <v>Nu</v>
      </c>
      <c r="F1713" s="5"/>
      <c r="G1713" s="5"/>
      <c r="H1713" s="6"/>
      <c r="I1713" s="5"/>
      <c r="J1713" s="5"/>
      <c r="K1713" s="7" t="str">
        <f ca="1">IFERROR(__xludf.DUMMYFUNCTION("""COMPUTED_VALUE"""),"https://www.ebihoreanul.ro/stiri/coronavirus-in-bihor-inca-doua-decese-si-45-de-cazuri-noi-vezi-din-ce-localitati-158277.html")</f>
        <v>https://www.ebihoreanul.ro/stiri/coronavirus-in-bihor-inca-doua-decese-si-45-de-cazuri-noi-vezi-din-ce-localitati-158277.html</v>
      </c>
      <c r="L1713" s="5"/>
      <c r="M1713" s="5" t="str">
        <f ca="1">IFERROR(__xludf.DUMMYFUNCTION("""COMPUTED_VALUE"""),"Lugașu de Jos")</f>
        <v>Lugașu de Jos</v>
      </c>
      <c r="N1713" s="5"/>
      <c r="O1713" s="5"/>
      <c r="P1713" s="5"/>
      <c r="Q1713" s="5" t="str">
        <f ca="1">IFERROR(__xludf.DUMMYFUNCTION("""COMPUTED_VALUE"""),"Comunitar")</f>
        <v>Comunitar</v>
      </c>
      <c r="R1713" s="5" t="str">
        <f ca="1">IFERROR(__xludf.DUMMYFUNCTION("""COMPUTED_VALUE"""),"România")</f>
        <v>România</v>
      </c>
      <c r="S1713" s="5" t="str">
        <f ca="1">IFERROR(__xludf.DUMMYFUNCTION("""COMPUTED_VALUE"""),"Octavian")</f>
        <v>Octavian</v>
      </c>
      <c r="T1713" s="7" t="str">
        <f ca="1">IFERROR(__xludf.DUMMYFUNCTION("""COMPUTED_VALUE"""),"http://www.ms.ro/2020/08/18/buletin-informativ-18-08-2020")</f>
        <v>http://www.ms.ro/2020/08/18/buletin-informativ-18-08-2020</v>
      </c>
      <c r="U1713" s="5"/>
      <c r="V1713" s="5"/>
      <c r="W1713" s="5"/>
      <c r="X1713" s="5"/>
      <c r="Y1713" s="5"/>
      <c r="Z1713" s="5"/>
      <c r="AA1713" s="5"/>
      <c r="AB1713" s="5"/>
      <c r="AC1713" s="5"/>
    </row>
    <row r="1714" spans="1:29" ht="12.5">
      <c r="A1714" s="5">
        <f ca="1">IFERROR(__xludf.DUMMYFUNCTION("""COMPUTED_VALUE"""),71305)</f>
        <v>71305</v>
      </c>
      <c r="B1714" s="5"/>
      <c r="C1714" s="5" t="str">
        <f ca="1">IFERROR(__xludf.DUMMYFUNCTION("""COMPUTED_VALUE"""),"Bihor")</f>
        <v>Bihor</v>
      </c>
      <c r="D1714" s="13">
        <f ca="1">IFERROR(__xludf.DUMMYFUNCTION("""COMPUTED_VALUE"""),44061)</f>
        <v>44061</v>
      </c>
      <c r="E1714" s="5" t="str">
        <f ca="1">IFERROR(__xludf.DUMMYFUNCTION("""COMPUTED_VALUE"""),"Nu")</f>
        <v>Nu</v>
      </c>
      <c r="F1714" s="5"/>
      <c r="G1714" s="5"/>
      <c r="H1714" s="6"/>
      <c r="I1714" s="5"/>
      <c r="J1714" s="5"/>
      <c r="K1714" s="7" t="str">
        <f ca="1">IFERROR(__xludf.DUMMYFUNCTION("""COMPUTED_VALUE"""),"https://www.ebihoreanul.ro/stiri/coronavirus-in-bihor-inca-doua-decese-si-45-de-cazuri-noi-vezi-din-ce-localitati-158277.html")</f>
        <v>https://www.ebihoreanul.ro/stiri/coronavirus-in-bihor-inca-doua-decese-si-45-de-cazuri-noi-vezi-din-ce-localitati-158277.html</v>
      </c>
      <c r="L1714" s="5"/>
      <c r="M1714" s="5" t="str">
        <f ca="1">IFERROR(__xludf.DUMMYFUNCTION("""COMPUTED_VALUE"""),"Ceica")</f>
        <v>Ceica</v>
      </c>
      <c r="N1714" s="5"/>
      <c r="O1714" s="5"/>
      <c r="P1714" s="5"/>
      <c r="Q1714" s="5" t="str">
        <f ca="1">IFERROR(__xludf.DUMMYFUNCTION("""COMPUTED_VALUE"""),"Comunitar")</f>
        <v>Comunitar</v>
      </c>
      <c r="R1714" s="5" t="str">
        <f ca="1">IFERROR(__xludf.DUMMYFUNCTION("""COMPUTED_VALUE"""),"România")</f>
        <v>România</v>
      </c>
      <c r="S1714" s="5" t="str">
        <f ca="1">IFERROR(__xludf.DUMMYFUNCTION("""COMPUTED_VALUE"""),"Octavian")</f>
        <v>Octavian</v>
      </c>
      <c r="T1714" s="7" t="str">
        <f ca="1">IFERROR(__xludf.DUMMYFUNCTION("""COMPUTED_VALUE"""),"http://www.ms.ro/2020/08/18/buletin-informativ-18-08-2020")</f>
        <v>http://www.ms.ro/2020/08/18/buletin-informativ-18-08-2020</v>
      </c>
      <c r="U1714" s="5"/>
      <c r="V1714" s="5"/>
      <c r="W1714" s="5"/>
      <c r="X1714" s="5"/>
      <c r="Y1714" s="5"/>
      <c r="Z1714" s="5"/>
      <c r="AA1714" s="5"/>
      <c r="AB1714" s="5"/>
      <c r="AC1714" s="5"/>
    </row>
    <row r="1715" spans="1:29" ht="12.5">
      <c r="A1715" s="5">
        <f ca="1">IFERROR(__xludf.DUMMYFUNCTION("""COMPUTED_VALUE"""),71306)</f>
        <v>71306</v>
      </c>
      <c r="B1715" s="5"/>
      <c r="C1715" s="5" t="str">
        <f ca="1">IFERROR(__xludf.DUMMYFUNCTION("""COMPUTED_VALUE"""),"Bihor")</f>
        <v>Bihor</v>
      </c>
      <c r="D1715" s="13">
        <f ca="1">IFERROR(__xludf.DUMMYFUNCTION("""COMPUTED_VALUE"""),44061)</f>
        <v>44061</v>
      </c>
      <c r="E1715" s="5" t="str">
        <f ca="1">IFERROR(__xludf.DUMMYFUNCTION("""COMPUTED_VALUE"""),"Nu")</f>
        <v>Nu</v>
      </c>
      <c r="F1715" s="5"/>
      <c r="G1715" s="5"/>
      <c r="H1715" s="6"/>
      <c r="I1715" s="5"/>
      <c r="J1715" s="5"/>
      <c r="K1715" s="7" t="str">
        <f ca="1">IFERROR(__xludf.DUMMYFUNCTION("""COMPUTED_VALUE"""),"https://www.ebihoreanul.ro/stiri/coronavirus-in-bihor-inca-doua-decese-si-45-de-cazuri-noi-vezi-din-ce-localitati-158277.html")</f>
        <v>https://www.ebihoreanul.ro/stiri/coronavirus-in-bihor-inca-doua-decese-si-45-de-cazuri-noi-vezi-din-ce-localitati-158277.html</v>
      </c>
      <c r="L1715" s="5"/>
      <c r="M1715" s="5" t="str">
        <f ca="1">IFERROR(__xludf.DUMMYFUNCTION("""COMPUTED_VALUE"""),"Pomezeu")</f>
        <v>Pomezeu</v>
      </c>
      <c r="N1715" s="5"/>
      <c r="O1715" s="5"/>
      <c r="P1715" s="5"/>
      <c r="Q1715" s="5" t="str">
        <f ca="1">IFERROR(__xludf.DUMMYFUNCTION("""COMPUTED_VALUE"""),"Comunitar")</f>
        <v>Comunitar</v>
      </c>
      <c r="R1715" s="5" t="str">
        <f ca="1">IFERROR(__xludf.DUMMYFUNCTION("""COMPUTED_VALUE"""),"România")</f>
        <v>România</v>
      </c>
      <c r="S1715" s="5" t="str">
        <f ca="1">IFERROR(__xludf.DUMMYFUNCTION("""COMPUTED_VALUE"""),"Octavian")</f>
        <v>Octavian</v>
      </c>
      <c r="T1715" s="7" t="str">
        <f ca="1">IFERROR(__xludf.DUMMYFUNCTION("""COMPUTED_VALUE"""),"http://www.ms.ro/2020/08/18/buletin-informativ-18-08-2020")</f>
        <v>http://www.ms.ro/2020/08/18/buletin-informativ-18-08-2020</v>
      </c>
      <c r="U1715" s="5"/>
      <c r="V1715" s="5"/>
      <c r="W1715" s="5"/>
      <c r="X1715" s="5"/>
      <c r="Y1715" s="5"/>
      <c r="Z1715" s="5"/>
      <c r="AA1715" s="5"/>
      <c r="AB1715" s="5"/>
      <c r="AC1715" s="5"/>
    </row>
    <row r="1716" spans="1:29" ht="12.5">
      <c r="A1716" s="5">
        <f ca="1">IFERROR(__xludf.DUMMYFUNCTION("""COMPUTED_VALUE"""),71307)</f>
        <v>71307</v>
      </c>
      <c r="B1716" s="5"/>
      <c r="C1716" s="5" t="str">
        <f ca="1">IFERROR(__xludf.DUMMYFUNCTION("""COMPUTED_VALUE"""),"Bihor")</f>
        <v>Bihor</v>
      </c>
      <c r="D1716" s="13">
        <f ca="1">IFERROR(__xludf.DUMMYFUNCTION("""COMPUTED_VALUE"""),44061)</f>
        <v>44061</v>
      </c>
      <c r="E1716" s="5" t="str">
        <f ca="1">IFERROR(__xludf.DUMMYFUNCTION("""COMPUTED_VALUE"""),"Nu")</f>
        <v>Nu</v>
      </c>
      <c r="F1716" s="5"/>
      <c r="G1716" s="5"/>
      <c r="H1716" s="6"/>
      <c r="I1716" s="5"/>
      <c r="J1716" s="5"/>
      <c r="K1716" s="7" t="str">
        <f ca="1">IFERROR(__xludf.DUMMYFUNCTION("""COMPUTED_VALUE"""),"https://www.ebihoreanul.ro/stiri/coronavirus-in-bihor-inca-doua-decese-si-45-de-cazuri-noi-vezi-din-ce-localitati-158277.html")</f>
        <v>https://www.ebihoreanul.ro/stiri/coronavirus-in-bihor-inca-doua-decese-si-45-de-cazuri-noi-vezi-din-ce-localitati-158277.html</v>
      </c>
      <c r="L1716" s="5"/>
      <c r="M1716" s="5" t="str">
        <f ca="1">IFERROR(__xludf.DUMMYFUNCTION("""COMPUTED_VALUE"""),"Cărpinet")</f>
        <v>Cărpinet</v>
      </c>
      <c r="N1716" s="5"/>
      <c r="O1716" s="5"/>
      <c r="P1716" s="5"/>
      <c r="Q1716" s="5" t="str">
        <f ca="1">IFERROR(__xludf.DUMMYFUNCTION("""COMPUTED_VALUE"""),"Comunitar")</f>
        <v>Comunitar</v>
      </c>
      <c r="R1716" s="5" t="str">
        <f ca="1">IFERROR(__xludf.DUMMYFUNCTION("""COMPUTED_VALUE"""),"România")</f>
        <v>România</v>
      </c>
      <c r="S1716" s="5" t="str">
        <f ca="1">IFERROR(__xludf.DUMMYFUNCTION("""COMPUTED_VALUE"""),"Octavian")</f>
        <v>Octavian</v>
      </c>
      <c r="T1716" s="7" t="str">
        <f ca="1">IFERROR(__xludf.DUMMYFUNCTION("""COMPUTED_VALUE"""),"http://www.ms.ro/2020/08/18/buletin-informativ-18-08-2020")</f>
        <v>http://www.ms.ro/2020/08/18/buletin-informativ-18-08-2020</v>
      </c>
      <c r="U1716" s="5"/>
      <c r="V1716" s="5"/>
      <c r="W1716" s="5"/>
      <c r="X1716" s="5"/>
      <c r="Y1716" s="5"/>
      <c r="Z1716" s="5"/>
      <c r="AA1716" s="5"/>
      <c r="AB1716" s="5"/>
      <c r="AC1716" s="5"/>
    </row>
    <row r="1717" spans="1:29" ht="12.5">
      <c r="A1717" s="5">
        <f ca="1">IFERROR(__xludf.DUMMYFUNCTION("""COMPUTED_VALUE"""),71308)</f>
        <v>71308</v>
      </c>
      <c r="B1717" s="5"/>
      <c r="C1717" s="5" t="str">
        <f ca="1">IFERROR(__xludf.DUMMYFUNCTION("""COMPUTED_VALUE"""),"Bihor")</f>
        <v>Bihor</v>
      </c>
      <c r="D1717" s="13">
        <f ca="1">IFERROR(__xludf.DUMMYFUNCTION("""COMPUTED_VALUE"""),44061)</f>
        <v>44061</v>
      </c>
      <c r="E1717" s="5" t="str">
        <f ca="1">IFERROR(__xludf.DUMMYFUNCTION("""COMPUTED_VALUE"""),"Nu")</f>
        <v>Nu</v>
      </c>
      <c r="F1717" s="5"/>
      <c r="G1717" s="5"/>
      <c r="H1717" s="6"/>
      <c r="I1717" s="5"/>
      <c r="J1717" s="5"/>
      <c r="K1717" s="7" t="str">
        <f ca="1">IFERROR(__xludf.DUMMYFUNCTION("""COMPUTED_VALUE"""),"https://www.ebihoreanul.ro/stiri/coronavirus-in-bihor-inca-doua-decese-si-45-de-cazuri-noi-vezi-din-ce-localitati-158277.html")</f>
        <v>https://www.ebihoreanul.ro/stiri/coronavirus-in-bihor-inca-doua-decese-si-45-de-cazuri-noi-vezi-din-ce-localitati-158277.html</v>
      </c>
      <c r="L1717" s="5"/>
      <c r="M1717" s="5"/>
      <c r="N1717" s="5"/>
      <c r="O1717" s="5"/>
      <c r="P1717" s="5"/>
      <c r="Q1717" s="5" t="str">
        <f ca="1">IFERROR(__xludf.DUMMYFUNCTION("""COMPUTED_VALUE"""),"Comunitar")</f>
        <v>Comunitar</v>
      </c>
      <c r="R1717" s="5" t="str">
        <f ca="1">IFERROR(__xludf.DUMMYFUNCTION("""COMPUTED_VALUE"""),"România")</f>
        <v>România</v>
      </c>
      <c r="S1717" s="5" t="str">
        <f ca="1">IFERROR(__xludf.DUMMYFUNCTION("""COMPUTED_VALUE"""),"Octavian")</f>
        <v>Octavian</v>
      </c>
      <c r="T1717" s="7" t="str">
        <f ca="1">IFERROR(__xludf.DUMMYFUNCTION("""COMPUTED_VALUE"""),"http://www.ms.ro/2020/08/18/buletin-informativ-18-08-2020")</f>
        <v>http://www.ms.ro/2020/08/18/buletin-informativ-18-08-2020</v>
      </c>
      <c r="U1717" s="5"/>
      <c r="V1717" s="5"/>
      <c r="W1717" s="5"/>
      <c r="X1717" s="5"/>
      <c r="Y1717" s="5"/>
      <c r="Z1717" s="5"/>
      <c r="AA1717" s="5"/>
      <c r="AB1717" s="5"/>
      <c r="AC1717" s="5"/>
    </row>
    <row r="1718" spans="1:29" ht="12.5">
      <c r="A1718" s="5">
        <f ca="1">IFERROR(__xludf.DUMMYFUNCTION("""COMPUTED_VALUE"""),71309)</f>
        <v>71309</v>
      </c>
      <c r="B1718" s="5"/>
      <c r="C1718" s="5" t="str">
        <f ca="1">IFERROR(__xludf.DUMMYFUNCTION("""COMPUTED_VALUE"""),"Bihor")</f>
        <v>Bihor</v>
      </c>
      <c r="D1718" s="13">
        <f ca="1">IFERROR(__xludf.DUMMYFUNCTION("""COMPUTED_VALUE"""),44061)</f>
        <v>44061</v>
      </c>
      <c r="E1718" s="5" t="str">
        <f ca="1">IFERROR(__xludf.DUMMYFUNCTION("""COMPUTED_VALUE"""),"Nu")</f>
        <v>Nu</v>
      </c>
      <c r="F1718" s="5"/>
      <c r="G1718" s="5"/>
      <c r="H1718" s="6"/>
      <c r="I1718" s="5"/>
      <c r="J1718" s="5"/>
      <c r="K1718" s="7" t="str">
        <f ca="1">IFERROR(__xludf.DUMMYFUNCTION("""COMPUTED_VALUE"""),"https://www.ebihoreanul.ro/stiri/coronavirus-in-bihor-inca-doua-decese-si-45-de-cazuri-noi-vezi-din-ce-localitati-158277.html")</f>
        <v>https://www.ebihoreanul.ro/stiri/coronavirus-in-bihor-inca-doua-decese-si-45-de-cazuri-noi-vezi-din-ce-localitati-158277.html</v>
      </c>
      <c r="L1718" s="5"/>
      <c r="M1718" s="5"/>
      <c r="N1718" s="5"/>
      <c r="O1718" s="5"/>
      <c r="P1718" s="5"/>
      <c r="Q1718" s="5" t="str">
        <f ca="1">IFERROR(__xludf.DUMMYFUNCTION("""COMPUTED_VALUE"""),"Comunitar")</f>
        <v>Comunitar</v>
      </c>
      <c r="R1718" s="5" t="str">
        <f ca="1">IFERROR(__xludf.DUMMYFUNCTION("""COMPUTED_VALUE"""),"România")</f>
        <v>România</v>
      </c>
      <c r="S1718" s="5" t="str">
        <f ca="1">IFERROR(__xludf.DUMMYFUNCTION("""COMPUTED_VALUE"""),"Octavian")</f>
        <v>Octavian</v>
      </c>
      <c r="T1718" s="7" t="str">
        <f ca="1">IFERROR(__xludf.DUMMYFUNCTION("""COMPUTED_VALUE"""),"http://www.ms.ro/2020/08/18/buletin-informativ-18-08-2020")</f>
        <v>http://www.ms.ro/2020/08/18/buletin-informativ-18-08-2020</v>
      </c>
      <c r="U1718" s="5"/>
      <c r="V1718" s="5"/>
      <c r="W1718" s="5"/>
      <c r="X1718" s="5"/>
      <c r="Y1718" s="5"/>
      <c r="Z1718" s="5"/>
      <c r="AA1718" s="5"/>
      <c r="AB1718" s="5"/>
      <c r="AC1718" s="5"/>
    </row>
    <row r="1719" spans="1:29" ht="12.5">
      <c r="A1719" s="5">
        <f ca="1">IFERROR(__xludf.DUMMYFUNCTION("""COMPUTED_VALUE"""),71310)</f>
        <v>71310</v>
      </c>
      <c r="B1719" s="5"/>
      <c r="C1719" s="5" t="str">
        <f ca="1">IFERROR(__xludf.DUMMYFUNCTION("""COMPUTED_VALUE"""),"Bihor")</f>
        <v>Bihor</v>
      </c>
      <c r="D1719" s="13">
        <f ca="1">IFERROR(__xludf.DUMMYFUNCTION("""COMPUTED_VALUE"""),44061)</f>
        <v>44061</v>
      </c>
      <c r="E1719" s="5" t="str">
        <f ca="1">IFERROR(__xludf.DUMMYFUNCTION("""COMPUTED_VALUE"""),"Nu")</f>
        <v>Nu</v>
      </c>
      <c r="F1719" s="5"/>
      <c r="G1719" s="5"/>
      <c r="H1719" s="6"/>
      <c r="I1719" s="5"/>
      <c r="J1719" s="5"/>
      <c r="K1719" s="7" t="str">
        <f ca="1">IFERROR(__xludf.DUMMYFUNCTION("""COMPUTED_VALUE"""),"https://www.ebihoreanul.ro/stiri/coronavirus-in-bihor-inca-doua-decese-si-45-de-cazuri-noi-vezi-din-ce-localitati-158277.html")</f>
        <v>https://www.ebihoreanul.ro/stiri/coronavirus-in-bihor-inca-doua-decese-si-45-de-cazuri-noi-vezi-din-ce-localitati-158277.html</v>
      </c>
      <c r="L1719" s="5"/>
      <c r="M1719" s="5"/>
      <c r="N1719" s="5"/>
      <c r="O1719" s="5"/>
      <c r="P1719" s="5"/>
      <c r="Q1719" s="5" t="str">
        <f ca="1">IFERROR(__xludf.DUMMYFUNCTION("""COMPUTED_VALUE"""),"Comunitar")</f>
        <v>Comunitar</v>
      </c>
      <c r="R1719" s="5" t="str">
        <f ca="1">IFERROR(__xludf.DUMMYFUNCTION("""COMPUTED_VALUE"""),"România")</f>
        <v>România</v>
      </c>
      <c r="S1719" s="5" t="str">
        <f ca="1">IFERROR(__xludf.DUMMYFUNCTION("""COMPUTED_VALUE"""),"Octavian")</f>
        <v>Octavian</v>
      </c>
      <c r="T1719" s="7" t="str">
        <f ca="1">IFERROR(__xludf.DUMMYFUNCTION("""COMPUTED_VALUE"""),"http://www.ms.ro/2020/08/18/buletin-informativ-18-08-2020")</f>
        <v>http://www.ms.ro/2020/08/18/buletin-informativ-18-08-2020</v>
      </c>
      <c r="U1719" s="5"/>
      <c r="V1719" s="5"/>
      <c r="W1719" s="5"/>
      <c r="X1719" s="5"/>
      <c r="Y1719" s="5"/>
      <c r="Z1719" s="5"/>
      <c r="AA1719" s="5"/>
      <c r="AB1719" s="5"/>
      <c r="AC1719" s="5"/>
    </row>
    <row r="1720" spans="1:29" ht="12.5">
      <c r="A1720" s="5">
        <f ca="1">IFERROR(__xludf.DUMMYFUNCTION("""COMPUTED_VALUE"""),71311)</f>
        <v>71311</v>
      </c>
      <c r="B1720" s="5"/>
      <c r="C1720" s="5" t="str">
        <f ca="1">IFERROR(__xludf.DUMMYFUNCTION("""COMPUTED_VALUE"""),"Bihor")</f>
        <v>Bihor</v>
      </c>
      <c r="D1720" s="13">
        <f ca="1">IFERROR(__xludf.DUMMYFUNCTION("""COMPUTED_VALUE"""),44061)</f>
        <v>44061</v>
      </c>
      <c r="E1720" s="5" t="str">
        <f ca="1">IFERROR(__xludf.DUMMYFUNCTION("""COMPUTED_VALUE"""),"Nu")</f>
        <v>Nu</v>
      </c>
      <c r="F1720" s="5"/>
      <c r="G1720" s="5"/>
      <c r="H1720" s="6"/>
      <c r="I1720" s="5"/>
      <c r="J1720" s="5"/>
      <c r="K1720" s="7" t="str">
        <f ca="1">IFERROR(__xludf.DUMMYFUNCTION("""COMPUTED_VALUE"""),"https://www.ebihoreanul.ro/stiri/coronavirus-in-bihor-inca-doua-decese-si-45-de-cazuri-noi-vezi-din-ce-localitati-158277.html")</f>
        <v>https://www.ebihoreanul.ro/stiri/coronavirus-in-bihor-inca-doua-decese-si-45-de-cazuri-noi-vezi-din-ce-localitati-158277.html</v>
      </c>
      <c r="L1720" s="5"/>
      <c r="M1720" s="5"/>
      <c r="N1720" s="5"/>
      <c r="O1720" s="5"/>
      <c r="P1720" s="5"/>
      <c r="Q1720" s="5" t="str">
        <f ca="1">IFERROR(__xludf.DUMMYFUNCTION("""COMPUTED_VALUE"""),"Comunitar")</f>
        <v>Comunitar</v>
      </c>
      <c r="R1720" s="5" t="str">
        <f ca="1">IFERROR(__xludf.DUMMYFUNCTION("""COMPUTED_VALUE"""),"România")</f>
        <v>România</v>
      </c>
      <c r="S1720" s="5" t="str">
        <f ca="1">IFERROR(__xludf.DUMMYFUNCTION("""COMPUTED_VALUE"""),"Octavian")</f>
        <v>Octavian</v>
      </c>
      <c r="T1720" s="7" t="str">
        <f ca="1">IFERROR(__xludf.DUMMYFUNCTION("""COMPUTED_VALUE"""),"http://www.ms.ro/2020/08/18/buletin-informativ-18-08-2020")</f>
        <v>http://www.ms.ro/2020/08/18/buletin-informativ-18-08-2020</v>
      </c>
      <c r="U1720" s="5"/>
      <c r="V1720" s="5"/>
      <c r="W1720" s="5"/>
      <c r="X1720" s="5"/>
      <c r="Y1720" s="5"/>
      <c r="Z1720" s="5"/>
      <c r="AA1720" s="5"/>
      <c r="AB1720" s="5"/>
      <c r="AC1720" s="5"/>
    </row>
    <row r="1721" spans="1:29" ht="12.5">
      <c r="A1721" s="5">
        <f ca="1">IFERROR(__xludf.DUMMYFUNCTION("""COMPUTED_VALUE"""),71312)</f>
        <v>71312</v>
      </c>
      <c r="B1721" s="5"/>
      <c r="C1721" s="5" t="str">
        <f ca="1">IFERROR(__xludf.DUMMYFUNCTION("""COMPUTED_VALUE"""),"Bihor")</f>
        <v>Bihor</v>
      </c>
      <c r="D1721" s="13">
        <f ca="1">IFERROR(__xludf.DUMMYFUNCTION("""COMPUTED_VALUE"""),44061)</f>
        <v>44061</v>
      </c>
      <c r="E1721" s="5" t="str">
        <f ca="1">IFERROR(__xludf.DUMMYFUNCTION("""COMPUTED_VALUE"""),"Nu")</f>
        <v>Nu</v>
      </c>
      <c r="F1721" s="5"/>
      <c r="G1721" s="5"/>
      <c r="H1721" s="6"/>
      <c r="I1721" s="5"/>
      <c r="J1721" s="5"/>
      <c r="K1721" s="7" t="str">
        <f ca="1">IFERROR(__xludf.DUMMYFUNCTION("""COMPUTED_VALUE"""),"https://www.ebihoreanul.ro/stiri/coronavirus-in-bihor-inca-doua-decese-si-45-de-cazuri-noi-vezi-din-ce-localitati-158277.html")</f>
        <v>https://www.ebihoreanul.ro/stiri/coronavirus-in-bihor-inca-doua-decese-si-45-de-cazuri-noi-vezi-din-ce-localitati-158277.html</v>
      </c>
      <c r="L1721" s="5"/>
      <c r="M1721" s="5"/>
      <c r="N1721" s="5"/>
      <c r="O1721" s="5"/>
      <c r="P1721" s="5"/>
      <c r="Q1721" s="5" t="str">
        <f ca="1">IFERROR(__xludf.DUMMYFUNCTION("""COMPUTED_VALUE"""),"Comunitar")</f>
        <v>Comunitar</v>
      </c>
      <c r="R1721" s="5" t="str">
        <f ca="1">IFERROR(__xludf.DUMMYFUNCTION("""COMPUTED_VALUE"""),"România")</f>
        <v>România</v>
      </c>
      <c r="S1721" s="5" t="str">
        <f ca="1">IFERROR(__xludf.DUMMYFUNCTION("""COMPUTED_VALUE"""),"Octavian")</f>
        <v>Octavian</v>
      </c>
      <c r="T1721" s="7" t="str">
        <f ca="1">IFERROR(__xludf.DUMMYFUNCTION("""COMPUTED_VALUE"""),"http://www.ms.ro/2020/08/18/buletin-informativ-18-08-2020")</f>
        <v>http://www.ms.ro/2020/08/18/buletin-informativ-18-08-2020</v>
      </c>
      <c r="U1721" s="5"/>
      <c r="V1721" s="5"/>
      <c r="W1721" s="5"/>
      <c r="X1721" s="5"/>
      <c r="Y1721" s="5"/>
      <c r="Z1721" s="5"/>
      <c r="AA1721" s="5"/>
      <c r="AB1721" s="5"/>
      <c r="AC1721" s="5"/>
    </row>
    <row r="1722" spans="1:29" ht="12.5">
      <c r="A1722" s="5">
        <f ca="1">IFERROR(__xludf.DUMMYFUNCTION("""COMPUTED_VALUE"""),71313)</f>
        <v>71313</v>
      </c>
      <c r="B1722" s="5"/>
      <c r="C1722" s="5" t="str">
        <f ca="1">IFERROR(__xludf.DUMMYFUNCTION("""COMPUTED_VALUE"""),"Bihor")</f>
        <v>Bihor</v>
      </c>
      <c r="D1722" s="13">
        <f ca="1">IFERROR(__xludf.DUMMYFUNCTION("""COMPUTED_VALUE"""),44061)</f>
        <v>44061</v>
      </c>
      <c r="E1722" s="5" t="str">
        <f ca="1">IFERROR(__xludf.DUMMYFUNCTION("""COMPUTED_VALUE"""),"Nu")</f>
        <v>Nu</v>
      </c>
      <c r="F1722" s="5"/>
      <c r="G1722" s="5"/>
      <c r="H1722" s="6"/>
      <c r="I1722" s="5"/>
      <c r="J1722" s="5"/>
      <c r="K1722" s="7" t="str">
        <f ca="1">IFERROR(__xludf.DUMMYFUNCTION("""COMPUTED_VALUE"""),"https://www.ebihoreanul.ro/stiri/coronavirus-in-bihor-inca-doua-decese-si-45-de-cazuri-noi-vezi-din-ce-localitati-158277.html")</f>
        <v>https://www.ebihoreanul.ro/stiri/coronavirus-in-bihor-inca-doua-decese-si-45-de-cazuri-noi-vezi-din-ce-localitati-158277.html</v>
      </c>
      <c r="L1722" s="5"/>
      <c r="M1722" s="5"/>
      <c r="N1722" s="5"/>
      <c r="O1722" s="5"/>
      <c r="P1722" s="5"/>
      <c r="Q1722" s="5" t="str">
        <f ca="1">IFERROR(__xludf.DUMMYFUNCTION("""COMPUTED_VALUE"""),"Comunitar")</f>
        <v>Comunitar</v>
      </c>
      <c r="R1722" s="5" t="str">
        <f ca="1">IFERROR(__xludf.DUMMYFUNCTION("""COMPUTED_VALUE"""),"România")</f>
        <v>România</v>
      </c>
      <c r="S1722" s="5" t="str">
        <f ca="1">IFERROR(__xludf.DUMMYFUNCTION("""COMPUTED_VALUE"""),"Octavian")</f>
        <v>Octavian</v>
      </c>
      <c r="T1722" s="7" t="str">
        <f ca="1">IFERROR(__xludf.DUMMYFUNCTION("""COMPUTED_VALUE"""),"http://www.ms.ro/2020/08/18/buletin-informativ-18-08-2020")</f>
        <v>http://www.ms.ro/2020/08/18/buletin-informativ-18-08-2020</v>
      </c>
      <c r="U1722" s="5"/>
      <c r="V1722" s="5"/>
      <c r="W1722" s="5"/>
      <c r="X1722" s="5"/>
      <c r="Y1722" s="5"/>
      <c r="Z1722" s="5"/>
      <c r="AA1722" s="5"/>
      <c r="AB1722" s="5"/>
      <c r="AC1722" s="5"/>
    </row>
    <row r="1723" spans="1:29" ht="12.5">
      <c r="A1723" s="5">
        <f ca="1">IFERROR(__xludf.DUMMYFUNCTION("""COMPUTED_VALUE"""),71314)</f>
        <v>71314</v>
      </c>
      <c r="B1723" s="5"/>
      <c r="C1723" s="5" t="str">
        <f ca="1">IFERROR(__xludf.DUMMYFUNCTION("""COMPUTED_VALUE"""),"Bihor")</f>
        <v>Bihor</v>
      </c>
      <c r="D1723" s="13">
        <f ca="1">IFERROR(__xludf.DUMMYFUNCTION("""COMPUTED_VALUE"""),44061)</f>
        <v>44061</v>
      </c>
      <c r="E1723" s="5" t="str">
        <f ca="1">IFERROR(__xludf.DUMMYFUNCTION("""COMPUTED_VALUE"""),"Nu")</f>
        <v>Nu</v>
      </c>
      <c r="F1723" s="5"/>
      <c r="G1723" s="5"/>
      <c r="H1723" s="6"/>
      <c r="I1723" s="5"/>
      <c r="J1723" s="5"/>
      <c r="K1723" s="7" t="str">
        <f ca="1">IFERROR(__xludf.DUMMYFUNCTION("""COMPUTED_VALUE"""),"https://www.ebihoreanul.ro/stiri/coronavirus-in-bihor-inca-doua-decese-si-45-de-cazuri-noi-vezi-din-ce-localitati-158277.html")</f>
        <v>https://www.ebihoreanul.ro/stiri/coronavirus-in-bihor-inca-doua-decese-si-45-de-cazuri-noi-vezi-din-ce-localitati-158277.html</v>
      </c>
      <c r="L1723" s="5"/>
      <c r="M1723" s="5"/>
      <c r="N1723" s="5"/>
      <c r="O1723" s="5"/>
      <c r="P1723" s="5"/>
      <c r="Q1723" s="5" t="str">
        <f ca="1">IFERROR(__xludf.DUMMYFUNCTION("""COMPUTED_VALUE"""),"Comunitar")</f>
        <v>Comunitar</v>
      </c>
      <c r="R1723" s="5" t="str">
        <f ca="1">IFERROR(__xludf.DUMMYFUNCTION("""COMPUTED_VALUE"""),"România")</f>
        <v>România</v>
      </c>
      <c r="S1723" s="5" t="str">
        <f ca="1">IFERROR(__xludf.DUMMYFUNCTION("""COMPUTED_VALUE"""),"Octavian")</f>
        <v>Octavian</v>
      </c>
      <c r="T1723" s="7" t="str">
        <f ca="1">IFERROR(__xludf.DUMMYFUNCTION("""COMPUTED_VALUE"""),"http://www.ms.ro/2020/08/18/buletin-informativ-18-08-2020")</f>
        <v>http://www.ms.ro/2020/08/18/buletin-informativ-18-08-2020</v>
      </c>
      <c r="U1723" s="5"/>
      <c r="V1723" s="5"/>
      <c r="W1723" s="5"/>
      <c r="X1723" s="5"/>
      <c r="Y1723" s="5"/>
      <c r="Z1723" s="5"/>
      <c r="AA1723" s="5"/>
      <c r="AB1723" s="5"/>
      <c r="AC1723" s="5"/>
    </row>
    <row r="1724" spans="1:29" ht="12.5">
      <c r="A1724" s="5">
        <f ca="1">IFERROR(__xludf.DUMMYFUNCTION("""COMPUTED_VALUE"""),71315)</f>
        <v>71315</v>
      </c>
      <c r="B1724" s="5"/>
      <c r="C1724" s="5" t="str">
        <f ca="1">IFERROR(__xludf.DUMMYFUNCTION("""COMPUTED_VALUE"""),"Bihor")</f>
        <v>Bihor</v>
      </c>
      <c r="D1724" s="13">
        <f ca="1">IFERROR(__xludf.DUMMYFUNCTION("""COMPUTED_VALUE"""),44061)</f>
        <v>44061</v>
      </c>
      <c r="E1724" s="5" t="str">
        <f ca="1">IFERROR(__xludf.DUMMYFUNCTION("""COMPUTED_VALUE"""),"Nu")</f>
        <v>Nu</v>
      </c>
      <c r="F1724" s="5"/>
      <c r="G1724" s="5"/>
      <c r="H1724" s="6"/>
      <c r="I1724" s="5"/>
      <c r="J1724" s="5"/>
      <c r="K1724" s="7" t="str">
        <f ca="1">IFERROR(__xludf.DUMMYFUNCTION("""COMPUTED_VALUE"""),"https://www.ebihoreanul.ro/stiri/coronavirus-in-bihor-inca-doua-decese-si-45-de-cazuri-noi-vezi-din-ce-localitati-158277.html")</f>
        <v>https://www.ebihoreanul.ro/stiri/coronavirus-in-bihor-inca-doua-decese-si-45-de-cazuri-noi-vezi-din-ce-localitati-158277.html</v>
      </c>
      <c r="L1724" s="5"/>
      <c r="M1724" s="5"/>
      <c r="N1724" s="5"/>
      <c r="O1724" s="5"/>
      <c r="P1724" s="5"/>
      <c r="Q1724" s="5" t="str">
        <f ca="1">IFERROR(__xludf.DUMMYFUNCTION("""COMPUTED_VALUE"""),"Comunitar")</f>
        <v>Comunitar</v>
      </c>
      <c r="R1724" s="5" t="str">
        <f ca="1">IFERROR(__xludf.DUMMYFUNCTION("""COMPUTED_VALUE"""),"România")</f>
        <v>România</v>
      </c>
      <c r="S1724" s="5" t="str">
        <f ca="1">IFERROR(__xludf.DUMMYFUNCTION("""COMPUTED_VALUE"""),"Octavian")</f>
        <v>Octavian</v>
      </c>
      <c r="T1724" s="7" t="str">
        <f ca="1">IFERROR(__xludf.DUMMYFUNCTION("""COMPUTED_VALUE"""),"http://www.ms.ro/2020/08/18/buletin-informativ-18-08-2020")</f>
        <v>http://www.ms.ro/2020/08/18/buletin-informativ-18-08-2020</v>
      </c>
      <c r="U1724" s="5"/>
      <c r="V1724" s="5"/>
      <c r="W1724" s="5"/>
      <c r="X1724" s="5"/>
      <c r="Y1724" s="5"/>
      <c r="Z1724" s="5"/>
      <c r="AA1724" s="5"/>
      <c r="AB1724" s="5"/>
      <c r="AC1724" s="5"/>
    </row>
    <row r="1725" spans="1:29" ht="12.5">
      <c r="A1725" s="5">
        <f ca="1">IFERROR(__xludf.DUMMYFUNCTION("""COMPUTED_VALUE"""),71316)</f>
        <v>71316</v>
      </c>
      <c r="B1725" s="5"/>
      <c r="C1725" s="5" t="str">
        <f ca="1">IFERROR(__xludf.DUMMYFUNCTION("""COMPUTED_VALUE"""),"Bihor")</f>
        <v>Bihor</v>
      </c>
      <c r="D1725" s="13">
        <f ca="1">IFERROR(__xludf.DUMMYFUNCTION("""COMPUTED_VALUE"""),44061)</f>
        <v>44061</v>
      </c>
      <c r="E1725" s="5" t="str">
        <f ca="1">IFERROR(__xludf.DUMMYFUNCTION("""COMPUTED_VALUE"""),"Nu")</f>
        <v>Nu</v>
      </c>
      <c r="F1725" s="5"/>
      <c r="G1725" s="5"/>
      <c r="H1725" s="6"/>
      <c r="I1725" s="5"/>
      <c r="J1725" s="5"/>
      <c r="K1725" s="7" t="str">
        <f ca="1">IFERROR(__xludf.DUMMYFUNCTION("""COMPUTED_VALUE"""),"https://www.ebihoreanul.ro/stiri/coronavirus-in-bihor-inca-doua-decese-si-45-de-cazuri-noi-vezi-din-ce-localitati-158277.html")</f>
        <v>https://www.ebihoreanul.ro/stiri/coronavirus-in-bihor-inca-doua-decese-si-45-de-cazuri-noi-vezi-din-ce-localitati-158277.html</v>
      </c>
      <c r="L1725" s="5"/>
      <c r="M1725" s="5"/>
      <c r="N1725" s="5"/>
      <c r="O1725" s="5"/>
      <c r="P1725" s="5"/>
      <c r="Q1725" s="5" t="str">
        <f ca="1">IFERROR(__xludf.DUMMYFUNCTION("""COMPUTED_VALUE"""),"Comunitar")</f>
        <v>Comunitar</v>
      </c>
      <c r="R1725" s="5" t="str">
        <f ca="1">IFERROR(__xludf.DUMMYFUNCTION("""COMPUTED_VALUE"""),"România")</f>
        <v>România</v>
      </c>
      <c r="S1725" s="5" t="str">
        <f ca="1">IFERROR(__xludf.DUMMYFUNCTION("""COMPUTED_VALUE"""),"Octavian")</f>
        <v>Octavian</v>
      </c>
      <c r="T1725" s="7" t="str">
        <f ca="1">IFERROR(__xludf.DUMMYFUNCTION("""COMPUTED_VALUE"""),"http://www.ms.ro/2020/08/18/buletin-informativ-18-08-2020")</f>
        <v>http://www.ms.ro/2020/08/18/buletin-informativ-18-08-2020</v>
      </c>
      <c r="U1725" s="5"/>
      <c r="V1725" s="5"/>
      <c r="W1725" s="5"/>
      <c r="X1725" s="5"/>
      <c r="Y1725" s="5"/>
      <c r="Z1725" s="5"/>
      <c r="AA1725" s="5"/>
      <c r="AB1725" s="5"/>
      <c r="AC1725" s="5"/>
    </row>
    <row r="1726" spans="1:29" ht="12.5">
      <c r="A1726" s="5">
        <f ca="1">IFERROR(__xludf.DUMMYFUNCTION("""COMPUTED_VALUE"""),71317)</f>
        <v>71317</v>
      </c>
      <c r="B1726" s="5"/>
      <c r="C1726" s="5" t="str">
        <f ca="1">IFERROR(__xludf.DUMMYFUNCTION("""COMPUTED_VALUE"""),"Bihor")</f>
        <v>Bihor</v>
      </c>
      <c r="D1726" s="13">
        <f ca="1">IFERROR(__xludf.DUMMYFUNCTION("""COMPUTED_VALUE"""),44061)</f>
        <v>44061</v>
      </c>
      <c r="E1726" s="5" t="str">
        <f ca="1">IFERROR(__xludf.DUMMYFUNCTION("""COMPUTED_VALUE"""),"Nu")</f>
        <v>Nu</v>
      </c>
      <c r="F1726" s="5"/>
      <c r="G1726" s="5"/>
      <c r="H1726" s="6"/>
      <c r="I1726" s="5"/>
      <c r="J1726" s="5"/>
      <c r="K1726" s="7" t="str">
        <f ca="1">IFERROR(__xludf.DUMMYFUNCTION("""COMPUTED_VALUE"""),"https://www.ebihoreanul.ro/stiri/coronavirus-in-bihor-inca-doua-decese-si-45-de-cazuri-noi-vezi-din-ce-localitati-158277.html")</f>
        <v>https://www.ebihoreanul.ro/stiri/coronavirus-in-bihor-inca-doua-decese-si-45-de-cazuri-noi-vezi-din-ce-localitati-158277.html</v>
      </c>
      <c r="L1726" s="5"/>
      <c r="M1726" s="5"/>
      <c r="N1726" s="5"/>
      <c r="O1726" s="5"/>
      <c r="P1726" s="5"/>
      <c r="Q1726" s="5" t="str">
        <f ca="1">IFERROR(__xludf.DUMMYFUNCTION("""COMPUTED_VALUE"""),"Comunitar")</f>
        <v>Comunitar</v>
      </c>
      <c r="R1726" s="5" t="str">
        <f ca="1">IFERROR(__xludf.DUMMYFUNCTION("""COMPUTED_VALUE"""),"România")</f>
        <v>România</v>
      </c>
      <c r="S1726" s="5" t="str">
        <f ca="1">IFERROR(__xludf.DUMMYFUNCTION("""COMPUTED_VALUE"""),"Octavian")</f>
        <v>Octavian</v>
      </c>
      <c r="T1726" s="7" t="str">
        <f ca="1">IFERROR(__xludf.DUMMYFUNCTION("""COMPUTED_VALUE"""),"http://www.ms.ro/2020/08/18/buletin-informativ-18-08-2020")</f>
        <v>http://www.ms.ro/2020/08/18/buletin-informativ-18-08-2020</v>
      </c>
      <c r="U1726" s="5"/>
      <c r="V1726" s="5"/>
      <c r="W1726" s="5"/>
      <c r="X1726" s="5"/>
      <c r="Y1726" s="5"/>
      <c r="Z1726" s="5"/>
      <c r="AA1726" s="5"/>
      <c r="AB1726" s="5"/>
      <c r="AC1726" s="5"/>
    </row>
    <row r="1727" spans="1:29" ht="12.5">
      <c r="A1727" s="5">
        <f ca="1">IFERROR(__xludf.DUMMYFUNCTION("""COMPUTED_VALUE"""),71318)</f>
        <v>71318</v>
      </c>
      <c r="B1727" s="5"/>
      <c r="C1727" s="5" t="str">
        <f ca="1">IFERROR(__xludf.DUMMYFUNCTION("""COMPUTED_VALUE"""),"Bihor")</f>
        <v>Bihor</v>
      </c>
      <c r="D1727" s="13">
        <f ca="1">IFERROR(__xludf.DUMMYFUNCTION("""COMPUTED_VALUE"""),44061)</f>
        <v>44061</v>
      </c>
      <c r="E1727" s="5" t="str">
        <f ca="1">IFERROR(__xludf.DUMMYFUNCTION("""COMPUTED_VALUE"""),"Nu")</f>
        <v>Nu</v>
      </c>
      <c r="F1727" s="5"/>
      <c r="G1727" s="5"/>
      <c r="H1727" s="6"/>
      <c r="I1727" s="5"/>
      <c r="J1727" s="5"/>
      <c r="K1727" s="7" t="str">
        <f ca="1">IFERROR(__xludf.DUMMYFUNCTION("""COMPUTED_VALUE"""),"https://www.ebihoreanul.ro/stiri/coronavirus-in-bihor-inca-doua-decese-si-45-de-cazuri-noi-vezi-din-ce-localitati-158277.html")</f>
        <v>https://www.ebihoreanul.ro/stiri/coronavirus-in-bihor-inca-doua-decese-si-45-de-cazuri-noi-vezi-din-ce-localitati-158277.html</v>
      </c>
      <c r="L1727" s="5"/>
      <c r="M1727" s="5"/>
      <c r="N1727" s="5"/>
      <c r="O1727" s="5"/>
      <c r="P1727" s="5"/>
      <c r="Q1727" s="5" t="str">
        <f ca="1">IFERROR(__xludf.DUMMYFUNCTION("""COMPUTED_VALUE"""),"Comunitar")</f>
        <v>Comunitar</v>
      </c>
      <c r="R1727" s="5" t="str">
        <f ca="1">IFERROR(__xludf.DUMMYFUNCTION("""COMPUTED_VALUE"""),"România")</f>
        <v>România</v>
      </c>
      <c r="S1727" s="5" t="str">
        <f ca="1">IFERROR(__xludf.DUMMYFUNCTION("""COMPUTED_VALUE"""),"Octavian")</f>
        <v>Octavian</v>
      </c>
      <c r="T1727" s="7" t="str">
        <f ca="1">IFERROR(__xludf.DUMMYFUNCTION("""COMPUTED_VALUE"""),"http://www.ms.ro/2020/08/18/buletin-informativ-18-08-2020")</f>
        <v>http://www.ms.ro/2020/08/18/buletin-informativ-18-08-2020</v>
      </c>
      <c r="U1727" s="5"/>
      <c r="V1727" s="5"/>
      <c r="W1727" s="5"/>
      <c r="X1727" s="5"/>
      <c r="Y1727" s="5"/>
      <c r="Z1727" s="5"/>
      <c r="AA1727" s="5"/>
      <c r="AB1727" s="5"/>
      <c r="AC1727" s="5"/>
    </row>
    <row r="1728" spans="1:29" ht="12.5">
      <c r="A1728" s="5">
        <f ca="1">IFERROR(__xludf.DUMMYFUNCTION("""COMPUTED_VALUE"""),71319)</f>
        <v>71319</v>
      </c>
      <c r="B1728" s="5"/>
      <c r="C1728" s="5" t="str">
        <f ca="1">IFERROR(__xludf.DUMMYFUNCTION("""COMPUTED_VALUE"""),"Bihor")</f>
        <v>Bihor</v>
      </c>
      <c r="D1728" s="13">
        <f ca="1">IFERROR(__xludf.DUMMYFUNCTION("""COMPUTED_VALUE"""),44061)</f>
        <v>44061</v>
      </c>
      <c r="E1728" s="5" t="str">
        <f ca="1">IFERROR(__xludf.DUMMYFUNCTION("""COMPUTED_VALUE"""),"Nu")</f>
        <v>Nu</v>
      </c>
      <c r="F1728" s="5"/>
      <c r="G1728" s="5"/>
      <c r="H1728" s="6"/>
      <c r="I1728" s="5"/>
      <c r="J1728" s="5"/>
      <c r="K1728" s="7" t="str">
        <f ca="1">IFERROR(__xludf.DUMMYFUNCTION("""COMPUTED_VALUE"""),"https://www.ebihoreanul.ro/stiri/coronavirus-in-bihor-inca-doua-decese-si-45-de-cazuri-noi-vezi-din-ce-localitati-158277.html")</f>
        <v>https://www.ebihoreanul.ro/stiri/coronavirus-in-bihor-inca-doua-decese-si-45-de-cazuri-noi-vezi-din-ce-localitati-158277.html</v>
      </c>
      <c r="L1728" s="5"/>
      <c r="M1728" s="5"/>
      <c r="N1728" s="5"/>
      <c r="O1728" s="5"/>
      <c r="P1728" s="5"/>
      <c r="Q1728" s="5" t="str">
        <f ca="1">IFERROR(__xludf.DUMMYFUNCTION("""COMPUTED_VALUE"""),"Comunitar")</f>
        <v>Comunitar</v>
      </c>
      <c r="R1728" s="5" t="str">
        <f ca="1">IFERROR(__xludf.DUMMYFUNCTION("""COMPUTED_VALUE"""),"România")</f>
        <v>România</v>
      </c>
      <c r="S1728" s="5" t="str">
        <f ca="1">IFERROR(__xludf.DUMMYFUNCTION("""COMPUTED_VALUE"""),"Octavian")</f>
        <v>Octavian</v>
      </c>
      <c r="T1728" s="7" t="str">
        <f ca="1">IFERROR(__xludf.DUMMYFUNCTION("""COMPUTED_VALUE"""),"http://www.ms.ro/2020/08/18/buletin-informativ-18-08-2020")</f>
        <v>http://www.ms.ro/2020/08/18/buletin-informativ-18-08-2020</v>
      </c>
      <c r="U1728" s="5"/>
      <c r="V1728" s="5"/>
      <c r="W1728" s="5"/>
      <c r="X1728" s="5"/>
      <c r="Y1728" s="5"/>
      <c r="Z1728" s="5"/>
      <c r="AA1728" s="5"/>
      <c r="AB1728" s="5"/>
      <c r="AC1728" s="5"/>
    </row>
    <row r="1729" spans="1:29" ht="12.5">
      <c r="A1729" s="5">
        <f ca="1">IFERROR(__xludf.DUMMYFUNCTION("""COMPUTED_VALUE"""),71320)</f>
        <v>71320</v>
      </c>
      <c r="B1729" s="5"/>
      <c r="C1729" s="5" t="str">
        <f ca="1">IFERROR(__xludf.DUMMYFUNCTION("""COMPUTED_VALUE"""),"Bihor")</f>
        <v>Bihor</v>
      </c>
      <c r="D1729" s="13">
        <f ca="1">IFERROR(__xludf.DUMMYFUNCTION("""COMPUTED_VALUE"""),44061)</f>
        <v>44061</v>
      </c>
      <c r="E1729" s="5" t="str">
        <f ca="1">IFERROR(__xludf.DUMMYFUNCTION("""COMPUTED_VALUE"""),"Nu")</f>
        <v>Nu</v>
      </c>
      <c r="F1729" s="5"/>
      <c r="G1729" s="5"/>
      <c r="H1729" s="6"/>
      <c r="I1729" s="5"/>
      <c r="J1729" s="5"/>
      <c r="K1729" s="7" t="str">
        <f ca="1">IFERROR(__xludf.DUMMYFUNCTION("""COMPUTED_VALUE"""),"https://www.ebihoreanul.ro/stiri/coronavirus-in-bihor-inca-doua-decese-si-45-de-cazuri-noi-vezi-din-ce-localitati-158277.html")</f>
        <v>https://www.ebihoreanul.ro/stiri/coronavirus-in-bihor-inca-doua-decese-si-45-de-cazuri-noi-vezi-din-ce-localitati-158277.html</v>
      </c>
      <c r="L1729" s="5"/>
      <c r="M1729" s="5"/>
      <c r="N1729" s="5"/>
      <c r="O1729" s="5"/>
      <c r="P1729" s="5"/>
      <c r="Q1729" s="5" t="str">
        <f ca="1">IFERROR(__xludf.DUMMYFUNCTION("""COMPUTED_VALUE"""),"Comunitar")</f>
        <v>Comunitar</v>
      </c>
      <c r="R1729" s="5" t="str">
        <f ca="1">IFERROR(__xludf.DUMMYFUNCTION("""COMPUTED_VALUE"""),"România")</f>
        <v>România</v>
      </c>
      <c r="S1729" s="5" t="str">
        <f ca="1">IFERROR(__xludf.DUMMYFUNCTION("""COMPUTED_VALUE"""),"Octavian")</f>
        <v>Octavian</v>
      </c>
      <c r="T1729" s="7" t="str">
        <f ca="1">IFERROR(__xludf.DUMMYFUNCTION("""COMPUTED_VALUE"""),"http://www.ms.ro/2020/08/18/buletin-informativ-18-08-2020")</f>
        <v>http://www.ms.ro/2020/08/18/buletin-informativ-18-08-2020</v>
      </c>
      <c r="U1729" s="5"/>
      <c r="V1729" s="5"/>
      <c r="W1729" s="5"/>
      <c r="X1729" s="5"/>
      <c r="Y1729" s="5"/>
      <c r="Z1729" s="5"/>
      <c r="AA1729" s="5"/>
      <c r="AB1729" s="5"/>
      <c r="AC1729" s="5"/>
    </row>
    <row r="1730" spans="1:29" ht="12.5">
      <c r="A1730" s="5">
        <f ca="1">IFERROR(__xludf.DUMMYFUNCTION("""COMPUTED_VALUE"""),71321)</f>
        <v>71321</v>
      </c>
      <c r="B1730" s="5"/>
      <c r="C1730" s="5" t="str">
        <f ca="1">IFERROR(__xludf.DUMMYFUNCTION("""COMPUTED_VALUE"""),"Bihor")</f>
        <v>Bihor</v>
      </c>
      <c r="D1730" s="13">
        <f ca="1">IFERROR(__xludf.DUMMYFUNCTION("""COMPUTED_VALUE"""),44061)</f>
        <v>44061</v>
      </c>
      <c r="E1730" s="5" t="str">
        <f ca="1">IFERROR(__xludf.DUMMYFUNCTION("""COMPUTED_VALUE"""),"Nu")</f>
        <v>Nu</v>
      </c>
      <c r="F1730" s="5"/>
      <c r="G1730" s="5"/>
      <c r="H1730" s="6"/>
      <c r="I1730" s="5"/>
      <c r="J1730" s="5"/>
      <c r="K1730" s="7" t="str">
        <f ca="1">IFERROR(__xludf.DUMMYFUNCTION("""COMPUTED_VALUE"""),"https://www.ebihoreanul.ro/stiri/coronavirus-in-bihor-inca-doua-decese-si-45-de-cazuri-noi-vezi-din-ce-localitati-158277.html")</f>
        <v>https://www.ebihoreanul.ro/stiri/coronavirus-in-bihor-inca-doua-decese-si-45-de-cazuri-noi-vezi-din-ce-localitati-158277.html</v>
      </c>
      <c r="L1730" s="5"/>
      <c r="M1730" s="5"/>
      <c r="N1730" s="5"/>
      <c r="O1730" s="5"/>
      <c r="P1730" s="5"/>
      <c r="Q1730" s="5" t="str">
        <f ca="1">IFERROR(__xludf.DUMMYFUNCTION("""COMPUTED_VALUE"""),"Comunitar")</f>
        <v>Comunitar</v>
      </c>
      <c r="R1730" s="5" t="str">
        <f ca="1">IFERROR(__xludf.DUMMYFUNCTION("""COMPUTED_VALUE"""),"România")</f>
        <v>România</v>
      </c>
      <c r="S1730" s="5" t="str">
        <f ca="1">IFERROR(__xludf.DUMMYFUNCTION("""COMPUTED_VALUE"""),"Octavian")</f>
        <v>Octavian</v>
      </c>
      <c r="T1730" s="7" t="str">
        <f ca="1">IFERROR(__xludf.DUMMYFUNCTION("""COMPUTED_VALUE"""),"http://www.ms.ro/2020/08/18/buletin-informativ-18-08-2020")</f>
        <v>http://www.ms.ro/2020/08/18/buletin-informativ-18-08-2020</v>
      </c>
      <c r="U1730" s="5"/>
      <c r="V1730" s="5"/>
      <c r="W1730" s="5"/>
      <c r="X1730" s="5"/>
      <c r="Y1730" s="5"/>
      <c r="Z1730" s="5"/>
      <c r="AA1730" s="5"/>
      <c r="AB1730" s="5"/>
      <c r="AC1730" s="5"/>
    </row>
    <row r="1731" spans="1:29" ht="12.5">
      <c r="A1731" s="5">
        <f ca="1">IFERROR(__xludf.DUMMYFUNCTION("""COMPUTED_VALUE"""),71322)</f>
        <v>71322</v>
      </c>
      <c r="B1731" s="5"/>
      <c r="C1731" s="5" t="str">
        <f ca="1">IFERROR(__xludf.DUMMYFUNCTION("""COMPUTED_VALUE"""),"Bihor")</f>
        <v>Bihor</v>
      </c>
      <c r="D1731" s="13">
        <f ca="1">IFERROR(__xludf.DUMMYFUNCTION("""COMPUTED_VALUE"""),44061)</f>
        <v>44061</v>
      </c>
      <c r="E1731" s="5" t="str">
        <f ca="1">IFERROR(__xludf.DUMMYFUNCTION("""COMPUTED_VALUE"""),"Nu")</f>
        <v>Nu</v>
      </c>
      <c r="F1731" s="5"/>
      <c r="G1731" s="5"/>
      <c r="H1731" s="6"/>
      <c r="I1731" s="5"/>
      <c r="J1731" s="5"/>
      <c r="K1731" s="7" t="str">
        <f ca="1">IFERROR(__xludf.DUMMYFUNCTION("""COMPUTED_VALUE"""),"https://www.ebihoreanul.ro/stiri/coronavirus-in-bihor-inca-doua-decese-si-45-de-cazuri-noi-vezi-din-ce-localitati-158277.html")</f>
        <v>https://www.ebihoreanul.ro/stiri/coronavirus-in-bihor-inca-doua-decese-si-45-de-cazuri-noi-vezi-din-ce-localitati-158277.html</v>
      </c>
      <c r="L1731" s="5"/>
      <c r="M1731" s="5"/>
      <c r="N1731" s="5"/>
      <c r="O1731" s="5"/>
      <c r="P1731" s="5"/>
      <c r="Q1731" s="5" t="str">
        <f ca="1">IFERROR(__xludf.DUMMYFUNCTION("""COMPUTED_VALUE"""),"Comunitar")</f>
        <v>Comunitar</v>
      </c>
      <c r="R1731" s="5" t="str">
        <f ca="1">IFERROR(__xludf.DUMMYFUNCTION("""COMPUTED_VALUE"""),"România")</f>
        <v>România</v>
      </c>
      <c r="S1731" s="5" t="str">
        <f ca="1">IFERROR(__xludf.DUMMYFUNCTION("""COMPUTED_VALUE"""),"Octavian")</f>
        <v>Octavian</v>
      </c>
      <c r="T1731" s="7" t="str">
        <f ca="1">IFERROR(__xludf.DUMMYFUNCTION("""COMPUTED_VALUE"""),"http://www.ms.ro/2020/08/18/buletin-informativ-18-08-2020")</f>
        <v>http://www.ms.ro/2020/08/18/buletin-informativ-18-08-2020</v>
      </c>
      <c r="U1731" s="5"/>
      <c r="V1731" s="5"/>
      <c r="W1731" s="5"/>
      <c r="X1731" s="5"/>
      <c r="Y1731" s="5"/>
      <c r="Z1731" s="5"/>
      <c r="AA1731" s="5"/>
      <c r="AB1731" s="5"/>
      <c r="AC1731" s="5"/>
    </row>
    <row r="1732" spans="1:29" ht="12.5">
      <c r="A1732" s="5">
        <f ca="1">IFERROR(__xludf.DUMMYFUNCTION("""COMPUTED_VALUE"""),71323)</f>
        <v>71323</v>
      </c>
      <c r="B1732" s="5"/>
      <c r="C1732" s="5" t="str">
        <f ca="1">IFERROR(__xludf.DUMMYFUNCTION("""COMPUTED_VALUE"""),"Bihor")</f>
        <v>Bihor</v>
      </c>
      <c r="D1732" s="13">
        <f ca="1">IFERROR(__xludf.DUMMYFUNCTION("""COMPUTED_VALUE"""),44061)</f>
        <v>44061</v>
      </c>
      <c r="E1732" s="5" t="str">
        <f ca="1">IFERROR(__xludf.DUMMYFUNCTION("""COMPUTED_VALUE"""),"Nu")</f>
        <v>Nu</v>
      </c>
      <c r="F1732" s="5"/>
      <c r="G1732" s="5"/>
      <c r="H1732" s="6"/>
      <c r="I1732" s="5"/>
      <c r="J1732" s="5"/>
      <c r="K1732" s="7" t="str">
        <f ca="1">IFERROR(__xludf.DUMMYFUNCTION("""COMPUTED_VALUE"""),"https://www.ebihoreanul.ro/stiri/coronavirus-in-bihor-inca-doua-decese-si-45-de-cazuri-noi-vezi-din-ce-localitati-158277.html")</f>
        <v>https://www.ebihoreanul.ro/stiri/coronavirus-in-bihor-inca-doua-decese-si-45-de-cazuri-noi-vezi-din-ce-localitati-158277.html</v>
      </c>
      <c r="L1732" s="5"/>
      <c r="M1732" s="5"/>
      <c r="N1732" s="5"/>
      <c r="O1732" s="5"/>
      <c r="P1732" s="5"/>
      <c r="Q1732" s="5" t="str">
        <f ca="1">IFERROR(__xludf.DUMMYFUNCTION("""COMPUTED_VALUE"""),"Comunitar")</f>
        <v>Comunitar</v>
      </c>
      <c r="R1732" s="5" t="str">
        <f ca="1">IFERROR(__xludf.DUMMYFUNCTION("""COMPUTED_VALUE"""),"România")</f>
        <v>România</v>
      </c>
      <c r="S1732" s="5" t="str">
        <f ca="1">IFERROR(__xludf.DUMMYFUNCTION("""COMPUTED_VALUE"""),"Octavian")</f>
        <v>Octavian</v>
      </c>
      <c r="T1732" s="7" t="str">
        <f ca="1">IFERROR(__xludf.DUMMYFUNCTION("""COMPUTED_VALUE"""),"http://www.ms.ro/2020/08/18/buletin-informativ-18-08-2020")</f>
        <v>http://www.ms.ro/2020/08/18/buletin-informativ-18-08-2020</v>
      </c>
      <c r="U1732" s="5"/>
      <c r="V1732" s="5"/>
      <c r="W1732" s="5"/>
      <c r="X1732" s="5"/>
      <c r="Y1732" s="5"/>
      <c r="Z1732" s="5"/>
      <c r="AA1732" s="5"/>
      <c r="AB1732" s="5"/>
      <c r="AC1732" s="5"/>
    </row>
    <row r="1733" spans="1:29" ht="12.5">
      <c r="A1733" s="5">
        <f ca="1">IFERROR(__xludf.DUMMYFUNCTION("""COMPUTED_VALUE"""),71324)</f>
        <v>71324</v>
      </c>
      <c r="B1733" s="5"/>
      <c r="C1733" s="5" t="str">
        <f ca="1">IFERROR(__xludf.DUMMYFUNCTION("""COMPUTED_VALUE"""),"Bihor")</f>
        <v>Bihor</v>
      </c>
      <c r="D1733" s="13">
        <f ca="1">IFERROR(__xludf.DUMMYFUNCTION("""COMPUTED_VALUE"""),44061)</f>
        <v>44061</v>
      </c>
      <c r="E1733" s="5" t="str">
        <f ca="1">IFERROR(__xludf.DUMMYFUNCTION("""COMPUTED_VALUE"""),"Nu")</f>
        <v>Nu</v>
      </c>
      <c r="F1733" s="5"/>
      <c r="G1733" s="5"/>
      <c r="H1733" s="6"/>
      <c r="I1733" s="5"/>
      <c r="J1733" s="5"/>
      <c r="K1733" s="7" t="str">
        <f ca="1">IFERROR(__xludf.DUMMYFUNCTION("""COMPUTED_VALUE"""),"https://www.ebihoreanul.ro/stiri/coronavirus-in-bihor-inca-doua-decese-si-45-de-cazuri-noi-vezi-din-ce-localitati-158277.html")</f>
        <v>https://www.ebihoreanul.ro/stiri/coronavirus-in-bihor-inca-doua-decese-si-45-de-cazuri-noi-vezi-din-ce-localitati-158277.html</v>
      </c>
      <c r="L1733" s="5"/>
      <c r="M1733" s="5"/>
      <c r="N1733" s="5"/>
      <c r="O1733" s="5"/>
      <c r="P1733" s="5"/>
      <c r="Q1733" s="5" t="str">
        <f ca="1">IFERROR(__xludf.DUMMYFUNCTION("""COMPUTED_VALUE"""),"Comunitar")</f>
        <v>Comunitar</v>
      </c>
      <c r="R1733" s="5" t="str">
        <f ca="1">IFERROR(__xludf.DUMMYFUNCTION("""COMPUTED_VALUE"""),"România")</f>
        <v>România</v>
      </c>
      <c r="S1733" s="5" t="str">
        <f ca="1">IFERROR(__xludf.DUMMYFUNCTION("""COMPUTED_VALUE"""),"Octavian")</f>
        <v>Octavian</v>
      </c>
      <c r="T1733" s="7" t="str">
        <f ca="1">IFERROR(__xludf.DUMMYFUNCTION("""COMPUTED_VALUE"""),"http://www.ms.ro/2020/08/18/buletin-informativ-18-08-2020")</f>
        <v>http://www.ms.ro/2020/08/18/buletin-informativ-18-08-2020</v>
      </c>
      <c r="U1733" s="5"/>
      <c r="V1733" s="5"/>
      <c r="W1733" s="5"/>
      <c r="X1733" s="5"/>
      <c r="Y1733" s="5"/>
      <c r="Z1733" s="5"/>
      <c r="AA1733" s="5"/>
      <c r="AB1733" s="5"/>
      <c r="AC1733" s="5"/>
    </row>
    <row r="1734" spans="1:29" ht="12.5">
      <c r="A1734" s="5">
        <f ca="1">IFERROR(__xludf.DUMMYFUNCTION("""COMPUTED_VALUE"""),71325)</f>
        <v>71325</v>
      </c>
      <c r="B1734" s="5"/>
      <c r="C1734" s="5" t="str">
        <f ca="1">IFERROR(__xludf.DUMMYFUNCTION("""COMPUTED_VALUE"""),"Bihor")</f>
        <v>Bihor</v>
      </c>
      <c r="D1734" s="13">
        <f ca="1">IFERROR(__xludf.DUMMYFUNCTION("""COMPUTED_VALUE"""),44061)</f>
        <v>44061</v>
      </c>
      <c r="E1734" s="5" t="str">
        <f ca="1">IFERROR(__xludf.DUMMYFUNCTION("""COMPUTED_VALUE"""),"Nu")</f>
        <v>Nu</v>
      </c>
      <c r="F1734" s="5"/>
      <c r="G1734" s="5"/>
      <c r="H1734" s="6"/>
      <c r="I1734" s="5"/>
      <c r="J1734" s="5"/>
      <c r="K1734" s="7" t="str">
        <f ca="1">IFERROR(__xludf.DUMMYFUNCTION("""COMPUTED_VALUE"""),"https://www.ebihoreanul.ro/stiri/coronavirus-in-bihor-inca-doua-decese-si-45-de-cazuri-noi-vezi-din-ce-localitati-158277.html")</f>
        <v>https://www.ebihoreanul.ro/stiri/coronavirus-in-bihor-inca-doua-decese-si-45-de-cazuri-noi-vezi-din-ce-localitati-158277.html</v>
      </c>
      <c r="L1734" s="5"/>
      <c r="M1734" s="5"/>
      <c r="N1734" s="5"/>
      <c r="O1734" s="5"/>
      <c r="P1734" s="5"/>
      <c r="Q1734" s="5" t="str">
        <f ca="1">IFERROR(__xludf.DUMMYFUNCTION("""COMPUTED_VALUE"""),"Comunitar")</f>
        <v>Comunitar</v>
      </c>
      <c r="R1734" s="5" t="str">
        <f ca="1">IFERROR(__xludf.DUMMYFUNCTION("""COMPUTED_VALUE"""),"România")</f>
        <v>România</v>
      </c>
      <c r="S1734" s="5" t="str">
        <f ca="1">IFERROR(__xludf.DUMMYFUNCTION("""COMPUTED_VALUE"""),"Octavian")</f>
        <v>Octavian</v>
      </c>
      <c r="T1734" s="7" t="str">
        <f ca="1">IFERROR(__xludf.DUMMYFUNCTION("""COMPUTED_VALUE"""),"http://www.ms.ro/2020/08/18/buletin-informativ-18-08-2020")</f>
        <v>http://www.ms.ro/2020/08/18/buletin-informativ-18-08-2020</v>
      </c>
      <c r="U1734" s="5"/>
      <c r="V1734" s="5"/>
      <c r="W1734" s="5"/>
      <c r="X1734" s="5"/>
      <c r="Y1734" s="5"/>
      <c r="Z1734" s="5"/>
      <c r="AA1734" s="5"/>
      <c r="AB1734" s="5"/>
      <c r="AC1734" s="5"/>
    </row>
    <row r="1735" spans="1:29" ht="12.5">
      <c r="A1735" s="5">
        <f ca="1">IFERROR(__xludf.DUMMYFUNCTION("""COMPUTED_VALUE"""),71326)</f>
        <v>71326</v>
      </c>
      <c r="B1735" s="5"/>
      <c r="C1735" s="5" t="str">
        <f ca="1">IFERROR(__xludf.DUMMYFUNCTION("""COMPUTED_VALUE"""),"Bihor")</f>
        <v>Bihor</v>
      </c>
      <c r="D1735" s="13">
        <f ca="1">IFERROR(__xludf.DUMMYFUNCTION("""COMPUTED_VALUE"""),44061)</f>
        <v>44061</v>
      </c>
      <c r="E1735" s="5" t="str">
        <f ca="1">IFERROR(__xludf.DUMMYFUNCTION("""COMPUTED_VALUE"""),"Nu")</f>
        <v>Nu</v>
      </c>
      <c r="F1735" s="5"/>
      <c r="G1735" s="5"/>
      <c r="H1735" s="6"/>
      <c r="I1735" s="5"/>
      <c r="J1735" s="5"/>
      <c r="K1735" s="7" t="str">
        <f ca="1">IFERROR(__xludf.DUMMYFUNCTION("""COMPUTED_VALUE"""),"https://www.ebihoreanul.ro/stiri/coronavirus-in-bihor-inca-doua-decese-si-45-de-cazuri-noi-vezi-din-ce-localitati-158277.html")</f>
        <v>https://www.ebihoreanul.ro/stiri/coronavirus-in-bihor-inca-doua-decese-si-45-de-cazuri-noi-vezi-din-ce-localitati-158277.html</v>
      </c>
      <c r="L1735" s="5"/>
      <c r="M1735" s="5"/>
      <c r="N1735" s="5"/>
      <c r="O1735" s="5"/>
      <c r="P1735" s="5"/>
      <c r="Q1735" s="5" t="str">
        <f ca="1">IFERROR(__xludf.DUMMYFUNCTION("""COMPUTED_VALUE"""),"Comunitar")</f>
        <v>Comunitar</v>
      </c>
      <c r="R1735" s="5" t="str">
        <f ca="1">IFERROR(__xludf.DUMMYFUNCTION("""COMPUTED_VALUE"""),"România")</f>
        <v>România</v>
      </c>
      <c r="S1735" s="5" t="str">
        <f ca="1">IFERROR(__xludf.DUMMYFUNCTION("""COMPUTED_VALUE"""),"Octavian")</f>
        <v>Octavian</v>
      </c>
      <c r="T1735" s="7" t="str">
        <f ca="1">IFERROR(__xludf.DUMMYFUNCTION("""COMPUTED_VALUE"""),"http://www.ms.ro/2020/08/18/buletin-informativ-18-08-2020")</f>
        <v>http://www.ms.ro/2020/08/18/buletin-informativ-18-08-2020</v>
      </c>
      <c r="U1735" s="5"/>
      <c r="V1735" s="5"/>
      <c r="W1735" s="5"/>
      <c r="X1735" s="5"/>
      <c r="Y1735" s="5"/>
      <c r="Z1735" s="5"/>
      <c r="AA1735" s="5"/>
      <c r="AB1735" s="5"/>
      <c r="AC1735" s="5"/>
    </row>
    <row r="1736" spans="1:29" ht="12.5">
      <c r="A1736" s="5">
        <f ca="1">IFERROR(__xludf.DUMMYFUNCTION("""COMPUTED_VALUE"""),71327)</f>
        <v>71327</v>
      </c>
      <c r="B1736" s="5"/>
      <c r="C1736" s="5" t="str">
        <f ca="1">IFERROR(__xludf.DUMMYFUNCTION("""COMPUTED_VALUE"""),"Bihor")</f>
        <v>Bihor</v>
      </c>
      <c r="D1736" s="13">
        <f ca="1">IFERROR(__xludf.DUMMYFUNCTION("""COMPUTED_VALUE"""),44061)</f>
        <v>44061</v>
      </c>
      <c r="E1736" s="5" t="str">
        <f ca="1">IFERROR(__xludf.DUMMYFUNCTION("""COMPUTED_VALUE"""),"Nu")</f>
        <v>Nu</v>
      </c>
      <c r="F1736" s="5"/>
      <c r="G1736" s="5"/>
      <c r="H1736" s="6"/>
      <c r="I1736" s="5"/>
      <c r="J1736" s="5"/>
      <c r="K1736" s="7" t="str">
        <f ca="1">IFERROR(__xludf.DUMMYFUNCTION("""COMPUTED_VALUE"""),"https://www.ebihoreanul.ro/stiri/coronavirus-in-bihor-inca-doua-decese-si-45-de-cazuri-noi-vezi-din-ce-localitati-158277.html")</f>
        <v>https://www.ebihoreanul.ro/stiri/coronavirus-in-bihor-inca-doua-decese-si-45-de-cazuri-noi-vezi-din-ce-localitati-158277.html</v>
      </c>
      <c r="L1736" s="5"/>
      <c r="M1736" s="5"/>
      <c r="N1736" s="5"/>
      <c r="O1736" s="5"/>
      <c r="P1736" s="5"/>
      <c r="Q1736" s="5" t="str">
        <f ca="1">IFERROR(__xludf.DUMMYFUNCTION("""COMPUTED_VALUE"""),"Comunitar")</f>
        <v>Comunitar</v>
      </c>
      <c r="R1736" s="5" t="str">
        <f ca="1">IFERROR(__xludf.DUMMYFUNCTION("""COMPUTED_VALUE"""),"România")</f>
        <v>România</v>
      </c>
      <c r="S1736" s="5" t="str">
        <f ca="1">IFERROR(__xludf.DUMMYFUNCTION("""COMPUTED_VALUE"""),"Octavian")</f>
        <v>Octavian</v>
      </c>
      <c r="T1736" s="7" t="str">
        <f ca="1">IFERROR(__xludf.DUMMYFUNCTION("""COMPUTED_VALUE"""),"http://www.ms.ro/2020/08/18/buletin-informativ-18-08-2020")</f>
        <v>http://www.ms.ro/2020/08/18/buletin-informativ-18-08-2020</v>
      </c>
      <c r="U1736" s="5"/>
      <c r="V1736" s="5"/>
      <c r="W1736" s="5"/>
      <c r="X1736" s="5"/>
      <c r="Y1736" s="5"/>
      <c r="Z1736" s="5"/>
      <c r="AA1736" s="5"/>
      <c r="AB1736" s="5"/>
      <c r="AC1736" s="5"/>
    </row>
    <row r="1737" spans="1:29" ht="12.5">
      <c r="A1737" s="5">
        <f ca="1">IFERROR(__xludf.DUMMYFUNCTION("""COMPUTED_VALUE"""),71328)</f>
        <v>71328</v>
      </c>
      <c r="B1737" s="5"/>
      <c r="C1737" s="5" t="str">
        <f ca="1">IFERROR(__xludf.DUMMYFUNCTION("""COMPUTED_VALUE"""),"Bihor")</f>
        <v>Bihor</v>
      </c>
      <c r="D1737" s="13">
        <f ca="1">IFERROR(__xludf.DUMMYFUNCTION("""COMPUTED_VALUE"""),44061)</f>
        <v>44061</v>
      </c>
      <c r="E1737" s="5" t="str">
        <f ca="1">IFERROR(__xludf.DUMMYFUNCTION("""COMPUTED_VALUE"""),"Nu")</f>
        <v>Nu</v>
      </c>
      <c r="F1737" s="5"/>
      <c r="G1737" s="5"/>
      <c r="H1737" s="6"/>
      <c r="I1737" s="5"/>
      <c r="J1737" s="5"/>
      <c r="K1737" s="7" t="str">
        <f ca="1">IFERROR(__xludf.DUMMYFUNCTION("""COMPUTED_VALUE"""),"https://www.ebihoreanul.ro/stiri/coronavirus-in-bihor-inca-doua-decese-si-45-de-cazuri-noi-vezi-din-ce-localitati-158277.html")</f>
        <v>https://www.ebihoreanul.ro/stiri/coronavirus-in-bihor-inca-doua-decese-si-45-de-cazuri-noi-vezi-din-ce-localitati-158277.html</v>
      </c>
      <c r="L1737" s="5"/>
      <c r="M1737" s="5"/>
      <c r="N1737" s="5"/>
      <c r="O1737" s="5"/>
      <c r="P1737" s="5"/>
      <c r="Q1737" s="5" t="str">
        <f ca="1">IFERROR(__xludf.DUMMYFUNCTION("""COMPUTED_VALUE"""),"Comunitar")</f>
        <v>Comunitar</v>
      </c>
      <c r="R1737" s="5" t="str">
        <f ca="1">IFERROR(__xludf.DUMMYFUNCTION("""COMPUTED_VALUE"""),"România")</f>
        <v>România</v>
      </c>
      <c r="S1737" s="5" t="str">
        <f ca="1">IFERROR(__xludf.DUMMYFUNCTION("""COMPUTED_VALUE"""),"Octavian")</f>
        <v>Octavian</v>
      </c>
      <c r="T1737" s="7" t="str">
        <f ca="1">IFERROR(__xludf.DUMMYFUNCTION("""COMPUTED_VALUE"""),"http://www.ms.ro/2020/08/18/buletin-informativ-18-08-2020")</f>
        <v>http://www.ms.ro/2020/08/18/buletin-informativ-18-08-2020</v>
      </c>
      <c r="U1737" s="5"/>
      <c r="V1737" s="5"/>
      <c r="W1737" s="5"/>
      <c r="X1737" s="5"/>
      <c r="Y1737" s="5"/>
      <c r="Z1737" s="5"/>
      <c r="AA1737" s="5"/>
      <c r="AB1737" s="5"/>
      <c r="AC1737" s="5"/>
    </row>
    <row r="1738" spans="1:29" ht="12.5">
      <c r="A1738" s="5">
        <f ca="1">IFERROR(__xludf.DUMMYFUNCTION("""COMPUTED_VALUE"""),71329)</f>
        <v>71329</v>
      </c>
      <c r="B1738" s="5"/>
      <c r="C1738" s="5" t="str">
        <f ca="1">IFERROR(__xludf.DUMMYFUNCTION("""COMPUTED_VALUE"""),"Bihor")</f>
        <v>Bihor</v>
      </c>
      <c r="D1738" s="13">
        <f ca="1">IFERROR(__xludf.DUMMYFUNCTION("""COMPUTED_VALUE"""),44061)</f>
        <v>44061</v>
      </c>
      <c r="E1738" s="5" t="str">
        <f ca="1">IFERROR(__xludf.DUMMYFUNCTION("""COMPUTED_VALUE"""),"Nu")</f>
        <v>Nu</v>
      </c>
      <c r="F1738" s="5"/>
      <c r="G1738" s="5"/>
      <c r="H1738" s="6"/>
      <c r="I1738" s="5"/>
      <c r="J1738" s="5"/>
      <c r="K1738" s="7" t="str">
        <f ca="1">IFERROR(__xludf.DUMMYFUNCTION("""COMPUTED_VALUE"""),"https://www.ebihoreanul.ro/stiri/coronavirus-in-bihor-inca-doua-decese-si-45-de-cazuri-noi-vezi-din-ce-localitati-158277.html")</f>
        <v>https://www.ebihoreanul.ro/stiri/coronavirus-in-bihor-inca-doua-decese-si-45-de-cazuri-noi-vezi-din-ce-localitati-158277.html</v>
      </c>
      <c r="L1738" s="5"/>
      <c r="M1738" s="5"/>
      <c r="N1738" s="5"/>
      <c r="O1738" s="5"/>
      <c r="P1738" s="5"/>
      <c r="Q1738" s="5" t="str">
        <f ca="1">IFERROR(__xludf.DUMMYFUNCTION("""COMPUTED_VALUE"""),"Comunitar")</f>
        <v>Comunitar</v>
      </c>
      <c r="R1738" s="5" t="str">
        <f ca="1">IFERROR(__xludf.DUMMYFUNCTION("""COMPUTED_VALUE"""),"România")</f>
        <v>România</v>
      </c>
      <c r="S1738" s="5" t="str">
        <f ca="1">IFERROR(__xludf.DUMMYFUNCTION("""COMPUTED_VALUE"""),"Octavian")</f>
        <v>Octavian</v>
      </c>
      <c r="T1738" s="7" t="str">
        <f ca="1">IFERROR(__xludf.DUMMYFUNCTION("""COMPUTED_VALUE"""),"http://www.ms.ro/2020/08/18/buletin-informativ-18-08-2020")</f>
        <v>http://www.ms.ro/2020/08/18/buletin-informativ-18-08-2020</v>
      </c>
      <c r="U1738" s="5"/>
      <c r="V1738" s="5"/>
      <c r="W1738" s="5"/>
      <c r="X1738" s="5"/>
      <c r="Y1738" s="5"/>
      <c r="Z1738" s="5"/>
      <c r="AA1738" s="5"/>
      <c r="AB1738" s="5"/>
      <c r="AC1738" s="5"/>
    </row>
    <row r="1739" spans="1:29" ht="12.5">
      <c r="A1739" s="5">
        <f ca="1">IFERROR(__xludf.DUMMYFUNCTION("""COMPUTED_VALUE"""),71330)</f>
        <v>71330</v>
      </c>
      <c r="B1739" s="5"/>
      <c r="C1739" s="5" t="str">
        <f ca="1">IFERROR(__xludf.DUMMYFUNCTION("""COMPUTED_VALUE"""),"Bihor")</f>
        <v>Bihor</v>
      </c>
      <c r="D1739" s="13">
        <f ca="1">IFERROR(__xludf.DUMMYFUNCTION("""COMPUTED_VALUE"""),44061)</f>
        <v>44061</v>
      </c>
      <c r="E1739" s="5" t="str">
        <f ca="1">IFERROR(__xludf.DUMMYFUNCTION("""COMPUTED_VALUE"""),"Nu")</f>
        <v>Nu</v>
      </c>
      <c r="F1739" s="5"/>
      <c r="G1739" s="5"/>
      <c r="H1739" s="6"/>
      <c r="I1739" s="5"/>
      <c r="J1739" s="5"/>
      <c r="K1739" s="7" t="str">
        <f ca="1">IFERROR(__xludf.DUMMYFUNCTION("""COMPUTED_VALUE"""),"https://www.ebihoreanul.ro/stiri/coronavirus-in-bihor-inca-doua-decese-si-45-de-cazuri-noi-vezi-din-ce-localitati-158277.html")</f>
        <v>https://www.ebihoreanul.ro/stiri/coronavirus-in-bihor-inca-doua-decese-si-45-de-cazuri-noi-vezi-din-ce-localitati-158277.html</v>
      </c>
      <c r="L1739" s="5"/>
      <c r="M1739" s="5"/>
      <c r="N1739" s="5"/>
      <c r="O1739" s="5"/>
      <c r="P1739" s="5"/>
      <c r="Q1739" s="5" t="str">
        <f ca="1">IFERROR(__xludf.DUMMYFUNCTION("""COMPUTED_VALUE"""),"Comunitar")</f>
        <v>Comunitar</v>
      </c>
      <c r="R1739" s="5" t="str">
        <f ca="1">IFERROR(__xludf.DUMMYFUNCTION("""COMPUTED_VALUE"""),"România")</f>
        <v>România</v>
      </c>
      <c r="S1739" s="5" t="str">
        <f ca="1">IFERROR(__xludf.DUMMYFUNCTION("""COMPUTED_VALUE"""),"Octavian")</f>
        <v>Octavian</v>
      </c>
      <c r="T1739" s="7" t="str">
        <f ca="1">IFERROR(__xludf.DUMMYFUNCTION("""COMPUTED_VALUE"""),"http://www.ms.ro/2020/08/18/buletin-informativ-18-08-2020")</f>
        <v>http://www.ms.ro/2020/08/18/buletin-informativ-18-08-2020</v>
      </c>
      <c r="U1739" s="5"/>
      <c r="V1739" s="5"/>
      <c r="W1739" s="5"/>
      <c r="X1739" s="5"/>
      <c r="Y1739" s="5"/>
      <c r="Z1739" s="5"/>
      <c r="AA1739" s="5"/>
      <c r="AB1739" s="5"/>
      <c r="AC1739" s="5"/>
    </row>
    <row r="1740" spans="1:29" ht="12.5">
      <c r="A1740" s="5">
        <f ca="1">IFERROR(__xludf.DUMMYFUNCTION("""COMPUTED_VALUE"""),71331)</f>
        <v>71331</v>
      </c>
      <c r="B1740" s="5"/>
      <c r="C1740" s="5" t="str">
        <f ca="1">IFERROR(__xludf.DUMMYFUNCTION("""COMPUTED_VALUE"""),"Bihor")</f>
        <v>Bihor</v>
      </c>
      <c r="D1740" s="13">
        <f ca="1">IFERROR(__xludf.DUMMYFUNCTION("""COMPUTED_VALUE"""),44061)</f>
        <v>44061</v>
      </c>
      <c r="E1740" s="5" t="str">
        <f ca="1">IFERROR(__xludf.DUMMYFUNCTION("""COMPUTED_VALUE"""),"Nu")</f>
        <v>Nu</v>
      </c>
      <c r="F1740" s="5"/>
      <c r="G1740" s="5"/>
      <c r="H1740" s="6"/>
      <c r="I1740" s="5"/>
      <c r="J1740" s="5"/>
      <c r="K1740" s="7" t="str">
        <f ca="1">IFERROR(__xludf.DUMMYFUNCTION("""COMPUTED_VALUE"""),"https://www.ebihoreanul.ro/stiri/coronavirus-in-bihor-inca-doua-decese-si-45-de-cazuri-noi-vezi-din-ce-localitati-158277.html")</f>
        <v>https://www.ebihoreanul.ro/stiri/coronavirus-in-bihor-inca-doua-decese-si-45-de-cazuri-noi-vezi-din-ce-localitati-158277.html</v>
      </c>
      <c r="L1740" s="5"/>
      <c r="M1740" s="5"/>
      <c r="N1740" s="5"/>
      <c r="O1740" s="5"/>
      <c r="P1740" s="5"/>
      <c r="Q1740" s="5" t="str">
        <f ca="1">IFERROR(__xludf.DUMMYFUNCTION("""COMPUTED_VALUE"""),"Comunitar")</f>
        <v>Comunitar</v>
      </c>
      <c r="R1740" s="5" t="str">
        <f ca="1">IFERROR(__xludf.DUMMYFUNCTION("""COMPUTED_VALUE"""),"România")</f>
        <v>România</v>
      </c>
      <c r="S1740" s="5" t="str">
        <f ca="1">IFERROR(__xludf.DUMMYFUNCTION("""COMPUTED_VALUE"""),"Octavian")</f>
        <v>Octavian</v>
      </c>
      <c r="T1740" s="7" t="str">
        <f ca="1">IFERROR(__xludf.DUMMYFUNCTION("""COMPUTED_VALUE"""),"http://www.ms.ro/2020/08/18/buletin-informativ-18-08-2020")</f>
        <v>http://www.ms.ro/2020/08/18/buletin-informativ-18-08-2020</v>
      </c>
      <c r="U1740" s="5"/>
      <c r="V1740" s="5"/>
      <c r="W1740" s="5"/>
      <c r="X1740" s="5"/>
      <c r="Y1740" s="5"/>
      <c r="Z1740" s="5"/>
      <c r="AA1740" s="5"/>
      <c r="AB1740" s="5"/>
      <c r="AC1740" s="5"/>
    </row>
    <row r="1741" spans="1:29" ht="12.5">
      <c r="A1741" s="5">
        <f ca="1">IFERROR(__xludf.DUMMYFUNCTION("""COMPUTED_VALUE"""),71332)</f>
        <v>71332</v>
      </c>
      <c r="B1741" s="5"/>
      <c r="C1741" s="5" t="str">
        <f ca="1">IFERROR(__xludf.DUMMYFUNCTION("""COMPUTED_VALUE"""),"Bihor")</f>
        <v>Bihor</v>
      </c>
      <c r="D1741" s="13">
        <f ca="1">IFERROR(__xludf.DUMMYFUNCTION("""COMPUTED_VALUE"""),44061)</f>
        <v>44061</v>
      </c>
      <c r="E1741" s="5" t="str">
        <f ca="1">IFERROR(__xludf.DUMMYFUNCTION("""COMPUTED_VALUE"""),"Nu")</f>
        <v>Nu</v>
      </c>
      <c r="F1741" s="5"/>
      <c r="G1741" s="5"/>
      <c r="H1741" s="6"/>
      <c r="I1741" s="5"/>
      <c r="J1741" s="5"/>
      <c r="K1741" s="7" t="str">
        <f ca="1">IFERROR(__xludf.DUMMYFUNCTION("""COMPUTED_VALUE"""),"https://www.ebihoreanul.ro/stiri/coronavirus-in-bihor-inca-doua-decese-si-45-de-cazuri-noi-vezi-din-ce-localitati-158277.html")</f>
        <v>https://www.ebihoreanul.ro/stiri/coronavirus-in-bihor-inca-doua-decese-si-45-de-cazuri-noi-vezi-din-ce-localitati-158277.html</v>
      </c>
      <c r="L1741" s="5"/>
      <c r="M1741" s="5"/>
      <c r="N1741" s="5"/>
      <c r="O1741" s="5"/>
      <c r="P1741" s="5"/>
      <c r="Q1741" s="5" t="str">
        <f ca="1">IFERROR(__xludf.DUMMYFUNCTION("""COMPUTED_VALUE"""),"Comunitar")</f>
        <v>Comunitar</v>
      </c>
      <c r="R1741" s="5" t="str">
        <f ca="1">IFERROR(__xludf.DUMMYFUNCTION("""COMPUTED_VALUE"""),"România")</f>
        <v>România</v>
      </c>
      <c r="S1741" s="5" t="str">
        <f ca="1">IFERROR(__xludf.DUMMYFUNCTION("""COMPUTED_VALUE"""),"Octavian")</f>
        <v>Octavian</v>
      </c>
      <c r="T1741" s="7" t="str">
        <f ca="1">IFERROR(__xludf.DUMMYFUNCTION("""COMPUTED_VALUE"""),"http://www.ms.ro/2020/08/18/buletin-informativ-18-08-2020")</f>
        <v>http://www.ms.ro/2020/08/18/buletin-informativ-18-08-2020</v>
      </c>
      <c r="U1741" s="5"/>
      <c r="V1741" s="5"/>
      <c r="W1741" s="5"/>
      <c r="X1741" s="5"/>
      <c r="Y1741" s="5"/>
      <c r="Z1741" s="5"/>
      <c r="AA1741" s="5"/>
      <c r="AB1741" s="5"/>
      <c r="AC1741" s="5"/>
    </row>
    <row r="1742" spans="1:29" ht="12.5">
      <c r="A1742" s="5">
        <f ca="1">IFERROR(__xludf.DUMMYFUNCTION("""COMPUTED_VALUE"""),71333)</f>
        <v>71333</v>
      </c>
      <c r="B1742" s="5"/>
      <c r="C1742" s="5" t="str">
        <f ca="1">IFERROR(__xludf.DUMMYFUNCTION("""COMPUTED_VALUE"""),"Bihor")</f>
        <v>Bihor</v>
      </c>
      <c r="D1742" s="13">
        <f ca="1">IFERROR(__xludf.DUMMYFUNCTION("""COMPUTED_VALUE"""),44061)</f>
        <v>44061</v>
      </c>
      <c r="E1742" s="5" t="str">
        <f ca="1">IFERROR(__xludf.DUMMYFUNCTION("""COMPUTED_VALUE"""),"Nu")</f>
        <v>Nu</v>
      </c>
      <c r="F1742" s="5"/>
      <c r="G1742" s="5"/>
      <c r="H1742" s="6"/>
      <c r="I1742" s="5"/>
      <c r="J1742" s="5"/>
      <c r="K1742" s="7" t="str">
        <f ca="1">IFERROR(__xludf.DUMMYFUNCTION("""COMPUTED_VALUE"""),"https://www.ebihoreanul.ro/stiri/coronavirus-in-bihor-inca-doua-decese-si-45-de-cazuri-noi-vezi-din-ce-localitati-158277.html")</f>
        <v>https://www.ebihoreanul.ro/stiri/coronavirus-in-bihor-inca-doua-decese-si-45-de-cazuri-noi-vezi-din-ce-localitati-158277.html</v>
      </c>
      <c r="L1742" s="5"/>
      <c r="M1742" s="5"/>
      <c r="N1742" s="5"/>
      <c r="O1742" s="5"/>
      <c r="P1742" s="5"/>
      <c r="Q1742" s="5" t="str">
        <f ca="1">IFERROR(__xludf.DUMMYFUNCTION("""COMPUTED_VALUE"""),"Comunitar")</f>
        <v>Comunitar</v>
      </c>
      <c r="R1742" s="5" t="str">
        <f ca="1">IFERROR(__xludf.DUMMYFUNCTION("""COMPUTED_VALUE"""),"România")</f>
        <v>România</v>
      </c>
      <c r="S1742" s="5" t="str">
        <f ca="1">IFERROR(__xludf.DUMMYFUNCTION("""COMPUTED_VALUE"""),"Octavian")</f>
        <v>Octavian</v>
      </c>
      <c r="T1742" s="7" t="str">
        <f ca="1">IFERROR(__xludf.DUMMYFUNCTION("""COMPUTED_VALUE"""),"http://www.ms.ro/2020/08/18/buletin-informativ-18-08-2020")</f>
        <v>http://www.ms.ro/2020/08/18/buletin-informativ-18-08-2020</v>
      </c>
      <c r="U1742" s="5"/>
      <c r="V1742" s="5"/>
      <c r="W1742" s="5"/>
      <c r="X1742" s="5"/>
      <c r="Y1742" s="5"/>
      <c r="Z1742" s="5"/>
      <c r="AA1742" s="5"/>
      <c r="AB1742" s="5"/>
      <c r="AC1742" s="5"/>
    </row>
    <row r="1743" spans="1:29" ht="12.5">
      <c r="A1743" s="5">
        <f ca="1">IFERROR(__xludf.DUMMYFUNCTION("""COMPUTED_VALUE"""),72356)</f>
        <v>72356</v>
      </c>
      <c r="B1743" s="5"/>
      <c r="C1743" s="5" t="str">
        <f ca="1">IFERROR(__xludf.DUMMYFUNCTION("""COMPUTED_VALUE"""),"Bihor")</f>
        <v>Bihor</v>
      </c>
      <c r="D1743" s="13">
        <f ca="1">IFERROR(__xludf.DUMMYFUNCTION("""COMPUTED_VALUE"""),44062)</f>
        <v>44062</v>
      </c>
      <c r="E1743" s="5" t="str">
        <f ca="1">IFERROR(__xludf.DUMMYFUNCTION("""COMPUTED_VALUE"""),"Nu")</f>
        <v>Nu</v>
      </c>
      <c r="F1743" s="5"/>
      <c r="G1743" s="5"/>
      <c r="H1743" s="6"/>
      <c r="I1743" s="5"/>
      <c r="J1743" s="5"/>
      <c r="K1743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43" s="5"/>
      <c r="M1743" s="5" t="str">
        <f ca="1">IFERROR(__xludf.DUMMYFUNCTION("""COMPUTED_VALUE"""),"Oradea")</f>
        <v>Oradea</v>
      </c>
      <c r="N1743" s="5"/>
      <c r="O1743" s="5"/>
      <c r="P1743" s="5" t="str">
        <f ca="1">IFERROR(__xludf.DUMMYFUNCTION("""COMPUTED_VALUE"""),"UPU-SMURD, cadru medical.")</f>
        <v>UPU-SMURD, cadru medical.</v>
      </c>
      <c r="Q1743" s="5" t="str">
        <f ca="1">IFERROR(__xludf.DUMMYFUNCTION("""COMPUTED_VALUE"""),"Medical")</f>
        <v>Medical</v>
      </c>
      <c r="R1743" s="5" t="str">
        <f ca="1">IFERROR(__xludf.DUMMYFUNCTION("""COMPUTED_VALUE"""),"România")</f>
        <v>România</v>
      </c>
      <c r="S1743" s="5" t="str">
        <f ca="1">IFERROR(__xludf.DUMMYFUNCTION("""COMPUTED_VALUE"""),"Octavian")</f>
        <v>Octavian</v>
      </c>
      <c r="T1743" s="7" t="str">
        <f ca="1">IFERROR(__xludf.DUMMYFUNCTION("""COMPUTED_VALUE"""),"http://www.ms.ro/2020/08/19/buletin-informativ-19-08-2020")</f>
        <v>http://www.ms.ro/2020/08/19/buletin-informativ-19-08-2020</v>
      </c>
      <c r="U1743" s="5"/>
      <c r="V1743" s="5"/>
      <c r="W1743" s="5"/>
      <c r="X1743" s="5"/>
      <c r="Y1743" s="5"/>
      <c r="Z1743" s="5"/>
      <c r="AA1743" s="5"/>
      <c r="AB1743" s="5"/>
      <c r="AC1743" s="5"/>
    </row>
    <row r="1744" spans="1:29" ht="12.5">
      <c r="A1744" s="5">
        <f ca="1">IFERROR(__xludf.DUMMYFUNCTION("""COMPUTED_VALUE"""),72357)</f>
        <v>72357</v>
      </c>
      <c r="B1744" s="5"/>
      <c r="C1744" s="5" t="str">
        <f ca="1">IFERROR(__xludf.DUMMYFUNCTION("""COMPUTED_VALUE"""),"Bihor")</f>
        <v>Bihor</v>
      </c>
      <c r="D1744" s="13">
        <f ca="1">IFERROR(__xludf.DUMMYFUNCTION("""COMPUTED_VALUE"""),44062)</f>
        <v>44062</v>
      </c>
      <c r="E1744" s="5" t="str">
        <f ca="1">IFERROR(__xludf.DUMMYFUNCTION("""COMPUTED_VALUE"""),"Nu")</f>
        <v>Nu</v>
      </c>
      <c r="F1744" s="5"/>
      <c r="G1744" s="5"/>
      <c r="H1744" s="6"/>
      <c r="I1744" s="5"/>
      <c r="J1744" s="5"/>
      <c r="K1744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44" s="5"/>
      <c r="M1744" s="5" t="str">
        <f ca="1">IFERROR(__xludf.DUMMYFUNCTION("""COMPUTED_VALUE"""),"Oradea")</f>
        <v>Oradea</v>
      </c>
      <c r="N1744" s="5"/>
      <c r="O1744" s="5"/>
      <c r="P1744" s="5" t="str">
        <f ca="1">IFERROR(__xludf.DUMMYFUNCTION("""COMPUTED_VALUE"""),"UPU-SMURD, cadru medical.")</f>
        <v>UPU-SMURD, cadru medical.</v>
      </c>
      <c r="Q1744" s="5" t="str">
        <f ca="1">IFERROR(__xludf.DUMMYFUNCTION("""COMPUTED_VALUE"""),"Medical")</f>
        <v>Medical</v>
      </c>
      <c r="R1744" s="5" t="str">
        <f ca="1">IFERROR(__xludf.DUMMYFUNCTION("""COMPUTED_VALUE"""),"România")</f>
        <v>România</v>
      </c>
      <c r="S1744" s="5" t="str">
        <f ca="1">IFERROR(__xludf.DUMMYFUNCTION("""COMPUTED_VALUE"""),"Octavian")</f>
        <v>Octavian</v>
      </c>
      <c r="T1744" s="7" t="str">
        <f ca="1">IFERROR(__xludf.DUMMYFUNCTION("""COMPUTED_VALUE"""),"http://www.ms.ro/2020/08/19/buletin-informativ-19-08-2020")</f>
        <v>http://www.ms.ro/2020/08/19/buletin-informativ-19-08-2020</v>
      </c>
      <c r="U1744" s="5"/>
      <c r="V1744" s="5"/>
      <c r="W1744" s="5"/>
      <c r="X1744" s="5"/>
      <c r="Y1744" s="5"/>
      <c r="Z1744" s="5"/>
      <c r="AA1744" s="5"/>
      <c r="AB1744" s="5"/>
      <c r="AC1744" s="5"/>
    </row>
    <row r="1745" spans="1:29" ht="12.5">
      <c r="A1745" s="5">
        <f ca="1">IFERROR(__xludf.DUMMYFUNCTION("""COMPUTED_VALUE"""),72358)</f>
        <v>72358</v>
      </c>
      <c r="B1745" s="5"/>
      <c r="C1745" s="5" t="str">
        <f ca="1">IFERROR(__xludf.DUMMYFUNCTION("""COMPUTED_VALUE"""),"Bihor")</f>
        <v>Bihor</v>
      </c>
      <c r="D1745" s="13">
        <f ca="1">IFERROR(__xludf.DUMMYFUNCTION("""COMPUTED_VALUE"""),44062)</f>
        <v>44062</v>
      </c>
      <c r="E1745" s="5" t="str">
        <f ca="1">IFERROR(__xludf.DUMMYFUNCTION("""COMPUTED_VALUE"""),"Nu")</f>
        <v>Nu</v>
      </c>
      <c r="F1745" s="5"/>
      <c r="G1745" s="5"/>
      <c r="H1745" s="6"/>
      <c r="I1745" s="5"/>
      <c r="J1745" s="5"/>
      <c r="K1745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45" s="5"/>
      <c r="M1745" s="5" t="str">
        <f ca="1">IFERROR(__xludf.DUMMYFUNCTION("""COMPUTED_VALUE"""),"Oradea")</f>
        <v>Oradea</v>
      </c>
      <c r="N1745" s="5"/>
      <c r="O1745" s="5"/>
      <c r="P1745" s="5" t="str">
        <f ca="1">IFERROR(__xludf.DUMMYFUNCTION("""COMPUTED_VALUE"""),"UPU-SMURD, cadru medical.")</f>
        <v>UPU-SMURD, cadru medical.</v>
      </c>
      <c r="Q1745" s="5" t="str">
        <f ca="1">IFERROR(__xludf.DUMMYFUNCTION("""COMPUTED_VALUE"""),"Medical")</f>
        <v>Medical</v>
      </c>
      <c r="R1745" s="5" t="str">
        <f ca="1">IFERROR(__xludf.DUMMYFUNCTION("""COMPUTED_VALUE"""),"România")</f>
        <v>România</v>
      </c>
      <c r="S1745" s="5" t="str">
        <f ca="1">IFERROR(__xludf.DUMMYFUNCTION("""COMPUTED_VALUE"""),"Octavian")</f>
        <v>Octavian</v>
      </c>
      <c r="T1745" s="7" t="str">
        <f ca="1">IFERROR(__xludf.DUMMYFUNCTION("""COMPUTED_VALUE"""),"http://www.ms.ro/2020/08/19/buletin-informativ-19-08-2020")</f>
        <v>http://www.ms.ro/2020/08/19/buletin-informativ-19-08-2020</v>
      </c>
      <c r="U1745" s="5"/>
      <c r="V1745" s="5"/>
      <c r="W1745" s="5"/>
      <c r="X1745" s="5"/>
      <c r="Y1745" s="5"/>
      <c r="Z1745" s="5"/>
      <c r="AA1745" s="5"/>
      <c r="AB1745" s="5"/>
      <c r="AC1745" s="5"/>
    </row>
    <row r="1746" spans="1:29" ht="12.5">
      <c r="A1746" s="5">
        <f ca="1">IFERROR(__xludf.DUMMYFUNCTION("""COMPUTED_VALUE"""),72359)</f>
        <v>72359</v>
      </c>
      <c r="B1746" s="5"/>
      <c r="C1746" s="5" t="str">
        <f ca="1">IFERROR(__xludf.DUMMYFUNCTION("""COMPUTED_VALUE"""),"Bihor")</f>
        <v>Bihor</v>
      </c>
      <c r="D1746" s="13">
        <f ca="1">IFERROR(__xludf.DUMMYFUNCTION("""COMPUTED_VALUE"""),44062)</f>
        <v>44062</v>
      </c>
      <c r="E1746" s="5" t="str">
        <f ca="1">IFERROR(__xludf.DUMMYFUNCTION("""COMPUTED_VALUE"""),"Nu")</f>
        <v>Nu</v>
      </c>
      <c r="F1746" s="5"/>
      <c r="G1746" s="5"/>
      <c r="H1746" s="6"/>
      <c r="I1746" s="5" t="str">
        <f ca="1">IFERROR(__xludf.DUMMYFUNCTION("""COMPUTED_VALUE"""),"Feminin")</f>
        <v>Feminin</v>
      </c>
      <c r="J1746" s="5"/>
      <c r="K1746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46" s="5"/>
      <c r="M1746" s="5" t="str">
        <f ca="1">IFERROR(__xludf.DUMMYFUNCTION("""COMPUTED_VALUE"""),"Oradea")</f>
        <v>Oradea</v>
      </c>
      <c r="N1746" s="5"/>
      <c r="O1746" s="5"/>
      <c r="P1746" s="5" t="str">
        <f ca="1">IFERROR(__xludf.DUMMYFUNCTION("""COMPUTED_VALUE"""),"Spital Militar Avram Iancu, infirmieră.")</f>
        <v>Spital Militar Avram Iancu, infirmieră.</v>
      </c>
      <c r="Q1746" s="5" t="str">
        <f ca="1">IFERROR(__xludf.DUMMYFUNCTION("""COMPUTED_VALUE"""),"Medical")</f>
        <v>Medical</v>
      </c>
      <c r="R1746" s="5" t="str">
        <f ca="1">IFERROR(__xludf.DUMMYFUNCTION("""COMPUTED_VALUE"""),"România")</f>
        <v>România</v>
      </c>
      <c r="S1746" s="5" t="str">
        <f ca="1">IFERROR(__xludf.DUMMYFUNCTION("""COMPUTED_VALUE"""),"Octavian")</f>
        <v>Octavian</v>
      </c>
      <c r="T1746" s="7" t="str">
        <f ca="1">IFERROR(__xludf.DUMMYFUNCTION("""COMPUTED_VALUE"""),"http://www.ms.ro/2020/08/19/buletin-informativ-19-08-2020")</f>
        <v>http://www.ms.ro/2020/08/19/buletin-informativ-19-08-2020</v>
      </c>
      <c r="U1746" s="5"/>
      <c r="V1746" s="5"/>
      <c r="W1746" s="5"/>
      <c r="X1746" s="5"/>
      <c r="Y1746" s="5"/>
      <c r="Z1746" s="5"/>
      <c r="AA1746" s="5"/>
      <c r="AB1746" s="5"/>
      <c r="AC1746" s="5"/>
    </row>
    <row r="1747" spans="1:29" ht="12.5">
      <c r="A1747" s="5">
        <f ca="1">IFERROR(__xludf.DUMMYFUNCTION("""COMPUTED_VALUE"""),72360)</f>
        <v>72360</v>
      </c>
      <c r="B1747" s="5"/>
      <c r="C1747" s="5" t="str">
        <f ca="1">IFERROR(__xludf.DUMMYFUNCTION("""COMPUTED_VALUE"""),"Bihor")</f>
        <v>Bihor</v>
      </c>
      <c r="D1747" s="13">
        <f ca="1">IFERROR(__xludf.DUMMYFUNCTION("""COMPUTED_VALUE"""),44062)</f>
        <v>44062</v>
      </c>
      <c r="E1747" s="5" t="str">
        <f ca="1">IFERROR(__xludf.DUMMYFUNCTION("""COMPUTED_VALUE"""),"Nu")</f>
        <v>Nu</v>
      </c>
      <c r="F1747" s="5"/>
      <c r="G1747" s="5"/>
      <c r="H1747" s="6"/>
      <c r="I1747" s="5" t="str">
        <f ca="1">IFERROR(__xludf.DUMMYFUNCTION("""COMPUTED_VALUE"""),"Feminin")</f>
        <v>Feminin</v>
      </c>
      <c r="J1747" s="5"/>
      <c r="K1747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47" s="5"/>
      <c r="M1747" s="5" t="str">
        <f ca="1">IFERROR(__xludf.DUMMYFUNCTION("""COMPUTED_VALUE"""),"Oradea")</f>
        <v>Oradea</v>
      </c>
      <c r="N1747" s="5"/>
      <c r="O1747" s="5"/>
      <c r="P1747" s="5" t="str">
        <f ca="1">IFERROR(__xludf.DUMMYFUNCTION("""COMPUTED_VALUE"""),"SM Oradea, asistentă revenită din concediu.")</f>
        <v>SM Oradea, asistentă revenită din concediu.</v>
      </c>
      <c r="Q1747" s="5" t="str">
        <f ca="1">IFERROR(__xludf.DUMMYFUNCTION("""COMPUTED_VALUE"""),"Medical")</f>
        <v>Medical</v>
      </c>
      <c r="R1747" s="5" t="str">
        <f ca="1">IFERROR(__xludf.DUMMYFUNCTION("""COMPUTED_VALUE"""),"România")</f>
        <v>România</v>
      </c>
      <c r="S1747" s="5" t="str">
        <f ca="1">IFERROR(__xludf.DUMMYFUNCTION("""COMPUTED_VALUE"""),"Octavian")</f>
        <v>Octavian</v>
      </c>
      <c r="T1747" s="7" t="str">
        <f ca="1">IFERROR(__xludf.DUMMYFUNCTION("""COMPUTED_VALUE"""),"http://www.ms.ro/2020/08/19/buletin-informativ-19-08-2020")</f>
        <v>http://www.ms.ro/2020/08/19/buletin-informativ-19-08-2020</v>
      </c>
      <c r="U1747" s="5"/>
      <c r="V1747" s="5"/>
      <c r="W1747" s="5"/>
      <c r="X1747" s="5"/>
      <c r="Y1747" s="5"/>
      <c r="Z1747" s="5"/>
      <c r="AA1747" s="5"/>
      <c r="AB1747" s="5"/>
      <c r="AC1747" s="5"/>
    </row>
    <row r="1748" spans="1:29" ht="12.5">
      <c r="A1748" s="5">
        <f ca="1">IFERROR(__xludf.DUMMYFUNCTION("""COMPUTED_VALUE"""),72361)</f>
        <v>72361</v>
      </c>
      <c r="B1748" s="5"/>
      <c r="C1748" s="5" t="str">
        <f ca="1">IFERROR(__xludf.DUMMYFUNCTION("""COMPUTED_VALUE"""),"Bihor")</f>
        <v>Bihor</v>
      </c>
      <c r="D1748" s="13">
        <f ca="1">IFERROR(__xludf.DUMMYFUNCTION("""COMPUTED_VALUE"""),44062)</f>
        <v>44062</v>
      </c>
      <c r="E1748" s="5" t="str">
        <f ca="1">IFERROR(__xludf.DUMMYFUNCTION("""COMPUTED_VALUE"""),"Nu")</f>
        <v>Nu</v>
      </c>
      <c r="F1748" s="5"/>
      <c r="G1748" s="5"/>
      <c r="H1748" s="6"/>
      <c r="I1748" s="5" t="str">
        <f ca="1">IFERROR(__xludf.DUMMYFUNCTION("""COMPUTED_VALUE"""),"Feminin")</f>
        <v>Feminin</v>
      </c>
      <c r="J1748" s="5"/>
      <c r="K1748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48" s="5"/>
      <c r="M1748" s="5" t="str">
        <f ca="1">IFERROR(__xludf.DUMMYFUNCTION("""COMPUTED_VALUE"""),"Oradea")</f>
        <v>Oradea</v>
      </c>
      <c r="N1748" s="5"/>
      <c r="O1748" s="5"/>
      <c r="P1748" s="5" t="str">
        <f ca="1">IFERROR(__xludf.DUMMYFUNCTION("""COMPUTED_VALUE"""),"SM Oradea, asistentă.")</f>
        <v>SM Oradea, asistentă.</v>
      </c>
      <c r="Q1748" s="5" t="str">
        <f ca="1">IFERROR(__xludf.DUMMYFUNCTION("""COMPUTED_VALUE"""),"Medical")</f>
        <v>Medical</v>
      </c>
      <c r="R1748" s="5" t="str">
        <f ca="1">IFERROR(__xludf.DUMMYFUNCTION("""COMPUTED_VALUE"""),"România")</f>
        <v>România</v>
      </c>
      <c r="S1748" s="5" t="str">
        <f ca="1">IFERROR(__xludf.DUMMYFUNCTION("""COMPUTED_VALUE"""),"Octavian")</f>
        <v>Octavian</v>
      </c>
      <c r="T1748" s="7" t="str">
        <f ca="1">IFERROR(__xludf.DUMMYFUNCTION("""COMPUTED_VALUE"""),"http://www.ms.ro/2020/08/19/buletin-informativ-19-08-2020")</f>
        <v>http://www.ms.ro/2020/08/19/buletin-informativ-19-08-2020</v>
      </c>
      <c r="U1748" s="5"/>
      <c r="V1748" s="5"/>
      <c r="W1748" s="5"/>
      <c r="X1748" s="5"/>
      <c r="Y1748" s="5"/>
      <c r="Z1748" s="5"/>
      <c r="AA1748" s="5"/>
      <c r="AB1748" s="5"/>
      <c r="AC1748" s="5"/>
    </row>
    <row r="1749" spans="1:29" ht="12.5">
      <c r="A1749" s="5">
        <f ca="1">IFERROR(__xludf.DUMMYFUNCTION("""COMPUTED_VALUE"""),72362)</f>
        <v>72362</v>
      </c>
      <c r="B1749" s="5"/>
      <c r="C1749" s="5" t="str">
        <f ca="1">IFERROR(__xludf.DUMMYFUNCTION("""COMPUTED_VALUE"""),"Bihor")</f>
        <v>Bihor</v>
      </c>
      <c r="D1749" s="13">
        <f ca="1">IFERROR(__xludf.DUMMYFUNCTION("""COMPUTED_VALUE"""),44062)</f>
        <v>44062</v>
      </c>
      <c r="E1749" s="5" t="str">
        <f ca="1">IFERROR(__xludf.DUMMYFUNCTION("""COMPUTED_VALUE"""),"Nu")</f>
        <v>Nu</v>
      </c>
      <c r="F1749" s="5"/>
      <c r="G1749" s="5"/>
      <c r="H1749" s="6"/>
      <c r="I1749" s="5"/>
      <c r="J1749" s="5"/>
      <c r="K1749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49" s="5"/>
      <c r="M1749" s="5" t="str">
        <f ca="1">IFERROR(__xludf.DUMMYFUNCTION("""COMPUTED_VALUE"""),"Oradea")</f>
        <v>Oradea</v>
      </c>
      <c r="N1749" s="5"/>
      <c r="O1749" s="5"/>
      <c r="P1749" s="5" t="str">
        <f ca="1">IFERROR(__xludf.DUMMYFUNCTION("""COMPUTED_VALUE"""),"SJU Oradea, pacient.")</f>
        <v>SJU Oradea, pacient.</v>
      </c>
      <c r="Q1749" s="5" t="str">
        <f ca="1">IFERROR(__xludf.DUMMYFUNCTION("""COMPUTED_VALUE"""),"Medical")</f>
        <v>Medical</v>
      </c>
      <c r="R1749" s="5" t="str">
        <f ca="1">IFERROR(__xludf.DUMMYFUNCTION("""COMPUTED_VALUE"""),"România")</f>
        <v>România</v>
      </c>
      <c r="S1749" s="5" t="str">
        <f ca="1">IFERROR(__xludf.DUMMYFUNCTION("""COMPUTED_VALUE"""),"Octavian")</f>
        <v>Octavian</v>
      </c>
      <c r="T1749" s="7" t="str">
        <f ca="1">IFERROR(__xludf.DUMMYFUNCTION("""COMPUTED_VALUE"""),"http://www.ms.ro/2020/08/19/buletin-informativ-19-08-2020")</f>
        <v>http://www.ms.ro/2020/08/19/buletin-informativ-19-08-2020</v>
      </c>
      <c r="U1749" s="5"/>
      <c r="V1749" s="5"/>
      <c r="W1749" s="5"/>
      <c r="X1749" s="5"/>
      <c r="Y1749" s="5"/>
      <c r="Z1749" s="5"/>
      <c r="AA1749" s="5"/>
      <c r="AB1749" s="5"/>
      <c r="AC1749" s="5"/>
    </row>
    <row r="1750" spans="1:29" ht="12.5">
      <c r="A1750" s="5">
        <f ca="1">IFERROR(__xludf.DUMMYFUNCTION("""COMPUTED_VALUE"""),72363)</f>
        <v>72363</v>
      </c>
      <c r="B1750" s="5"/>
      <c r="C1750" s="5" t="str">
        <f ca="1">IFERROR(__xludf.DUMMYFUNCTION("""COMPUTED_VALUE"""),"Bihor")</f>
        <v>Bihor</v>
      </c>
      <c r="D1750" s="13">
        <f ca="1">IFERROR(__xludf.DUMMYFUNCTION("""COMPUTED_VALUE"""),44062)</f>
        <v>44062</v>
      </c>
      <c r="E1750" s="5" t="str">
        <f ca="1">IFERROR(__xludf.DUMMYFUNCTION("""COMPUTED_VALUE"""),"Nu")</f>
        <v>Nu</v>
      </c>
      <c r="F1750" s="5"/>
      <c r="G1750" s="5"/>
      <c r="H1750" s="6"/>
      <c r="I1750" s="5"/>
      <c r="J1750" s="5"/>
      <c r="K1750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50" s="5"/>
      <c r="M1750" s="5" t="str">
        <f ca="1">IFERROR(__xludf.DUMMYFUNCTION("""COMPUTED_VALUE"""),"Salonta")</f>
        <v>Salonta</v>
      </c>
      <c r="N1750" s="5"/>
      <c r="O1750" s="5"/>
      <c r="P1750" s="5" t="str">
        <f ca="1">IFERROR(__xludf.DUMMYFUNCTION("""COMPUTED_VALUE"""),"Spital Salonta, pacient.")</f>
        <v>Spital Salonta, pacient.</v>
      </c>
      <c r="Q1750" s="5" t="str">
        <f ca="1">IFERROR(__xludf.DUMMYFUNCTION("""COMPUTED_VALUE"""),"Medical")</f>
        <v>Medical</v>
      </c>
      <c r="R1750" s="5" t="str">
        <f ca="1">IFERROR(__xludf.DUMMYFUNCTION("""COMPUTED_VALUE"""),"România")</f>
        <v>România</v>
      </c>
      <c r="S1750" s="5" t="str">
        <f ca="1">IFERROR(__xludf.DUMMYFUNCTION("""COMPUTED_VALUE"""),"Octavian")</f>
        <v>Octavian</v>
      </c>
      <c r="T1750" s="7" t="str">
        <f ca="1">IFERROR(__xludf.DUMMYFUNCTION("""COMPUTED_VALUE"""),"http://www.ms.ro/2020/08/19/buletin-informativ-19-08-2020")</f>
        <v>http://www.ms.ro/2020/08/19/buletin-informativ-19-08-2020</v>
      </c>
      <c r="U1750" s="5"/>
      <c r="V1750" s="5"/>
      <c r="W1750" s="5"/>
      <c r="X1750" s="5"/>
      <c r="Y1750" s="5"/>
      <c r="Z1750" s="5"/>
      <c r="AA1750" s="5"/>
      <c r="AB1750" s="5"/>
      <c r="AC1750" s="5"/>
    </row>
    <row r="1751" spans="1:29" ht="12.5">
      <c r="A1751" s="5">
        <f ca="1">IFERROR(__xludf.DUMMYFUNCTION("""COMPUTED_VALUE"""),72364)</f>
        <v>72364</v>
      </c>
      <c r="B1751" s="5"/>
      <c r="C1751" s="5" t="str">
        <f ca="1">IFERROR(__xludf.DUMMYFUNCTION("""COMPUTED_VALUE"""),"Bihor")</f>
        <v>Bihor</v>
      </c>
      <c r="D1751" s="13">
        <f ca="1">IFERROR(__xludf.DUMMYFUNCTION("""COMPUTED_VALUE"""),44062)</f>
        <v>44062</v>
      </c>
      <c r="E1751" s="5" t="str">
        <f ca="1">IFERROR(__xludf.DUMMYFUNCTION("""COMPUTED_VALUE"""),"Nu")</f>
        <v>Nu</v>
      </c>
      <c r="F1751" s="5"/>
      <c r="G1751" s="5"/>
      <c r="H1751" s="6"/>
      <c r="I1751" s="5"/>
      <c r="J1751" s="5"/>
      <c r="K1751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51" s="5"/>
      <c r="M1751" s="5" t="str">
        <f ca="1">IFERROR(__xludf.DUMMYFUNCTION("""COMPUTED_VALUE"""),"Abram")</f>
        <v>Abram</v>
      </c>
      <c r="N1751" s="5"/>
      <c r="O1751" s="5"/>
      <c r="P1751" s="5"/>
      <c r="Q1751" s="5"/>
      <c r="R1751" s="5" t="str">
        <f ca="1">IFERROR(__xludf.DUMMYFUNCTION("""COMPUTED_VALUE"""),"România")</f>
        <v>România</v>
      </c>
      <c r="S1751" s="5" t="str">
        <f ca="1">IFERROR(__xludf.DUMMYFUNCTION("""COMPUTED_VALUE"""),"Octavian")</f>
        <v>Octavian</v>
      </c>
      <c r="T1751" s="7" t="str">
        <f ca="1">IFERROR(__xludf.DUMMYFUNCTION("""COMPUTED_VALUE"""),"http://www.ms.ro/2020/08/19/buletin-informativ-19-08-2020")</f>
        <v>http://www.ms.ro/2020/08/19/buletin-informativ-19-08-2020</v>
      </c>
      <c r="U1751" s="5"/>
      <c r="V1751" s="5"/>
      <c r="W1751" s="5"/>
      <c r="X1751" s="5"/>
      <c r="Y1751" s="5"/>
      <c r="Z1751" s="5"/>
      <c r="AA1751" s="5"/>
      <c r="AB1751" s="5"/>
      <c r="AC1751" s="5"/>
    </row>
    <row r="1752" spans="1:29" ht="12.5">
      <c r="A1752" s="5">
        <f ca="1">IFERROR(__xludf.DUMMYFUNCTION("""COMPUTED_VALUE"""),72365)</f>
        <v>72365</v>
      </c>
      <c r="B1752" s="5"/>
      <c r="C1752" s="5" t="str">
        <f ca="1">IFERROR(__xludf.DUMMYFUNCTION("""COMPUTED_VALUE"""),"Bihor")</f>
        <v>Bihor</v>
      </c>
      <c r="D1752" s="13">
        <f ca="1">IFERROR(__xludf.DUMMYFUNCTION("""COMPUTED_VALUE"""),44062)</f>
        <v>44062</v>
      </c>
      <c r="E1752" s="5" t="str">
        <f ca="1">IFERROR(__xludf.DUMMYFUNCTION("""COMPUTED_VALUE"""),"Nu")</f>
        <v>Nu</v>
      </c>
      <c r="F1752" s="5"/>
      <c r="G1752" s="5"/>
      <c r="H1752" s="6"/>
      <c r="I1752" s="5"/>
      <c r="J1752" s="5"/>
      <c r="K1752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52" s="5"/>
      <c r="M1752" s="5" t="str">
        <f ca="1">IFERROR(__xludf.DUMMYFUNCTION("""COMPUTED_VALUE"""),"Curtuișeni")</f>
        <v>Curtuișeni</v>
      </c>
      <c r="N1752" s="5"/>
      <c r="O1752" s="5"/>
      <c r="P1752" s="5"/>
      <c r="Q1752" s="5"/>
      <c r="R1752" s="5" t="str">
        <f ca="1">IFERROR(__xludf.DUMMYFUNCTION("""COMPUTED_VALUE"""),"România")</f>
        <v>România</v>
      </c>
      <c r="S1752" s="5" t="str">
        <f ca="1">IFERROR(__xludf.DUMMYFUNCTION("""COMPUTED_VALUE"""),"Octavian")</f>
        <v>Octavian</v>
      </c>
      <c r="T1752" s="7" t="str">
        <f ca="1">IFERROR(__xludf.DUMMYFUNCTION("""COMPUTED_VALUE"""),"http://www.ms.ro/2020/08/19/buletin-informativ-19-08-2020")</f>
        <v>http://www.ms.ro/2020/08/19/buletin-informativ-19-08-2020</v>
      </c>
      <c r="U1752" s="5"/>
      <c r="V1752" s="5"/>
      <c r="W1752" s="5"/>
      <c r="X1752" s="5"/>
      <c r="Y1752" s="5"/>
      <c r="Z1752" s="5"/>
      <c r="AA1752" s="5"/>
      <c r="AB1752" s="5"/>
      <c r="AC1752" s="5"/>
    </row>
    <row r="1753" spans="1:29" ht="12.5">
      <c r="A1753" s="5">
        <f ca="1">IFERROR(__xludf.DUMMYFUNCTION("""COMPUTED_VALUE"""),72366)</f>
        <v>72366</v>
      </c>
      <c r="B1753" s="5"/>
      <c r="C1753" s="5" t="str">
        <f ca="1">IFERROR(__xludf.DUMMYFUNCTION("""COMPUTED_VALUE"""),"Bihor")</f>
        <v>Bihor</v>
      </c>
      <c r="D1753" s="13">
        <f ca="1">IFERROR(__xludf.DUMMYFUNCTION("""COMPUTED_VALUE"""),44062)</f>
        <v>44062</v>
      </c>
      <c r="E1753" s="5" t="str">
        <f ca="1">IFERROR(__xludf.DUMMYFUNCTION("""COMPUTED_VALUE"""),"Nu")</f>
        <v>Nu</v>
      </c>
      <c r="F1753" s="5"/>
      <c r="G1753" s="5"/>
      <c r="H1753" s="6"/>
      <c r="I1753" s="5"/>
      <c r="J1753" s="5"/>
      <c r="K1753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53" s="5"/>
      <c r="M1753" s="5" t="str">
        <f ca="1">IFERROR(__xludf.DUMMYFUNCTION("""COMPUTED_VALUE"""),"Chișlaz")</f>
        <v>Chișlaz</v>
      </c>
      <c r="N1753" s="5"/>
      <c r="O1753" s="5"/>
      <c r="P1753" s="5"/>
      <c r="Q1753" s="5"/>
      <c r="R1753" s="5" t="str">
        <f ca="1">IFERROR(__xludf.DUMMYFUNCTION("""COMPUTED_VALUE"""),"România")</f>
        <v>România</v>
      </c>
      <c r="S1753" s="5" t="str">
        <f ca="1">IFERROR(__xludf.DUMMYFUNCTION("""COMPUTED_VALUE"""),"Octavian")</f>
        <v>Octavian</v>
      </c>
      <c r="T1753" s="7" t="str">
        <f ca="1">IFERROR(__xludf.DUMMYFUNCTION("""COMPUTED_VALUE"""),"http://www.ms.ro/2020/08/19/buletin-informativ-19-08-2020")</f>
        <v>http://www.ms.ro/2020/08/19/buletin-informativ-19-08-2020</v>
      </c>
      <c r="U1753" s="5"/>
      <c r="V1753" s="5"/>
      <c r="W1753" s="5"/>
      <c r="X1753" s="5"/>
      <c r="Y1753" s="5"/>
      <c r="Z1753" s="5"/>
      <c r="AA1753" s="5"/>
      <c r="AB1753" s="5"/>
      <c r="AC1753" s="5"/>
    </row>
    <row r="1754" spans="1:29" ht="12.5">
      <c r="A1754" s="5">
        <f ca="1">IFERROR(__xludf.DUMMYFUNCTION("""COMPUTED_VALUE"""),72367)</f>
        <v>72367</v>
      </c>
      <c r="B1754" s="5"/>
      <c r="C1754" s="5" t="str">
        <f ca="1">IFERROR(__xludf.DUMMYFUNCTION("""COMPUTED_VALUE"""),"Bihor")</f>
        <v>Bihor</v>
      </c>
      <c r="D1754" s="13">
        <f ca="1">IFERROR(__xludf.DUMMYFUNCTION("""COMPUTED_VALUE"""),44062)</f>
        <v>44062</v>
      </c>
      <c r="E1754" s="5" t="str">
        <f ca="1">IFERROR(__xludf.DUMMYFUNCTION("""COMPUTED_VALUE"""),"Nu")</f>
        <v>Nu</v>
      </c>
      <c r="F1754" s="5"/>
      <c r="G1754" s="5"/>
      <c r="H1754" s="6"/>
      <c r="I1754" s="5"/>
      <c r="J1754" s="5"/>
      <c r="K1754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54" s="5"/>
      <c r="M1754" s="5" t="str">
        <f ca="1">IFERROR(__xludf.DUMMYFUNCTION("""COMPUTED_VALUE"""),"Sânmartin")</f>
        <v>Sânmartin</v>
      </c>
      <c r="N1754" s="5"/>
      <c r="O1754" s="5"/>
      <c r="P1754" s="5"/>
      <c r="Q1754" s="5"/>
      <c r="R1754" s="5" t="str">
        <f ca="1">IFERROR(__xludf.DUMMYFUNCTION("""COMPUTED_VALUE"""),"România")</f>
        <v>România</v>
      </c>
      <c r="S1754" s="5" t="str">
        <f ca="1">IFERROR(__xludf.DUMMYFUNCTION("""COMPUTED_VALUE"""),"Octavian")</f>
        <v>Octavian</v>
      </c>
      <c r="T1754" s="7" t="str">
        <f ca="1">IFERROR(__xludf.DUMMYFUNCTION("""COMPUTED_VALUE"""),"http://www.ms.ro/2020/08/19/buletin-informativ-19-08-2020")</f>
        <v>http://www.ms.ro/2020/08/19/buletin-informativ-19-08-2020</v>
      </c>
      <c r="U1754" s="5"/>
      <c r="V1754" s="5"/>
      <c r="W1754" s="5"/>
      <c r="X1754" s="5"/>
      <c r="Y1754" s="5"/>
      <c r="Z1754" s="5"/>
      <c r="AA1754" s="5"/>
      <c r="AB1754" s="5"/>
      <c r="AC1754" s="5"/>
    </row>
    <row r="1755" spans="1:29" ht="12.5">
      <c r="A1755" s="5">
        <f ca="1">IFERROR(__xludf.DUMMYFUNCTION("""COMPUTED_VALUE"""),72368)</f>
        <v>72368</v>
      </c>
      <c r="B1755" s="5"/>
      <c r="C1755" s="5" t="str">
        <f ca="1">IFERROR(__xludf.DUMMYFUNCTION("""COMPUTED_VALUE"""),"Bihor")</f>
        <v>Bihor</v>
      </c>
      <c r="D1755" s="13">
        <f ca="1">IFERROR(__xludf.DUMMYFUNCTION("""COMPUTED_VALUE"""),44062)</f>
        <v>44062</v>
      </c>
      <c r="E1755" s="5" t="str">
        <f ca="1">IFERROR(__xludf.DUMMYFUNCTION("""COMPUTED_VALUE"""),"Nu")</f>
        <v>Nu</v>
      </c>
      <c r="F1755" s="5"/>
      <c r="G1755" s="5"/>
      <c r="H1755" s="6"/>
      <c r="I1755" s="5"/>
      <c r="J1755" s="5"/>
      <c r="K1755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55" s="5"/>
      <c r="M1755" s="5" t="str">
        <f ca="1">IFERROR(__xludf.DUMMYFUNCTION("""COMPUTED_VALUE"""),"Tulca")</f>
        <v>Tulca</v>
      </c>
      <c r="N1755" s="5"/>
      <c r="O1755" s="5"/>
      <c r="P1755" s="5"/>
      <c r="Q1755" s="5"/>
      <c r="R1755" s="5" t="str">
        <f ca="1">IFERROR(__xludf.DUMMYFUNCTION("""COMPUTED_VALUE"""),"România")</f>
        <v>România</v>
      </c>
      <c r="S1755" s="5" t="str">
        <f ca="1">IFERROR(__xludf.DUMMYFUNCTION("""COMPUTED_VALUE"""),"Octavian")</f>
        <v>Octavian</v>
      </c>
      <c r="T1755" s="7" t="str">
        <f ca="1">IFERROR(__xludf.DUMMYFUNCTION("""COMPUTED_VALUE"""),"http://www.ms.ro/2020/08/19/buletin-informativ-19-08-2020")</f>
        <v>http://www.ms.ro/2020/08/19/buletin-informativ-19-08-2020</v>
      </c>
      <c r="U1755" s="5"/>
      <c r="V1755" s="5"/>
      <c r="W1755" s="5"/>
      <c r="X1755" s="5"/>
      <c r="Y1755" s="5"/>
      <c r="Z1755" s="5"/>
      <c r="AA1755" s="5"/>
      <c r="AB1755" s="5"/>
      <c r="AC1755" s="5"/>
    </row>
    <row r="1756" spans="1:29" ht="12.5">
      <c r="A1756" s="5">
        <f ca="1">IFERROR(__xludf.DUMMYFUNCTION("""COMPUTED_VALUE"""),72369)</f>
        <v>72369</v>
      </c>
      <c r="B1756" s="5"/>
      <c r="C1756" s="5" t="str">
        <f ca="1">IFERROR(__xludf.DUMMYFUNCTION("""COMPUTED_VALUE"""),"Bihor")</f>
        <v>Bihor</v>
      </c>
      <c r="D1756" s="13">
        <f ca="1">IFERROR(__xludf.DUMMYFUNCTION("""COMPUTED_VALUE"""),44062)</f>
        <v>44062</v>
      </c>
      <c r="E1756" s="5" t="str">
        <f ca="1">IFERROR(__xludf.DUMMYFUNCTION("""COMPUTED_VALUE"""),"Nu")</f>
        <v>Nu</v>
      </c>
      <c r="F1756" s="5"/>
      <c r="G1756" s="5"/>
      <c r="H1756" s="6"/>
      <c r="I1756" s="5"/>
      <c r="J1756" s="5"/>
      <c r="K1756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56" s="5"/>
      <c r="M1756" s="5" t="str">
        <f ca="1">IFERROR(__xludf.DUMMYFUNCTION("""COMPUTED_VALUE"""),"Ștei")</f>
        <v>Ștei</v>
      </c>
      <c r="N1756" s="5"/>
      <c r="O1756" s="5"/>
      <c r="P1756" s="5"/>
      <c r="Q1756" s="5"/>
      <c r="R1756" s="5" t="str">
        <f ca="1">IFERROR(__xludf.DUMMYFUNCTION("""COMPUTED_VALUE"""),"România")</f>
        <v>România</v>
      </c>
      <c r="S1756" s="5" t="str">
        <f ca="1">IFERROR(__xludf.DUMMYFUNCTION("""COMPUTED_VALUE"""),"Octavian")</f>
        <v>Octavian</v>
      </c>
      <c r="T1756" s="7" t="str">
        <f ca="1">IFERROR(__xludf.DUMMYFUNCTION("""COMPUTED_VALUE"""),"http://www.ms.ro/2020/08/19/buletin-informativ-19-08-2020")</f>
        <v>http://www.ms.ro/2020/08/19/buletin-informativ-19-08-2020</v>
      </c>
      <c r="U1756" s="5"/>
      <c r="V1756" s="5"/>
      <c r="W1756" s="5"/>
      <c r="X1756" s="5"/>
      <c r="Y1756" s="5"/>
      <c r="Z1756" s="5"/>
      <c r="AA1756" s="5"/>
      <c r="AB1756" s="5"/>
      <c r="AC1756" s="5"/>
    </row>
    <row r="1757" spans="1:29" ht="12.5">
      <c r="A1757" s="5">
        <f ca="1">IFERROR(__xludf.DUMMYFUNCTION("""COMPUTED_VALUE"""),72370)</f>
        <v>72370</v>
      </c>
      <c r="B1757" s="5"/>
      <c r="C1757" s="5" t="str">
        <f ca="1">IFERROR(__xludf.DUMMYFUNCTION("""COMPUTED_VALUE"""),"Bihor")</f>
        <v>Bihor</v>
      </c>
      <c r="D1757" s="13">
        <f ca="1">IFERROR(__xludf.DUMMYFUNCTION("""COMPUTED_VALUE"""),44062)</f>
        <v>44062</v>
      </c>
      <c r="E1757" s="5" t="str">
        <f ca="1">IFERROR(__xludf.DUMMYFUNCTION("""COMPUTED_VALUE"""),"Nu")</f>
        <v>Nu</v>
      </c>
      <c r="F1757" s="5"/>
      <c r="G1757" s="5"/>
      <c r="H1757" s="6"/>
      <c r="I1757" s="5"/>
      <c r="J1757" s="5"/>
      <c r="K1757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57" s="5"/>
      <c r="M1757" s="5" t="str">
        <f ca="1">IFERROR(__xludf.DUMMYFUNCTION("""COMPUTED_VALUE"""),"Nojorid")</f>
        <v>Nojorid</v>
      </c>
      <c r="N1757" s="5"/>
      <c r="O1757" s="5"/>
      <c r="P1757" s="5"/>
      <c r="Q1757" s="5"/>
      <c r="R1757" s="5" t="str">
        <f ca="1">IFERROR(__xludf.DUMMYFUNCTION("""COMPUTED_VALUE"""),"România")</f>
        <v>România</v>
      </c>
      <c r="S1757" s="5" t="str">
        <f ca="1">IFERROR(__xludf.DUMMYFUNCTION("""COMPUTED_VALUE"""),"Octavian")</f>
        <v>Octavian</v>
      </c>
      <c r="T1757" s="7" t="str">
        <f ca="1">IFERROR(__xludf.DUMMYFUNCTION("""COMPUTED_VALUE"""),"http://www.ms.ro/2020/08/19/buletin-informativ-19-08-2020")</f>
        <v>http://www.ms.ro/2020/08/19/buletin-informativ-19-08-2020</v>
      </c>
      <c r="U1757" s="5"/>
      <c r="V1757" s="5"/>
      <c r="W1757" s="5"/>
      <c r="X1757" s="5"/>
      <c r="Y1757" s="5"/>
      <c r="Z1757" s="5"/>
      <c r="AA1757" s="5"/>
      <c r="AB1757" s="5"/>
      <c r="AC1757" s="5"/>
    </row>
    <row r="1758" spans="1:29" ht="12.5">
      <c r="A1758" s="5">
        <f ca="1">IFERROR(__xludf.DUMMYFUNCTION("""COMPUTED_VALUE"""),72371)</f>
        <v>72371</v>
      </c>
      <c r="B1758" s="5"/>
      <c r="C1758" s="5" t="str">
        <f ca="1">IFERROR(__xludf.DUMMYFUNCTION("""COMPUTED_VALUE"""),"Bihor")</f>
        <v>Bihor</v>
      </c>
      <c r="D1758" s="13">
        <f ca="1">IFERROR(__xludf.DUMMYFUNCTION("""COMPUTED_VALUE"""),44062)</f>
        <v>44062</v>
      </c>
      <c r="E1758" s="5" t="str">
        <f ca="1">IFERROR(__xludf.DUMMYFUNCTION("""COMPUTED_VALUE"""),"Nu")</f>
        <v>Nu</v>
      </c>
      <c r="F1758" s="5"/>
      <c r="G1758" s="5"/>
      <c r="H1758" s="6"/>
      <c r="I1758" s="5"/>
      <c r="J1758" s="5"/>
      <c r="K1758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58" s="5"/>
      <c r="M1758" s="5" t="str">
        <f ca="1">IFERROR(__xludf.DUMMYFUNCTION("""COMPUTED_VALUE"""),"Bulz")</f>
        <v>Bulz</v>
      </c>
      <c r="N1758" s="5"/>
      <c r="O1758" s="5"/>
      <c r="P1758" s="5"/>
      <c r="Q1758" s="5"/>
      <c r="R1758" s="5" t="str">
        <f ca="1">IFERROR(__xludf.DUMMYFUNCTION("""COMPUTED_VALUE"""),"România")</f>
        <v>România</v>
      </c>
      <c r="S1758" s="5" t="str">
        <f ca="1">IFERROR(__xludf.DUMMYFUNCTION("""COMPUTED_VALUE"""),"Octavian")</f>
        <v>Octavian</v>
      </c>
      <c r="T1758" s="7" t="str">
        <f ca="1">IFERROR(__xludf.DUMMYFUNCTION("""COMPUTED_VALUE"""),"http://www.ms.ro/2020/08/19/buletin-informativ-19-08-2020")</f>
        <v>http://www.ms.ro/2020/08/19/buletin-informativ-19-08-2020</v>
      </c>
      <c r="U1758" s="5"/>
      <c r="V1758" s="5"/>
      <c r="W1758" s="5"/>
      <c r="X1758" s="5"/>
      <c r="Y1758" s="5"/>
      <c r="Z1758" s="5"/>
      <c r="AA1758" s="5"/>
      <c r="AB1758" s="5"/>
      <c r="AC1758" s="5"/>
    </row>
    <row r="1759" spans="1:29" ht="12.5">
      <c r="A1759" s="5">
        <f ca="1">IFERROR(__xludf.DUMMYFUNCTION("""COMPUTED_VALUE"""),72372)</f>
        <v>72372</v>
      </c>
      <c r="B1759" s="5"/>
      <c r="C1759" s="5" t="str">
        <f ca="1">IFERROR(__xludf.DUMMYFUNCTION("""COMPUTED_VALUE"""),"Bihor")</f>
        <v>Bihor</v>
      </c>
      <c r="D1759" s="13">
        <f ca="1">IFERROR(__xludf.DUMMYFUNCTION("""COMPUTED_VALUE"""),44062)</f>
        <v>44062</v>
      </c>
      <c r="E1759" s="5" t="str">
        <f ca="1">IFERROR(__xludf.DUMMYFUNCTION("""COMPUTED_VALUE"""),"Nu")</f>
        <v>Nu</v>
      </c>
      <c r="F1759" s="5"/>
      <c r="G1759" s="5"/>
      <c r="H1759" s="6"/>
      <c r="I1759" s="5"/>
      <c r="J1759" s="5"/>
      <c r="K1759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59" s="5"/>
      <c r="M1759" s="5" t="str">
        <f ca="1">IFERROR(__xludf.DUMMYFUNCTION("""COMPUTED_VALUE"""),"Țețchea")</f>
        <v>Țețchea</v>
      </c>
      <c r="N1759" s="5"/>
      <c r="O1759" s="5"/>
      <c r="P1759" s="5"/>
      <c r="Q1759" s="5"/>
      <c r="R1759" s="5" t="str">
        <f ca="1">IFERROR(__xludf.DUMMYFUNCTION("""COMPUTED_VALUE"""),"România")</f>
        <v>România</v>
      </c>
      <c r="S1759" s="5" t="str">
        <f ca="1">IFERROR(__xludf.DUMMYFUNCTION("""COMPUTED_VALUE"""),"Octavian")</f>
        <v>Octavian</v>
      </c>
      <c r="T1759" s="7" t="str">
        <f ca="1">IFERROR(__xludf.DUMMYFUNCTION("""COMPUTED_VALUE"""),"http://www.ms.ro/2020/08/19/buletin-informativ-19-08-2020")</f>
        <v>http://www.ms.ro/2020/08/19/buletin-informativ-19-08-2020</v>
      </c>
      <c r="U1759" s="5"/>
      <c r="V1759" s="5"/>
      <c r="W1759" s="5"/>
      <c r="X1759" s="5"/>
      <c r="Y1759" s="5"/>
      <c r="Z1759" s="5"/>
      <c r="AA1759" s="5"/>
      <c r="AB1759" s="5"/>
      <c r="AC1759" s="5"/>
    </row>
    <row r="1760" spans="1:29" ht="12.5">
      <c r="A1760" s="5">
        <f ca="1">IFERROR(__xludf.DUMMYFUNCTION("""COMPUTED_VALUE"""),72373)</f>
        <v>72373</v>
      </c>
      <c r="B1760" s="5"/>
      <c r="C1760" s="5" t="str">
        <f ca="1">IFERROR(__xludf.DUMMYFUNCTION("""COMPUTED_VALUE"""),"Bihor")</f>
        <v>Bihor</v>
      </c>
      <c r="D1760" s="13">
        <f ca="1">IFERROR(__xludf.DUMMYFUNCTION("""COMPUTED_VALUE"""),44062)</f>
        <v>44062</v>
      </c>
      <c r="E1760" s="5" t="str">
        <f ca="1">IFERROR(__xludf.DUMMYFUNCTION("""COMPUTED_VALUE"""),"Nu")</f>
        <v>Nu</v>
      </c>
      <c r="F1760" s="5"/>
      <c r="G1760" s="5"/>
      <c r="H1760" s="6"/>
      <c r="I1760" s="5"/>
      <c r="J1760" s="5"/>
      <c r="K1760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60" s="5"/>
      <c r="M1760" s="5" t="str">
        <f ca="1">IFERROR(__xludf.DUMMYFUNCTION("""COMPUTED_VALUE"""),"Ceica")</f>
        <v>Ceica</v>
      </c>
      <c r="N1760" s="5"/>
      <c r="O1760" s="5"/>
      <c r="P1760" s="5"/>
      <c r="Q1760" s="5"/>
      <c r="R1760" s="5" t="str">
        <f ca="1">IFERROR(__xludf.DUMMYFUNCTION("""COMPUTED_VALUE"""),"România")</f>
        <v>România</v>
      </c>
      <c r="S1760" s="5" t="str">
        <f ca="1">IFERROR(__xludf.DUMMYFUNCTION("""COMPUTED_VALUE"""),"Octavian")</f>
        <v>Octavian</v>
      </c>
      <c r="T1760" s="7" t="str">
        <f ca="1">IFERROR(__xludf.DUMMYFUNCTION("""COMPUTED_VALUE"""),"http://www.ms.ro/2020/08/19/buletin-informativ-19-08-2020")</f>
        <v>http://www.ms.ro/2020/08/19/buletin-informativ-19-08-2020</v>
      </c>
      <c r="U1760" s="5"/>
      <c r="V1760" s="5"/>
      <c r="W1760" s="5"/>
      <c r="X1760" s="5"/>
      <c r="Y1760" s="5"/>
      <c r="Z1760" s="5"/>
      <c r="AA1760" s="5"/>
      <c r="AB1760" s="5"/>
      <c r="AC1760" s="5"/>
    </row>
    <row r="1761" spans="1:29" ht="12.5">
      <c r="A1761" s="5">
        <f ca="1">IFERROR(__xludf.DUMMYFUNCTION("""COMPUTED_VALUE"""),72374)</f>
        <v>72374</v>
      </c>
      <c r="B1761" s="5"/>
      <c r="C1761" s="5" t="str">
        <f ca="1">IFERROR(__xludf.DUMMYFUNCTION("""COMPUTED_VALUE"""),"Bihor")</f>
        <v>Bihor</v>
      </c>
      <c r="D1761" s="13">
        <f ca="1">IFERROR(__xludf.DUMMYFUNCTION("""COMPUTED_VALUE"""),44062)</f>
        <v>44062</v>
      </c>
      <c r="E1761" s="5" t="str">
        <f ca="1">IFERROR(__xludf.DUMMYFUNCTION("""COMPUTED_VALUE"""),"Nu")</f>
        <v>Nu</v>
      </c>
      <c r="F1761" s="5"/>
      <c r="G1761" s="5"/>
      <c r="H1761" s="6"/>
      <c r="I1761" s="5"/>
      <c r="J1761" s="5"/>
      <c r="K1761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61" s="5"/>
      <c r="M1761" s="5" t="str">
        <f ca="1">IFERROR(__xludf.DUMMYFUNCTION("""COMPUTED_VALUE"""),"Oșorhei")</f>
        <v>Oșorhei</v>
      </c>
      <c r="N1761" s="5"/>
      <c r="O1761" s="5"/>
      <c r="P1761" s="5"/>
      <c r="Q1761" s="5"/>
      <c r="R1761" s="5" t="str">
        <f ca="1">IFERROR(__xludf.DUMMYFUNCTION("""COMPUTED_VALUE"""),"România")</f>
        <v>România</v>
      </c>
      <c r="S1761" s="5" t="str">
        <f ca="1">IFERROR(__xludf.DUMMYFUNCTION("""COMPUTED_VALUE"""),"Octavian")</f>
        <v>Octavian</v>
      </c>
      <c r="T1761" s="7" t="str">
        <f ca="1">IFERROR(__xludf.DUMMYFUNCTION("""COMPUTED_VALUE"""),"http://www.ms.ro/2020/08/19/buletin-informativ-19-08-2020")</f>
        <v>http://www.ms.ro/2020/08/19/buletin-informativ-19-08-2020</v>
      </c>
      <c r="U1761" s="5"/>
      <c r="V1761" s="5"/>
      <c r="W1761" s="5"/>
      <c r="X1761" s="5"/>
      <c r="Y1761" s="5"/>
      <c r="Z1761" s="5"/>
      <c r="AA1761" s="5"/>
      <c r="AB1761" s="5"/>
      <c r="AC1761" s="5"/>
    </row>
    <row r="1762" spans="1:29" ht="12.5">
      <c r="A1762" s="5">
        <f ca="1">IFERROR(__xludf.DUMMYFUNCTION("""COMPUTED_VALUE"""),72375)</f>
        <v>72375</v>
      </c>
      <c r="B1762" s="5"/>
      <c r="C1762" s="5" t="str">
        <f ca="1">IFERROR(__xludf.DUMMYFUNCTION("""COMPUTED_VALUE"""),"Bihor")</f>
        <v>Bihor</v>
      </c>
      <c r="D1762" s="13">
        <f ca="1">IFERROR(__xludf.DUMMYFUNCTION("""COMPUTED_VALUE"""),44062)</f>
        <v>44062</v>
      </c>
      <c r="E1762" s="5" t="str">
        <f ca="1">IFERROR(__xludf.DUMMYFUNCTION("""COMPUTED_VALUE"""),"Nu")</f>
        <v>Nu</v>
      </c>
      <c r="F1762" s="5"/>
      <c r="G1762" s="5"/>
      <c r="H1762" s="6"/>
      <c r="I1762" s="5"/>
      <c r="J1762" s="5"/>
      <c r="K1762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62" s="5"/>
      <c r="M1762" s="5" t="str">
        <f ca="1">IFERROR(__xludf.DUMMYFUNCTION("""COMPUTED_VALUE"""),"Girișu de Criș")</f>
        <v>Girișu de Criș</v>
      </c>
      <c r="N1762" s="5"/>
      <c r="O1762" s="5"/>
      <c r="P1762" s="5"/>
      <c r="Q1762" s="5"/>
      <c r="R1762" s="5" t="str">
        <f ca="1">IFERROR(__xludf.DUMMYFUNCTION("""COMPUTED_VALUE"""),"România")</f>
        <v>România</v>
      </c>
      <c r="S1762" s="5" t="str">
        <f ca="1">IFERROR(__xludf.DUMMYFUNCTION("""COMPUTED_VALUE"""),"Octavian")</f>
        <v>Octavian</v>
      </c>
      <c r="T1762" s="7" t="str">
        <f ca="1">IFERROR(__xludf.DUMMYFUNCTION("""COMPUTED_VALUE"""),"http://www.ms.ro/2020/08/19/buletin-informativ-19-08-2020")</f>
        <v>http://www.ms.ro/2020/08/19/buletin-informativ-19-08-2020</v>
      </c>
      <c r="U1762" s="5"/>
      <c r="V1762" s="5"/>
      <c r="W1762" s="5"/>
      <c r="X1762" s="5"/>
      <c r="Y1762" s="5"/>
      <c r="Z1762" s="5"/>
      <c r="AA1762" s="5"/>
      <c r="AB1762" s="5"/>
      <c r="AC1762" s="5"/>
    </row>
    <row r="1763" spans="1:29" ht="12.5">
      <c r="A1763" s="5">
        <f ca="1">IFERROR(__xludf.DUMMYFUNCTION("""COMPUTED_VALUE"""),72376)</f>
        <v>72376</v>
      </c>
      <c r="B1763" s="5"/>
      <c r="C1763" s="5" t="str">
        <f ca="1">IFERROR(__xludf.DUMMYFUNCTION("""COMPUTED_VALUE"""),"Bihor")</f>
        <v>Bihor</v>
      </c>
      <c r="D1763" s="13">
        <f ca="1">IFERROR(__xludf.DUMMYFUNCTION("""COMPUTED_VALUE"""),44062)</f>
        <v>44062</v>
      </c>
      <c r="E1763" s="5" t="str">
        <f ca="1">IFERROR(__xludf.DUMMYFUNCTION("""COMPUTED_VALUE"""),"Nu")</f>
        <v>Nu</v>
      </c>
      <c r="F1763" s="5"/>
      <c r="G1763" s="5"/>
      <c r="H1763" s="6"/>
      <c r="I1763" s="5"/>
      <c r="J1763" s="5"/>
      <c r="K1763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63" s="5"/>
      <c r="M1763" s="5" t="str">
        <f ca="1">IFERROR(__xludf.DUMMYFUNCTION("""COMPUTED_VALUE"""),"Pocola")</f>
        <v>Pocola</v>
      </c>
      <c r="N1763" s="5"/>
      <c r="O1763" s="5"/>
      <c r="P1763" s="5"/>
      <c r="Q1763" s="5"/>
      <c r="R1763" s="5" t="str">
        <f ca="1">IFERROR(__xludf.DUMMYFUNCTION("""COMPUTED_VALUE"""),"România")</f>
        <v>România</v>
      </c>
      <c r="S1763" s="5" t="str">
        <f ca="1">IFERROR(__xludf.DUMMYFUNCTION("""COMPUTED_VALUE"""),"Octavian")</f>
        <v>Octavian</v>
      </c>
      <c r="T1763" s="7" t="str">
        <f ca="1">IFERROR(__xludf.DUMMYFUNCTION("""COMPUTED_VALUE"""),"http://www.ms.ro/2020/08/19/buletin-informativ-19-08-2020")</f>
        <v>http://www.ms.ro/2020/08/19/buletin-informativ-19-08-2020</v>
      </c>
      <c r="U1763" s="5"/>
      <c r="V1763" s="5"/>
      <c r="W1763" s="5"/>
      <c r="X1763" s="5"/>
      <c r="Y1763" s="5"/>
      <c r="Z1763" s="5"/>
      <c r="AA1763" s="5"/>
      <c r="AB1763" s="5"/>
      <c r="AC1763" s="5"/>
    </row>
    <row r="1764" spans="1:29" ht="12.5">
      <c r="A1764" s="5">
        <f ca="1">IFERROR(__xludf.DUMMYFUNCTION("""COMPUTED_VALUE"""),72377)</f>
        <v>72377</v>
      </c>
      <c r="B1764" s="5"/>
      <c r="C1764" s="5" t="str">
        <f ca="1">IFERROR(__xludf.DUMMYFUNCTION("""COMPUTED_VALUE"""),"Bihor")</f>
        <v>Bihor</v>
      </c>
      <c r="D1764" s="13">
        <f ca="1">IFERROR(__xludf.DUMMYFUNCTION("""COMPUTED_VALUE"""),44062)</f>
        <v>44062</v>
      </c>
      <c r="E1764" s="5" t="str">
        <f ca="1">IFERROR(__xludf.DUMMYFUNCTION("""COMPUTED_VALUE"""),"Nu")</f>
        <v>Nu</v>
      </c>
      <c r="F1764" s="5"/>
      <c r="G1764" s="5"/>
      <c r="H1764" s="6"/>
      <c r="I1764" s="5"/>
      <c r="J1764" s="5"/>
      <c r="K1764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64" s="5"/>
      <c r="M1764" s="5"/>
      <c r="N1764" s="5"/>
      <c r="O1764" s="5"/>
      <c r="P1764" s="5"/>
      <c r="Q1764" s="5"/>
      <c r="R1764" s="5" t="str">
        <f ca="1">IFERROR(__xludf.DUMMYFUNCTION("""COMPUTED_VALUE"""),"România")</f>
        <v>România</v>
      </c>
      <c r="S1764" s="5" t="str">
        <f ca="1">IFERROR(__xludf.DUMMYFUNCTION("""COMPUTED_VALUE"""),"Octavian")</f>
        <v>Octavian</v>
      </c>
      <c r="T1764" s="7" t="str">
        <f ca="1">IFERROR(__xludf.DUMMYFUNCTION("""COMPUTED_VALUE"""),"http://www.ms.ro/2020/08/19/buletin-informativ-19-08-2020")</f>
        <v>http://www.ms.ro/2020/08/19/buletin-informativ-19-08-2020</v>
      </c>
      <c r="U1764" s="5"/>
      <c r="V1764" s="5"/>
      <c r="W1764" s="5"/>
      <c r="X1764" s="5"/>
      <c r="Y1764" s="5"/>
      <c r="Z1764" s="5"/>
      <c r="AA1764" s="5"/>
      <c r="AB1764" s="5"/>
      <c r="AC1764" s="5"/>
    </row>
    <row r="1765" spans="1:29" ht="12.5">
      <c r="A1765" s="5">
        <f ca="1">IFERROR(__xludf.DUMMYFUNCTION("""COMPUTED_VALUE"""),72378)</f>
        <v>72378</v>
      </c>
      <c r="B1765" s="5"/>
      <c r="C1765" s="5" t="str">
        <f ca="1">IFERROR(__xludf.DUMMYFUNCTION("""COMPUTED_VALUE"""),"Bihor")</f>
        <v>Bihor</v>
      </c>
      <c r="D1765" s="13">
        <f ca="1">IFERROR(__xludf.DUMMYFUNCTION("""COMPUTED_VALUE"""),44062)</f>
        <v>44062</v>
      </c>
      <c r="E1765" s="5" t="str">
        <f ca="1">IFERROR(__xludf.DUMMYFUNCTION("""COMPUTED_VALUE"""),"Nu")</f>
        <v>Nu</v>
      </c>
      <c r="F1765" s="5"/>
      <c r="G1765" s="5"/>
      <c r="H1765" s="6"/>
      <c r="I1765" s="5"/>
      <c r="J1765" s="5"/>
      <c r="K1765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65" s="5"/>
      <c r="M1765" s="5"/>
      <c r="N1765" s="5"/>
      <c r="O1765" s="5"/>
      <c r="P1765" s="5"/>
      <c r="Q1765" s="5"/>
      <c r="R1765" s="5" t="str">
        <f ca="1">IFERROR(__xludf.DUMMYFUNCTION("""COMPUTED_VALUE"""),"România")</f>
        <v>România</v>
      </c>
      <c r="S1765" s="5" t="str">
        <f ca="1">IFERROR(__xludf.DUMMYFUNCTION("""COMPUTED_VALUE"""),"Octavian")</f>
        <v>Octavian</v>
      </c>
      <c r="T1765" s="7" t="str">
        <f ca="1">IFERROR(__xludf.DUMMYFUNCTION("""COMPUTED_VALUE"""),"http://www.ms.ro/2020/08/19/buletin-informativ-19-08-2020")</f>
        <v>http://www.ms.ro/2020/08/19/buletin-informativ-19-08-2020</v>
      </c>
      <c r="U1765" s="5"/>
      <c r="V1765" s="5"/>
      <c r="W1765" s="5"/>
      <c r="X1765" s="5"/>
      <c r="Y1765" s="5"/>
      <c r="Z1765" s="5"/>
      <c r="AA1765" s="5"/>
      <c r="AB1765" s="5"/>
      <c r="AC1765" s="5"/>
    </row>
    <row r="1766" spans="1:29" ht="12.5">
      <c r="A1766" s="5">
        <f ca="1">IFERROR(__xludf.DUMMYFUNCTION("""COMPUTED_VALUE"""),72379)</f>
        <v>72379</v>
      </c>
      <c r="B1766" s="5"/>
      <c r="C1766" s="5" t="str">
        <f ca="1">IFERROR(__xludf.DUMMYFUNCTION("""COMPUTED_VALUE"""),"Bihor")</f>
        <v>Bihor</v>
      </c>
      <c r="D1766" s="13">
        <f ca="1">IFERROR(__xludf.DUMMYFUNCTION("""COMPUTED_VALUE"""),44062)</f>
        <v>44062</v>
      </c>
      <c r="E1766" s="5" t="str">
        <f ca="1">IFERROR(__xludf.DUMMYFUNCTION("""COMPUTED_VALUE"""),"Nu")</f>
        <v>Nu</v>
      </c>
      <c r="F1766" s="5"/>
      <c r="G1766" s="5"/>
      <c r="H1766" s="6"/>
      <c r="I1766" s="5"/>
      <c r="J1766" s="5"/>
      <c r="K1766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66" s="5"/>
      <c r="M1766" s="5"/>
      <c r="N1766" s="5"/>
      <c r="O1766" s="5"/>
      <c r="P1766" s="5"/>
      <c r="Q1766" s="5"/>
      <c r="R1766" s="5" t="str">
        <f ca="1">IFERROR(__xludf.DUMMYFUNCTION("""COMPUTED_VALUE"""),"România")</f>
        <v>România</v>
      </c>
      <c r="S1766" s="5" t="str">
        <f ca="1">IFERROR(__xludf.DUMMYFUNCTION("""COMPUTED_VALUE"""),"Octavian")</f>
        <v>Octavian</v>
      </c>
      <c r="T1766" s="7" t="str">
        <f ca="1">IFERROR(__xludf.DUMMYFUNCTION("""COMPUTED_VALUE"""),"http://www.ms.ro/2020/08/19/buletin-informativ-19-08-2020")</f>
        <v>http://www.ms.ro/2020/08/19/buletin-informativ-19-08-2020</v>
      </c>
      <c r="U1766" s="5"/>
      <c r="V1766" s="5"/>
      <c r="W1766" s="5"/>
      <c r="X1766" s="5"/>
      <c r="Y1766" s="5"/>
      <c r="Z1766" s="5"/>
      <c r="AA1766" s="5"/>
      <c r="AB1766" s="5"/>
      <c r="AC1766" s="5"/>
    </row>
    <row r="1767" spans="1:29" ht="12.5">
      <c r="A1767" s="5">
        <f ca="1">IFERROR(__xludf.DUMMYFUNCTION("""COMPUTED_VALUE"""),72380)</f>
        <v>72380</v>
      </c>
      <c r="B1767" s="5"/>
      <c r="C1767" s="5" t="str">
        <f ca="1">IFERROR(__xludf.DUMMYFUNCTION("""COMPUTED_VALUE"""),"Bihor")</f>
        <v>Bihor</v>
      </c>
      <c r="D1767" s="13">
        <f ca="1">IFERROR(__xludf.DUMMYFUNCTION("""COMPUTED_VALUE"""),44062)</f>
        <v>44062</v>
      </c>
      <c r="E1767" s="5" t="str">
        <f ca="1">IFERROR(__xludf.DUMMYFUNCTION("""COMPUTED_VALUE"""),"Nu")</f>
        <v>Nu</v>
      </c>
      <c r="F1767" s="5"/>
      <c r="G1767" s="5"/>
      <c r="H1767" s="6"/>
      <c r="I1767" s="5"/>
      <c r="J1767" s="5"/>
      <c r="K1767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67" s="5"/>
      <c r="M1767" s="5"/>
      <c r="N1767" s="5"/>
      <c r="O1767" s="5"/>
      <c r="P1767" s="5"/>
      <c r="Q1767" s="5"/>
      <c r="R1767" s="5" t="str">
        <f ca="1">IFERROR(__xludf.DUMMYFUNCTION("""COMPUTED_VALUE"""),"România")</f>
        <v>România</v>
      </c>
      <c r="S1767" s="5" t="str">
        <f ca="1">IFERROR(__xludf.DUMMYFUNCTION("""COMPUTED_VALUE"""),"Octavian")</f>
        <v>Octavian</v>
      </c>
      <c r="T1767" s="7" t="str">
        <f ca="1">IFERROR(__xludf.DUMMYFUNCTION("""COMPUTED_VALUE"""),"http://www.ms.ro/2020/08/19/buletin-informativ-19-08-2020")</f>
        <v>http://www.ms.ro/2020/08/19/buletin-informativ-19-08-2020</v>
      </c>
      <c r="U1767" s="5"/>
      <c r="V1767" s="5"/>
      <c r="W1767" s="5"/>
      <c r="X1767" s="5"/>
      <c r="Y1767" s="5"/>
      <c r="Z1767" s="5"/>
      <c r="AA1767" s="5"/>
      <c r="AB1767" s="5"/>
      <c r="AC1767" s="5"/>
    </row>
    <row r="1768" spans="1:29" ht="12.5">
      <c r="A1768" s="5">
        <f ca="1">IFERROR(__xludf.DUMMYFUNCTION("""COMPUTED_VALUE"""),72381)</f>
        <v>72381</v>
      </c>
      <c r="B1768" s="5"/>
      <c r="C1768" s="5" t="str">
        <f ca="1">IFERROR(__xludf.DUMMYFUNCTION("""COMPUTED_VALUE"""),"Bihor")</f>
        <v>Bihor</v>
      </c>
      <c r="D1768" s="13">
        <f ca="1">IFERROR(__xludf.DUMMYFUNCTION("""COMPUTED_VALUE"""),44062)</f>
        <v>44062</v>
      </c>
      <c r="E1768" s="5" t="str">
        <f ca="1">IFERROR(__xludf.DUMMYFUNCTION("""COMPUTED_VALUE"""),"Nu")</f>
        <v>Nu</v>
      </c>
      <c r="F1768" s="5"/>
      <c r="G1768" s="5"/>
      <c r="H1768" s="6"/>
      <c r="I1768" s="5"/>
      <c r="J1768" s="5"/>
      <c r="K1768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68" s="5"/>
      <c r="M1768" s="5"/>
      <c r="N1768" s="5"/>
      <c r="O1768" s="5"/>
      <c r="P1768" s="5"/>
      <c r="Q1768" s="5"/>
      <c r="R1768" s="5" t="str">
        <f ca="1">IFERROR(__xludf.DUMMYFUNCTION("""COMPUTED_VALUE"""),"România")</f>
        <v>România</v>
      </c>
      <c r="S1768" s="5" t="str">
        <f ca="1">IFERROR(__xludf.DUMMYFUNCTION("""COMPUTED_VALUE"""),"Octavian")</f>
        <v>Octavian</v>
      </c>
      <c r="T1768" s="7" t="str">
        <f ca="1">IFERROR(__xludf.DUMMYFUNCTION("""COMPUTED_VALUE"""),"http://www.ms.ro/2020/08/19/buletin-informativ-19-08-2020")</f>
        <v>http://www.ms.ro/2020/08/19/buletin-informativ-19-08-2020</v>
      </c>
      <c r="U1768" s="5"/>
      <c r="V1768" s="5"/>
      <c r="W1768" s="5"/>
      <c r="X1768" s="5"/>
      <c r="Y1768" s="5"/>
      <c r="Z1768" s="5"/>
      <c r="AA1768" s="5"/>
      <c r="AB1768" s="5"/>
      <c r="AC1768" s="5"/>
    </row>
    <row r="1769" spans="1:29" ht="12.5">
      <c r="A1769" s="5">
        <f ca="1">IFERROR(__xludf.DUMMYFUNCTION("""COMPUTED_VALUE"""),72382)</f>
        <v>72382</v>
      </c>
      <c r="B1769" s="5"/>
      <c r="C1769" s="5" t="str">
        <f ca="1">IFERROR(__xludf.DUMMYFUNCTION("""COMPUTED_VALUE"""),"Bihor")</f>
        <v>Bihor</v>
      </c>
      <c r="D1769" s="13">
        <f ca="1">IFERROR(__xludf.DUMMYFUNCTION("""COMPUTED_VALUE"""),44062)</f>
        <v>44062</v>
      </c>
      <c r="E1769" s="5" t="str">
        <f ca="1">IFERROR(__xludf.DUMMYFUNCTION("""COMPUTED_VALUE"""),"Nu")</f>
        <v>Nu</v>
      </c>
      <c r="F1769" s="5"/>
      <c r="G1769" s="5"/>
      <c r="H1769" s="6"/>
      <c r="I1769" s="5"/>
      <c r="J1769" s="5"/>
      <c r="K1769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69" s="5"/>
      <c r="M1769" s="5"/>
      <c r="N1769" s="5"/>
      <c r="O1769" s="5"/>
      <c r="P1769" s="5"/>
      <c r="Q1769" s="5"/>
      <c r="R1769" s="5" t="str">
        <f ca="1">IFERROR(__xludf.DUMMYFUNCTION("""COMPUTED_VALUE"""),"România")</f>
        <v>România</v>
      </c>
      <c r="S1769" s="5" t="str">
        <f ca="1">IFERROR(__xludf.DUMMYFUNCTION("""COMPUTED_VALUE"""),"Octavian")</f>
        <v>Octavian</v>
      </c>
      <c r="T1769" s="7" t="str">
        <f ca="1">IFERROR(__xludf.DUMMYFUNCTION("""COMPUTED_VALUE"""),"http://www.ms.ro/2020/08/19/buletin-informativ-19-08-2020")</f>
        <v>http://www.ms.ro/2020/08/19/buletin-informativ-19-08-2020</v>
      </c>
      <c r="U1769" s="5"/>
      <c r="V1769" s="5"/>
      <c r="W1769" s="5"/>
      <c r="X1769" s="5"/>
      <c r="Y1769" s="5"/>
      <c r="Z1769" s="5"/>
      <c r="AA1769" s="5"/>
      <c r="AB1769" s="5"/>
      <c r="AC1769" s="5"/>
    </row>
    <row r="1770" spans="1:29" ht="12.5">
      <c r="A1770" s="5">
        <f ca="1">IFERROR(__xludf.DUMMYFUNCTION("""COMPUTED_VALUE"""),72383)</f>
        <v>72383</v>
      </c>
      <c r="B1770" s="5"/>
      <c r="C1770" s="5" t="str">
        <f ca="1">IFERROR(__xludf.DUMMYFUNCTION("""COMPUTED_VALUE"""),"Bihor")</f>
        <v>Bihor</v>
      </c>
      <c r="D1770" s="13">
        <f ca="1">IFERROR(__xludf.DUMMYFUNCTION("""COMPUTED_VALUE"""),44062)</f>
        <v>44062</v>
      </c>
      <c r="E1770" s="5" t="str">
        <f ca="1">IFERROR(__xludf.DUMMYFUNCTION("""COMPUTED_VALUE"""),"Nu")</f>
        <v>Nu</v>
      </c>
      <c r="F1770" s="5"/>
      <c r="G1770" s="5"/>
      <c r="H1770" s="6"/>
      <c r="I1770" s="5"/>
      <c r="J1770" s="5"/>
      <c r="K1770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70" s="5"/>
      <c r="M1770" s="5"/>
      <c r="N1770" s="5"/>
      <c r="O1770" s="5"/>
      <c r="P1770" s="5"/>
      <c r="Q1770" s="5"/>
      <c r="R1770" s="5" t="str">
        <f ca="1">IFERROR(__xludf.DUMMYFUNCTION("""COMPUTED_VALUE"""),"România")</f>
        <v>România</v>
      </c>
      <c r="S1770" s="5" t="str">
        <f ca="1">IFERROR(__xludf.DUMMYFUNCTION("""COMPUTED_VALUE"""),"Octavian")</f>
        <v>Octavian</v>
      </c>
      <c r="T1770" s="7" t="str">
        <f ca="1">IFERROR(__xludf.DUMMYFUNCTION("""COMPUTED_VALUE"""),"http://www.ms.ro/2020/08/19/buletin-informativ-19-08-2020")</f>
        <v>http://www.ms.ro/2020/08/19/buletin-informativ-19-08-2020</v>
      </c>
      <c r="U1770" s="5"/>
      <c r="V1770" s="5"/>
      <c r="W1770" s="5"/>
      <c r="X1770" s="5"/>
      <c r="Y1770" s="5"/>
      <c r="Z1770" s="5"/>
      <c r="AA1770" s="5"/>
      <c r="AB1770" s="5"/>
      <c r="AC1770" s="5"/>
    </row>
    <row r="1771" spans="1:29" ht="12.5">
      <c r="A1771" s="5">
        <f ca="1">IFERROR(__xludf.DUMMYFUNCTION("""COMPUTED_VALUE"""),72384)</f>
        <v>72384</v>
      </c>
      <c r="B1771" s="5"/>
      <c r="C1771" s="5" t="str">
        <f ca="1">IFERROR(__xludf.DUMMYFUNCTION("""COMPUTED_VALUE"""),"Bihor")</f>
        <v>Bihor</v>
      </c>
      <c r="D1771" s="13">
        <f ca="1">IFERROR(__xludf.DUMMYFUNCTION("""COMPUTED_VALUE"""),44062)</f>
        <v>44062</v>
      </c>
      <c r="E1771" s="5" t="str">
        <f ca="1">IFERROR(__xludf.DUMMYFUNCTION("""COMPUTED_VALUE"""),"Nu")</f>
        <v>Nu</v>
      </c>
      <c r="F1771" s="5"/>
      <c r="G1771" s="5"/>
      <c r="H1771" s="6"/>
      <c r="I1771" s="5"/>
      <c r="J1771" s="5"/>
      <c r="K1771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71" s="5"/>
      <c r="M1771" s="5"/>
      <c r="N1771" s="5"/>
      <c r="O1771" s="5"/>
      <c r="P1771" s="5"/>
      <c r="Q1771" s="5"/>
      <c r="R1771" s="5" t="str">
        <f ca="1">IFERROR(__xludf.DUMMYFUNCTION("""COMPUTED_VALUE"""),"România")</f>
        <v>România</v>
      </c>
      <c r="S1771" s="5" t="str">
        <f ca="1">IFERROR(__xludf.DUMMYFUNCTION("""COMPUTED_VALUE"""),"Octavian")</f>
        <v>Octavian</v>
      </c>
      <c r="T1771" s="7" t="str">
        <f ca="1">IFERROR(__xludf.DUMMYFUNCTION("""COMPUTED_VALUE"""),"http://www.ms.ro/2020/08/19/buletin-informativ-19-08-2020")</f>
        <v>http://www.ms.ro/2020/08/19/buletin-informativ-19-08-2020</v>
      </c>
      <c r="U1771" s="5"/>
      <c r="V1771" s="5"/>
      <c r="W1771" s="5"/>
      <c r="X1771" s="5"/>
      <c r="Y1771" s="5"/>
      <c r="Z1771" s="5"/>
      <c r="AA1771" s="5"/>
      <c r="AB1771" s="5"/>
      <c r="AC1771" s="5"/>
    </row>
    <row r="1772" spans="1:29" ht="12.5">
      <c r="A1772" s="5">
        <f ca="1">IFERROR(__xludf.DUMMYFUNCTION("""COMPUTED_VALUE"""),72385)</f>
        <v>72385</v>
      </c>
      <c r="B1772" s="5"/>
      <c r="C1772" s="5" t="str">
        <f ca="1">IFERROR(__xludf.DUMMYFUNCTION("""COMPUTED_VALUE"""),"Bihor")</f>
        <v>Bihor</v>
      </c>
      <c r="D1772" s="13">
        <f ca="1">IFERROR(__xludf.DUMMYFUNCTION("""COMPUTED_VALUE"""),44062)</f>
        <v>44062</v>
      </c>
      <c r="E1772" s="5" t="str">
        <f ca="1">IFERROR(__xludf.DUMMYFUNCTION("""COMPUTED_VALUE"""),"Nu")</f>
        <v>Nu</v>
      </c>
      <c r="F1772" s="5"/>
      <c r="G1772" s="5"/>
      <c r="H1772" s="6"/>
      <c r="I1772" s="5"/>
      <c r="J1772" s="5"/>
      <c r="K1772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72" s="5"/>
      <c r="M1772" s="5"/>
      <c r="N1772" s="5"/>
      <c r="O1772" s="5"/>
      <c r="P1772" s="5"/>
      <c r="Q1772" s="5"/>
      <c r="R1772" s="5" t="str">
        <f ca="1">IFERROR(__xludf.DUMMYFUNCTION("""COMPUTED_VALUE"""),"România")</f>
        <v>România</v>
      </c>
      <c r="S1772" s="5" t="str">
        <f ca="1">IFERROR(__xludf.DUMMYFUNCTION("""COMPUTED_VALUE"""),"Octavian")</f>
        <v>Octavian</v>
      </c>
      <c r="T1772" s="7" t="str">
        <f ca="1">IFERROR(__xludf.DUMMYFUNCTION("""COMPUTED_VALUE"""),"http://www.ms.ro/2020/08/19/buletin-informativ-19-08-2020")</f>
        <v>http://www.ms.ro/2020/08/19/buletin-informativ-19-08-2020</v>
      </c>
      <c r="U1772" s="5"/>
      <c r="V1772" s="5"/>
      <c r="W1772" s="5"/>
      <c r="X1772" s="5"/>
      <c r="Y1772" s="5"/>
      <c r="Z1772" s="5"/>
      <c r="AA1772" s="5"/>
      <c r="AB1772" s="5"/>
      <c r="AC1772" s="5"/>
    </row>
    <row r="1773" spans="1:29" ht="12.5">
      <c r="A1773" s="5">
        <f ca="1">IFERROR(__xludf.DUMMYFUNCTION("""COMPUTED_VALUE"""),72386)</f>
        <v>72386</v>
      </c>
      <c r="B1773" s="5"/>
      <c r="C1773" s="5" t="str">
        <f ca="1">IFERROR(__xludf.DUMMYFUNCTION("""COMPUTED_VALUE"""),"Bihor")</f>
        <v>Bihor</v>
      </c>
      <c r="D1773" s="13">
        <f ca="1">IFERROR(__xludf.DUMMYFUNCTION("""COMPUTED_VALUE"""),44062)</f>
        <v>44062</v>
      </c>
      <c r="E1773" s="5" t="str">
        <f ca="1">IFERROR(__xludf.DUMMYFUNCTION("""COMPUTED_VALUE"""),"Nu")</f>
        <v>Nu</v>
      </c>
      <c r="F1773" s="5"/>
      <c r="G1773" s="5"/>
      <c r="H1773" s="6"/>
      <c r="I1773" s="5"/>
      <c r="J1773" s="5"/>
      <c r="K1773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73" s="5"/>
      <c r="M1773" s="5"/>
      <c r="N1773" s="5"/>
      <c r="O1773" s="5"/>
      <c r="P1773" s="5"/>
      <c r="Q1773" s="5"/>
      <c r="R1773" s="5" t="str">
        <f ca="1">IFERROR(__xludf.DUMMYFUNCTION("""COMPUTED_VALUE"""),"România")</f>
        <v>România</v>
      </c>
      <c r="S1773" s="5" t="str">
        <f ca="1">IFERROR(__xludf.DUMMYFUNCTION("""COMPUTED_VALUE"""),"Octavian")</f>
        <v>Octavian</v>
      </c>
      <c r="T1773" s="7" t="str">
        <f ca="1">IFERROR(__xludf.DUMMYFUNCTION("""COMPUTED_VALUE"""),"http://www.ms.ro/2020/08/19/buletin-informativ-19-08-2020")</f>
        <v>http://www.ms.ro/2020/08/19/buletin-informativ-19-08-2020</v>
      </c>
      <c r="U1773" s="5"/>
      <c r="V1773" s="5"/>
      <c r="W1773" s="5"/>
      <c r="X1773" s="5"/>
      <c r="Y1773" s="5"/>
      <c r="Z1773" s="5"/>
      <c r="AA1773" s="5"/>
      <c r="AB1773" s="5"/>
      <c r="AC1773" s="5"/>
    </row>
    <row r="1774" spans="1:29" ht="12.5">
      <c r="A1774" s="5">
        <f ca="1">IFERROR(__xludf.DUMMYFUNCTION("""COMPUTED_VALUE"""),72387)</f>
        <v>72387</v>
      </c>
      <c r="B1774" s="5"/>
      <c r="C1774" s="5" t="str">
        <f ca="1">IFERROR(__xludf.DUMMYFUNCTION("""COMPUTED_VALUE"""),"Bihor")</f>
        <v>Bihor</v>
      </c>
      <c r="D1774" s="13">
        <f ca="1">IFERROR(__xludf.DUMMYFUNCTION("""COMPUTED_VALUE"""),44062)</f>
        <v>44062</v>
      </c>
      <c r="E1774" s="5" t="str">
        <f ca="1">IFERROR(__xludf.DUMMYFUNCTION("""COMPUTED_VALUE"""),"Nu")</f>
        <v>Nu</v>
      </c>
      <c r="F1774" s="5"/>
      <c r="G1774" s="5"/>
      <c r="H1774" s="6"/>
      <c r="I1774" s="5"/>
      <c r="J1774" s="5"/>
      <c r="K1774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74" s="5"/>
      <c r="M1774" s="5"/>
      <c r="N1774" s="5"/>
      <c r="O1774" s="5"/>
      <c r="P1774" s="5"/>
      <c r="Q1774" s="5"/>
      <c r="R1774" s="5" t="str">
        <f ca="1">IFERROR(__xludf.DUMMYFUNCTION("""COMPUTED_VALUE"""),"România")</f>
        <v>România</v>
      </c>
      <c r="S1774" s="5" t="str">
        <f ca="1">IFERROR(__xludf.DUMMYFUNCTION("""COMPUTED_VALUE"""),"Octavian")</f>
        <v>Octavian</v>
      </c>
      <c r="T1774" s="7" t="str">
        <f ca="1">IFERROR(__xludf.DUMMYFUNCTION("""COMPUTED_VALUE"""),"http://www.ms.ro/2020/08/19/buletin-informativ-19-08-2020")</f>
        <v>http://www.ms.ro/2020/08/19/buletin-informativ-19-08-2020</v>
      </c>
      <c r="U1774" s="5"/>
      <c r="V1774" s="5"/>
      <c r="W1774" s="5"/>
      <c r="X1774" s="5"/>
      <c r="Y1774" s="5"/>
      <c r="Z1774" s="5"/>
      <c r="AA1774" s="5"/>
      <c r="AB1774" s="5"/>
      <c r="AC1774" s="5"/>
    </row>
    <row r="1775" spans="1:29" ht="12.5">
      <c r="A1775" s="5">
        <f ca="1">IFERROR(__xludf.DUMMYFUNCTION("""COMPUTED_VALUE"""),72388)</f>
        <v>72388</v>
      </c>
      <c r="B1775" s="5"/>
      <c r="C1775" s="5" t="str">
        <f ca="1">IFERROR(__xludf.DUMMYFUNCTION("""COMPUTED_VALUE"""),"Bihor")</f>
        <v>Bihor</v>
      </c>
      <c r="D1775" s="13">
        <f ca="1">IFERROR(__xludf.DUMMYFUNCTION("""COMPUTED_VALUE"""),44062)</f>
        <v>44062</v>
      </c>
      <c r="E1775" s="5" t="str">
        <f ca="1">IFERROR(__xludf.DUMMYFUNCTION("""COMPUTED_VALUE"""),"Nu")</f>
        <v>Nu</v>
      </c>
      <c r="F1775" s="5"/>
      <c r="G1775" s="5"/>
      <c r="H1775" s="6"/>
      <c r="I1775" s="5"/>
      <c r="J1775" s="5"/>
      <c r="K1775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75" s="5"/>
      <c r="M1775" s="5"/>
      <c r="N1775" s="5"/>
      <c r="O1775" s="5"/>
      <c r="P1775" s="5"/>
      <c r="Q1775" s="5"/>
      <c r="R1775" s="5" t="str">
        <f ca="1">IFERROR(__xludf.DUMMYFUNCTION("""COMPUTED_VALUE"""),"România")</f>
        <v>România</v>
      </c>
      <c r="S1775" s="5" t="str">
        <f ca="1">IFERROR(__xludf.DUMMYFUNCTION("""COMPUTED_VALUE"""),"Octavian")</f>
        <v>Octavian</v>
      </c>
      <c r="T1775" s="7" t="str">
        <f ca="1">IFERROR(__xludf.DUMMYFUNCTION("""COMPUTED_VALUE"""),"http://www.ms.ro/2020/08/19/buletin-informativ-19-08-2020")</f>
        <v>http://www.ms.ro/2020/08/19/buletin-informativ-19-08-2020</v>
      </c>
      <c r="U1775" s="5"/>
      <c r="V1775" s="5"/>
      <c r="W1775" s="5"/>
      <c r="X1775" s="5"/>
      <c r="Y1775" s="5"/>
      <c r="Z1775" s="5"/>
      <c r="AA1775" s="5"/>
      <c r="AB1775" s="5"/>
      <c r="AC1775" s="5"/>
    </row>
    <row r="1776" spans="1:29" ht="12.5">
      <c r="A1776" s="5">
        <f ca="1">IFERROR(__xludf.DUMMYFUNCTION("""COMPUTED_VALUE"""),72389)</f>
        <v>72389</v>
      </c>
      <c r="B1776" s="5"/>
      <c r="C1776" s="5" t="str">
        <f ca="1">IFERROR(__xludf.DUMMYFUNCTION("""COMPUTED_VALUE"""),"Bihor")</f>
        <v>Bihor</v>
      </c>
      <c r="D1776" s="13">
        <f ca="1">IFERROR(__xludf.DUMMYFUNCTION("""COMPUTED_VALUE"""),44062)</f>
        <v>44062</v>
      </c>
      <c r="E1776" s="5" t="str">
        <f ca="1">IFERROR(__xludf.DUMMYFUNCTION("""COMPUTED_VALUE"""),"Nu")</f>
        <v>Nu</v>
      </c>
      <c r="F1776" s="5"/>
      <c r="G1776" s="5"/>
      <c r="H1776" s="6"/>
      <c r="I1776" s="5"/>
      <c r="J1776" s="5"/>
      <c r="K1776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76" s="5"/>
      <c r="M1776" s="5"/>
      <c r="N1776" s="5"/>
      <c r="O1776" s="5"/>
      <c r="P1776" s="5"/>
      <c r="Q1776" s="5"/>
      <c r="R1776" s="5" t="str">
        <f ca="1">IFERROR(__xludf.DUMMYFUNCTION("""COMPUTED_VALUE"""),"România")</f>
        <v>România</v>
      </c>
      <c r="S1776" s="5" t="str">
        <f ca="1">IFERROR(__xludf.DUMMYFUNCTION("""COMPUTED_VALUE"""),"Octavian")</f>
        <v>Octavian</v>
      </c>
      <c r="T1776" s="7" t="str">
        <f ca="1">IFERROR(__xludf.DUMMYFUNCTION("""COMPUTED_VALUE"""),"http://www.ms.ro/2020/08/19/buletin-informativ-19-08-2020")</f>
        <v>http://www.ms.ro/2020/08/19/buletin-informativ-19-08-2020</v>
      </c>
      <c r="U1776" s="5"/>
      <c r="V1776" s="5"/>
      <c r="W1776" s="5"/>
      <c r="X1776" s="5"/>
      <c r="Y1776" s="5"/>
      <c r="Z1776" s="5"/>
      <c r="AA1776" s="5"/>
      <c r="AB1776" s="5"/>
      <c r="AC1776" s="5"/>
    </row>
    <row r="1777" spans="1:29" ht="12.5">
      <c r="A1777" s="5">
        <f ca="1">IFERROR(__xludf.DUMMYFUNCTION("""COMPUTED_VALUE"""),72390)</f>
        <v>72390</v>
      </c>
      <c r="B1777" s="5"/>
      <c r="C1777" s="5" t="str">
        <f ca="1">IFERROR(__xludf.DUMMYFUNCTION("""COMPUTED_VALUE"""),"Bihor")</f>
        <v>Bihor</v>
      </c>
      <c r="D1777" s="13">
        <f ca="1">IFERROR(__xludf.DUMMYFUNCTION("""COMPUTED_VALUE"""),44062)</f>
        <v>44062</v>
      </c>
      <c r="E1777" s="5" t="str">
        <f ca="1">IFERROR(__xludf.DUMMYFUNCTION("""COMPUTED_VALUE"""),"Nu")</f>
        <v>Nu</v>
      </c>
      <c r="F1777" s="5"/>
      <c r="G1777" s="5"/>
      <c r="H1777" s="6"/>
      <c r="I1777" s="5"/>
      <c r="J1777" s="5"/>
      <c r="K1777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77" s="5"/>
      <c r="M1777" s="5"/>
      <c r="N1777" s="5"/>
      <c r="O1777" s="5"/>
      <c r="P1777" s="5"/>
      <c r="Q1777" s="5"/>
      <c r="R1777" s="5" t="str">
        <f ca="1">IFERROR(__xludf.DUMMYFUNCTION("""COMPUTED_VALUE"""),"România")</f>
        <v>România</v>
      </c>
      <c r="S1777" s="5" t="str">
        <f ca="1">IFERROR(__xludf.DUMMYFUNCTION("""COMPUTED_VALUE"""),"Octavian")</f>
        <v>Octavian</v>
      </c>
      <c r="T1777" s="7" t="str">
        <f ca="1">IFERROR(__xludf.DUMMYFUNCTION("""COMPUTED_VALUE"""),"http://www.ms.ro/2020/08/19/buletin-informativ-19-08-2020")</f>
        <v>http://www.ms.ro/2020/08/19/buletin-informativ-19-08-2020</v>
      </c>
      <c r="U1777" s="5"/>
      <c r="V1777" s="5"/>
      <c r="W1777" s="5"/>
      <c r="X1777" s="5"/>
      <c r="Y1777" s="5"/>
      <c r="Z1777" s="5"/>
      <c r="AA1777" s="5"/>
      <c r="AB1777" s="5"/>
      <c r="AC1777" s="5"/>
    </row>
    <row r="1778" spans="1:29" ht="12.5">
      <c r="A1778" s="5">
        <f ca="1">IFERROR(__xludf.DUMMYFUNCTION("""COMPUTED_VALUE"""),72391)</f>
        <v>72391</v>
      </c>
      <c r="B1778" s="5"/>
      <c r="C1778" s="5" t="str">
        <f ca="1">IFERROR(__xludf.DUMMYFUNCTION("""COMPUTED_VALUE"""),"Bihor")</f>
        <v>Bihor</v>
      </c>
      <c r="D1778" s="13">
        <f ca="1">IFERROR(__xludf.DUMMYFUNCTION("""COMPUTED_VALUE"""),44062)</f>
        <v>44062</v>
      </c>
      <c r="E1778" s="5" t="str">
        <f ca="1">IFERROR(__xludf.DUMMYFUNCTION("""COMPUTED_VALUE"""),"Nu")</f>
        <v>Nu</v>
      </c>
      <c r="F1778" s="5"/>
      <c r="G1778" s="5"/>
      <c r="H1778" s="6"/>
      <c r="I1778" s="5"/>
      <c r="J1778" s="5"/>
      <c r="K1778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78" s="5"/>
      <c r="M1778" s="5"/>
      <c r="N1778" s="5"/>
      <c r="O1778" s="5"/>
      <c r="P1778" s="5"/>
      <c r="Q1778" s="5"/>
      <c r="R1778" s="5" t="str">
        <f ca="1">IFERROR(__xludf.DUMMYFUNCTION("""COMPUTED_VALUE"""),"România")</f>
        <v>România</v>
      </c>
      <c r="S1778" s="5" t="str">
        <f ca="1">IFERROR(__xludf.DUMMYFUNCTION("""COMPUTED_VALUE"""),"Octavian")</f>
        <v>Octavian</v>
      </c>
      <c r="T1778" s="7" t="str">
        <f ca="1">IFERROR(__xludf.DUMMYFUNCTION("""COMPUTED_VALUE"""),"http://www.ms.ro/2020/08/19/buletin-informativ-19-08-2020")</f>
        <v>http://www.ms.ro/2020/08/19/buletin-informativ-19-08-2020</v>
      </c>
      <c r="U1778" s="5"/>
      <c r="V1778" s="5"/>
      <c r="W1778" s="5"/>
      <c r="X1778" s="5"/>
      <c r="Y1778" s="5"/>
      <c r="Z1778" s="5"/>
      <c r="AA1778" s="5"/>
      <c r="AB1778" s="5"/>
      <c r="AC1778" s="5"/>
    </row>
    <row r="1779" spans="1:29" ht="12.5">
      <c r="A1779" s="5">
        <f ca="1">IFERROR(__xludf.DUMMYFUNCTION("""COMPUTED_VALUE"""),72392)</f>
        <v>72392</v>
      </c>
      <c r="B1779" s="5"/>
      <c r="C1779" s="5" t="str">
        <f ca="1">IFERROR(__xludf.DUMMYFUNCTION("""COMPUTED_VALUE"""),"Bihor")</f>
        <v>Bihor</v>
      </c>
      <c r="D1779" s="13">
        <f ca="1">IFERROR(__xludf.DUMMYFUNCTION("""COMPUTED_VALUE"""),44062)</f>
        <v>44062</v>
      </c>
      <c r="E1779" s="5" t="str">
        <f ca="1">IFERROR(__xludf.DUMMYFUNCTION("""COMPUTED_VALUE"""),"Nu")</f>
        <v>Nu</v>
      </c>
      <c r="F1779" s="5"/>
      <c r="G1779" s="5"/>
      <c r="H1779" s="6"/>
      <c r="I1779" s="5"/>
      <c r="J1779" s="5"/>
      <c r="K1779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79" s="5"/>
      <c r="M1779" s="5"/>
      <c r="N1779" s="5"/>
      <c r="O1779" s="5"/>
      <c r="P1779" s="5"/>
      <c r="Q1779" s="5"/>
      <c r="R1779" s="5" t="str">
        <f ca="1">IFERROR(__xludf.DUMMYFUNCTION("""COMPUTED_VALUE"""),"România")</f>
        <v>România</v>
      </c>
      <c r="S1779" s="5" t="str">
        <f ca="1">IFERROR(__xludf.DUMMYFUNCTION("""COMPUTED_VALUE"""),"Octavian")</f>
        <v>Octavian</v>
      </c>
      <c r="T1779" s="7" t="str">
        <f ca="1">IFERROR(__xludf.DUMMYFUNCTION("""COMPUTED_VALUE"""),"http://www.ms.ro/2020/08/19/buletin-informativ-19-08-2020")</f>
        <v>http://www.ms.ro/2020/08/19/buletin-informativ-19-08-2020</v>
      </c>
      <c r="U1779" s="5"/>
      <c r="V1779" s="5"/>
      <c r="W1779" s="5"/>
      <c r="X1779" s="5"/>
      <c r="Y1779" s="5"/>
      <c r="Z1779" s="5"/>
      <c r="AA1779" s="5"/>
      <c r="AB1779" s="5"/>
      <c r="AC1779" s="5"/>
    </row>
    <row r="1780" spans="1:29" ht="12.5">
      <c r="A1780" s="5">
        <f ca="1">IFERROR(__xludf.DUMMYFUNCTION("""COMPUTED_VALUE"""),72393)</f>
        <v>72393</v>
      </c>
      <c r="B1780" s="5"/>
      <c r="C1780" s="5" t="str">
        <f ca="1">IFERROR(__xludf.DUMMYFUNCTION("""COMPUTED_VALUE"""),"Bihor")</f>
        <v>Bihor</v>
      </c>
      <c r="D1780" s="13">
        <f ca="1">IFERROR(__xludf.DUMMYFUNCTION("""COMPUTED_VALUE"""),44062)</f>
        <v>44062</v>
      </c>
      <c r="E1780" s="5" t="str">
        <f ca="1">IFERROR(__xludf.DUMMYFUNCTION("""COMPUTED_VALUE"""),"Nu")</f>
        <v>Nu</v>
      </c>
      <c r="F1780" s="5"/>
      <c r="G1780" s="5"/>
      <c r="H1780" s="6"/>
      <c r="I1780" s="5"/>
      <c r="J1780" s="5"/>
      <c r="K1780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80" s="5"/>
      <c r="M1780" s="5"/>
      <c r="N1780" s="5"/>
      <c r="O1780" s="5"/>
      <c r="P1780" s="5"/>
      <c r="Q1780" s="5"/>
      <c r="R1780" s="5" t="str">
        <f ca="1">IFERROR(__xludf.DUMMYFUNCTION("""COMPUTED_VALUE"""),"România")</f>
        <v>România</v>
      </c>
      <c r="S1780" s="5" t="str">
        <f ca="1">IFERROR(__xludf.DUMMYFUNCTION("""COMPUTED_VALUE"""),"Octavian")</f>
        <v>Octavian</v>
      </c>
      <c r="T1780" s="7" t="str">
        <f ca="1">IFERROR(__xludf.DUMMYFUNCTION("""COMPUTED_VALUE"""),"http://www.ms.ro/2020/08/19/buletin-informativ-19-08-2020")</f>
        <v>http://www.ms.ro/2020/08/19/buletin-informativ-19-08-2020</v>
      </c>
      <c r="U1780" s="5"/>
      <c r="V1780" s="5"/>
      <c r="W1780" s="5"/>
      <c r="X1780" s="5"/>
      <c r="Y1780" s="5"/>
      <c r="Z1780" s="5"/>
      <c r="AA1780" s="5"/>
      <c r="AB1780" s="5"/>
      <c r="AC1780" s="5"/>
    </row>
    <row r="1781" spans="1:29" ht="12.5">
      <c r="A1781" s="5">
        <f ca="1">IFERROR(__xludf.DUMMYFUNCTION("""COMPUTED_VALUE"""),72394)</f>
        <v>72394</v>
      </c>
      <c r="B1781" s="5"/>
      <c r="C1781" s="5" t="str">
        <f ca="1">IFERROR(__xludf.DUMMYFUNCTION("""COMPUTED_VALUE"""),"Bihor")</f>
        <v>Bihor</v>
      </c>
      <c r="D1781" s="13">
        <f ca="1">IFERROR(__xludf.DUMMYFUNCTION("""COMPUTED_VALUE"""),44062)</f>
        <v>44062</v>
      </c>
      <c r="E1781" s="5" t="str">
        <f ca="1">IFERROR(__xludf.DUMMYFUNCTION("""COMPUTED_VALUE"""),"Nu")</f>
        <v>Nu</v>
      </c>
      <c r="F1781" s="5"/>
      <c r="G1781" s="5"/>
      <c r="H1781" s="6"/>
      <c r="I1781" s="5"/>
      <c r="J1781" s="5"/>
      <c r="K1781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81" s="5"/>
      <c r="M1781" s="5"/>
      <c r="N1781" s="5"/>
      <c r="O1781" s="5"/>
      <c r="P1781" s="5"/>
      <c r="Q1781" s="5"/>
      <c r="R1781" s="5" t="str">
        <f ca="1">IFERROR(__xludf.DUMMYFUNCTION("""COMPUTED_VALUE"""),"România")</f>
        <v>România</v>
      </c>
      <c r="S1781" s="5" t="str">
        <f ca="1">IFERROR(__xludf.DUMMYFUNCTION("""COMPUTED_VALUE"""),"Octavian")</f>
        <v>Octavian</v>
      </c>
      <c r="T1781" s="7" t="str">
        <f ca="1">IFERROR(__xludf.DUMMYFUNCTION("""COMPUTED_VALUE"""),"http://www.ms.ro/2020/08/19/buletin-informativ-19-08-2020")</f>
        <v>http://www.ms.ro/2020/08/19/buletin-informativ-19-08-2020</v>
      </c>
      <c r="U1781" s="5"/>
      <c r="V1781" s="5"/>
      <c r="W1781" s="5"/>
      <c r="X1781" s="5"/>
      <c r="Y1781" s="5"/>
      <c r="Z1781" s="5"/>
      <c r="AA1781" s="5"/>
      <c r="AB1781" s="5"/>
      <c r="AC1781" s="5"/>
    </row>
    <row r="1782" spans="1:29" ht="12.5">
      <c r="A1782" s="5">
        <f ca="1">IFERROR(__xludf.DUMMYFUNCTION("""COMPUTED_VALUE"""),72395)</f>
        <v>72395</v>
      </c>
      <c r="B1782" s="5"/>
      <c r="C1782" s="5" t="str">
        <f ca="1">IFERROR(__xludf.DUMMYFUNCTION("""COMPUTED_VALUE"""),"Bihor")</f>
        <v>Bihor</v>
      </c>
      <c r="D1782" s="13">
        <f ca="1">IFERROR(__xludf.DUMMYFUNCTION("""COMPUTED_VALUE"""),44062)</f>
        <v>44062</v>
      </c>
      <c r="E1782" s="5" t="str">
        <f ca="1">IFERROR(__xludf.DUMMYFUNCTION("""COMPUTED_VALUE"""),"Nu")</f>
        <v>Nu</v>
      </c>
      <c r="F1782" s="5"/>
      <c r="G1782" s="5"/>
      <c r="H1782" s="6"/>
      <c r="I1782" s="5"/>
      <c r="J1782" s="5"/>
      <c r="K1782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82" s="5"/>
      <c r="M1782" s="5"/>
      <c r="N1782" s="5"/>
      <c r="O1782" s="5"/>
      <c r="P1782" s="5"/>
      <c r="Q1782" s="5"/>
      <c r="R1782" s="5" t="str">
        <f ca="1">IFERROR(__xludf.DUMMYFUNCTION("""COMPUTED_VALUE"""),"România")</f>
        <v>România</v>
      </c>
      <c r="S1782" s="5" t="str">
        <f ca="1">IFERROR(__xludf.DUMMYFUNCTION("""COMPUTED_VALUE"""),"Octavian")</f>
        <v>Octavian</v>
      </c>
      <c r="T1782" s="7" t="str">
        <f ca="1">IFERROR(__xludf.DUMMYFUNCTION("""COMPUTED_VALUE"""),"http://www.ms.ro/2020/08/19/buletin-informativ-19-08-2020")</f>
        <v>http://www.ms.ro/2020/08/19/buletin-informativ-19-08-2020</v>
      </c>
      <c r="U1782" s="5"/>
      <c r="V1782" s="5"/>
      <c r="W1782" s="5"/>
      <c r="X1782" s="5"/>
      <c r="Y1782" s="5"/>
      <c r="Z1782" s="5"/>
      <c r="AA1782" s="5"/>
      <c r="AB1782" s="5"/>
      <c r="AC1782" s="5"/>
    </row>
    <row r="1783" spans="1:29" ht="12.5">
      <c r="A1783" s="5">
        <f ca="1">IFERROR(__xludf.DUMMYFUNCTION("""COMPUTED_VALUE"""),72396)</f>
        <v>72396</v>
      </c>
      <c r="B1783" s="5"/>
      <c r="C1783" s="5" t="str">
        <f ca="1">IFERROR(__xludf.DUMMYFUNCTION("""COMPUTED_VALUE"""),"Bihor")</f>
        <v>Bihor</v>
      </c>
      <c r="D1783" s="13">
        <f ca="1">IFERROR(__xludf.DUMMYFUNCTION("""COMPUTED_VALUE"""),44062)</f>
        <v>44062</v>
      </c>
      <c r="E1783" s="5" t="str">
        <f ca="1">IFERROR(__xludf.DUMMYFUNCTION("""COMPUTED_VALUE"""),"Nu")</f>
        <v>Nu</v>
      </c>
      <c r="F1783" s="5"/>
      <c r="G1783" s="5"/>
      <c r="H1783" s="6"/>
      <c r="I1783" s="5"/>
      <c r="J1783" s="5"/>
      <c r="K1783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83" s="5"/>
      <c r="M1783" s="5"/>
      <c r="N1783" s="5"/>
      <c r="O1783" s="5"/>
      <c r="P1783" s="5"/>
      <c r="Q1783" s="5"/>
      <c r="R1783" s="5" t="str">
        <f ca="1">IFERROR(__xludf.DUMMYFUNCTION("""COMPUTED_VALUE"""),"România")</f>
        <v>România</v>
      </c>
      <c r="S1783" s="5" t="str">
        <f ca="1">IFERROR(__xludf.DUMMYFUNCTION("""COMPUTED_VALUE"""),"Octavian")</f>
        <v>Octavian</v>
      </c>
      <c r="T1783" s="7" t="str">
        <f ca="1">IFERROR(__xludf.DUMMYFUNCTION("""COMPUTED_VALUE"""),"http://www.ms.ro/2020/08/19/buletin-informativ-19-08-2020")</f>
        <v>http://www.ms.ro/2020/08/19/buletin-informativ-19-08-2020</v>
      </c>
      <c r="U1783" s="5"/>
      <c r="V1783" s="5"/>
      <c r="W1783" s="5"/>
      <c r="X1783" s="5"/>
      <c r="Y1783" s="5"/>
      <c r="Z1783" s="5"/>
      <c r="AA1783" s="5"/>
      <c r="AB1783" s="5"/>
      <c r="AC1783" s="5"/>
    </row>
    <row r="1784" spans="1:29" ht="12.5">
      <c r="A1784" s="5">
        <f ca="1">IFERROR(__xludf.DUMMYFUNCTION("""COMPUTED_VALUE"""),72397)</f>
        <v>72397</v>
      </c>
      <c r="B1784" s="5"/>
      <c r="C1784" s="5" t="str">
        <f ca="1">IFERROR(__xludf.DUMMYFUNCTION("""COMPUTED_VALUE"""),"Bihor")</f>
        <v>Bihor</v>
      </c>
      <c r="D1784" s="13">
        <f ca="1">IFERROR(__xludf.DUMMYFUNCTION("""COMPUTED_VALUE"""),44062)</f>
        <v>44062</v>
      </c>
      <c r="E1784" s="5" t="str">
        <f ca="1">IFERROR(__xludf.DUMMYFUNCTION("""COMPUTED_VALUE"""),"Nu")</f>
        <v>Nu</v>
      </c>
      <c r="F1784" s="5"/>
      <c r="G1784" s="5"/>
      <c r="H1784" s="6"/>
      <c r="I1784" s="5"/>
      <c r="J1784" s="5"/>
      <c r="K1784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84" s="5"/>
      <c r="M1784" s="5"/>
      <c r="N1784" s="5"/>
      <c r="O1784" s="5"/>
      <c r="P1784" s="5"/>
      <c r="Q1784" s="5"/>
      <c r="R1784" s="5" t="str">
        <f ca="1">IFERROR(__xludf.DUMMYFUNCTION("""COMPUTED_VALUE"""),"România")</f>
        <v>România</v>
      </c>
      <c r="S1784" s="5" t="str">
        <f ca="1">IFERROR(__xludf.DUMMYFUNCTION("""COMPUTED_VALUE"""),"Octavian")</f>
        <v>Octavian</v>
      </c>
      <c r="T1784" s="7" t="str">
        <f ca="1">IFERROR(__xludf.DUMMYFUNCTION("""COMPUTED_VALUE"""),"http://www.ms.ro/2020/08/19/buletin-informativ-19-08-2020")</f>
        <v>http://www.ms.ro/2020/08/19/buletin-informativ-19-08-2020</v>
      </c>
      <c r="U1784" s="5"/>
      <c r="V1784" s="5"/>
      <c r="W1784" s="5"/>
      <c r="X1784" s="5"/>
      <c r="Y1784" s="5"/>
      <c r="Z1784" s="5"/>
      <c r="AA1784" s="5"/>
      <c r="AB1784" s="5"/>
      <c r="AC1784" s="5"/>
    </row>
    <row r="1785" spans="1:29" ht="12.5">
      <c r="A1785" s="5">
        <f ca="1">IFERROR(__xludf.DUMMYFUNCTION("""COMPUTED_VALUE"""),72398)</f>
        <v>72398</v>
      </c>
      <c r="B1785" s="5"/>
      <c r="C1785" s="5" t="str">
        <f ca="1">IFERROR(__xludf.DUMMYFUNCTION("""COMPUTED_VALUE"""),"Bihor")</f>
        <v>Bihor</v>
      </c>
      <c r="D1785" s="13">
        <f ca="1">IFERROR(__xludf.DUMMYFUNCTION("""COMPUTED_VALUE"""),44062)</f>
        <v>44062</v>
      </c>
      <c r="E1785" s="5" t="str">
        <f ca="1">IFERROR(__xludf.DUMMYFUNCTION("""COMPUTED_VALUE"""),"Nu")</f>
        <v>Nu</v>
      </c>
      <c r="F1785" s="5"/>
      <c r="G1785" s="5"/>
      <c r="H1785" s="6"/>
      <c r="I1785" s="5"/>
      <c r="J1785" s="5"/>
      <c r="K1785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85" s="5"/>
      <c r="M1785" s="5"/>
      <c r="N1785" s="5"/>
      <c r="O1785" s="5"/>
      <c r="P1785" s="5"/>
      <c r="Q1785" s="5"/>
      <c r="R1785" s="5" t="str">
        <f ca="1">IFERROR(__xludf.DUMMYFUNCTION("""COMPUTED_VALUE"""),"România")</f>
        <v>România</v>
      </c>
      <c r="S1785" s="5" t="str">
        <f ca="1">IFERROR(__xludf.DUMMYFUNCTION("""COMPUTED_VALUE"""),"Octavian")</f>
        <v>Octavian</v>
      </c>
      <c r="T1785" s="7" t="str">
        <f ca="1">IFERROR(__xludf.DUMMYFUNCTION("""COMPUTED_VALUE"""),"http://www.ms.ro/2020/08/19/buletin-informativ-19-08-2020")</f>
        <v>http://www.ms.ro/2020/08/19/buletin-informativ-19-08-2020</v>
      </c>
      <c r="U1785" s="5"/>
      <c r="V1785" s="5"/>
      <c r="W1785" s="5"/>
      <c r="X1785" s="5"/>
      <c r="Y1785" s="5"/>
      <c r="Z1785" s="5"/>
      <c r="AA1785" s="5"/>
      <c r="AB1785" s="5"/>
      <c r="AC1785" s="5"/>
    </row>
    <row r="1786" spans="1:29" ht="12.5">
      <c r="A1786" s="5">
        <f ca="1">IFERROR(__xludf.DUMMYFUNCTION("""COMPUTED_VALUE"""),72399)</f>
        <v>72399</v>
      </c>
      <c r="B1786" s="5"/>
      <c r="C1786" s="5" t="str">
        <f ca="1">IFERROR(__xludf.DUMMYFUNCTION("""COMPUTED_VALUE"""),"Bihor")</f>
        <v>Bihor</v>
      </c>
      <c r="D1786" s="13">
        <f ca="1">IFERROR(__xludf.DUMMYFUNCTION("""COMPUTED_VALUE"""),44062)</f>
        <v>44062</v>
      </c>
      <c r="E1786" s="5" t="str">
        <f ca="1">IFERROR(__xludf.DUMMYFUNCTION("""COMPUTED_VALUE"""),"Nu")</f>
        <v>Nu</v>
      </c>
      <c r="F1786" s="5"/>
      <c r="G1786" s="5"/>
      <c r="H1786" s="6"/>
      <c r="I1786" s="5"/>
      <c r="J1786" s="5"/>
      <c r="K1786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86" s="5"/>
      <c r="M1786" s="5"/>
      <c r="N1786" s="5"/>
      <c r="O1786" s="5"/>
      <c r="P1786" s="5"/>
      <c r="Q1786" s="5"/>
      <c r="R1786" s="5" t="str">
        <f ca="1">IFERROR(__xludf.DUMMYFUNCTION("""COMPUTED_VALUE"""),"România")</f>
        <v>România</v>
      </c>
      <c r="S1786" s="5" t="str">
        <f ca="1">IFERROR(__xludf.DUMMYFUNCTION("""COMPUTED_VALUE"""),"Octavian")</f>
        <v>Octavian</v>
      </c>
      <c r="T1786" s="7" t="str">
        <f ca="1">IFERROR(__xludf.DUMMYFUNCTION("""COMPUTED_VALUE"""),"http://www.ms.ro/2020/08/19/buletin-informativ-19-08-2020")</f>
        <v>http://www.ms.ro/2020/08/19/buletin-informativ-19-08-2020</v>
      </c>
      <c r="U1786" s="5"/>
      <c r="V1786" s="5"/>
      <c r="W1786" s="5"/>
      <c r="X1786" s="5"/>
      <c r="Y1786" s="5"/>
      <c r="Z1786" s="5"/>
      <c r="AA1786" s="5"/>
      <c r="AB1786" s="5"/>
      <c r="AC1786" s="5"/>
    </row>
    <row r="1787" spans="1:29" ht="12.5">
      <c r="A1787" s="5">
        <f ca="1">IFERROR(__xludf.DUMMYFUNCTION("""COMPUTED_VALUE"""),72400)</f>
        <v>72400</v>
      </c>
      <c r="B1787" s="5"/>
      <c r="C1787" s="5" t="str">
        <f ca="1">IFERROR(__xludf.DUMMYFUNCTION("""COMPUTED_VALUE"""),"Bihor")</f>
        <v>Bihor</v>
      </c>
      <c r="D1787" s="13">
        <f ca="1">IFERROR(__xludf.DUMMYFUNCTION("""COMPUTED_VALUE"""),44062)</f>
        <v>44062</v>
      </c>
      <c r="E1787" s="5" t="str">
        <f ca="1">IFERROR(__xludf.DUMMYFUNCTION("""COMPUTED_VALUE"""),"Nu")</f>
        <v>Nu</v>
      </c>
      <c r="F1787" s="5"/>
      <c r="G1787" s="5"/>
      <c r="H1787" s="6"/>
      <c r="I1787" s="5"/>
      <c r="J1787" s="5"/>
      <c r="K1787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87" s="5"/>
      <c r="M1787" s="5"/>
      <c r="N1787" s="5"/>
      <c r="O1787" s="5"/>
      <c r="P1787" s="5"/>
      <c r="Q1787" s="5"/>
      <c r="R1787" s="5" t="str">
        <f ca="1">IFERROR(__xludf.DUMMYFUNCTION("""COMPUTED_VALUE"""),"România")</f>
        <v>România</v>
      </c>
      <c r="S1787" s="5" t="str">
        <f ca="1">IFERROR(__xludf.DUMMYFUNCTION("""COMPUTED_VALUE"""),"Octavian")</f>
        <v>Octavian</v>
      </c>
      <c r="T1787" s="7" t="str">
        <f ca="1">IFERROR(__xludf.DUMMYFUNCTION("""COMPUTED_VALUE"""),"http://www.ms.ro/2020/08/19/buletin-informativ-19-08-2020")</f>
        <v>http://www.ms.ro/2020/08/19/buletin-informativ-19-08-2020</v>
      </c>
      <c r="U1787" s="5"/>
      <c r="V1787" s="5"/>
      <c r="W1787" s="5"/>
      <c r="X1787" s="5"/>
      <c r="Y1787" s="5"/>
      <c r="Z1787" s="5"/>
      <c r="AA1787" s="5"/>
      <c r="AB1787" s="5"/>
      <c r="AC1787" s="5"/>
    </row>
    <row r="1788" spans="1:29" ht="12.5">
      <c r="A1788" s="5">
        <f ca="1">IFERROR(__xludf.DUMMYFUNCTION("""COMPUTED_VALUE"""),72401)</f>
        <v>72401</v>
      </c>
      <c r="B1788" s="5"/>
      <c r="C1788" s="5" t="str">
        <f ca="1">IFERROR(__xludf.DUMMYFUNCTION("""COMPUTED_VALUE"""),"Bihor")</f>
        <v>Bihor</v>
      </c>
      <c r="D1788" s="13">
        <f ca="1">IFERROR(__xludf.DUMMYFUNCTION("""COMPUTED_VALUE"""),44062)</f>
        <v>44062</v>
      </c>
      <c r="E1788" s="5" t="str">
        <f ca="1">IFERROR(__xludf.DUMMYFUNCTION("""COMPUTED_VALUE"""),"Nu")</f>
        <v>Nu</v>
      </c>
      <c r="F1788" s="5"/>
      <c r="G1788" s="5"/>
      <c r="H1788" s="6"/>
      <c r="I1788" s="5"/>
      <c r="J1788" s="5"/>
      <c r="K1788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88" s="5"/>
      <c r="M1788" s="5"/>
      <c r="N1788" s="5"/>
      <c r="O1788" s="5"/>
      <c r="P1788" s="5"/>
      <c r="Q1788" s="5"/>
      <c r="R1788" s="5" t="str">
        <f ca="1">IFERROR(__xludf.DUMMYFUNCTION("""COMPUTED_VALUE"""),"România")</f>
        <v>România</v>
      </c>
      <c r="S1788" s="5" t="str">
        <f ca="1">IFERROR(__xludf.DUMMYFUNCTION("""COMPUTED_VALUE"""),"Octavian")</f>
        <v>Octavian</v>
      </c>
      <c r="T1788" s="7" t="str">
        <f ca="1">IFERROR(__xludf.DUMMYFUNCTION("""COMPUTED_VALUE"""),"http://www.ms.ro/2020/08/19/buletin-informativ-19-08-2020")</f>
        <v>http://www.ms.ro/2020/08/19/buletin-informativ-19-08-2020</v>
      </c>
      <c r="U1788" s="5"/>
      <c r="V1788" s="5"/>
      <c r="W1788" s="5"/>
      <c r="X1788" s="5"/>
      <c r="Y1788" s="5"/>
      <c r="Z1788" s="5"/>
      <c r="AA1788" s="5"/>
      <c r="AB1788" s="5"/>
      <c r="AC1788" s="5"/>
    </row>
    <row r="1789" spans="1:29" ht="12.5">
      <c r="A1789" s="5">
        <f ca="1">IFERROR(__xludf.DUMMYFUNCTION("""COMPUTED_VALUE"""),72402)</f>
        <v>72402</v>
      </c>
      <c r="B1789" s="5"/>
      <c r="C1789" s="5" t="str">
        <f ca="1">IFERROR(__xludf.DUMMYFUNCTION("""COMPUTED_VALUE"""),"Bihor")</f>
        <v>Bihor</v>
      </c>
      <c r="D1789" s="13">
        <f ca="1">IFERROR(__xludf.DUMMYFUNCTION("""COMPUTED_VALUE"""),44062)</f>
        <v>44062</v>
      </c>
      <c r="E1789" s="5" t="str">
        <f ca="1">IFERROR(__xludf.DUMMYFUNCTION("""COMPUTED_VALUE"""),"Nu")</f>
        <v>Nu</v>
      </c>
      <c r="F1789" s="5"/>
      <c r="G1789" s="5"/>
      <c r="H1789" s="6"/>
      <c r="I1789" s="5"/>
      <c r="J1789" s="5"/>
      <c r="K1789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89" s="5"/>
      <c r="M1789" s="5"/>
      <c r="N1789" s="5"/>
      <c r="O1789" s="5"/>
      <c r="P1789" s="5"/>
      <c r="Q1789" s="5"/>
      <c r="R1789" s="5" t="str">
        <f ca="1">IFERROR(__xludf.DUMMYFUNCTION("""COMPUTED_VALUE"""),"România")</f>
        <v>România</v>
      </c>
      <c r="S1789" s="5" t="str">
        <f ca="1">IFERROR(__xludf.DUMMYFUNCTION("""COMPUTED_VALUE"""),"Octavian")</f>
        <v>Octavian</v>
      </c>
      <c r="T1789" s="7" t="str">
        <f ca="1">IFERROR(__xludf.DUMMYFUNCTION("""COMPUTED_VALUE"""),"http://www.ms.ro/2020/08/19/buletin-informativ-19-08-2020")</f>
        <v>http://www.ms.ro/2020/08/19/buletin-informativ-19-08-2020</v>
      </c>
      <c r="U1789" s="5"/>
      <c r="V1789" s="5"/>
      <c r="W1789" s="5"/>
      <c r="X1789" s="5"/>
      <c r="Y1789" s="5"/>
      <c r="Z1789" s="5"/>
      <c r="AA1789" s="5"/>
      <c r="AB1789" s="5"/>
      <c r="AC1789" s="5"/>
    </row>
    <row r="1790" spans="1:29" ht="12.5">
      <c r="A1790" s="5">
        <f ca="1">IFERROR(__xludf.DUMMYFUNCTION("""COMPUTED_VALUE"""),72403)</f>
        <v>72403</v>
      </c>
      <c r="B1790" s="5"/>
      <c r="C1790" s="5" t="str">
        <f ca="1">IFERROR(__xludf.DUMMYFUNCTION("""COMPUTED_VALUE"""),"Bihor")</f>
        <v>Bihor</v>
      </c>
      <c r="D1790" s="13">
        <f ca="1">IFERROR(__xludf.DUMMYFUNCTION("""COMPUTED_VALUE"""),44062)</f>
        <v>44062</v>
      </c>
      <c r="E1790" s="5" t="str">
        <f ca="1">IFERROR(__xludf.DUMMYFUNCTION("""COMPUTED_VALUE"""),"Nu")</f>
        <v>Nu</v>
      </c>
      <c r="F1790" s="5"/>
      <c r="G1790" s="5"/>
      <c r="H1790" s="6"/>
      <c r="I1790" s="5"/>
      <c r="J1790" s="5"/>
      <c r="K1790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90" s="5"/>
      <c r="M1790" s="5"/>
      <c r="N1790" s="5"/>
      <c r="O1790" s="5"/>
      <c r="P1790" s="5"/>
      <c r="Q1790" s="5"/>
      <c r="R1790" s="5" t="str">
        <f ca="1">IFERROR(__xludf.DUMMYFUNCTION("""COMPUTED_VALUE"""),"România")</f>
        <v>România</v>
      </c>
      <c r="S1790" s="5" t="str">
        <f ca="1">IFERROR(__xludf.DUMMYFUNCTION("""COMPUTED_VALUE"""),"Octavian")</f>
        <v>Octavian</v>
      </c>
      <c r="T1790" s="7" t="str">
        <f ca="1">IFERROR(__xludf.DUMMYFUNCTION("""COMPUTED_VALUE"""),"http://www.ms.ro/2020/08/19/buletin-informativ-19-08-2020")</f>
        <v>http://www.ms.ro/2020/08/19/buletin-informativ-19-08-2020</v>
      </c>
      <c r="U1790" s="5"/>
      <c r="V1790" s="5"/>
      <c r="W1790" s="5"/>
      <c r="X1790" s="5"/>
      <c r="Y1790" s="5"/>
      <c r="Z1790" s="5"/>
      <c r="AA1790" s="5"/>
      <c r="AB1790" s="5"/>
      <c r="AC1790" s="5"/>
    </row>
    <row r="1791" spans="1:29" ht="12.5">
      <c r="A1791" s="5">
        <f ca="1">IFERROR(__xludf.DUMMYFUNCTION("""COMPUTED_VALUE"""),72404)</f>
        <v>72404</v>
      </c>
      <c r="B1791" s="5"/>
      <c r="C1791" s="5" t="str">
        <f ca="1">IFERROR(__xludf.DUMMYFUNCTION("""COMPUTED_VALUE"""),"Bihor")</f>
        <v>Bihor</v>
      </c>
      <c r="D1791" s="13">
        <f ca="1">IFERROR(__xludf.DUMMYFUNCTION("""COMPUTED_VALUE"""),44062)</f>
        <v>44062</v>
      </c>
      <c r="E1791" s="5" t="str">
        <f ca="1">IFERROR(__xludf.DUMMYFUNCTION("""COMPUTED_VALUE"""),"Nu")</f>
        <v>Nu</v>
      </c>
      <c r="F1791" s="5"/>
      <c r="G1791" s="5"/>
      <c r="H1791" s="6"/>
      <c r="I1791" s="5"/>
      <c r="J1791" s="5"/>
      <c r="K1791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91" s="5"/>
      <c r="M1791" s="5"/>
      <c r="N1791" s="5"/>
      <c r="O1791" s="5"/>
      <c r="P1791" s="5"/>
      <c r="Q1791" s="5"/>
      <c r="R1791" s="5" t="str">
        <f ca="1">IFERROR(__xludf.DUMMYFUNCTION("""COMPUTED_VALUE"""),"România")</f>
        <v>România</v>
      </c>
      <c r="S1791" s="5" t="str">
        <f ca="1">IFERROR(__xludf.DUMMYFUNCTION("""COMPUTED_VALUE"""),"Octavian")</f>
        <v>Octavian</v>
      </c>
      <c r="T1791" s="7" t="str">
        <f ca="1">IFERROR(__xludf.DUMMYFUNCTION("""COMPUTED_VALUE"""),"http://www.ms.ro/2020/08/19/buletin-informativ-19-08-2020")</f>
        <v>http://www.ms.ro/2020/08/19/buletin-informativ-19-08-2020</v>
      </c>
      <c r="U1791" s="5"/>
      <c r="V1791" s="5"/>
      <c r="W1791" s="5"/>
      <c r="X1791" s="5"/>
      <c r="Y1791" s="5"/>
      <c r="Z1791" s="5"/>
      <c r="AA1791" s="5"/>
      <c r="AB1791" s="5"/>
      <c r="AC1791" s="5"/>
    </row>
    <row r="1792" spans="1:29" ht="12.5">
      <c r="A1792" s="5">
        <f ca="1">IFERROR(__xludf.DUMMYFUNCTION("""COMPUTED_VALUE"""),72405)</f>
        <v>72405</v>
      </c>
      <c r="B1792" s="5"/>
      <c r="C1792" s="5" t="str">
        <f ca="1">IFERROR(__xludf.DUMMYFUNCTION("""COMPUTED_VALUE"""),"Bihor")</f>
        <v>Bihor</v>
      </c>
      <c r="D1792" s="13">
        <f ca="1">IFERROR(__xludf.DUMMYFUNCTION("""COMPUTED_VALUE"""),44062)</f>
        <v>44062</v>
      </c>
      <c r="E1792" s="5" t="str">
        <f ca="1">IFERROR(__xludf.DUMMYFUNCTION("""COMPUTED_VALUE"""),"Nu")</f>
        <v>Nu</v>
      </c>
      <c r="F1792" s="5"/>
      <c r="G1792" s="5"/>
      <c r="H1792" s="6"/>
      <c r="I1792" s="5"/>
      <c r="J1792" s="5"/>
      <c r="K1792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92" s="5"/>
      <c r="M1792" s="5"/>
      <c r="N1792" s="5"/>
      <c r="O1792" s="5"/>
      <c r="P1792" s="5"/>
      <c r="Q1792" s="5"/>
      <c r="R1792" s="5" t="str">
        <f ca="1">IFERROR(__xludf.DUMMYFUNCTION("""COMPUTED_VALUE"""),"România")</f>
        <v>România</v>
      </c>
      <c r="S1792" s="5" t="str">
        <f ca="1">IFERROR(__xludf.DUMMYFUNCTION("""COMPUTED_VALUE"""),"Octavian")</f>
        <v>Octavian</v>
      </c>
      <c r="T1792" s="7" t="str">
        <f ca="1">IFERROR(__xludf.DUMMYFUNCTION("""COMPUTED_VALUE"""),"http://www.ms.ro/2020/08/19/buletin-informativ-19-08-2020")</f>
        <v>http://www.ms.ro/2020/08/19/buletin-informativ-19-08-2020</v>
      </c>
      <c r="U1792" s="5"/>
      <c r="V1792" s="5"/>
      <c r="W1792" s="5"/>
      <c r="X1792" s="5"/>
      <c r="Y1792" s="5"/>
      <c r="Z1792" s="5"/>
      <c r="AA1792" s="5"/>
      <c r="AB1792" s="5"/>
      <c r="AC1792" s="5"/>
    </row>
    <row r="1793" spans="1:29" ht="12.5">
      <c r="A1793" s="5">
        <f ca="1">IFERROR(__xludf.DUMMYFUNCTION("""COMPUTED_VALUE"""),72406)</f>
        <v>72406</v>
      </c>
      <c r="B1793" s="5"/>
      <c r="C1793" s="5" t="str">
        <f ca="1">IFERROR(__xludf.DUMMYFUNCTION("""COMPUTED_VALUE"""),"Bihor")</f>
        <v>Bihor</v>
      </c>
      <c r="D1793" s="13">
        <f ca="1">IFERROR(__xludf.DUMMYFUNCTION("""COMPUTED_VALUE"""),44062)</f>
        <v>44062</v>
      </c>
      <c r="E1793" s="5" t="str">
        <f ca="1">IFERROR(__xludf.DUMMYFUNCTION("""COMPUTED_VALUE"""),"Nu")</f>
        <v>Nu</v>
      </c>
      <c r="F1793" s="5"/>
      <c r="G1793" s="5"/>
      <c r="H1793" s="6"/>
      <c r="I1793" s="5"/>
      <c r="J1793" s="5"/>
      <c r="K1793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93" s="5"/>
      <c r="M1793" s="5"/>
      <c r="N1793" s="5"/>
      <c r="O1793" s="5"/>
      <c r="P1793" s="5"/>
      <c r="Q1793" s="5"/>
      <c r="R1793" s="5" t="str">
        <f ca="1">IFERROR(__xludf.DUMMYFUNCTION("""COMPUTED_VALUE"""),"România")</f>
        <v>România</v>
      </c>
      <c r="S1793" s="5" t="str">
        <f ca="1">IFERROR(__xludf.DUMMYFUNCTION("""COMPUTED_VALUE"""),"Octavian")</f>
        <v>Octavian</v>
      </c>
      <c r="T1793" s="7" t="str">
        <f ca="1">IFERROR(__xludf.DUMMYFUNCTION("""COMPUTED_VALUE"""),"http://www.ms.ro/2020/08/19/buletin-informativ-19-08-2020")</f>
        <v>http://www.ms.ro/2020/08/19/buletin-informativ-19-08-2020</v>
      </c>
      <c r="U1793" s="5"/>
      <c r="V1793" s="5"/>
      <c r="W1793" s="5"/>
      <c r="X1793" s="5"/>
      <c r="Y1793" s="5"/>
      <c r="Z1793" s="5"/>
      <c r="AA1793" s="5"/>
      <c r="AB1793" s="5"/>
      <c r="AC1793" s="5"/>
    </row>
    <row r="1794" spans="1:29" ht="12.5">
      <c r="A1794" s="5">
        <f ca="1">IFERROR(__xludf.DUMMYFUNCTION("""COMPUTED_VALUE"""),72407)</f>
        <v>72407</v>
      </c>
      <c r="B1794" s="5"/>
      <c r="C1794" s="5" t="str">
        <f ca="1">IFERROR(__xludf.DUMMYFUNCTION("""COMPUTED_VALUE"""),"Bihor")</f>
        <v>Bihor</v>
      </c>
      <c r="D1794" s="13">
        <f ca="1">IFERROR(__xludf.DUMMYFUNCTION("""COMPUTED_VALUE"""),44062)</f>
        <v>44062</v>
      </c>
      <c r="E1794" s="5" t="str">
        <f ca="1">IFERROR(__xludf.DUMMYFUNCTION("""COMPUTED_VALUE"""),"Nu")</f>
        <v>Nu</v>
      </c>
      <c r="F1794" s="5"/>
      <c r="G1794" s="5"/>
      <c r="H1794" s="6"/>
      <c r="I1794" s="5"/>
      <c r="J1794" s="5"/>
      <c r="K1794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94" s="5"/>
      <c r="M1794" s="5"/>
      <c r="N1794" s="5"/>
      <c r="O1794" s="5"/>
      <c r="P1794" s="5"/>
      <c r="Q1794" s="5"/>
      <c r="R1794" s="5" t="str">
        <f ca="1">IFERROR(__xludf.DUMMYFUNCTION("""COMPUTED_VALUE"""),"România")</f>
        <v>România</v>
      </c>
      <c r="S1794" s="5" t="str">
        <f ca="1">IFERROR(__xludf.DUMMYFUNCTION("""COMPUTED_VALUE"""),"Octavian")</f>
        <v>Octavian</v>
      </c>
      <c r="T1794" s="7" t="str">
        <f ca="1">IFERROR(__xludf.DUMMYFUNCTION("""COMPUTED_VALUE"""),"http://www.ms.ro/2020/08/19/buletin-informativ-19-08-2020")</f>
        <v>http://www.ms.ro/2020/08/19/buletin-informativ-19-08-2020</v>
      </c>
      <c r="U1794" s="5"/>
      <c r="V1794" s="5"/>
      <c r="W1794" s="5"/>
      <c r="X1794" s="5"/>
      <c r="Y1794" s="5"/>
      <c r="Z1794" s="5"/>
      <c r="AA1794" s="5"/>
      <c r="AB1794" s="5"/>
      <c r="AC1794" s="5"/>
    </row>
    <row r="1795" spans="1:29" ht="12.5">
      <c r="A1795" s="5">
        <f ca="1">IFERROR(__xludf.DUMMYFUNCTION("""COMPUTED_VALUE"""),72408)</f>
        <v>72408</v>
      </c>
      <c r="B1795" s="5"/>
      <c r="C1795" s="5" t="str">
        <f ca="1">IFERROR(__xludf.DUMMYFUNCTION("""COMPUTED_VALUE"""),"Bihor")</f>
        <v>Bihor</v>
      </c>
      <c r="D1795" s="13">
        <f ca="1">IFERROR(__xludf.DUMMYFUNCTION("""COMPUTED_VALUE"""),44062)</f>
        <v>44062</v>
      </c>
      <c r="E1795" s="5" t="str">
        <f ca="1">IFERROR(__xludf.DUMMYFUNCTION("""COMPUTED_VALUE"""),"Nu")</f>
        <v>Nu</v>
      </c>
      <c r="F1795" s="5"/>
      <c r="G1795" s="5"/>
      <c r="H1795" s="6"/>
      <c r="I1795" s="5"/>
      <c r="J1795" s="5"/>
      <c r="K1795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95" s="5"/>
      <c r="M1795" s="5"/>
      <c r="N1795" s="5"/>
      <c r="O1795" s="5"/>
      <c r="P1795" s="5"/>
      <c r="Q1795" s="5"/>
      <c r="R1795" s="5" t="str">
        <f ca="1">IFERROR(__xludf.DUMMYFUNCTION("""COMPUTED_VALUE"""),"România")</f>
        <v>România</v>
      </c>
      <c r="S1795" s="5" t="str">
        <f ca="1">IFERROR(__xludf.DUMMYFUNCTION("""COMPUTED_VALUE"""),"Octavian")</f>
        <v>Octavian</v>
      </c>
      <c r="T1795" s="7" t="str">
        <f ca="1">IFERROR(__xludf.DUMMYFUNCTION("""COMPUTED_VALUE"""),"http://www.ms.ro/2020/08/19/buletin-informativ-19-08-2020")</f>
        <v>http://www.ms.ro/2020/08/19/buletin-informativ-19-08-2020</v>
      </c>
      <c r="U1795" s="5"/>
      <c r="V1795" s="5"/>
      <c r="W1795" s="5"/>
      <c r="X1795" s="5"/>
      <c r="Y1795" s="5"/>
      <c r="Z1795" s="5"/>
      <c r="AA1795" s="5"/>
      <c r="AB1795" s="5"/>
      <c r="AC1795" s="5"/>
    </row>
    <row r="1796" spans="1:29" ht="12.5">
      <c r="A1796" s="5">
        <f ca="1">IFERROR(__xludf.DUMMYFUNCTION("""COMPUTED_VALUE"""),72409)</f>
        <v>72409</v>
      </c>
      <c r="B1796" s="5"/>
      <c r="C1796" s="5" t="str">
        <f ca="1">IFERROR(__xludf.DUMMYFUNCTION("""COMPUTED_VALUE"""),"Bihor")</f>
        <v>Bihor</v>
      </c>
      <c r="D1796" s="13">
        <f ca="1">IFERROR(__xludf.DUMMYFUNCTION("""COMPUTED_VALUE"""),44062)</f>
        <v>44062</v>
      </c>
      <c r="E1796" s="5" t="str">
        <f ca="1">IFERROR(__xludf.DUMMYFUNCTION("""COMPUTED_VALUE"""),"Nu")</f>
        <v>Nu</v>
      </c>
      <c r="F1796" s="5"/>
      <c r="G1796" s="5"/>
      <c r="H1796" s="6"/>
      <c r="I1796" s="5"/>
      <c r="J1796" s="5"/>
      <c r="K1796" s="7" t="str">
        <f ca="1">IFERROR(__xludf.DUMMYFUNCTION("""COMPUTED_VALUE"""),"https://www.ebihoreanul.ro/stiri/covid-nu-iarta-inca-doi-bihoreni-cu-coronavirus-au-murit-iar-alti-54-au-fost-depistati-pozitiv-inclusiv-cadre-medicale-158296.html")</f>
        <v>https://www.ebihoreanul.ro/stiri/covid-nu-iarta-inca-doi-bihoreni-cu-coronavirus-au-murit-iar-alti-54-au-fost-depistati-pozitiv-inclusiv-cadre-medicale-158296.html</v>
      </c>
      <c r="L1796" s="5"/>
      <c r="M1796" s="5"/>
      <c r="N1796" s="5"/>
      <c r="O1796" s="5"/>
      <c r="P1796" s="5"/>
      <c r="Q1796" s="5"/>
      <c r="R1796" s="5" t="str">
        <f ca="1">IFERROR(__xludf.DUMMYFUNCTION("""COMPUTED_VALUE"""),"România")</f>
        <v>România</v>
      </c>
      <c r="S1796" s="5" t="str">
        <f ca="1">IFERROR(__xludf.DUMMYFUNCTION("""COMPUTED_VALUE"""),"Octavian")</f>
        <v>Octavian</v>
      </c>
      <c r="T1796" s="7" t="str">
        <f ca="1">IFERROR(__xludf.DUMMYFUNCTION("""COMPUTED_VALUE"""),"http://www.ms.ro/2020/08/19/buletin-informativ-19-08-2020")</f>
        <v>http://www.ms.ro/2020/08/19/buletin-informativ-19-08-2020</v>
      </c>
      <c r="U1796" s="5"/>
      <c r="V1796" s="5"/>
      <c r="W1796" s="5"/>
      <c r="X1796" s="5"/>
      <c r="Y1796" s="5"/>
      <c r="Z1796" s="5"/>
      <c r="AA1796" s="5"/>
      <c r="AB1796" s="5"/>
      <c r="AC1796" s="5"/>
    </row>
    <row r="1797" spans="1:29" ht="12.5">
      <c r="A1797" s="5">
        <f ca="1">IFERROR(__xludf.DUMMYFUNCTION("""COMPUTED_VALUE"""),73750)</f>
        <v>73750</v>
      </c>
      <c r="B1797" s="5"/>
      <c r="C1797" s="5" t="str">
        <f ca="1">IFERROR(__xludf.DUMMYFUNCTION("""COMPUTED_VALUE"""),"Bihor")</f>
        <v>Bihor</v>
      </c>
      <c r="D1797" s="13">
        <f ca="1">IFERROR(__xludf.DUMMYFUNCTION("""COMPUTED_VALUE"""),44063)</f>
        <v>44063</v>
      </c>
      <c r="E1797" s="5" t="str">
        <f ca="1">IFERROR(__xludf.DUMMYFUNCTION("""COMPUTED_VALUE"""),"Nu")</f>
        <v>Nu</v>
      </c>
      <c r="F1797" s="5"/>
      <c r="G1797" s="5"/>
      <c r="H1797" s="6"/>
      <c r="I1797" s="5"/>
      <c r="J1797" s="5"/>
      <c r="K1797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797" s="5"/>
      <c r="M1797" s="5" t="str">
        <f ca="1">IFERROR(__xludf.DUMMYFUNCTION("""COMPUTED_VALUE"""),"Oradea")</f>
        <v>Oradea</v>
      </c>
      <c r="N1797" s="5"/>
      <c r="O1797" s="5"/>
      <c r="P1797" s="5" t="str">
        <f ca="1">IFERROR(__xludf.DUMMYFUNCTION("""COMPUTED_VALUE"""),"SJU-UPU-SMURD, cadru medical.")</f>
        <v>SJU-UPU-SMURD, cadru medical.</v>
      </c>
      <c r="Q1797" s="5" t="str">
        <f ca="1">IFERROR(__xludf.DUMMYFUNCTION("""COMPUTED_VALUE"""),"Medical")</f>
        <v>Medical</v>
      </c>
      <c r="R1797" s="5" t="str">
        <f ca="1">IFERROR(__xludf.DUMMYFUNCTION("""COMPUTED_VALUE"""),"România")</f>
        <v>România</v>
      </c>
      <c r="S1797" s="5" t="str">
        <f ca="1">IFERROR(__xludf.DUMMYFUNCTION("""COMPUTED_VALUE"""),"Octavian")</f>
        <v>Octavian</v>
      </c>
      <c r="T1797" s="7" t="str">
        <f ca="1">IFERROR(__xludf.DUMMYFUNCTION("""COMPUTED_VALUE"""),"http://www.ms.ro/2020/08/20/buletin-informativ-20-08-2020")</f>
        <v>http://www.ms.ro/2020/08/20/buletin-informativ-20-08-2020</v>
      </c>
      <c r="U1797" s="5"/>
      <c r="V1797" s="5"/>
      <c r="W1797" s="5"/>
      <c r="X1797" s="5"/>
      <c r="Y1797" s="5"/>
      <c r="Z1797" s="5"/>
      <c r="AA1797" s="5"/>
      <c r="AB1797" s="5"/>
      <c r="AC1797" s="5"/>
    </row>
    <row r="1798" spans="1:29" ht="12.5">
      <c r="A1798" s="5">
        <f ca="1">IFERROR(__xludf.DUMMYFUNCTION("""COMPUTED_VALUE"""),73751)</f>
        <v>73751</v>
      </c>
      <c r="B1798" s="5"/>
      <c r="C1798" s="5" t="str">
        <f ca="1">IFERROR(__xludf.DUMMYFUNCTION("""COMPUTED_VALUE"""),"Bihor")</f>
        <v>Bihor</v>
      </c>
      <c r="D1798" s="13">
        <f ca="1">IFERROR(__xludf.DUMMYFUNCTION("""COMPUTED_VALUE"""),44063)</f>
        <v>44063</v>
      </c>
      <c r="E1798" s="5" t="str">
        <f ca="1">IFERROR(__xludf.DUMMYFUNCTION("""COMPUTED_VALUE"""),"Nu")</f>
        <v>Nu</v>
      </c>
      <c r="F1798" s="5"/>
      <c r="G1798" s="5"/>
      <c r="H1798" s="6"/>
      <c r="I1798" s="5"/>
      <c r="J1798" s="5"/>
      <c r="K1798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798" s="5"/>
      <c r="M1798" s="5" t="str">
        <f ca="1">IFERROR(__xludf.DUMMYFUNCTION("""COMPUTED_VALUE"""),"Oradea")</f>
        <v>Oradea</v>
      </c>
      <c r="N1798" s="5"/>
      <c r="O1798" s="5"/>
      <c r="P1798" s="5" t="str">
        <f ca="1">IFERROR(__xludf.DUMMYFUNCTION("""COMPUTED_VALUE"""),"SJU-UPU-SMURD, cadru medical.")</f>
        <v>SJU-UPU-SMURD, cadru medical.</v>
      </c>
      <c r="Q1798" s="5" t="str">
        <f ca="1">IFERROR(__xludf.DUMMYFUNCTION("""COMPUTED_VALUE"""),"Medical")</f>
        <v>Medical</v>
      </c>
      <c r="R1798" s="5" t="str">
        <f ca="1">IFERROR(__xludf.DUMMYFUNCTION("""COMPUTED_VALUE"""),"România")</f>
        <v>România</v>
      </c>
      <c r="S1798" s="5" t="str">
        <f ca="1">IFERROR(__xludf.DUMMYFUNCTION("""COMPUTED_VALUE"""),"Octavian")</f>
        <v>Octavian</v>
      </c>
      <c r="T1798" s="7" t="str">
        <f ca="1">IFERROR(__xludf.DUMMYFUNCTION("""COMPUTED_VALUE"""),"http://www.ms.ro/2020/08/20/buletin-informativ-20-08-2020")</f>
        <v>http://www.ms.ro/2020/08/20/buletin-informativ-20-08-2020</v>
      </c>
      <c r="U1798" s="5"/>
      <c r="V1798" s="5"/>
      <c r="W1798" s="5"/>
      <c r="X1798" s="5"/>
      <c r="Y1798" s="5"/>
      <c r="Z1798" s="5"/>
      <c r="AA1798" s="5"/>
      <c r="AB1798" s="5"/>
      <c r="AC1798" s="5"/>
    </row>
    <row r="1799" spans="1:29" ht="12.5">
      <c r="A1799" s="5">
        <f ca="1">IFERROR(__xludf.DUMMYFUNCTION("""COMPUTED_VALUE"""),73752)</f>
        <v>73752</v>
      </c>
      <c r="B1799" s="5"/>
      <c r="C1799" s="5" t="str">
        <f ca="1">IFERROR(__xludf.DUMMYFUNCTION("""COMPUTED_VALUE"""),"Bihor")</f>
        <v>Bihor</v>
      </c>
      <c r="D1799" s="13">
        <f ca="1">IFERROR(__xludf.DUMMYFUNCTION("""COMPUTED_VALUE"""),44063)</f>
        <v>44063</v>
      </c>
      <c r="E1799" s="5" t="str">
        <f ca="1">IFERROR(__xludf.DUMMYFUNCTION("""COMPUTED_VALUE"""),"Nu")</f>
        <v>Nu</v>
      </c>
      <c r="F1799" s="5"/>
      <c r="G1799" s="5"/>
      <c r="H1799" s="6"/>
      <c r="I1799" s="5"/>
      <c r="J1799" s="5"/>
      <c r="K1799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799" s="5"/>
      <c r="M1799" s="5" t="str">
        <f ca="1">IFERROR(__xludf.DUMMYFUNCTION("""COMPUTED_VALUE"""),"Oradea")</f>
        <v>Oradea</v>
      </c>
      <c r="N1799" s="5"/>
      <c r="O1799" s="5"/>
      <c r="P1799" s="5" t="str">
        <f ca="1">IFERROR(__xludf.DUMMYFUNCTION("""COMPUTED_VALUE"""),"SJU-UPU-SMURD, cadru medical.")</f>
        <v>SJU-UPU-SMURD, cadru medical.</v>
      </c>
      <c r="Q1799" s="5" t="str">
        <f ca="1">IFERROR(__xludf.DUMMYFUNCTION("""COMPUTED_VALUE"""),"Medical")</f>
        <v>Medical</v>
      </c>
      <c r="R1799" s="5" t="str">
        <f ca="1">IFERROR(__xludf.DUMMYFUNCTION("""COMPUTED_VALUE"""),"România")</f>
        <v>România</v>
      </c>
      <c r="S1799" s="5" t="str">
        <f ca="1">IFERROR(__xludf.DUMMYFUNCTION("""COMPUTED_VALUE"""),"Octavian")</f>
        <v>Octavian</v>
      </c>
      <c r="T1799" s="7" t="str">
        <f ca="1">IFERROR(__xludf.DUMMYFUNCTION("""COMPUTED_VALUE"""),"http://www.ms.ro/2020/08/20/buletin-informativ-20-08-2020")</f>
        <v>http://www.ms.ro/2020/08/20/buletin-informativ-20-08-2020</v>
      </c>
      <c r="U1799" s="5"/>
      <c r="V1799" s="5"/>
      <c r="W1799" s="5"/>
      <c r="X1799" s="5"/>
      <c r="Y1799" s="5"/>
      <c r="Z1799" s="5"/>
      <c r="AA1799" s="5"/>
      <c r="AB1799" s="5"/>
      <c r="AC1799" s="5"/>
    </row>
    <row r="1800" spans="1:29" ht="12.5">
      <c r="A1800" s="5">
        <f ca="1">IFERROR(__xludf.DUMMYFUNCTION("""COMPUTED_VALUE"""),73753)</f>
        <v>73753</v>
      </c>
      <c r="B1800" s="5"/>
      <c r="C1800" s="5" t="str">
        <f ca="1">IFERROR(__xludf.DUMMYFUNCTION("""COMPUTED_VALUE"""),"Bihor")</f>
        <v>Bihor</v>
      </c>
      <c r="D1800" s="13">
        <f ca="1">IFERROR(__xludf.DUMMYFUNCTION("""COMPUTED_VALUE"""),44063)</f>
        <v>44063</v>
      </c>
      <c r="E1800" s="5" t="str">
        <f ca="1">IFERROR(__xludf.DUMMYFUNCTION("""COMPUTED_VALUE"""),"Nu")</f>
        <v>Nu</v>
      </c>
      <c r="F1800" s="5"/>
      <c r="G1800" s="5"/>
      <c r="H1800" s="6"/>
      <c r="I1800" s="5"/>
      <c r="J1800" s="5"/>
      <c r="K1800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00" s="5"/>
      <c r="M1800" s="5" t="str">
        <f ca="1">IFERROR(__xludf.DUMMYFUNCTION("""COMPUTED_VALUE"""),"Oradea")</f>
        <v>Oradea</v>
      </c>
      <c r="N1800" s="5"/>
      <c r="O1800" s="5"/>
      <c r="P1800" s="5" t="str">
        <f ca="1">IFERROR(__xludf.DUMMYFUNCTION("""COMPUTED_VALUE"""),"SJU, cadru medical.")</f>
        <v>SJU, cadru medical.</v>
      </c>
      <c r="Q1800" s="5" t="str">
        <f ca="1">IFERROR(__xludf.DUMMYFUNCTION("""COMPUTED_VALUE"""),"Medical")</f>
        <v>Medical</v>
      </c>
      <c r="R1800" s="5" t="str">
        <f ca="1">IFERROR(__xludf.DUMMYFUNCTION("""COMPUTED_VALUE"""),"România")</f>
        <v>România</v>
      </c>
      <c r="S1800" s="5" t="str">
        <f ca="1">IFERROR(__xludf.DUMMYFUNCTION("""COMPUTED_VALUE"""),"Octavian")</f>
        <v>Octavian</v>
      </c>
      <c r="T1800" s="7" t="str">
        <f ca="1">IFERROR(__xludf.DUMMYFUNCTION("""COMPUTED_VALUE"""),"http://www.ms.ro/2020/08/20/buletin-informativ-20-08-2020")</f>
        <v>http://www.ms.ro/2020/08/20/buletin-informativ-20-08-2020</v>
      </c>
      <c r="U1800" s="5"/>
      <c r="V1800" s="5"/>
      <c r="W1800" s="5"/>
      <c r="X1800" s="5"/>
      <c r="Y1800" s="5"/>
      <c r="Z1800" s="5"/>
      <c r="AA1800" s="5"/>
      <c r="AB1800" s="5"/>
      <c r="AC1800" s="5"/>
    </row>
    <row r="1801" spans="1:29" ht="12.5">
      <c r="A1801" s="5">
        <f ca="1">IFERROR(__xludf.DUMMYFUNCTION("""COMPUTED_VALUE"""),73754)</f>
        <v>73754</v>
      </c>
      <c r="B1801" s="5"/>
      <c r="C1801" s="5" t="str">
        <f ca="1">IFERROR(__xludf.DUMMYFUNCTION("""COMPUTED_VALUE"""),"Bihor")</f>
        <v>Bihor</v>
      </c>
      <c r="D1801" s="13">
        <f ca="1">IFERROR(__xludf.DUMMYFUNCTION("""COMPUTED_VALUE"""),44063)</f>
        <v>44063</v>
      </c>
      <c r="E1801" s="5" t="str">
        <f ca="1">IFERROR(__xludf.DUMMYFUNCTION("""COMPUTED_VALUE"""),"Nu")</f>
        <v>Nu</v>
      </c>
      <c r="F1801" s="5"/>
      <c r="G1801" s="5"/>
      <c r="H1801" s="6"/>
      <c r="I1801" s="5"/>
      <c r="J1801" s="5"/>
      <c r="K1801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01" s="5"/>
      <c r="M1801" s="5" t="str">
        <f ca="1">IFERROR(__xludf.DUMMYFUNCTION("""COMPUTED_VALUE"""),"Oradea")</f>
        <v>Oradea</v>
      </c>
      <c r="N1801" s="5"/>
      <c r="O1801" s="5"/>
      <c r="P1801" s="5" t="str">
        <f ca="1">IFERROR(__xludf.DUMMYFUNCTION("""COMPUTED_VALUE"""),"SJU, cadru medical.")</f>
        <v>SJU, cadru medical.</v>
      </c>
      <c r="Q1801" s="5" t="str">
        <f ca="1">IFERROR(__xludf.DUMMYFUNCTION("""COMPUTED_VALUE"""),"Medical")</f>
        <v>Medical</v>
      </c>
      <c r="R1801" s="5" t="str">
        <f ca="1">IFERROR(__xludf.DUMMYFUNCTION("""COMPUTED_VALUE"""),"România")</f>
        <v>România</v>
      </c>
      <c r="S1801" s="5" t="str">
        <f ca="1">IFERROR(__xludf.DUMMYFUNCTION("""COMPUTED_VALUE"""),"Octavian")</f>
        <v>Octavian</v>
      </c>
      <c r="T1801" s="7" t="str">
        <f ca="1">IFERROR(__xludf.DUMMYFUNCTION("""COMPUTED_VALUE"""),"http://www.ms.ro/2020/08/20/buletin-informativ-20-08-2020")</f>
        <v>http://www.ms.ro/2020/08/20/buletin-informativ-20-08-2020</v>
      </c>
      <c r="U1801" s="5"/>
      <c r="V1801" s="5"/>
      <c r="W1801" s="5"/>
      <c r="X1801" s="5"/>
      <c r="Y1801" s="5"/>
      <c r="Z1801" s="5"/>
      <c r="AA1801" s="5"/>
      <c r="AB1801" s="5"/>
      <c r="AC1801" s="5"/>
    </row>
    <row r="1802" spans="1:29" ht="12.5">
      <c r="A1802" s="5">
        <f ca="1">IFERROR(__xludf.DUMMYFUNCTION("""COMPUTED_VALUE"""),73755)</f>
        <v>73755</v>
      </c>
      <c r="B1802" s="5"/>
      <c r="C1802" s="5" t="str">
        <f ca="1">IFERROR(__xludf.DUMMYFUNCTION("""COMPUTED_VALUE"""),"Bihor")</f>
        <v>Bihor</v>
      </c>
      <c r="D1802" s="13">
        <f ca="1">IFERROR(__xludf.DUMMYFUNCTION("""COMPUTED_VALUE"""),44063)</f>
        <v>44063</v>
      </c>
      <c r="E1802" s="5" t="str">
        <f ca="1">IFERROR(__xludf.DUMMYFUNCTION("""COMPUTED_VALUE"""),"Nu")</f>
        <v>Nu</v>
      </c>
      <c r="F1802" s="5"/>
      <c r="G1802" s="5"/>
      <c r="H1802" s="6"/>
      <c r="I1802" s="5"/>
      <c r="J1802" s="5"/>
      <c r="K1802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02" s="5"/>
      <c r="M1802" s="5" t="str">
        <f ca="1">IFERROR(__xludf.DUMMYFUNCTION("""COMPUTED_VALUE"""),"Oradea")</f>
        <v>Oradea</v>
      </c>
      <c r="N1802" s="5"/>
      <c r="O1802" s="5"/>
      <c r="P1802" s="5" t="str">
        <f ca="1">IFERROR(__xludf.DUMMYFUNCTION("""COMPUTED_VALUE"""),"SJU, cadru medical.")</f>
        <v>SJU, cadru medical.</v>
      </c>
      <c r="Q1802" s="5" t="str">
        <f ca="1">IFERROR(__xludf.DUMMYFUNCTION("""COMPUTED_VALUE"""),"Medical")</f>
        <v>Medical</v>
      </c>
      <c r="R1802" s="5" t="str">
        <f ca="1">IFERROR(__xludf.DUMMYFUNCTION("""COMPUTED_VALUE"""),"România")</f>
        <v>România</v>
      </c>
      <c r="S1802" s="5" t="str">
        <f ca="1">IFERROR(__xludf.DUMMYFUNCTION("""COMPUTED_VALUE"""),"Octavian")</f>
        <v>Octavian</v>
      </c>
      <c r="T1802" s="7" t="str">
        <f ca="1">IFERROR(__xludf.DUMMYFUNCTION("""COMPUTED_VALUE"""),"http://www.ms.ro/2020/08/20/buletin-informativ-20-08-2020")</f>
        <v>http://www.ms.ro/2020/08/20/buletin-informativ-20-08-2020</v>
      </c>
      <c r="U1802" s="5"/>
      <c r="V1802" s="5"/>
      <c r="W1802" s="5"/>
      <c r="X1802" s="5"/>
      <c r="Y1802" s="5"/>
      <c r="Z1802" s="5"/>
      <c r="AA1802" s="5"/>
      <c r="AB1802" s="5"/>
      <c r="AC1802" s="5"/>
    </row>
    <row r="1803" spans="1:29" ht="12.5">
      <c r="A1803" s="5">
        <f ca="1">IFERROR(__xludf.DUMMYFUNCTION("""COMPUTED_VALUE"""),73756)</f>
        <v>73756</v>
      </c>
      <c r="B1803" s="5"/>
      <c r="C1803" s="5" t="str">
        <f ca="1">IFERROR(__xludf.DUMMYFUNCTION("""COMPUTED_VALUE"""),"Bihor")</f>
        <v>Bihor</v>
      </c>
      <c r="D1803" s="13">
        <f ca="1">IFERROR(__xludf.DUMMYFUNCTION("""COMPUTED_VALUE"""),44063)</f>
        <v>44063</v>
      </c>
      <c r="E1803" s="5" t="str">
        <f ca="1">IFERROR(__xludf.DUMMYFUNCTION("""COMPUTED_VALUE"""),"Nu")</f>
        <v>Nu</v>
      </c>
      <c r="F1803" s="5"/>
      <c r="G1803" s="5"/>
      <c r="H1803" s="6"/>
      <c r="I1803" s="5"/>
      <c r="J1803" s="5"/>
      <c r="K1803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03" s="5"/>
      <c r="M1803" s="5" t="str">
        <f ca="1">IFERROR(__xludf.DUMMYFUNCTION("""COMPUTED_VALUE"""),"Beiuș")</f>
        <v>Beiuș</v>
      </c>
      <c r="N1803" s="5"/>
      <c r="O1803" s="5"/>
      <c r="P1803" s="5" t="str">
        <f ca="1">IFERROR(__xludf.DUMMYFUNCTION("""COMPUTED_VALUE"""),"Spital Beiuș, pacient.")</f>
        <v>Spital Beiuș, pacient.</v>
      </c>
      <c r="Q1803" s="5" t="str">
        <f ca="1">IFERROR(__xludf.DUMMYFUNCTION("""COMPUTED_VALUE"""),"Medical")</f>
        <v>Medical</v>
      </c>
      <c r="R1803" s="5" t="str">
        <f ca="1">IFERROR(__xludf.DUMMYFUNCTION("""COMPUTED_VALUE"""),"România")</f>
        <v>România</v>
      </c>
      <c r="S1803" s="5" t="str">
        <f ca="1">IFERROR(__xludf.DUMMYFUNCTION("""COMPUTED_VALUE"""),"Octavian")</f>
        <v>Octavian</v>
      </c>
      <c r="T1803" s="7" t="str">
        <f ca="1">IFERROR(__xludf.DUMMYFUNCTION("""COMPUTED_VALUE"""),"http://www.ms.ro/2020/08/20/buletin-informativ-20-08-2020")</f>
        <v>http://www.ms.ro/2020/08/20/buletin-informativ-20-08-2020</v>
      </c>
      <c r="U1803" s="5"/>
      <c r="V1803" s="5"/>
      <c r="W1803" s="5"/>
      <c r="X1803" s="5"/>
      <c r="Y1803" s="5"/>
      <c r="Z1803" s="5"/>
      <c r="AA1803" s="5"/>
      <c r="AB1803" s="5"/>
      <c r="AC1803" s="5"/>
    </row>
    <row r="1804" spans="1:29" ht="12.5">
      <c r="A1804" s="5">
        <f ca="1">IFERROR(__xludf.DUMMYFUNCTION("""COMPUTED_VALUE"""),73757)</f>
        <v>73757</v>
      </c>
      <c r="B1804" s="5"/>
      <c r="C1804" s="5" t="str">
        <f ca="1">IFERROR(__xludf.DUMMYFUNCTION("""COMPUTED_VALUE"""),"Bihor")</f>
        <v>Bihor</v>
      </c>
      <c r="D1804" s="13">
        <f ca="1">IFERROR(__xludf.DUMMYFUNCTION("""COMPUTED_VALUE"""),44063)</f>
        <v>44063</v>
      </c>
      <c r="E1804" s="5" t="str">
        <f ca="1">IFERROR(__xludf.DUMMYFUNCTION("""COMPUTED_VALUE"""),"Nu")</f>
        <v>Nu</v>
      </c>
      <c r="F1804" s="5"/>
      <c r="G1804" s="5"/>
      <c r="H1804" s="6"/>
      <c r="I1804" s="5"/>
      <c r="J1804" s="5"/>
      <c r="K1804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04" s="5"/>
      <c r="M1804" s="5" t="str">
        <f ca="1">IFERROR(__xludf.DUMMYFUNCTION("""COMPUTED_VALUE"""),"Beiuș")</f>
        <v>Beiuș</v>
      </c>
      <c r="N1804" s="5"/>
      <c r="O1804" s="5"/>
      <c r="P1804" s="5" t="str">
        <f ca="1">IFERROR(__xludf.DUMMYFUNCTION("""COMPUTED_VALUE"""),"Spital Beiuș, pacient.")</f>
        <v>Spital Beiuș, pacient.</v>
      </c>
      <c r="Q1804" s="5" t="str">
        <f ca="1">IFERROR(__xludf.DUMMYFUNCTION("""COMPUTED_VALUE"""),"Medical")</f>
        <v>Medical</v>
      </c>
      <c r="R1804" s="5" t="str">
        <f ca="1">IFERROR(__xludf.DUMMYFUNCTION("""COMPUTED_VALUE"""),"România")</f>
        <v>România</v>
      </c>
      <c r="S1804" s="5" t="str">
        <f ca="1">IFERROR(__xludf.DUMMYFUNCTION("""COMPUTED_VALUE"""),"Octavian")</f>
        <v>Octavian</v>
      </c>
      <c r="T1804" s="7" t="str">
        <f ca="1">IFERROR(__xludf.DUMMYFUNCTION("""COMPUTED_VALUE"""),"http://www.ms.ro/2020/08/20/buletin-informativ-20-08-2020")</f>
        <v>http://www.ms.ro/2020/08/20/buletin-informativ-20-08-2020</v>
      </c>
      <c r="U1804" s="5"/>
      <c r="V1804" s="5"/>
      <c r="W1804" s="5"/>
      <c r="X1804" s="5"/>
      <c r="Y1804" s="5"/>
      <c r="Z1804" s="5"/>
      <c r="AA1804" s="5"/>
      <c r="AB1804" s="5"/>
      <c r="AC1804" s="5"/>
    </row>
    <row r="1805" spans="1:29" ht="12.5">
      <c r="A1805" s="5">
        <f ca="1">IFERROR(__xludf.DUMMYFUNCTION("""COMPUTED_VALUE"""),73758)</f>
        <v>73758</v>
      </c>
      <c r="B1805" s="5"/>
      <c r="C1805" s="5" t="str">
        <f ca="1">IFERROR(__xludf.DUMMYFUNCTION("""COMPUTED_VALUE"""),"Bihor")</f>
        <v>Bihor</v>
      </c>
      <c r="D1805" s="13">
        <f ca="1">IFERROR(__xludf.DUMMYFUNCTION("""COMPUTED_VALUE"""),44063)</f>
        <v>44063</v>
      </c>
      <c r="E1805" s="5" t="str">
        <f ca="1">IFERROR(__xludf.DUMMYFUNCTION("""COMPUTED_VALUE"""),"Nu")</f>
        <v>Nu</v>
      </c>
      <c r="F1805" s="5"/>
      <c r="G1805" s="5"/>
      <c r="H1805" s="6"/>
      <c r="I1805" s="5"/>
      <c r="J1805" s="5"/>
      <c r="K1805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05" s="5"/>
      <c r="M1805" s="5" t="str">
        <f ca="1">IFERROR(__xludf.DUMMYFUNCTION("""COMPUTED_VALUE"""),"Beiuș")</f>
        <v>Beiuș</v>
      </c>
      <c r="N1805" s="5"/>
      <c r="O1805" s="5"/>
      <c r="P1805" s="5" t="str">
        <f ca="1">IFERROR(__xludf.DUMMYFUNCTION("""COMPUTED_VALUE"""),"Spital Beiuș, pacient.")</f>
        <v>Spital Beiuș, pacient.</v>
      </c>
      <c r="Q1805" s="5" t="str">
        <f ca="1">IFERROR(__xludf.DUMMYFUNCTION("""COMPUTED_VALUE"""),"Medical")</f>
        <v>Medical</v>
      </c>
      <c r="R1805" s="5" t="str">
        <f ca="1">IFERROR(__xludf.DUMMYFUNCTION("""COMPUTED_VALUE"""),"România")</f>
        <v>România</v>
      </c>
      <c r="S1805" s="5" t="str">
        <f ca="1">IFERROR(__xludf.DUMMYFUNCTION("""COMPUTED_VALUE"""),"Octavian")</f>
        <v>Octavian</v>
      </c>
      <c r="T1805" s="7" t="str">
        <f ca="1">IFERROR(__xludf.DUMMYFUNCTION("""COMPUTED_VALUE"""),"http://www.ms.ro/2020/08/20/buletin-informativ-20-08-2020")</f>
        <v>http://www.ms.ro/2020/08/20/buletin-informativ-20-08-2020</v>
      </c>
      <c r="U1805" s="5"/>
      <c r="V1805" s="5"/>
      <c r="W1805" s="5"/>
      <c r="X1805" s="5"/>
      <c r="Y1805" s="5"/>
      <c r="Z1805" s="5"/>
      <c r="AA1805" s="5"/>
      <c r="AB1805" s="5"/>
      <c r="AC1805" s="5"/>
    </row>
    <row r="1806" spans="1:29" ht="12.5">
      <c r="A1806" s="5">
        <f ca="1">IFERROR(__xludf.DUMMYFUNCTION("""COMPUTED_VALUE"""),73759)</f>
        <v>73759</v>
      </c>
      <c r="B1806" s="5"/>
      <c r="C1806" s="5" t="str">
        <f ca="1">IFERROR(__xludf.DUMMYFUNCTION("""COMPUTED_VALUE"""),"Bihor")</f>
        <v>Bihor</v>
      </c>
      <c r="D1806" s="13">
        <f ca="1">IFERROR(__xludf.DUMMYFUNCTION("""COMPUTED_VALUE"""),44063)</f>
        <v>44063</v>
      </c>
      <c r="E1806" s="5" t="str">
        <f ca="1">IFERROR(__xludf.DUMMYFUNCTION("""COMPUTED_VALUE"""),"Nu")</f>
        <v>Nu</v>
      </c>
      <c r="F1806" s="5"/>
      <c r="G1806" s="5"/>
      <c r="H1806" s="6"/>
      <c r="I1806" s="5"/>
      <c r="J1806" s="5"/>
      <c r="K1806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06" s="5"/>
      <c r="M1806" s="5" t="str">
        <f ca="1">IFERROR(__xludf.DUMMYFUNCTION("""COMPUTED_VALUE"""),"Salonta")</f>
        <v>Salonta</v>
      </c>
      <c r="N1806" s="5"/>
      <c r="O1806" s="5"/>
      <c r="P1806" s="5" t="str">
        <f ca="1">IFERROR(__xludf.DUMMYFUNCTION("""COMPUTED_VALUE"""),"Spital Salonta, pacient.")</f>
        <v>Spital Salonta, pacient.</v>
      </c>
      <c r="Q1806" s="5" t="str">
        <f ca="1">IFERROR(__xludf.DUMMYFUNCTION("""COMPUTED_VALUE"""),"Medical")</f>
        <v>Medical</v>
      </c>
      <c r="R1806" s="5" t="str">
        <f ca="1">IFERROR(__xludf.DUMMYFUNCTION("""COMPUTED_VALUE"""),"România")</f>
        <v>România</v>
      </c>
      <c r="S1806" s="5" t="str">
        <f ca="1">IFERROR(__xludf.DUMMYFUNCTION("""COMPUTED_VALUE"""),"Octavian")</f>
        <v>Octavian</v>
      </c>
      <c r="T1806" s="7" t="str">
        <f ca="1">IFERROR(__xludf.DUMMYFUNCTION("""COMPUTED_VALUE"""),"http://www.ms.ro/2020/08/20/buletin-informativ-20-08-2020")</f>
        <v>http://www.ms.ro/2020/08/20/buletin-informativ-20-08-2020</v>
      </c>
      <c r="U1806" s="5"/>
      <c r="V1806" s="5"/>
      <c r="W1806" s="5"/>
      <c r="X1806" s="5"/>
      <c r="Y1806" s="5"/>
      <c r="Z1806" s="5"/>
      <c r="AA1806" s="5"/>
      <c r="AB1806" s="5"/>
      <c r="AC1806" s="5"/>
    </row>
    <row r="1807" spans="1:29" ht="12.5">
      <c r="A1807" s="5">
        <f ca="1">IFERROR(__xludf.DUMMYFUNCTION("""COMPUTED_VALUE"""),73760)</f>
        <v>73760</v>
      </c>
      <c r="B1807" s="5"/>
      <c r="C1807" s="5" t="str">
        <f ca="1">IFERROR(__xludf.DUMMYFUNCTION("""COMPUTED_VALUE"""),"Bihor")</f>
        <v>Bihor</v>
      </c>
      <c r="D1807" s="13">
        <f ca="1">IFERROR(__xludf.DUMMYFUNCTION("""COMPUTED_VALUE"""),44063)</f>
        <v>44063</v>
      </c>
      <c r="E1807" s="5" t="str">
        <f ca="1">IFERROR(__xludf.DUMMYFUNCTION("""COMPUTED_VALUE"""),"Nu")</f>
        <v>Nu</v>
      </c>
      <c r="F1807" s="5"/>
      <c r="G1807" s="5"/>
      <c r="H1807" s="6"/>
      <c r="I1807" s="5"/>
      <c r="J1807" s="5"/>
      <c r="K1807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07" s="5"/>
      <c r="M1807" s="5" t="str">
        <f ca="1">IFERROR(__xludf.DUMMYFUNCTION("""COMPUTED_VALUE"""),"Salonta")</f>
        <v>Salonta</v>
      </c>
      <c r="N1807" s="5"/>
      <c r="O1807" s="5"/>
      <c r="P1807" s="5" t="str">
        <f ca="1">IFERROR(__xludf.DUMMYFUNCTION("""COMPUTED_VALUE"""),"Spital Salonta, pacient.")</f>
        <v>Spital Salonta, pacient.</v>
      </c>
      <c r="Q1807" s="5" t="str">
        <f ca="1">IFERROR(__xludf.DUMMYFUNCTION("""COMPUTED_VALUE"""),"Medical")</f>
        <v>Medical</v>
      </c>
      <c r="R1807" s="5" t="str">
        <f ca="1">IFERROR(__xludf.DUMMYFUNCTION("""COMPUTED_VALUE"""),"România")</f>
        <v>România</v>
      </c>
      <c r="S1807" s="5" t="str">
        <f ca="1">IFERROR(__xludf.DUMMYFUNCTION("""COMPUTED_VALUE"""),"Octavian")</f>
        <v>Octavian</v>
      </c>
      <c r="T1807" s="7" t="str">
        <f ca="1">IFERROR(__xludf.DUMMYFUNCTION("""COMPUTED_VALUE"""),"http://www.ms.ro/2020/08/20/buletin-informativ-20-08-2020")</f>
        <v>http://www.ms.ro/2020/08/20/buletin-informativ-20-08-2020</v>
      </c>
      <c r="U1807" s="5"/>
      <c r="V1807" s="5"/>
      <c r="W1807" s="5"/>
      <c r="X1807" s="5"/>
      <c r="Y1807" s="5"/>
      <c r="Z1807" s="5"/>
      <c r="AA1807" s="5"/>
      <c r="AB1807" s="5"/>
      <c r="AC1807" s="5"/>
    </row>
    <row r="1808" spans="1:29" ht="12.5">
      <c r="A1808" s="5">
        <f ca="1">IFERROR(__xludf.DUMMYFUNCTION("""COMPUTED_VALUE"""),73761)</f>
        <v>73761</v>
      </c>
      <c r="B1808" s="5"/>
      <c r="C1808" s="5" t="str">
        <f ca="1">IFERROR(__xludf.DUMMYFUNCTION("""COMPUTED_VALUE"""),"Bihor")</f>
        <v>Bihor</v>
      </c>
      <c r="D1808" s="13">
        <f ca="1">IFERROR(__xludf.DUMMYFUNCTION("""COMPUTED_VALUE"""),44063)</f>
        <v>44063</v>
      </c>
      <c r="E1808" s="5" t="str">
        <f ca="1">IFERROR(__xludf.DUMMYFUNCTION("""COMPUTED_VALUE"""),"Nu")</f>
        <v>Nu</v>
      </c>
      <c r="F1808" s="5"/>
      <c r="G1808" s="5"/>
      <c r="H1808" s="6"/>
      <c r="I1808" s="5"/>
      <c r="J1808" s="5"/>
      <c r="K1808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08" s="5"/>
      <c r="M1808" s="5" t="str">
        <f ca="1">IFERROR(__xludf.DUMMYFUNCTION("""COMPUTED_VALUE"""),"Salonta")</f>
        <v>Salonta</v>
      </c>
      <c r="N1808" s="5"/>
      <c r="O1808" s="5"/>
      <c r="P1808" s="5" t="str">
        <f ca="1">IFERROR(__xludf.DUMMYFUNCTION("""COMPUTED_VALUE"""),"Spital Salonta, pacient.")</f>
        <v>Spital Salonta, pacient.</v>
      </c>
      <c r="Q1808" s="5" t="str">
        <f ca="1">IFERROR(__xludf.DUMMYFUNCTION("""COMPUTED_VALUE"""),"Medical")</f>
        <v>Medical</v>
      </c>
      <c r="R1808" s="5" t="str">
        <f ca="1">IFERROR(__xludf.DUMMYFUNCTION("""COMPUTED_VALUE"""),"România")</f>
        <v>România</v>
      </c>
      <c r="S1808" s="5" t="str">
        <f ca="1">IFERROR(__xludf.DUMMYFUNCTION("""COMPUTED_VALUE"""),"Octavian")</f>
        <v>Octavian</v>
      </c>
      <c r="T1808" s="7" t="str">
        <f ca="1">IFERROR(__xludf.DUMMYFUNCTION("""COMPUTED_VALUE"""),"http://www.ms.ro/2020/08/20/buletin-informativ-20-08-2020")</f>
        <v>http://www.ms.ro/2020/08/20/buletin-informativ-20-08-2020</v>
      </c>
      <c r="U1808" s="5"/>
      <c r="V1808" s="5"/>
      <c r="W1808" s="5"/>
      <c r="X1808" s="5"/>
      <c r="Y1808" s="5"/>
      <c r="Z1808" s="5"/>
      <c r="AA1808" s="5"/>
      <c r="AB1808" s="5"/>
      <c r="AC1808" s="5"/>
    </row>
    <row r="1809" spans="1:29" ht="12.5">
      <c r="A1809" s="5">
        <f ca="1">IFERROR(__xludf.DUMMYFUNCTION("""COMPUTED_VALUE"""),73762)</f>
        <v>73762</v>
      </c>
      <c r="B1809" s="5"/>
      <c r="C1809" s="5" t="str">
        <f ca="1">IFERROR(__xludf.DUMMYFUNCTION("""COMPUTED_VALUE"""),"Bihor")</f>
        <v>Bihor</v>
      </c>
      <c r="D1809" s="13">
        <f ca="1">IFERROR(__xludf.DUMMYFUNCTION("""COMPUTED_VALUE"""),44063)</f>
        <v>44063</v>
      </c>
      <c r="E1809" s="5" t="str">
        <f ca="1">IFERROR(__xludf.DUMMYFUNCTION("""COMPUTED_VALUE"""),"Nu")</f>
        <v>Nu</v>
      </c>
      <c r="F1809" s="5"/>
      <c r="G1809" s="5"/>
      <c r="H1809" s="6"/>
      <c r="I1809" s="5"/>
      <c r="J1809" s="5"/>
      <c r="K1809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09" s="5"/>
      <c r="M1809" s="5" t="str">
        <f ca="1">IFERROR(__xludf.DUMMYFUNCTION("""COMPUTED_VALUE"""),"Oradea")</f>
        <v>Oradea</v>
      </c>
      <c r="N1809" s="5"/>
      <c r="O1809" s="5"/>
      <c r="P1809" s="5" t="str">
        <f ca="1">IFERROR(__xludf.DUMMYFUNCTION("""COMPUTED_VALUE"""),"SM Oradea, cadru medical.")</f>
        <v>SM Oradea, cadru medical.</v>
      </c>
      <c r="Q1809" s="5" t="str">
        <f ca="1">IFERROR(__xludf.DUMMYFUNCTION("""COMPUTED_VALUE"""),"Medical")</f>
        <v>Medical</v>
      </c>
      <c r="R1809" s="5" t="str">
        <f ca="1">IFERROR(__xludf.DUMMYFUNCTION("""COMPUTED_VALUE"""),"România")</f>
        <v>România</v>
      </c>
      <c r="S1809" s="5" t="str">
        <f ca="1">IFERROR(__xludf.DUMMYFUNCTION("""COMPUTED_VALUE"""),"Octavian")</f>
        <v>Octavian</v>
      </c>
      <c r="T1809" s="7" t="str">
        <f ca="1">IFERROR(__xludf.DUMMYFUNCTION("""COMPUTED_VALUE"""),"http://www.ms.ro/2020/08/20/buletin-informativ-20-08-2020")</f>
        <v>http://www.ms.ro/2020/08/20/buletin-informativ-20-08-2020</v>
      </c>
      <c r="U1809" s="5"/>
      <c r="V1809" s="5"/>
      <c r="W1809" s="5"/>
      <c r="X1809" s="5"/>
      <c r="Y1809" s="5"/>
      <c r="Z1809" s="5"/>
      <c r="AA1809" s="5"/>
      <c r="AB1809" s="5"/>
      <c r="AC1809" s="5"/>
    </row>
    <row r="1810" spans="1:29" ht="12.5">
      <c r="A1810" s="5">
        <f ca="1">IFERROR(__xludf.DUMMYFUNCTION("""COMPUTED_VALUE"""),73763)</f>
        <v>73763</v>
      </c>
      <c r="B1810" s="5"/>
      <c r="C1810" s="5" t="str">
        <f ca="1">IFERROR(__xludf.DUMMYFUNCTION("""COMPUTED_VALUE"""),"Bihor")</f>
        <v>Bihor</v>
      </c>
      <c r="D1810" s="13">
        <f ca="1">IFERROR(__xludf.DUMMYFUNCTION("""COMPUTED_VALUE"""),44063)</f>
        <v>44063</v>
      </c>
      <c r="E1810" s="5" t="str">
        <f ca="1">IFERROR(__xludf.DUMMYFUNCTION("""COMPUTED_VALUE"""),"Nu")</f>
        <v>Nu</v>
      </c>
      <c r="F1810" s="5"/>
      <c r="G1810" s="5"/>
      <c r="H1810" s="6"/>
      <c r="I1810" s="5"/>
      <c r="J1810" s="5"/>
      <c r="K1810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10" s="5"/>
      <c r="M1810" s="5" t="str">
        <f ca="1">IFERROR(__xludf.DUMMYFUNCTION("""COMPUTED_VALUE"""),"Oradea")</f>
        <v>Oradea</v>
      </c>
      <c r="N1810" s="5"/>
      <c r="O1810" s="5"/>
      <c r="P1810" s="5" t="str">
        <f ca="1">IFERROR(__xludf.DUMMYFUNCTION("""COMPUTED_VALUE"""),"Spitalul Militar Oradea, cadru medical.")</f>
        <v>Spitalul Militar Oradea, cadru medical.</v>
      </c>
      <c r="Q1810" s="5" t="str">
        <f ca="1">IFERROR(__xludf.DUMMYFUNCTION("""COMPUTED_VALUE"""),"Medical")</f>
        <v>Medical</v>
      </c>
      <c r="R1810" s="5" t="str">
        <f ca="1">IFERROR(__xludf.DUMMYFUNCTION("""COMPUTED_VALUE"""),"România")</f>
        <v>România</v>
      </c>
      <c r="S1810" s="5" t="str">
        <f ca="1">IFERROR(__xludf.DUMMYFUNCTION("""COMPUTED_VALUE"""),"Octavian")</f>
        <v>Octavian</v>
      </c>
      <c r="T1810" s="7" t="str">
        <f ca="1">IFERROR(__xludf.DUMMYFUNCTION("""COMPUTED_VALUE"""),"http://www.ms.ro/2020/08/20/buletin-informativ-20-08-2020")</f>
        <v>http://www.ms.ro/2020/08/20/buletin-informativ-20-08-2020</v>
      </c>
      <c r="U1810" s="5"/>
      <c r="V1810" s="5"/>
      <c r="W1810" s="5"/>
      <c r="X1810" s="5"/>
      <c r="Y1810" s="5"/>
      <c r="Z1810" s="5"/>
      <c r="AA1810" s="5"/>
      <c r="AB1810" s="5"/>
      <c r="AC1810" s="5"/>
    </row>
    <row r="1811" spans="1:29" ht="12.5">
      <c r="A1811" s="5">
        <f ca="1">IFERROR(__xludf.DUMMYFUNCTION("""COMPUTED_VALUE"""),73764)</f>
        <v>73764</v>
      </c>
      <c r="B1811" s="5"/>
      <c r="C1811" s="5" t="str">
        <f ca="1">IFERROR(__xludf.DUMMYFUNCTION("""COMPUTED_VALUE"""),"Bihor")</f>
        <v>Bihor</v>
      </c>
      <c r="D1811" s="13">
        <f ca="1">IFERROR(__xludf.DUMMYFUNCTION("""COMPUTED_VALUE"""),44063)</f>
        <v>44063</v>
      </c>
      <c r="E1811" s="5" t="str">
        <f ca="1">IFERROR(__xludf.DUMMYFUNCTION("""COMPUTED_VALUE"""),"Nu")</f>
        <v>Nu</v>
      </c>
      <c r="F1811" s="5"/>
      <c r="G1811" s="5"/>
      <c r="H1811" s="6"/>
      <c r="I1811" s="5"/>
      <c r="J1811" s="5"/>
      <c r="K1811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11" s="5"/>
      <c r="M1811" s="5" t="str">
        <f ca="1">IFERROR(__xludf.DUMMYFUNCTION("""COMPUTED_VALUE"""),"Oradea")</f>
        <v>Oradea</v>
      </c>
      <c r="N1811" s="5"/>
      <c r="O1811" s="5"/>
      <c r="P1811" s="5" t="str">
        <f ca="1">IFERROR(__xludf.DUMMYFUNCTION("""COMPUTED_VALUE"""),"Plexus, angajat fabrică.")</f>
        <v>Plexus, angajat fabrică.</v>
      </c>
      <c r="Q1811" s="5" t="str">
        <f ca="1">IFERROR(__xludf.DUMMYFUNCTION("""COMPUTED_VALUE"""),"Comunitar")</f>
        <v>Comunitar</v>
      </c>
      <c r="R1811" s="5" t="str">
        <f ca="1">IFERROR(__xludf.DUMMYFUNCTION("""COMPUTED_VALUE"""),"România")</f>
        <v>România</v>
      </c>
      <c r="S1811" s="5" t="str">
        <f ca="1">IFERROR(__xludf.DUMMYFUNCTION("""COMPUTED_VALUE"""),"Octavian")</f>
        <v>Octavian</v>
      </c>
      <c r="T1811" s="7" t="str">
        <f ca="1">IFERROR(__xludf.DUMMYFUNCTION("""COMPUTED_VALUE"""),"http://www.ms.ro/2020/08/20/buletin-informativ-20-08-2020")</f>
        <v>http://www.ms.ro/2020/08/20/buletin-informativ-20-08-2020</v>
      </c>
      <c r="U1811" s="5"/>
      <c r="V1811" s="5"/>
      <c r="W1811" s="5"/>
      <c r="X1811" s="5"/>
      <c r="Y1811" s="5"/>
      <c r="Z1811" s="5"/>
      <c r="AA1811" s="5"/>
      <c r="AB1811" s="5"/>
      <c r="AC1811" s="5"/>
    </row>
    <row r="1812" spans="1:29" ht="12.5">
      <c r="A1812" s="5">
        <f ca="1">IFERROR(__xludf.DUMMYFUNCTION("""COMPUTED_VALUE"""),73765)</f>
        <v>73765</v>
      </c>
      <c r="B1812" s="5">
        <f ca="1">IFERROR(__xludf.DUMMYFUNCTION("""COMPUTED_VALUE"""),73764)</f>
        <v>73764</v>
      </c>
      <c r="C1812" s="5" t="str">
        <f ca="1">IFERROR(__xludf.DUMMYFUNCTION("""COMPUTED_VALUE"""),"Bihor")</f>
        <v>Bihor</v>
      </c>
      <c r="D1812" s="13">
        <f ca="1">IFERROR(__xludf.DUMMYFUNCTION("""COMPUTED_VALUE"""),44063)</f>
        <v>44063</v>
      </c>
      <c r="E1812" s="5" t="str">
        <f ca="1">IFERROR(__xludf.DUMMYFUNCTION("""COMPUTED_VALUE"""),"Nu")</f>
        <v>Nu</v>
      </c>
      <c r="F1812" s="5"/>
      <c r="G1812" s="5"/>
      <c r="H1812" s="6"/>
      <c r="I1812" s="5"/>
      <c r="J1812" s="5"/>
      <c r="K1812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12" s="5"/>
      <c r="M1812" s="5" t="str">
        <f ca="1">IFERROR(__xludf.DUMMYFUNCTION("""COMPUTED_VALUE"""),"Oradea")</f>
        <v>Oradea</v>
      </c>
      <c r="N1812" s="5"/>
      <c r="O1812" s="5"/>
      <c r="P1812" s="5" t="str">
        <f ca="1">IFERROR(__xludf.DUMMYFUNCTION("""COMPUTED_VALUE"""),"Plexus, angajat fabrică.")</f>
        <v>Plexus, angajat fabrică.</v>
      </c>
      <c r="Q1812" s="5" t="str">
        <f ca="1">IFERROR(__xludf.DUMMYFUNCTION("""COMPUTED_VALUE"""),"Comunitar")</f>
        <v>Comunitar</v>
      </c>
      <c r="R1812" s="5" t="str">
        <f ca="1">IFERROR(__xludf.DUMMYFUNCTION("""COMPUTED_VALUE"""),"România")</f>
        <v>România</v>
      </c>
      <c r="S1812" s="5" t="str">
        <f ca="1">IFERROR(__xludf.DUMMYFUNCTION("""COMPUTED_VALUE"""),"Octavian")</f>
        <v>Octavian</v>
      </c>
      <c r="T1812" s="7" t="str">
        <f ca="1">IFERROR(__xludf.DUMMYFUNCTION("""COMPUTED_VALUE"""),"http://www.ms.ro/2020/08/20/buletin-informativ-20-08-2020")</f>
        <v>http://www.ms.ro/2020/08/20/buletin-informativ-20-08-2020</v>
      </c>
      <c r="U1812" s="5"/>
      <c r="V1812" s="5"/>
      <c r="W1812" s="5"/>
      <c r="X1812" s="5"/>
      <c r="Y1812" s="5"/>
      <c r="Z1812" s="5"/>
      <c r="AA1812" s="5"/>
      <c r="AB1812" s="5"/>
      <c r="AC1812" s="5"/>
    </row>
    <row r="1813" spans="1:29" ht="12.5">
      <c r="A1813" s="5">
        <f ca="1">IFERROR(__xludf.DUMMYFUNCTION("""COMPUTED_VALUE"""),73766)</f>
        <v>73766</v>
      </c>
      <c r="B1813" s="5"/>
      <c r="C1813" s="5" t="str">
        <f ca="1">IFERROR(__xludf.DUMMYFUNCTION("""COMPUTED_VALUE"""),"Bihor")</f>
        <v>Bihor</v>
      </c>
      <c r="D1813" s="13">
        <f ca="1">IFERROR(__xludf.DUMMYFUNCTION("""COMPUTED_VALUE"""),44063)</f>
        <v>44063</v>
      </c>
      <c r="E1813" s="5" t="str">
        <f ca="1">IFERROR(__xludf.DUMMYFUNCTION("""COMPUTED_VALUE"""),"Nu")</f>
        <v>Nu</v>
      </c>
      <c r="F1813" s="5"/>
      <c r="G1813" s="5"/>
      <c r="H1813" s="6"/>
      <c r="I1813" s="5"/>
      <c r="J1813" s="5"/>
      <c r="K1813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13" s="5"/>
      <c r="M1813" s="5" t="str">
        <f ca="1">IFERROR(__xludf.DUMMYFUNCTION("""COMPUTED_VALUE"""),"Tulca")</f>
        <v>Tulca</v>
      </c>
      <c r="N1813" s="5"/>
      <c r="O1813" s="5"/>
      <c r="P1813" s="5"/>
      <c r="Q1813" s="5"/>
      <c r="R1813" s="5" t="str">
        <f ca="1">IFERROR(__xludf.DUMMYFUNCTION("""COMPUTED_VALUE"""),"România")</f>
        <v>România</v>
      </c>
      <c r="S1813" s="5" t="str">
        <f ca="1">IFERROR(__xludf.DUMMYFUNCTION("""COMPUTED_VALUE"""),"Octavian")</f>
        <v>Octavian</v>
      </c>
      <c r="T1813" s="7" t="str">
        <f ca="1">IFERROR(__xludf.DUMMYFUNCTION("""COMPUTED_VALUE"""),"http://www.ms.ro/2020/08/20/buletin-informativ-20-08-2020")</f>
        <v>http://www.ms.ro/2020/08/20/buletin-informativ-20-08-2020</v>
      </c>
      <c r="U1813" s="5"/>
      <c r="V1813" s="5"/>
      <c r="W1813" s="5"/>
      <c r="X1813" s="5"/>
      <c r="Y1813" s="5"/>
      <c r="Z1813" s="5"/>
      <c r="AA1813" s="5"/>
      <c r="AB1813" s="5"/>
      <c r="AC1813" s="5"/>
    </row>
    <row r="1814" spans="1:29" ht="12.5">
      <c r="A1814" s="5">
        <f ca="1">IFERROR(__xludf.DUMMYFUNCTION("""COMPUTED_VALUE"""),73767)</f>
        <v>73767</v>
      </c>
      <c r="B1814" s="5"/>
      <c r="C1814" s="5" t="str">
        <f ca="1">IFERROR(__xludf.DUMMYFUNCTION("""COMPUTED_VALUE"""),"Bihor")</f>
        <v>Bihor</v>
      </c>
      <c r="D1814" s="13">
        <f ca="1">IFERROR(__xludf.DUMMYFUNCTION("""COMPUTED_VALUE"""),44063)</f>
        <v>44063</v>
      </c>
      <c r="E1814" s="5" t="str">
        <f ca="1">IFERROR(__xludf.DUMMYFUNCTION("""COMPUTED_VALUE"""),"Nu")</f>
        <v>Nu</v>
      </c>
      <c r="F1814" s="5"/>
      <c r="G1814" s="5"/>
      <c r="H1814" s="6"/>
      <c r="I1814" s="5"/>
      <c r="J1814" s="5"/>
      <c r="K1814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14" s="5"/>
      <c r="M1814" s="5" t="str">
        <f ca="1">IFERROR(__xludf.DUMMYFUNCTION("""COMPUTED_VALUE"""),"Pocola")</f>
        <v>Pocola</v>
      </c>
      <c r="N1814" s="5"/>
      <c r="O1814" s="5"/>
      <c r="P1814" s="5"/>
      <c r="Q1814" s="5"/>
      <c r="R1814" s="5" t="str">
        <f ca="1">IFERROR(__xludf.DUMMYFUNCTION("""COMPUTED_VALUE"""),"România")</f>
        <v>România</v>
      </c>
      <c r="S1814" s="5" t="str">
        <f ca="1">IFERROR(__xludf.DUMMYFUNCTION("""COMPUTED_VALUE"""),"Octavian")</f>
        <v>Octavian</v>
      </c>
      <c r="T1814" s="7" t="str">
        <f ca="1">IFERROR(__xludf.DUMMYFUNCTION("""COMPUTED_VALUE"""),"http://www.ms.ro/2020/08/20/buletin-informativ-20-08-2020")</f>
        <v>http://www.ms.ro/2020/08/20/buletin-informativ-20-08-2020</v>
      </c>
      <c r="U1814" s="5"/>
      <c r="V1814" s="5"/>
      <c r="W1814" s="5"/>
      <c r="X1814" s="5"/>
      <c r="Y1814" s="5"/>
      <c r="Z1814" s="5"/>
      <c r="AA1814" s="5"/>
      <c r="AB1814" s="5"/>
      <c r="AC1814" s="5"/>
    </row>
    <row r="1815" spans="1:29" ht="12.5">
      <c r="A1815" s="5">
        <f ca="1">IFERROR(__xludf.DUMMYFUNCTION("""COMPUTED_VALUE"""),73768)</f>
        <v>73768</v>
      </c>
      <c r="B1815" s="5"/>
      <c r="C1815" s="5" t="str">
        <f ca="1">IFERROR(__xludf.DUMMYFUNCTION("""COMPUTED_VALUE"""),"Bihor")</f>
        <v>Bihor</v>
      </c>
      <c r="D1815" s="13">
        <f ca="1">IFERROR(__xludf.DUMMYFUNCTION("""COMPUTED_VALUE"""),44063)</f>
        <v>44063</v>
      </c>
      <c r="E1815" s="5" t="str">
        <f ca="1">IFERROR(__xludf.DUMMYFUNCTION("""COMPUTED_VALUE"""),"Nu")</f>
        <v>Nu</v>
      </c>
      <c r="F1815" s="5"/>
      <c r="G1815" s="5"/>
      <c r="H1815" s="6"/>
      <c r="I1815" s="5"/>
      <c r="J1815" s="5"/>
      <c r="K1815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15" s="5"/>
      <c r="M1815" s="5" t="str">
        <f ca="1">IFERROR(__xludf.DUMMYFUNCTION("""COMPUTED_VALUE"""),"Ineu")</f>
        <v>Ineu</v>
      </c>
      <c r="N1815" s="5"/>
      <c r="O1815" s="5"/>
      <c r="P1815" s="5"/>
      <c r="Q1815" s="5"/>
      <c r="R1815" s="5" t="str">
        <f ca="1">IFERROR(__xludf.DUMMYFUNCTION("""COMPUTED_VALUE"""),"România")</f>
        <v>România</v>
      </c>
      <c r="S1815" s="5" t="str">
        <f ca="1">IFERROR(__xludf.DUMMYFUNCTION("""COMPUTED_VALUE"""),"Octavian")</f>
        <v>Octavian</v>
      </c>
      <c r="T1815" s="7" t="str">
        <f ca="1">IFERROR(__xludf.DUMMYFUNCTION("""COMPUTED_VALUE"""),"http://www.ms.ro/2020/08/20/buletin-informativ-20-08-2020")</f>
        <v>http://www.ms.ro/2020/08/20/buletin-informativ-20-08-2020</v>
      </c>
      <c r="U1815" s="5"/>
      <c r="V1815" s="5"/>
      <c r="W1815" s="5"/>
      <c r="X1815" s="5"/>
      <c r="Y1815" s="5"/>
      <c r="Z1815" s="5"/>
      <c r="AA1815" s="5"/>
      <c r="AB1815" s="5"/>
      <c r="AC1815" s="5"/>
    </row>
    <row r="1816" spans="1:29" ht="12.5">
      <c r="A1816" s="5">
        <f ca="1">IFERROR(__xludf.DUMMYFUNCTION("""COMPUTED_VALUE"""),73769)</f>
        <v>73769</v>
      </c>
      <c r="B1816" s="5"/>
      <c r="C1816" s="5" t="str">
        <f ca="1">IFERROR(__xludf.DUMMYFUNCTION("""COMPUTED_VALUE"""),"Bihor")</f>
        <v>Bihor</v>
      </c>
      <c r="D1816" s="13">
        <f ca="1">IFERROR(__xludf.DUMMYFUNCTION("""COMPUTED_VALUE"""),44063)</f>
        <v>44063</v>
      </c>
      <c r="E1816" s="5" t="str">
        <f ca="1">IFERROR(__xludf.DUMMYFUNCTION("""COMPUTED_VALUE"""),"Nu")</f>
        <v>Nu</v>
      </c>
      <c r="F1816" s="5"/>
      <c r="G1816" s="5"/>
      <c r="H1816" s="6"/>
      <c r="I1816" s="5"/>
      <c r="J1816" s="5"/>
      <c r="K1816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16" s="5"/>
      <c r="M1816" s="5" t="str">
        <f ca="1">IFERROR(__xludf.DUMMYFUNCTION("""COMPUTED_VALUE"""),"Sârbi")</f>
        <v>Sârbi</v>
      </c>
      <c r="N1816" s="5"/>
      <c r="O1816" s="5"/>
      <c r="P1816" s="5"/>
      <c r="Q1816" s="5"/>
      <c r="R1816" s="5" t="str">
        <f ca="1">IFERROR(__xludf.DUMMYFUNCTION("""COMPUTED_VALUE"""),"România")</f>
        <v>România</v>
      </c>
      <c r="S1816" s="5" t="str">
        <f ca="1">IFERROR(__xludf.DUMMYFUNCTION("""COMPUTED_VALUE"""),"Octavian")</f>
        <v>Octavian</v>
      </c>
      <c r="T1816" s="7" t="str">
        <f ca="1">IFERROR(__xludf.DUMMYFUNCTION("""COMPUTED_VALUE"""),"http://www.ms.ro/2020/08/20/buletin-informativ-20-08-2020")</f>
        <v>http://www.ms.ro/2020/08/20/buletin-informativ-20-08-2020</v>
      </c>
      <c r="U1816" s="5"/>
      <c r="V1816" s="5"/>
      <c r="W1816" s="5"/>
      <c r="X1816" s="5"/>
      <c r="Y1816" s="5"/>
      <c r="Z1816" s="5"/>
      <c r="AA1816" s="5"/>
      <c r="AB1816" s="5"/>
      <c r="AC1816" s="5"/>
    </row>
    <row r="1817" spans="1:29" ht="12.5">
      <c r="A1817" s="5">
        <f ca="1">IFERROR(__xludf.DUMMYFUNCTION("""COMPUTED_VALUE"""),73770)</f>
        <v>73770</v>
      </c>
      <c r="B1817" s="5"/>
      <c r="C1817" s="5" t="str">
        <f ca="1">IFERROR(__xludf.DUMMYFUNCTION("""COMPUTED_VALUE"""),"Bihor")</f>
        <v>Bihor</v>
      </c>
      <c r="D1817" s="13">
        <f ca="1">IFERROR(__xludf.DUMMYFUNCTION("""COMPUTED_VALUE"""),44063)</f>
        <v>44063</v>
      </c>
      <c r="E1817" s="5" t="str">
        <f ca="1">IFERROR(__xludf.DUMMYFUNCTION("""COMPUTED_VALUE"""),"Nu")</f>
        <v>Nu</v>
      </c>
      <c r="F1817" s="5"/>
      <c r="G1817" s="5"/>
      <c r="H1817" s="6"/>
      <c r="I1817" s="5"/>
      <c r="J1817" s="5"/>
      <c r="K1817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17" s="5"/>
      <c r="M1817" s="5" t="str">
        <f ca="1">IFERROR(__xludf.DUMMYFUNCTION("""COMPUTED_VALUE"""),"Sânmartin")</f>
        <v>Sânmartin</v>
      </c>
      <c r="N1817" s="5"/>
      <c r="O1817" s="5"/>
      <c r="P1817" s="5"/>
      <c r="Q1817" s="5"/>
      <c r="R1817" s="5" t="str">
        <f ca="1">IFERROR(__xludf.DUMMYFUNCTION("""COMPUTED_VALUE"""),"România")</f>
        <v>România</v>
      </c>
      <c r="S1817" s="5" t="str">
        <f ca="1">IFERROR(__xludf.DUMMYFUNCTION("""COMPUTED_VALUE"""),"Octavian")</f>
        <v>Octavian</v>
      </c>
      <c r="T1817" s="7" t="str">
        <f ca="1">IFERROR(__xludf.DUMMYFUNCTION("""COMPUTED_VALUE"""),"http://www.ms.ro/2020/08/20/buletin-informativ-20-08-2020")</f>
        <v>http://www.ms.ro/2020/08/20/buletin-informativ-20-08-2020</v>
      </c>
      <c r="U1817" s="5"/>
      <c r="V1817" s="5"/>
      <c r="W1817" s="5"/>
      <c r="X1817" s="5"/>
      <c r="Y1817" s="5"/>
      <c r="Z1817" s="5"/>
      <c r="AA1817" s="5"/>
      <c r="AB1817" s="5"/>
      <c r="AC1817" s="5"/>
    </row>
    <row r="1818" spans="1:29" ht="12.5">
      <c r="A1818" s="5">
        <f ca="1">IFERROR(__xludf.DUMMYFUNCTION("""COMPUTED_VALUE"""),73771)</f>
        <v>73771</v>
      </c>
      <c r="B1818" s="5"/>
      <c r="C1818" s="5" t="str">
        <f ca="1">IFERROR(__xludf.DUMMYFUNCTION("""COMPUTED_VALUE"""),"Bihor")</f>
        <v>Bihor</v>
      </c>
      <c r="D1818" s="13">
        <f ca="1">IFERROR(__xludf.DUMMYFUNCTION("""COMPUTED_VALUE"""),44063)</f>
        <v>44063</v>
      </c>
      <c r="E1818" s="5" t="str">
        <f ca="1">IFERROR(__xludf.DUMMYFUNCTION("""COMPUTED_VALUE"""),"Nu")</f>
        <v>Nu</v>
      </c>
      <c r="F1818" s="5"/>
      <c r="G1818" s="5"/>
      <c r="H1818" s="6"/>
      <c r="I1818" s="5"/>
      <c r="J1818" s="5"/>
      <c r="K1818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18" s="5"/>
      <c r="M1818" s="5" t="str">
        <f ca="1">IFERROR(__xludf.DUMMYFUNCTION("""COMPUTED_VALUE"""),"Valea lui Mihai")</f>
        <v>Valea lui Mihai</v>
      </c>
      <c r="N1818" s="5"/>
      <c r="O1818" s="5"/>
      <c r="P1818" s="5"/>
      <c r="Q1818" s="5"/>
      <c r="R1818" s="5" t="str">
        <f ca="1">IFERROR(__xludf.DUMMYFUNCTION("""COMPUTED_VALUE"""),"România")</f>
        <v>România</v>
      </c>
      <c r="S1818" s="5" t="str">
        <f ca="1">IFERROR(__xludf.DUMMYFUNCTION("""COMPUTED_VALUE"""),"Octavian")</f>
        <v>Octavian</v>
      </c>
      <c r="T1818" s="7" t="str">
        <f ca="1">IFERROR(__xludf.DUMMYFUNCTION("""COMPUTED_VALUE"""),"http://www.ms.ro/2020/08/20/buletin-informativ-20-08-2020")</f>
        <v>http://www.ms.ro/2020/08/20/buletin-informativ-20-08-2020</v>
      </c>
      <c r="U1818" s="5"/>
      <c r="V1818" s="5"/>
      <c r="W1818" s="5"/>
      <c r="X1818" s="5"/>
      <c r="Y1818" s="5"/>
      <c r="Z1818" s="5"/>
      <c r="AA1818" s="5"/>
      <c r="AB1818" s="5"/>
      <c r="AC1818" s="5"/>
    </row>
    <row r="1819" spans="1:29" ht="12.5">
      <c r="A1819" s="5">
        <f ca="1">IFERROR(__xludf.DUMMYFUNCTION("""COMPUTED_VALUE"""),73772)</f>
        <v>73772</v>
      </c>
      <c r="B1819" s="5"/>
      <c r="C1819" s="5" t="str">
        <f ca="1">IFERROR(__xludf.DUMMYFUNCTION("""COMPUTED_VALUE"""),"Bihor")</f>
        <v>Bihor</v>
      </c>
      <c r="D1819" s="13">
        <f ca="1">IFERROR(__xludf.DUMMYFUNCTION("""COMPUTED_VALUE"""),44063)</f>
        <v>44063</v>
      </c>
      <c r="E1819" s="5" t="str">
        <f ca="1">IFERROR(__xludf.DUMMYFUNCTION("""COMPUTED_VALUE"""),"Nu")</f>
        <v>Nu</v>
      </c>
      <c r="F1819" s="5"/>
      <c r="G1819" s="5"/>
      <c r="H1819" s="6"/>
      <c r="I1819" s="5"/>
      <c r="J1819" s="5"/>
      <c r="K1819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19" s="5"/>
      <c r="M1819" s="5" t="str">
        <f ca="1">IFERROR(__xludf.DUMMYFUNCTION("""COMPUTED_VALUE"""),"Cefa")</f>
        <v>Cefa</v>
      </c>
      <c r="N1819" s="5"/>
      <c r="O1819" s="5"/>
      <c r="P1819" s="5"/>
      <c r="Q1819" s="5"/>
      <c r="R1819" s="5" t="str">
        <f ca="1">IFERROR(__xludf.DUMMYFUNCTION("""COMPUTED_VALUE"""),"România")</f>
        <v>România</v>
      </c>
      <c r="S1819" s="5" t="str">
        <f ca="1">IFERROR(__xludf.DUMMYFUNCTION("""COMPUTED_VALUE"""),"Octavian")</f>
        <v>Octavian</v>
      </c>
      <c r="T1819" s="7" t="str">
        <f ca="1">IFERROR(__xludf.DUMMYFUNCTION("""COMPUTED_VALUE"""),"http://www.ms.ro/2020/08/20/buletin-informativ-20-08-2020")</f>
        <v>http://www.ms.ro/2020/08/20/buletin-informativ-20-08-2020</v>
      </c>
      <c r="U1819" s="5"/>
      <c r="V1819" s="5"/>
      <c r="W1819" s="5"/>
      <c r="X1819" s="5"/>
      <c r="Y1819" s="5"/>
      <c r="Z1819" s="5"/>
      <c r="AA1819" s="5"/>
      <c r="AB1819" s="5"/>
      <c r="AC1819" s="5"/>
    </row>
    <row r="1820" spans="1:29" ht="12.5">
      <c r="A1820" s="5">
        <f ca="1">IFERROR(__xludf.DUMMYFUNCTION("""COMPUTED_VALUE"""),73773)</f>
        <v>73773</v>
      </c>
      <c r="B1820" s="5"/>
      <c r="C1820" s="5" t="str">
        <f ca="1">IFERROR(__xludf.DUMMYFUNCTION("""COMPUTED_VALUE"""),"Bihor")</f>
        <v>Bihor</v>
      </c>
      <c r="D1820" s="13">
        <f ca="1">IFERROR(__xludf.DUMMYFUNCTION("""COMPUTED_VALUE"""),44063)</f>
        <v>44063</v>
      </c>
      <c r="E1820" s="5" t="str">
        <f ca="1">IFERROR(__xludf.DUMMYFUNCTION("""COMPUTED_VALUE"""),"Nu")</f>
        <v>Nu</v>
      </c>
      <c r="F1820" s="5"/>
      <c r="G1820" s="5"/>
      <c r="H1820" s="6"/>
      <c r="I1820" s="5"/>
      <c r="J1820" s="5"/>
      <c r="K1820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20" s="5"/>
      <c r="M1820" s="5" t="str">
        <f ca="1">IFERROR(__xludf.DUMMYFUNCTION("""COMPUTED_VALUE"""),"Popești")</f>
        <v>Popești</v>
      </c>
      <c r="N1820" s="5"/>
      <c r="O1820" s="5"/>
      <c r="P1820" s="5"/>
      <c r="Q1820" s="5"/>
      <c r="R1820" s="5" t="str">
        <f ca="1">IFERROR(__xludf.DUMMYFUNCTION("""COMPUTED_VALUE"""),"România")</f>
        <v>România</v>
      </c>
      <c r="S1820" s="5" t="str">
        <f ca="1">IFERROR(__xludf.DUMMYFUNCTION("""COMPUTED_VALUE"""),"Octavian")</f>
        <v>Octavian</v>
      </c>
      <c r="T1820" s="7" t="str">
        <f ca="1">IFERROR(__xludf.DUMMYFUNCTION("""COMPUTED_VALUE"""),"http://www.ms.ro/2020/08/20/buletin-informativ-20-08-2020")</f>
        <v>http://www.ms.ro/2020/08/20/buletin-informativ-20-08-2020</v>
      </c>
      <c r="U1820" s="5"/>
      <c r="V1820" s="5"/>
      <c r="W1820" s="5"/>
      <c r="X1820" s="5"/>
      <c r="Y1820" s="5"/>
      <c r="Z1820" s="5"/>
      <c r="AA1820" s="5"/>
      <c r="AB1820" s="5"/>
      <c r="AC1820" s="5"/>
    </row>
    <row r="1821" spans="1:29" ht="12.5">
      <c r="A1821" s="5">
        <f ca="1">IFERROR(__xludf.DUMMYFUNCTION("""COMPUTED_VALUE"""),73774)</f>
        <v>73774</v>
      </c>
      <c r="B1821" s="5"/>
      <c r="C1821" s="5" t="str">
        <f ca="1">IFERROR(__xludf.DUMMYFUNCTION("""COMPUTED_VALUE"""),"Bihor")</f>
        <v>Bihor</v>
      </c>
      <c r="D1821" s="13">
        <f ca="1">IFERROR(__xludf.DUMMYFUNCTION("""COMPUTED_VALUE"""),44063)</f>
        <v>44063</v>
      </c>
      <c r="E1821" s="5" t="str">
        <f ca="1">IFERROR(__xludf.DUMMYFUNCTION("""COMPUTED_VALUE"""),"Nu")</f>
        <v>Nu</v>
      </c>
      <c r="F1821" s="5"/>
      <c r="G1821" s="5"/>
      <c r="H1821" s="6"/>
      <c r="I1821" s="5"/>
      <c r="J1821" s="5"/>
      <c r="K1821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21" s="5"/>
      <c r="M1821" s="5" t="str">
        <f ca="1">IFERROR(__xludf.DUMMYFUNCTION("""COMPUTED_VALUE"""),"Diosig")</f>
        <v>Diosig</v>
      </c>
      <c r="N1821" s="5"/>
      <c r="O1821" s="5"/>
      <c r="P1821" s="5"/>
      <c r="Q1821" s="5"/>
      <c r="R1821" s="5" t="str">
        <f ca="1">IFERROR(__xludf.DUMMYFUNCTION("""COMPUTED_VALUE"""),"România")</f>
        <v>România</v>
      </c>
      <c r="S1821" s="5" t="str">
        <f ca="1">IFERROR(__xludf.DUMMYFUNCTION("""COMPUTED_VALUE"""),"Octavian")</f>
        <v>Octavian</v>
      </c>
      <c r="T1821" s="7" t="str">
        <f ca="1">IFERROR(__xludf.DUMMYFUNCTION("""COMPUTED_VALUE"""),"http://www.ms.ro/2020/08/20/buletin-informativ-20-08-2020")</f>
        <v>http://www.ms.ro/2020/08/20/buletin-informativ-20-08-2020</v>
      </c>
      <c r="U1821" s="5"/>
      <c r="V1821" s="5"/>
      <c r="W1821" s="5"/>
      <c r="X1821" s="5"/>
      <c r="Y1821" s="5"/>
      <c r="Z1821" s="5"/>
      <c r="AA1821" s="5"/>
      <c r="AB1821" s="5"/>
      <c r="AC1821" s="5"/>
    </row>
    <row r="1822" spans="1:29" ht="12.5">
      <c r="A1822" s="5">
        <f ca="1">IFERROR(__xludf.DUMMYFUNCTION("""COMPUTED_VALUE"""),73775)</f>
        <v>73775</v>
      </c>
      <c r="B1822" s="5"/>
      <c r="C1822" s="5" t="str">
        <f ca="1">IFERROR(__xludf.DUMMYFUNCTION("""COMPUTED_VALUE"""),"Bihor")</f>
        <v>Bihor</v>
      </c>
      <c r="D1822" s="13">
        <f ca="1">IFERROR(__xludf.DUMMYFUNCTION("""COMPUTED_VALUE"""),44063)</f>
        <v>44063</v>
      </c>
      <c r="E1822" s="5" t="str">
        <f ca="1">IFERROR(__xludf.DUMMYFUNCTION("""COMPUTED_VALUE"""),"Nu")</f>
        <v>Nu</v>
      </c>
      <c r="F1822" s="5"/>
      <c r="G1822" s="5"/>
      <c r="H1822" s="6"/>
      <c r="I1822" s="5"/>
      <c r="J1822" s="5"/>
      <c r="K1822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22" s="5"/>
      <c r="M1822" s="5" t="str">
        <f ca="1">IFERROR(__xludf.DUMMYFUNCTION("""COMPUTED_VALUE"""),"Aleșd")</f>
        <v>Aleșd</v>
      </c>
      <c r="N1822" s="5"/>
      <c r="O1822" s="5"/>
      <c r="P1822" s="5"/>
      <c r="Q1822" s="5"/>
      <c r="R1822" s="5" t="str">
        <f ca="1">IFERROR(__xludf.DUMMYFUNCTION("""COMPUTED_VALUE"""),"România")</f>
        <v>România</v>
      </c>
      <c r="S1822" s="5" t="str">
        <f ca="1">IFERROR(__xludf.DUMMYFUNCTION("""COMPUTED_VALUE"""),"Octavian")</f>
        <v>Octavian</v>
      </c>
      <c r="T1822" s="7" t="str">
        <f ca="1">IFERROR(__xludf.DUMMYFUNCTION("""COMPUTED_VALUE"""),"http://www.ms.ro/2020/08/20/buletin-informativ-20-08-2020")</f>
        <v>http://www.ms.ro/2020/08/20/buletin-informativ-20-08-2020</v>
      </c>
      <c r="U1822" s="5"/>
      <c r="V1822" s="5"/>
      <c r="W1822" s="5"/>
      <c r="X1822" s="5"/>
      <c r="Y1822" s="5"/>
      <c r="Z1822" s="5"/>
      <c r="AA1822" s="5"/>
      <c r="AB1822" s="5"/>
      <c r="AC1822" s="5"/>
    </row>
    <row r="1823" spans="1:29" ht="12.5">
      <c r="A1823" s="5">
        <f ca="1">IFERROR(__xludf.DUMMYFUNCTION("""COMPUTED_VALUE"""),73776)</f>
        <v>73776</v>
      </c>
      <c r="B1823" s="5"/>
      <c r="C1823" s="5" t="str">
        <f ca="1">IFERROR(__xludf.DUMMYFUNCTION("""COMPUTED_VALUE"""),"Bihor")</f>
        <v>Bihor</v>
      </c>
      <c r="D1823" s="13">
        <f ca="1">IFERROR(__xludf.DUMMYFUNCTION("""COMPUTED_VALUE"""),44063)</f>
        <v>44063</v>
      </c>
      <c r="E1823" s="5" t="str">
        <f ca="1">IFERROR(__xludf.DUMMYFUNCTION("""COMPUTED_VALUE"""),"Nu")</f>
        <v>Nu</v>
      </c>
      <c r="F1823" s="5"/>
      <c r="G1823" s="5"/>
      <c r="H1823" s="6"/>
      <c r="I1823" s="5"/>
      <c r="J1823" s="5"/>
      <c r="K1823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23" s="5"/>
      <c r="M1823" s="5" t="str">
        <f ca="1">IFERROR(__xludf.DUMMYFUNCTION("""COMPUTED_VALUE"""),"Criștioru de Jos")</f>
        <v>Criștioru de Jos</v>
      </c>
      <c r="N1823" s="5"/>
      <c r="O1823" s="5"/>
      <c r="P1823" s="5"/>
      <c r="Q1823" s="5"/>
      <c r="R1823" s="5" t="str">
        <f ca="1">IFERROR(__xludf.DUMMYFUNCTION("""COMPUTED_VALUE"""),"România")</f>
        <v>România</v>
      </c>
      <c r="S1823" s="5" t="str">
        <f ca="1">IFERROR(__xludf.DUMMYFUNCTION("""COMPUTED_VALUE"""),"Octavian")</f>
        <v>Octavian</v>
      </c>
      <c r="T1823" s="7" t="str">
        <f ca="1">IFERROR(__xludf.DUMMYFUNCTION("""COMPUTED_VALUE"""),"http://www.ms.ro/2020/08/20/buletin-informativ-20-08-2020")</f>
        <v>http://www.ms.ro/2020/08/20/buletin-informativ-20-08-2020</v>
      </c>
      <c r="U1823" s="5"/>
      <c r="V1823" s="5"/>
      <c r="W1823" s="5"/>
      <c r="X1823" s="5"/>
      <c r="Y1823" s="5"/>
      <c r="Z1823" s="5"/>
      <c r="AA1823" s="5"/>
      <c r="AB1823" s="5"/>
      <c r="AC1823" s="5"/>
    </row>
    <row r="1824" spans="1:29" ht="12.5">
      <c r="A1824" s="5">
        <f ca="1">IFERROR(__xludf.DUMMYFUNCTION("""COMPUTED_VALUE"""),73777)</f>
        <v>73777</v>
      </c>
      <c r="B1824" s="5"/>
      <c r="C1824" s="5" t="str">
        <f ca="1">IFERROR(__xludf.DUMMYFUNCTION("""COMPUTED_VALUE"""),"Bihor")</f>
        <v>Bihor</v>
      </c>
      <c r="D1824" s="13">
        <f ca="1">IFERROR(__xludf.DUMMYFUNCTION("""COMPUTED_VALUE"""),44063)</f>
        <v>44063</v>
      </c>
      <c r="E1824" s="5" t="str">
        <f ca="1">IFERROR(__xludf.DUMMYFUNCTION("""COMPUTED_VALUE"""),"Nu")</f>
        <v>Nu</v>
      </c>
      <c r="F1824" s="5"/>
      <c r="G1824" s="5"/>
      <c r="H1824" s="6"/>
      <c r="I1824" s="5"/>
      <c r="J1824" s="5"/>
      <c r="K1824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24" s="5"/>
      <c r="M1824" s="5" t="str">
        <f ca="1">IFERROR(__xludf.DUMMYFUNCTION("""COMPUTED_VALUE"""),"Săcădat")</f>
        <v>Săcădat</v>
      </c>
      <c r="N1824" s="5"/>
      <c r="O1824" s="5"/>
      <c r="P1824" s="5"/>
      <c r="Q1824" s="5"/>
      <c r="R1824" s="5" t="str">
        <f ca="1">IFERROR(__xludf.DUMMYFUNCTION("""COMPUTED_VALUE"""),"România")</f>
        <v>România</v>
      </c>
      <c r="S1824" s="5" t="str">
        <f ca="1">IFERROR(__xludf.DUMMYFUNCTION("""COMPUTED_VALUE"""),"Octavian")</f>
        <v>Octavian</v>
      </c>
      <c r="T1824" s="7" t="str">
        <f ca="1">IFERROR(__xludf.DUMMYFUNCTION("""COMPUTED_VALUE"""),"http://www.ms.ro/2020/08/20/buletin-informativ-20-08-2020")</f>
        <v>http://www.ms.ro/2020/08/20/buletin-informativ-20-08-2020</v>
      </c>
      <c r="U1824" s="5"/>
      <c r="V1824" s="5"/>
      <c r="W1824" s="5"/>
      <c r="X1824" s="5"/>
      <c r="Y1824" s="5"/>
      <c r="Z1824" s="5"/>
      <c r="AA1824" s="5"/>
      <c r="AB1824" s="5"/>
      <c r="AC1824" s="5"/>
    </row>
    <row r="1825" spans="1:29" ht="12.5">
      <c r="A1825" s="5">
        <f ca="1">IFERROR(__xludf.DUMMYFUNCTION("""COMPUTED_VALUE"""),73778)</f>
        <v>73778</v>
      </c>
      <c r="B1825" s="5"/>
      <c r="C1825" s="5" t="str">
        <f ca="1">IFERROR(__xludf.DUMMYFUNCTION("""COMPUTED_VALUE"""),"Bihor")</f>
        <v>Bihor</v>
      </c>
      <c r="D1825" s="13">
        <f ca="1">IFERROR(__xludf.DUMMYFUNCTION("""COMPUTED_VALUE"""),44063)</f>
        <v>44063</v>
      </c>
      <c r="E1825" s="5" t="str">
        <f ca="1">IFERROR(__xludf.DUMMYFUNCTION("""COMPUTED_VALUE"""),"Nu")</f>
        <v>Nu</v>
      </c>
      <c r="F1825" s="5"/>
      <c r="G1825" s="5"/>
      <c r="H1825" s="6"/>
      <c r="I1825" s="5"/>
      <c r="J1825" s="5"/>
      <c r="K1825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25" s="5"/>
      <c r="M1825" s="5" t="str">
        <f ca="1">IFERROR(__xludf.DUMMYFUNCTION("""COMPUTED_VALUE"""),"Drăgești")</f>
        <v>Drăgești</v>
      </c>
      <c r="N1825" s="5"/>
      <c r="O1825" s="5"/>
      <c r="P1825" s="5"/>
      <c r="Q1825" s="5"/>
      <c r="R1825" s="5" t="str">
        <f ca="1">IFERROR(__xludf.DUMMYFUNCTION("""COMPUTED_VALUE"""),"România")</f>
        <v>România</v>
      </c>
      <c r="S1825" s="5" t="str">
        <f ca="1">IFERROR(__xludf.DUMMYFUNCTION("""COMPUTED_VALUE"""),"Octavian")</f>
        <v>Octavian</v>
      </c>
      <c r="T1825" s="7" t="str">
        <f ca="1">IFERROR(__xludf.DUMMYFUNCTION("""COMPUTED_VALUE"""),"http://www.ms.ro/2020/08/20/buletin-informativ-20-08-2020")</f>
        <v>http://www.ms.ro/2020/08/20/buletin-informativ-20-08-2020</v>
      </c>
      <c r="U1825" s="5"/>
      <c r="V1825" s="5"/>
      <c r="W1825" s="5"/>
      <c r="X1825" s="5"/>
      <c r="Y1825" s="5"/>
      <c r="Z1825" s="5"/>
      <c r="AA1825" s="5"/>
      <c r="AB1825" s="5"/>
      <c r="AC1825" s="5"/>
    </row>
    <row r="1826" spans="1:29" ht="12.5">
      <c r="A1826" s="5">
        <f ca="1">IFERROR(__xludf.DUMMYFUNCTION("""COMPUTED_VALUE"""),73779)</f>
        <v>73779</v>
      </c>
      <c r="B1826" s="5"/>
      <c r="C1826" s="5" t="str">
        <f ca="1">IFERROR(__xludf.DUMMYFUNCTION("""COMPUTED_VALUE"""),"Bihor")</f>
        <v>Bihor</v>
      </c>
      <c r="D1826" s="13">
        <f ca="1">IFERROR(__xludf.DUMMYFUNCTION("""COMPUTED_VALUE"""),44063)</f>
        <v>44063</v>
      </c>
      <c r="E1826" s="5" t="str">
        <f ca="1">IFERROR(__xludf.DUMMYFUNCTION("""COMPUTED_VALUE"""),"Nu")</f>
        <v>Nu</v>
      </c>
      <c r="F1826" s="5"/>
      <c r="G1826" s="5"/>
      <c r="H1826" s="6"/>
      <c r="I1826" s="5"/>
      <c r="J1826" s="5"/>
      <c r="K1826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26" s="5"/>
      <c r="M1826" s="5" t="str">
        <f ca="1">IFERROR(__xludf.DUMMYFUNCTION("""COMPUTED_VALUE"""),"Oșorhei")</f>
        <v>Oșorhei</v>
      </c>
      <c r="N1826" s="5"/>
      <c r="O1826" s="5"/>
      <c r="P1826" s="5"/>
      <c r="Q1826" s="5"/>
      <c r="R1826" s="5" t="str">
        <f ca="1">IFERROR(__xludf.DUMMYFUNCTION("""COMPUTED_VALUE"""),"România")</f>
        <v>România</v>
      </c>
      <c r="S1826" s="5" t="str">
        <f ca="1">IFERROR(__xludf.DUMMYFUNCTION("""COMPUTED_VALUE"""),"Octavian")</f>
        <v>Octavian</v>
      </c>
      <c r="T1826" s="7" t="str">
        <f ca="1">IFERROR(__xludf.DUMMYFUNCTION("""COMPUTED_VALUE"""),"http://www.ms.ro/2020/08/20/buletin-informativ-20-08-2020")</f>
        <v>http://www.ms.ro/2020/08/20/buletin-informativ-20-08-2020</v>
      </c>
      <c r="U1826" s="5"/>
      <c r="V1826" s="5"/>
      <c r="W1826" s="5"/>
      <c r="X1826" s="5"/>
      <c r="Y1826" s="5"/>
      <c r="Z1826" s="5"/>
      <c r="AA1826" s="5"/>
      <c r="AB1826" s="5"/>
      <c r="AC1826" s="5"/>
    </row>
    <row r="1827" spans="1:29" ht="12.5">
      <c r="A1827" s="5">
        <f ca="1">IFERROR(__xludf.DUMMYFUNCTION("""COMPUTED_VALUE"""),73780)</f>
        <v>73780</v>
      </c>
      <c r="B1827" s="5"/>
      <c r="C1827" s="5" t="str">
        <f ca="1">IFERROR(__xludf.DUMMYFUNCTION("""COMPUTED_VALUE"""),"Bihor")</f>
        <v>Bihor</v>
      </c>
      <c r="D1827" s="13">
        <f ca="1">IFERROR(__xludf.DUMMYFUNCTION("""COMPUTED_VALUE"""),44063)</f>
        <v>44063</v>
      </c>
      <c r="E1827" s="5" t="str">
        <f ca="1">IFERROR(__xludf.DUMMYFUNCTION("""COMPUTED_VALUE"""),"Nu")</f>
        <v>Nu</v>
      </c>
      <c r="F1827" s="5"/>
      <c r="G1827" s="5"/>
      <c r="H1827" s="6"/>
      <c r="I1827" s="5"/>
      <c r="J1827" s="5"/>
      <c r="K1827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27" s="5"/>
      <c r="M1827" s="5" t="str">
        <f ca="1">IFERROR(__xludf.DUMMYFUNCTION("""COMPUTED_VALUE"""),"Tinca")</f>
        <v>Tinca</v>
      </c>
      <c r="N1827" s="5"/>
      <c r="O1827" s="5"/>
      <c r="P1827" s="5"/>
      <c r="Q1827" s="5"/>
      <c r="R1827" s="5" t="str">
        <f ca="1">IFERROR(__xludf.DUMMYFUNCTION("""COMPUTED_VALUE"""),"România")</f>
        <v>România</v>
      </c>
      <c r="S1827" s="5" t="str">
        <f ca="1">IFERROR(__xludf.DUMMYFUNCTION("""COMPUTED_VALUE"""),"Octavian")</f>
        <v>Octavian</v>
      </c>
      <c r="T1827" s="7" t="str">
        <f ca="1">IFERROR(__xludf.DUMMYFUNCTION("""COMPUTED_VALUE"""),"http://www.ms.ro/2020/08/20/buletin-informativ-20-08-2020")</f>
        <v>http://www.ms.ro/2020/08/20/buletin-informativ-20-08-2020</v>
      </c>
      <c r="U1827" s="5"/>
      <c r="V1827" s="5"/>
      <c r="W1827" s="5"/>
      <c r="X1827" s="5"/>
      <c r="Y1827" s="5"/>
      <c r="Z1827" s="5"/>
      <c r="AA1827" s="5"/>
      <c r="AB1827" s="5"/>
      <c r="AC1827" s="5"/>
    </row>
    <row r="1828" spans="1:29" ht="12.5">
      <c r="A1828" s="5">
        <f ca="1">IFERROR(__xludf.DUMMYFUNCTION("""COMPUTED_VALUE"""),73781)</f>
        <v>73781</v>
      </c>
      <c r="B1828" s="5"/>
      <c r="C1828" s="5" t="str">
        <f ca="1">IFERROR(__xludf.DUMMYFUNCTION("""COMPUTED_VALUE"""),"Bihor")</f>
        <v>Bihor</v>
      </c>
      <c r="D1828" s="13">
        <f ca="1">IFERROR(__xludf.DUMMYFUNCTION("""COMPUTED_VALUE"""),44063)</f>
        <v>44063</v>
      </c>
      <c r="E1828" s="5" t="str">
        <f ca="1">IFERROR(__xludf.DUMMYFUNCTION("""COMPUTED_VALUE"""),"Nu")</f>
        <v>Nu</v>
      </c>
      <c r="F1828" s="5"/>
      <c r="G1828" s="5"/>
      <c r="H1828" s="6"/>
      <c r="I1828" s="5"/>
      <c r="J1828" s="5"/>
      <c r="K1828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28" s="5"/>
      <c r="M1828" s="5" t="str">
        <f ca="1">IFERROR(__xludf.DUMMYFUNCTION("""COMPUTED_VALUE"""),"Săcuieni")</f>
        <v>Săcuieni</v>
      </c>
      <c r="N1828" s="5"/>
      <c r="O1828" s="5"/>
      <c r="P1828" s="5"/>
      <c r="Q1828" s="5"/>
      <c r="R1828" s="5" t="str">
        <f ca="1">IFERROR(__xludf.DUMMYFUNCTION("""COMPUTED_VALUE"""),"România")</f>
        <v>România</v>
      </c>
      <c r="S1828" s="5" t="str">
        <f ca="1">IFERROR(__xludf.DUMMYFUNCTION("""COMPUTED_VALUE"""),"Octavian")</f>
        <v>Octavian</v>
      </c>
      <c r="T1828" s="7" t="str">
        <f ca="1">IFERROR(__xludf.DUMMYFUNCTION("""COMPUTED_VALUE"""),"http://www.ms.ro/2020/08/20/buletin-informativ-20-08-2020")</f>
        <v>http://www.ms.ro/2020/08/20/buletin-informativ-20-08-2020</v>
      </c>
      <c r="U1828" s="5"/>
      <c r="V1828" s="5"/>
      <c r="W1828" s="5"/>
      <c r="X1828" s="5"/>
      <c r="Y1828" s="5"/>
      <c r="Z1828" s="5"/>
      <c r="AA1828" s="5"/>
      <c r="AB1828" s="5"/>
      <c r="AC1828" s="5"/>
    </row>
    <row r="1829" spans="1:29" ht="12.5">
      <c r="A1829" s="5">
        <f ca="1">IFERROR(__xludf.DUMMYFUNCTION("""COMPUTED_VALUE"""),73782)</f>
        <v>73782</v>
      </c>
      <c r="B1829" s="5"/>
      <c r="C1829" s="5" t="str">
        <f ca="1">IFERROR(__xludf.DUMMYFUNCTION("""COMPUTED_VALUE"""),"Bihor")</f>
        <v>Bihor</v>
      </c>
      <c r="D1829" s="13">
        <f ca="1">IFERROR(__xludf.DUMMYFUNCTION("""COMPUTED_VALUE"""),44063)</f>
        <v>44063</v>
      </c>
      <c r="E1829" s="5" t="str">
        <f ca="1">IFERROR(__xludf.DUMMYFUNCTION("""COMPUTED_VALUE"""),"Nu")</f>
        <v>Nu</v>
      </c>
      <c r="F1829" s="5"/>
      <c r="G1829" s="5"/>
      <c r="H1829" s="6"/>
      <c r="I1829" s="5"/>
      <c r="J1829" s="5"/>
      <c r="K1829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29" s="5"/>
      <c r="M1829" s="5" t="str">
        <f ca="1">IFERROR(__xludf.DUMMYFUNCTION("""COMPUTED_VALUE"""),"Brusturi")</f>
        <v>Brusturi</v>
      </c>
      <c r="N1829" s="5"/>
      <c r="O1829" s="5"/>
      <c r="P1829" s="5"/>
      <c r="Q1829" s="5"/>
      <c r="R1829" s="5" t="str">
        <f ca="1">IFERROR(__xludf.DUMMYFUNCTION("""COMPUTED_VALUE"""),"România")</f>
        <v>România</v>
      </c>
      <c r="S1829" s="5" t="str">
        <f ca="1">IFERROR(__xludf.DUMMYFUNCTION("""COMPUTED_VALUE"""),"Octavian")</f>
        <v>Octavian</v>
      </c>
      <c r="T1829" s="7" t="str">
        <f ca="1">IFERROR(__xludf.DUMMYFUNCTION("""COMPUTED_VALUE"""),"http://www.ms.ro/2020/08/20/buletin-informativ-20-08-2020")</f>
        <v>http://www.ms.ro/2020/08/20/buletin-informativ-20-08-2020</v>
      </c>
      <c r="U1829" s="5"/>
      <c r="V1829" s="5"/>
      <c r="W1829" s="5"/>
      <c r="X1829" s="5"/>
      <c r="Y1829" s="5"/>
      <c r="Z1829" s="5"/>
      <c r="AA1829" s="5"/>
      <c r="AB1829" s="5"/>
      <c r="AC1829" s="5"/>
    </row>
    <row r="1830" spans="1:29" ht="12.5">
      <c r="A1830" s="5">
        <f ca="1">IFERROR(__xludf.DUMMYFUNCTION("""COMPUTED_VALUE"""),73783)</f>
        <v>73783</v>
      </c>
      <c r="B1830" s="5"/>
      <c r="C1830" s="5" t="str">
        <f ca="1">IFERROR(__xludf.DUMMYFUNCTION("""COMPUTED_VALUE"""),"Bihor")</f>
        <v>Bihor</v>
      </c>
      <c r="D1830" s="13">
        <f ca="1">IFERROR(__xludf.DUMMYFUNCTION("""COMPUTED_VALUE"""),44063)</f>
        <v>44063</v>
      </c>
      <c r="E1830" s="5" t="str">
        <f ca="1">IFERROR(__xludf.DUMMYFUNCTION("""COMPUTED_VALUE"""),"Nu")</f>
        <v>Nu</v>
      </c>
      <c r="F1830" s="5"/>
      <c r="G1830" s="5"/>
      <c r="H1830" s="6"/>
      <c r="I1830" s="5"/>
      <c r="J1830" s="5"/>
      <c r="K1830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30" s="5"/>
      <c r="M1830" s="5" t="str">
        <f ca="1">IFERROR(__xludf.DUMMYFUNCTION("""COMPUTED_VALUE"""),"Șuncuiuș")</f>
        <v>Șuncuiuș</v>
      </c>
      <c r="N1830" s="5"/>
      <c r="O1830" s="5"/>
      <c r="P1830" s="5"/>
      <c r="Q1830" s="5"/>
      <c r="R1830" s="5" t="str">
        <f ca="1">IFERROR(__xludf.DUMMYFUNCTION("""COMPUTED_VALUE"""),"România")</f>
        <v>România</v>
      </c>
      <c r="S1830" s="5" t="str">
        <f ca="1">IFERROR(__xludf.DUMMYFUNCTION("""COMPUTED_VALUE"""),"Octavian")</f>
        <v>Octavian</v>
      </c>
      <c r="T1830" s="7" t="str">
        <f ca="1">IFERROR(__xludf.DUMMYFUNCTION("""COMPUTED_VALUE"""),"http://www.ms.ro/2020/08/20/buletin-informativ-20-08-2020")</f>
        <v>http://www.ms.ro/2020/08/20/buletin-informativ-20-08-2020</v>
      </c>
      <c r="U1830" s="5"/>
      <c r="V1830" s="5"/>
      <c r="W1830" s="5"/>
      <c r="X1830" s="5"/>
      <c r="Y1830" s="5"/>
      <c r="Z1830" s="5"/>
      <c r="AA1830" s="5"/>
      <c r="AB1830" s="5"/>
      <c r="AC1830" s="5"/>
    </row>
    <row r="1831" spans="1:29" ht="12.5">
      <c r="A1831" s="5">
        <f ca="1">IFERROR(__xludf.DUMMYFUNCTION("""COMPUTED_VALUE"""),73784)</f>
        <v>73784</v>
      </c>
      <c r="B1831" s="5"/>
      <c r="C1831" s="5" t="str">
        <f ca="1">IFERROR(__xludf.DUMMYFUNCTION("""COMPUTED_VALUE"""),"Bihor")</f>
        <v>Bihor</v>
      </c>
      <c r="D1831" s="13">
        <f ca="1">IFERROR(__xludf.DUMMYFUNCTION("""COMPUTED_VALUE"""),44063)</f>
        <v>44063</v>
      </c>
      <c r="E1831" s="5" t="str">
        <f ca="1">IFERROR(__xludf.DUMMYFUNCTION("""COMPUTED_VALUE"""),"Nu")</f>
        <v>Nu</v>
      </c>
      <c r="F1831" s="5"/>
      <c r="G1831" s="5"/>
      <c r="H1831" s="6"/>
      <c r="I1831" s="5"/>
      <c r="J1831" s="5"/>
      <c r="K1831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31" s="5"/>
      <c r="M1831" s="5" t="str">
        <f ca="1">IFERROR(__xludf.DUMMYFUNCTION("""COMPUTED_VALUE"""),"Pomezeu")</f>
        <v>Pomezeu</v>
      </c>
      <c r="N1831" s="5"/>
      <c r="O1831" s="5"/>
      <c r="P1831" s="5"/>
      <c r="Q1831" s="5"/>
      <c r="R1831" s="5" t="str">
        <f ca="1">IFERROR(__xludf.DUMMYFUNCTION("""COMPUTED_VALUE"""),"România")</f>
        <v>România</v>
      </c>
      <c r="S1831" s="5" t="str">
        <f ca="1">IFERROR(__xludf.DUMMYFUNCTION("""COMPUTED_VALUE"""),"Octavian")</f>
        <v>Octavian</v>
      </c>
      <c r="T1831" s="7" t="str">
        <f ca="1">IFERROR(__xludf.DUMMYFUNCTION("""COMPUTED_VALUE"""),"http://www.ms.ro/2020/08/20/buletin-informativ-20-08-2020")</f>
        <v>http://www.ms.ro/2020/08/20/buletin-informativ-20-08-2020</v>
      </c>
      <c r="U1831" s="5"/>
      <c r="V1831" s="5"/>
      <c r="W1831" s="5"/>
      <c r="X1831" s="5"/>
      <c r="Y1831" s="5"/>
      <c r="Z1831" s="5"/>
      <c r="AA1831" s="5"/>
      <c r="AB1831" s="5"/>
      <c r="AC1831" s="5"/>
    </row>
    <row r="1832" spans="1:29" ht="12.5">
      <c r="A1832" s="5">
        <f ca="1">IFERROR(__xludf.DUMMYFUNCTION("""COMPUTED_VALUE"""),73785)</f>
        <v>73785</v>
      </c>
      <c r="B1832" s="5"/>
      <c r="C1832" s="5" t="str">
        <f ca="1">IFERROR(__xludf.DUMMYFUNCTION("""COMPUTED_VALUE"""),"Bihor")</f>
        <v>Bihor</v>
      </c>
      <c r="D1832" s="13">
        <f ca="1">IFERROR(__xludf.DUMMYFUNCTION("""COMPUTED_VALUE"""),44063)</f>
        <v>44063</v>
      </c>
      <c r="E1832" s="5" t="str">
        <f ca="1">IFERROR(__xludf.DUMMYFUNCTION("""COMPUTED_VALUE"""),"Nu")</f>
        <v>Nu</v>
      </c>
      <c r="F1832" s="5"/>
      <c r="G1832" s="5"/>
      <c r="H1832" s="6"/>
      <c r="I1832" s="5"/>
      <c r="J1832" s="5"/>
      <c r="K1832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32" s="5"/>
      <c r="M1832" s="5" t="str">
        <f ca="1">IFERROR(__xludf.DUMMYFUNCTION("""COMPUTED_VALUE"""),"Tărcaia")</f>
        <v>Tărcaia</v>
      </c>
      <c r="N1832" s="5"/>
      <c r="O1832" s="5"/>
      <c r="P1832" s="5"/>
      <c r="Q1832" s="5"/>
      <c r="R1832" s="5" t="str">
        <f ca="1">IFERROR(__xludf.DUMMYFUNCTION("""COMPUTED_VALUE"""),"România")</f>
        <v>România</v>
      </c>
      <c r="S1832" s="5" t="str">
        <f ca="1">IFERROR(__xludf.DUMMYFUNCTION("""COMPUTED_VALUE"""),"Octavian")</f>
        <v>Octavian</v>
      </c>
      <c r="T1832" s="7" t="str">
        <f ca="1">IFERROR(__xludf.DUMMYFUNCTION("""COMPUTED_VALUE"""),"http://www.ms.ro/2020/08/20/buletin-informativ-20-08-2020")</f>
        <v>http://www.ms.ro/2020/08/20/buletin-informativ-20-08-2020</v>
      </c>
      <c r="U1832" s="5"/>
      <c r="V1832" s="5"/>
      <c r="W1832" s="5"/>
      <c r="X1832" s="5"/>
      <c r="Y1832" s="5"/>
      <c r="Z1832" s="5"/>
      <c r="AA1832" s="5"/>
      <c r="AB1832" s="5"/>
      <c r="AC1832" s="5"/>
    </row>
    <row r="1833" spans="1:29" ht="12.5">
      <c r="A1833" s="5">
        <f ca="1">IFERROR(__xludf.DUMMYFUNCTION("""COMPUTED_VALUE"""),73786)</f>
        <v>73786</v>
      </c>
      <c r="B1833" s="5"/>
      <c r="C1833" s="5" t="str">
        <f ca="1">IFERROR(__xludf.DUMMYFUNCTION("""COMPUTED_VALUE"""),"Bihor")</f>
        <v>Bihor</v>
      </c>
      <c r="D1833" s="13">
        <f ca="1">IFERROR(__xludf.DUMMYFUNCTION("""COMPUTED_VALUE"""),44063)</f>
        <v>44063</v>
      </c>
      <c r="E1833" s="5" t="str">
        <f ca="1">IFERROR(__xludf.DUMMYFUNCTION("""COMPUTED_VALUE"""),"Nu")</f>
        <v>Nu</v>
      </c>
      <c r="F1833" s="5"/>
      <c r="G1833" s="5"/>
      <c r="H1833" s="6"/>
      <c r="I1833" s="5"/>
      <c r="J1833" s="5"/>
      <c r="K1833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33" s="5"/>
      <c r="M1833" s="5" t="str">
        <f ca="1">IFERROR(__xludf.DUMMYFUNCTION("""COMPUTED_VALUE"""),"Ștei")</f>
        <v>Ștei</v>
      </c>
      <c r="N1833" s="5"/>
      <c r="O1833" s="5"/>
      <c r="P1833" s="5"/>
      <c r="Q1833" s="5"/>
      <c r="R1833" s="5" t="str">
        <f ca="1">IFERROR(__xludf.DUMMYFUNCTION("""COMPUTED_VALUE"""),"România")</f>
        <v>România</v>
      </c>
      <c r="S1833" s="5" t="str">
        <f ca="1">IFERROR(__xludf.DUMMYFUNCTION("""COMPUTED_VALUE"""),"Octavian")</f>
        <v>Octavian</v>
      </c>
      <c r="T1833" s="7" t="str">
        <f ca="1">IFERROR(__xludf.DUMMYFUNCTION("""COMPUTED_VALUE"""),"http://www.ms.ro/2020/08/20/buletin-informativ-20-08-2020")</f>
        <v>http://www.ms.ro/2020/08/20/buletin-informativ-20-08-2020</v>
      </c>
      <c r="U1833" s="5"/>
      <c r="V1833" s="5"/>
      <c r="W1833" s="5"/>
      <c r="X1833" s="5"/>
      <c r="Y1833" s="5"/>
      <c r="Z1833" s="5"/>
      <c r="AA1833" s="5"/>
      <c r="AB1833" s="5"/>
      <c r="AC1833" s="5"/>
    </row>
    <row r="1834" spans="1:29" ht="12.5">
      <c r="A1834" s="5">
        <f ca="1">IFERROR(__xludf.DUMMYFUNCTION("""COMPUTED_VALUE"""),73787)</f>
        <v>73787</v>
      </c>
      <c r="B1834" s="5"/>
      <c r="C1834" s="5" t="str">
        <f ca="1">IFERROR(__xludf.DUMMYFUNCTION("""COMPUTED_VALUE"""),"Bihor")</f>
        <v>Bihor</v>
      </c>
      <c r="D1834" s="13">
        <f ca="1">IFERROR(__xludf.DUMMYFUNCTION("""COMPUTED_VALUE"""),44063)</f>
        <v>44063</v>
      </c>
      <c r="E1834" s="5" t="str">
        <f ca="1">IFERROR(__xludf.DUMMYFUNCTION("""COMPUTED_VALUE"""),"Nu")</f>
        <v>Nu</v>
      </c>
      <c r="F1834" s="5"/>
      <c r="G1834" s="5"/>
      <c r="H1834" s="6"/>
      <c r="I1834" s="5"/>
      <c r="J1834" s="5"/>
      <c r="K1834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34" s="5"/>
      <c r="M1834" s="5" t="str">
        <f ca="1">IFERROR(__xludf.DUMMYFUNCTION("""COMPUTED_VALUE"""),"Gepiu")</f>
        <v>Gepiu</v>
      </c>
      <c r="N1834" s="5"/>
      <c r="O1834" s="5"/>
      <c r="P1834" s="5"/>
      <c r="Q1834" s="5"/>
      <c r="R1834" s="5" t="str">
        <f ca="1">IFERROR(__xludf.DUMMYFUNCTION("""COMPUTED_VALUE"""),"România")</f>
        <v>România</v>
      </c>
      <c r="S1834" s="5" t="str">
        <f ca="1">IFERROR(__xludf.DUMMYFUNCTION("""COMPUTED_VALUE"""),"Octavian")</f>
        <v>Octavian</v>
      </c>
      <c r="T1834" s="7" t="str">
        <f ca="1">IFERROR(__xludf.DUMMYFUNCTION("""COMPUTED_VALUE"""),"http://www.ms.ro/2020/08/20/buletin-informativ-20-08-2020")</f>
        <v>http://www.ms.ro/2020/08/20/buletin-informativ-20-08-2020</v>
      </c>
      <c r="U1834" s="5"/>
      <c r="V1834" s="5"/>
      <c r="W1834" s="5"/>
      <c r="X1834" s="5"/>
      <c r="Y1834" s="5"/>
      <c r="Z1834" s="5"/>
      <c r="AA1834" s="5"/>
      <c r="AB1834" s="5"/>
      <c r="AC1834" s="5"/>
    </row>
    <row r="1835" spans="1:29" ht="12.5">
      <c r="A1835" s="5">
        <f ca="1">IFERROR(__xludf.DUMMYFUNCTION("""COMPUTED_VALUE"""),73788)</f>
        <v>73788</v>
      </c>
      <c r="B1835" s="5"/>
      <c r="C1835" s="5" t="str">
        <f ca="1">IFERROR(__xludf.DUMMYFUNCTION("""COMPUTED_VALUE"""),"Bihor")</f>
        <v>Bihor</v>
      </c>
      <c r="D1835" s="13">
        <f ca="1">IFERROR(__xludf.DUMMYFUNCTION("""COMPUTED_VALUE"""),44063)</f>
        <v>44063</v>
      </c>
      <c r="E1835" s="5" t="str">
        <f ca="1">IFERROR(__xludf.DUMMYFUNCTION("""COMPUTED_VALUE"""),"Nu")</f>
        <v>Nu</v>
      </c>
      <c r="F1835" s="5"/>
      <c r="G1835" s="5"/>
      <c r="H1835" s="6"/>
      <c r="I1835" s="5"/>
      <c r="J1835" s="5"/>
      <c r="K1835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35" s="5"/>
      <c r="M1835" s="5" t="str">
        <f ca="1">IFERROR(__xludf.DUMMYFUNCTION("""COMPUTED_VALUE"""),"Nucet")</f>
        <v>Nucet</v>
      </c>
      <c r="N1835" s="5"/>
      <c r="O1835" s="5"/>
      <c r="P1835" s="5"/>
      <c r="Q1835" s="5"/>
      <c r="R1835" s="5" t="str">
        <f ca="1">IFERROR(__xludf.DUMMYFUNCTION("""COMPUTED_VALUE"""),"România")</f>
        <v>România</v>
      </c>
      <c r="S1835" s="5" t="str">
        <f ca="1">IFERROR(__xludf.DUMMYFUNCTION("""COMPUTED_VALUE"""),"Octavian")</f>
        <v>Octavian</v>
      </c>
      <c r="T1835" s="7" t="str">
        <f ca="1">IFERROR(__xludf.DUMMYFUNCTION("""COMPUTED_VALUE"""),"http://www.ms.ro/2020/08/20/buletin-informativ-20-08-2020")</f>
        <v>http://www.ms.ro/2020/08/20/buletin-informativ-20-08-2020</v>
      </c>
      <c r="U1835" s="5"/>
      <c r="V1835" s="5"/>
      <c r="W1835" s="5"/>
      <c r="X1835" s="5"/>
      <c r="Y1835" s="5"/>
      <c r="Z1835" s="5"/>
      <c r="AA1835" s="5"/>
      <c r="AB1835" s="5"/>
      <c r="AC1835" s="5"/>
    </row>
    <row r="1836" spans="1:29" ht="12.5">
      <c r="A1836" s="5">
        <f ca="1">IFERROR(__xludf.DUMMYFUNCTION("""COMPUTED_VALUE"""),73789)</f>
        <v>73789</v>
      </c>
      <c r="B1836" s="5"/>
      <c r="C1836" s="5" t="str">
        <f ca="1">IFERROR(__xludf.DUMMYFUNCTION("""COMPUTED_VALUE"""),"Bihor")</f>
        <v>Bihor</v>
      </c>
      <c r="D1836" s="13">
        <f ca="1">IFERROR(__xludf.DUMMYFUNCTION("""COMPUTED_VALUE"""),44063)</f>
        <v>44063</v>
      </c>
      <c r="E1836" s="5" t="str">
        <f ca="1">IFERROR(__xludf.DUMMYFUNCTION("""COMPUTED_VALUE"""),"Nu")</f>
        <v>Nu</v>
      </c>
      <c r="F1836" s="5"/>
      <c r="G1836" s="5"/>
      <c r="H1836" s="6"/>
      <c r="I1836" s="5"/>
      <c r="J1836" s="5"/>
      <c r="K1836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36" s="5"/>
      <c r="M1836" s="5"/>
      <c r="N1836" s="5"/>
      <c r="O1836" s="5"/>
      <c r="P1836" s="5"/>
      <c r="Q1836" s="5"/>
      <c r="R1836" s="5" t="str">
        <f ca="1">IFERROR(__xludf.DUMMYFUNCTION("""COMPUTED_VALUE"""),"România")</f>
        <v>România</v>
      </c>
      <c r="S1836" s="5" t="str">
        <f ca="1">IFERROR(__xludf.DUMMYFUNCTION("""COMPUTED_VALUE"""),"Octavian")</f>
        <v>Octavian</v>
      </c>
      <c r="T1836" s="7" t="str">
        <f ca="1">IFERROR(__xludf.DUMMYFUNCTION("""COMPUTED_VALUE"""),"http://www.ms.ro/2020/08/20/buletin-informativ-20-08-2020")</f>
        <v>http://www.ms.ro/2020/08/20/buletin-informativ-20-08-2020</v>
      </c>
      <c r="U1836" s="5"/>
      <c r="V1836" s="5"/>
      <c r="W1836" s="5"/>
      <c r="X1836" s="5"/>
      <c r="Y1836" s="5"/>
      <c r="Z1836" s="5"/>
      <c r="AA1836" s="5"/>
      <c r="AB1836" s="5"/>
      <c r="AC1836" s="5"/>
    </row>
    <row r="1837" spans="1:29" ht="12.5">
      <c r="A1837" s="5">
        <f ca="1">IFERROR(__xludf.DUMMYFUNCTION("""COMPUTED_VALUE"""),73790)</f>
        <v>73790</v>
      </c>
      <c r="B1837" s="5"/>
      <c r="C1837" s="5" t="str">
        <f ca="1">IFERROR(__xludf.DUMMYFUNCTION("""COMPUTED_VALUE"""),"Bihor")</f>
        <v>Bihor</v>
      </c>
      <c r="D1837" s="13">
        <f ca="1">IFERROR(__xludf.DUMMYFUNCTION("""COMPUTED_VALUE"""),44063)</f>
        <v>44063</v>
      </c>
      <c r="E1837" s="5" t="str">
        <f ca="1">IFERROR(__xludf.DUMMYFUNCTION("""COMPUTED_VALUE"""),"Nu")</f>
        <v>Nu</v>
      </c>
      <c r="F1837" s="5"/>
      <c r="G1837" s="5"/>
      <c r="H1837" s="6"/>
      <c r="I1837" s="5"/>
      <c r="J1837" s="5"/>
      <c r="K1837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37" s="5"/>
      <c r="M1837" s="5"/>
      <c r="N1837" s="5"/>
      <c r="O1837" s="5"/>
      <c r="P1837" s="5"/>
      <c r="Q1837" s="5"/>
      <c r="R1837" s="5" t="str">
        <f ca="1">IFERROR(__xludf.DUMMYFUNCTION("""COMPUTED_VALUE"""),"România")</f>
        <v>România</v>
      </c>
      <c r="S1837" s="5" t="str">
        <f ca="1">IFERROR(__xludf.DUMMYFUNCTION("""COMPUTED_VALUE"""),"Octavian")</f>
        <v>Octavian</v>
      </c>
      <c r="T1837" s="7" t="str">
        <f ca="1">IFERROR(__xludf.DUMMYFUNCTION("""COMPUTED_VALUE"""),"http://www.ms.ro/2020/08/20/buletin-informativ-20-08-2020")</f>
        <v>http://www.ms.ro/2020/08/20/buletin-informativ-20-08-2020</v>
      </c>
      <c r="U1837" s="5"/>
      <c r="V1837" s="5"/>
      <c r="W1837" s="5"/>
      <c r="X1837" s="5"/>
      <c r="Y1837" s="5"/>
      <c r="Z1837" s="5"/>
      <c r="AA1837" s="5"/>
      <c r="AB1837" s="5"/>
      <c r="AC1837" s="5"/>
    </row>
    <row r="1838" spans="1:29" ht="12.5">
      <c r="A1838" s="5">
        <f ca="1">IFERROR(__xludf.DUMMYFUNCTION("""COMPUTED_VALUE"""),73791)</f>
        <v>73791</v>
      </c>
      <c r="B1838" s="5"/>
      <c r="C1838" s="5" t="str">
        <f ca="1">IFERROR(__xludf.DUMMYFUNCTION("""COMPUTED_VALUE"""),"Bihor")</f>
        <v>Bihor</v>
      </c>
      <c r="D1838" s="13">
        <f ca="1">IFERROR(__xludf.DUMMYFUNCTION("""COMPUTED_VALUE"""),44063)</f>
        <v>44063</v>
      </c>
      <c r="E1838" s="5" t="str">
        <f ca="1">IFERROR(__xludf.DUMMYFUNCTION("""COMPUTED_VALUE"""),"Nu")</f>
        <v>Nu</v>
      </c>
      <c r="F1838" s="5"/>
      <c r="G1838" s="5"/>
      <c r="H1838" s="6"/>
      <c r="I1838" s="5"/>
      <c r="J1838" s="5"/>
      <c r="K1838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38" s="5"/>
      <c r="M1838" s="5"/>
      <c r="N1838" s="5"/>
      <c r="O1838" s="5"/>
      <c r="P1838" s="5"/>
      <c r="Q1838" s="5"/>
      <c r="R1838" s="5" t="str">
        <f ca="1">IFERROR(__xludf.DUMMYFUNCTION("""COMPUTED_VALUE"""),"România")</f>
        <v>România</v>
      </c>
      <c r="S1838" s="5" t="str">
        <f ca="1">IFERROR(__xludf.DUMMYFUNCTION("""COMPUTED_VALUE"""),"Octavian")</f>
        <v>Octavian</v>
      </c>
      <c r="T1838" s="7" t="str">
        <f ca="1">IFERROR(__xludf.DUMMYFUNCTION("""COMPUTED_VALUE"""),"http://www.ms.ro/2020/08/20/buletin-informativ-20-08-2020")</f>
        <v>http://www.ms.ro/2020/08/20/buletin-informativ-20-08-2020</v>
      </c>
      <c r="U1838" s="5"/>
      <c r="V1838" s="5"/>
      <c r="W1838" s="5"/>
      <c r="X1838" s="5"/>
      <c r="Y1838" s="5"/>
      <c r="Z1838" s="5"/>
      <c r="AA1838" s="5"/>
      <c r="AB1838" s="5"/>
      <c r="AC1838" s="5"/>
    </row>
    <row r="1839" spans="1:29" ht="12.5">
      <c r="A1839" s="5">
        <f ca="1">IFERROR(__xludf.DUMMYFUNCTION("""COMPUTED_VALUE"""),73792)</f>
        <v>73792</v>
      </c>
      <c r="B1839" s="5"/>
      <c r="C1839" s="5" t="str">
        <f ca="1">IFERROR(__xludf.DUMMYFUNCTION("""COMPUTED_VALUE"""),"Bihor")</f>
        <v>Bihor</v>
      </c>
      <c r="D1839" s="13">
        <f ca="1">IFERROR(__xludf.DUMMYFUNCTION("""COMPUTED_VALUE"""),44063)</f>
        <v>44063</v>
      </c>
      <c r="E1839" s="5" t="str">
        <f ca="1">IFERROR(__xludf.DUMMYFUNCTION("""COMPUTED_VALUE"""),"Nu")</f>
        <v>Nu</v>
      </c>
      <c r="F1839" s="5"/>
      <c r="G1839" s="5"/>
      <c r="H1839" s="6"/>
      <c r="I1839" s="5"/>
      <c r="J1839" s="5"/>
      <c r="K1839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39" s="5"/>
      <c r="M1839" s="5"/>
      <c r="N1839" s="5"/>
      <c r="O1839" s="5"/>
      <c r="P1839" s="5"/>
      <c r="Q1839" s="5"/>
      <c r="R1839" s="5" t="str">
        <f ca="1">IFERROR(__xludf.DUMMYFUNCTION("""COMPUTED_VALUE"""),"România")</f>
        <v>România</v>
      </c>
      <c r="S1839" s="5" t="str">
        <f ca="1">IFERROR(__xludf.DUMMYFUNCTION("""COMPUTED_VALUE"""),"Octavian")</f>
        <v>Octavian</v>
      </c>
      <c r="T1839" s="7" t="str">
        <f ca="1">IFERROR(__xludf.DUMMYFUNCTION("""COMPUTED_VALUE"""),"http://www.ms.ro/2020/08/20/buletin-informativ-20-08-2020")</f>
        <v>http://www.ms.ro/2020/08/20/buletin-informativ-20-08-2020</v>
      </c>
      <c r="U1839" s="5"/>
      <c r="V1839" s="5"/>
      <c r="W1839" s="5"/>
      <c r="X1839" s="5"/>
      <c r="Y1839" s="5"/>
      <c r="Z1839" s="5"/>
      <c r="AA1839" s="5"/>
      <c r="AB1839" s="5"/>
      <c r="AC1839" s="5"/>
    </row>
    <row r="1840" spans="1:29" ht="12.5">
      <c r="A1840" s="5">
        <f ca="1">IFERROR(__xludf.DUMMYFUNCTION("""COMPUTED_VALUE"""),73793)</f>
        <v>73793</v>
      </c>
      <c r="B1840" s="5"/>
      <c r="C1840" s="5" t="str">
        <f ca="1">IFERROR(__xludf.DUMMYFUNCTION("""COMPUTED_VALUE"""),"Bihor")</f>
        <v>Bihor</v>
      </c>
      <c r="D1840" s="13">
        <f ca="1">IFERROR(__xludf.DUMMYFUNCTION("""COMPUTED_VALUE"""),44063)</f>
        <v>44063</v>
      </c>
      <c r="E1840" s="5" t="str">
        <f ca="1">IFERROR(__xludf.DUMMYFUNCTION("""COMPUTED_VALUE"""),"Nu")</f>
        <v>Nu</v>
      </c>
      <c r="F1840" s="5"/>
      <c r="G1840" s="5"/>
      <c r="H1840" s="6"/>
      <c r="I1840" s="5"/>
      <c r="J1840" s="5"/>
      <c r="K1840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40" s="5"/>
      <c r="M1840" s="5"/>
      <c r="N1840" s="5"/>
      <c r="O1840" s="5"/>
      <c r="P1840" s="5"/>
      <c r="Q1840" s="5"/>
      <c r="R1840" s="5" t="str">
        <f ca="1">IFERROR(__xludf.DUMMYFUNCTION("""COMPUTED_VALUE"""),"România")</f>
        <v>România</v>
      </c>
      <c r="S1840" s="5" t="str">
        <f ca="1">IFERROR(__xludf.DUMMYFUNCTION("""COMPUTED_VALUE"""),"Octavian")</f>
        <v>Octavian</v>
      </c>
      <c r="T1840" s="7" t="str">
        <f ca="1">IFERROR(__xludf.DUMMYFUNCTION("""COMPUTED_VALUE"""),"http://www.ms.ro/2020/08/20/buletin-informativ-20-08-2020")</f>
        <v>http://www.ms.ro/2020/08/20/buletin-informativ-20-08-2020</v>
      </c>
      <c r="U1840" s="5"/>
      <c r="V1840" s="5"/>
      <c r="W1840" s="5"/>
      <c r="X1840" s="5"/>
      <c r="Y1840" s="5"/>
      <c r="Z1840" s="5"/>
      <c r="AA1840" s="5"/>
      <c r="AB1840" s="5"/>
      <c r="AC1840" s="5"/>
    </row>
    <row r="1841" spans="1:29" ht="12.5">
      <c r="A1841" s="5">
        <f ca="1">IFERROR(__xludf.DUMMYFUNCTION("""COMPUTED_VALUE"""),73794)</f>
        <v>73794</v>
      </c>
      <c r="B1841" s="5"/>
      <c r="C1841" s="5" t="str">
        <f ca="1">IFERROR(__xludf.DUMMYFUNCTION("""COMPUTED_VALUE"""),"Bihor")</f>
        <v>Bihor</v>
      </c>
      <c r="D1841" s="13">
        <f ca="1">IFERROR(__xludf.DUMMYFUNCTION("""COMPUTED_VALUE"""),44063)</f>
        <v>44063</v>
      </c>
      <c r="E1841" s="5" t="str">
        <f ca="1">IFERROR(__xludf.DUMMYFUNCTION("""COMPUTED_VALUE"""),"Nu")</f>
        <v>Nu</v>
      </c>
      <c r="F1841" s="5"/>
      <c r="G1841" s="5"/>
      <c r="H1841" s="6"/>
      <c r="I1841" s="5"/>
      <c r="J1841" s="5"/>
      <c r="K1841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41" s="5"/>
      <c r="M1841" s="5"/>
      <c r="N1841" s="5"/>
      <c r="O1841" s="5"/>
      <c r="P1841" s="5"/>
      <c r="Q1841" s="5"/>
      <c r="R1841" s="5" t="str">
        <f ca="1">IFERROR(__xludf.DUMMYFUNCTION("""COMPUTED_VALUE"""),"România")</f>
        <v>România</v>
      </c>
      <c r="S1841" s="5" t="str">
        <f ca="1">IFERROR(__xludf.DUMMYFUNCTION("""COMPUTED_VALUE"""),"Octavian")</f>
        <v>Octavian</v>
      </c>
      <c r="T1841" s="7" t="str">
        <f ca="1">IFERROR(__xludf.DUMMYFUNCTION("""COMPUTED_VALUE"""),"http://www.ms.ro/2020/08/20/buletin-informativ-20-08-2020")</f>
        <v>http://www.ms.ro/2020/08/20/buletin-informativ-20-08-2020</v>
      </c>
      <c r="U1841" s="5"/>
      <c r="V1841" s="5"/>
      <c r="W1841" s="5"/>
      <c r="X1841" s="5"/>
      <c r="Y1841" s="5"/>
      <c r="Z1841" s="5"/>
      <c r="AA1841" s="5"/>
      <c r="AB1841" s="5"/>
      <c r="AC1841" s="5"/>
    </row>
    <row r="1842" spans="1:29" ht="12.5">
      <c r="A1842" s="5">
        <f ca="1">IFERROR(__xludf.DUMMYFUNCTION("""COMPUTED_VALUE"""),73795)</f>
        <v>73795</v>
      </c>
      <c r="B1842" s="5"/>
      <c r="C1842" s="5" t="str">
        <f ca="1">IFERROR(__xludf.DUMMYFUNCTION("""COMPUTED_VALUE"""),"Bihor")</f>
        <v>Bihor</v>
      </c>
      <c r="D1842" s="13">
        <f ca="1">IFERROR(__xludf.DUMMYFUNCTION("""COMPUTED_VALUE"""),44063)</f>
        <v>44063</v>
      </c>
      <c r="E1842" s="5" t="str">
        <f ca="1">IFERROR(__xludf.DUMMYFUNCTION("""COMPUTED_VALUE"""),"Nu")</f>
        <v>Nu</v>
      </c>
      <c r="F1842" s="5"/>
      <c r="G1842" s="5"/>
      <c r="H1842" s="6"/>
      <c r="I1842" s="5"/>
      <c r="J1842" s="5"/>
      <c r="K1842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42" s="5"/>
      <c r="M1842" s="5"/>
      <c r="N1842" s="5"/>
      <c r="O1842" s="5"/>
      <c r="P1842" s="5"/>
      <c r="Q1842" s="5"/>
      <c r="R1842" s="5" t="str">
        <f ca="1">IFERROR(__xludf.DUMMYFUNCTION("""COMPUTED_VALUE"""),"România")</f>
        <v>România</v>
      </c>
      <c r="S1842" s="5" t="str">
        <f ca="1">IFERROR(__xludf.DUMMYFUNCTION("""COMPUTED_VALUE"""),"Octavian")</f>
        <v>Octavian</v>
      </c>
      <c r="T1842" s="7" t="str">
        <f ca="1">IFERROR(__xludf.DUMMYFUNCTION("""COMPUTED_VALUE"""),"http://www.ms.ro/2020/08/20/buletin-informativ-20-08-2020")</f>
        <v>http://www.ms.ro/2020/08/20/buletin-informativ-20-08-2020</v>
      </c>
      <c r="U1842" s="5"/>
      <c r="V1842" s="5"/>
      <c r="W1842" s="5"/>
      <c r="X1842" s="5"/>
      <c r="Y1842" s="5"/>
      <c r="Z1842" s="5"/>
      <c r="AA1842" s="5"/>
      <c r="AB1842" s="5"/>
      <c r="AC1842" s="5"/>
    </row>
    <row r="1843" spans="1:29" ht="12.5">
      <c r="A1843" s="5">
        <f ca="1">IFERROR(__xludf.DUMMYFUNCTION("""COMPUTED_VALUE"""),73796)</f>
        <v>73796</v>
      </c>
      <c r="B1843" s="5"/>
      <c r="C1843" s="5" t="str">
        <f ca="1">IFERROR(__xludf.DUMMYFUNCTION("""COMPUTED_VALUE"""),"Bihor")</f>
        <v>Bihor</v>
      </c>
      <c r="D1843" s="13">
        <f ca="1">IFERROR(__xludf.DUMMYFUNCTION("""COMPUTED_VALUE"""),44063)</f>
        <v>44063</v>
      </c>
      <c r="E1843" s="5" t="str">
        <f ca="1">IFERROR(__xludf.DUMMYFUNCTION("""COMPUTED_VALUE"""),"Nu")</f>
        <v>Nu</v>
      </c>
      <c r="F1843" s="5"/>
      <c r="G1843" s="5"/>
      <c r="H1843" s="6"/>
      <c r="I1843" s="5"/>
      <c r="J1843" s="5"/>
      <c r="K1843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43" s="5"/>
      <c r="M1843" s="5"/>
      <c r="N1843" s="5"/>
      <c r="O1843" s="5"/>
      <c r="P1843" s="5"/>
      <c r="Q1843" s="5"/>
      <c r="R1843" s="5" t="str">
        <f ca="1">IFERROR(__xludf.DUMMYFUNCTION("""COMPUTED_VALUE"""),"România")</f>
        <v>România</v>
      </c>
      <c r="S1843" s="5" t="str">
        <f ca="1">IFERROR(__xludf.DUMMYFUNCTION("""COMPUTED_VALUE"""),"Octavian")</f>
        <v>Octavian</v>
      </c>
      <c r="T1843" s="7" t="str">
        <f ca="1">IFERROR(__xludf.DUMMYFUNCTION("""COMPUTED_VALUE"""),"http://www.ms.ro/2020/08/20/buletin-informativ-20-08-2020")</f>
        <v>http://www.ms.ro/2020/08/20/buletin-informativ-20-08-2020</v>
      </c>
      <c r="U1843" s="5"/>
      <c r="V1843" s="5"/>
      <c r="W1843" s="5"/>
      <c r="X1843" s="5"/>
      <c r="Y1843" s="5"/>
      <c r="Z1843" s="5"/>
      <c r="AA1843" s="5"/>
      <c r="AB1843" s="5"/>
      <c r="AC1843" s="5"/>
    </row>
    <row r="1844" spans="1:29" ht="12.5">
      <c r="A1844" s="5">
        <f ca="1">IFERROR(__xludf.DUMMYFUNCTION("""COMPUTED_VALUE"""),73797)</f>
        <v>73797</v>
      </c>
      <c r="B1844" s="5"/>
      <c r="C1844" s="5" t="str">
        <f ca="1">IFERROR(__xludf.DUMMYFUNCTION("""COMPUTED_VALUE"""),"Bihor")</f>
        <v>Bihor</v>
      </c>
      <c r="D1844" s="13">
        <f ca="1">IFERROR(__xludf.DUMMYFUNCTION("""COMPUTED_VALUE"""),44063)</f>
        <v>44063</v>
      </c>
      <c r="E1844" s="5" t="str">
        <f ca="1">IFERROR(__xludf.DUMMYFUNCTION("""COMPUTED_VALUE"""),"Nu")</f>
        <v>Nu</v>
      </c>
      <c r="F1844" s="5"/>
      <c r="G1844" s="5"/>
      <c r="H1844" s="6"/>
      <c r="I1844" s="5"/>
      <c r="J1844" s="5"/>
      <c r="K1844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44" s="5"/>
      <c r="M1844" s="5"/>
      <c r="N1844" s="5"/>
      <c r="O1844" s="5"/>
      <c r="P1844" s="5"/>
      <c r="Q1844" s="5"/>
      <c r="R1844" s="5" t="str">
        <f ca="1">IFERROR(__xludf.DUMMYFUNCTION("""COMPUTED_VALUE"""),"România")</f>
        <v>România</v>
      </c>
      <c r="S1844" s="5" t="str">
        <f ca="1">IFERROR(__xludf.DUMMYFUNCTION("""COMPUTED_VALUE"""),"Octavian")</f>
        <v>Octavian</v>
      </c>
      <c r="T1844" s="7" t="str">
        <f ca="1">IFERROR(__xludf.DUMMYFUNCTION("""COMPUTED_VALUE"""),"http://www.ms.ro/2020/08/20/buletin-informativ-20-08-2020")</f>
        <v>http://www.ms.ro/2020/08/20/buletin-informativ-20-08-2020</v>
      </c>
      <c r="U1844" s="5"/>
      <c r="V1844" s="5"/>
      <c r="W1844" s="5"/>
      <c r="X1844" s="5"/>
      <c r="Y1844" s="5"/>
      <c r="Z1844" s="5"/>
      <c r="AA1844" s="5"/>
      <c r="AB1844" s="5"/>
      <c r="AC1844" s="5"/>
    </row>
    <row r="1845" spans="1:29" ht="12.5">
      <c r="A1845" s="5">
        <f ca="1">IFERROR(__xludf.DUMMYFUNCTION("""COMPUTED_VALUE"""),73798)</f>
        <v>73798</v>
      </c>
      <c r="B1845" s="5"/>
      <c r="C1845" s="5" t="str">
        <f ca="1">IFERROR(__xludf.DUMMYFUNCTION("""COMPUTED_VALUE"""),"Bihor")</f>
        <v>Bihor</v>
      </c>
      <c r="D1845" s="13">
        <f ca="1">IFERROR(__xludf.DUMMYFUNCTION("""COMPUTED_VALUE"""),44063)</f>
        <v>44063</v>
      </c>
      <c r="E1845" s="5" t="str">
        <f ca="1">IFERROR(__xludf.DUMMYFUNCTION("""COMPUTED_VALUE"""),"Nu")</f>
        <v>Nu</v>
      </c>
      <c r="F1845" s="5"/>
      <c r="G1845" s="5"/>
      <c r="H1845" s="6"/>
      <c r="I1845" s="5"/>
      <c r="J1845" s="5"/>
      <c r="K1845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45" s="5"/>
      <c r="M1845" s="5"/>
      <c r="N1845" s="5"/>
      <c r="O1845" s="5"/>
      <c r="P1845" s="5"/>
      <c r="Q1845" s="5"/>
      <c r="R1845" s="5" t="str">
        <f ca="1">IFERROR(__xludf.DUMMYFUNCTION("""COMPUTED_VALUE"""),"România")</f>
        <v>România</v>
      </c>
      <c r="S1845" s="5" t="str">
        <f ca="1">IFERROR(__xludf.DUMMYFUNCTION("""COMPUTED_VALUE"""),"Octavian")</f>
        <v>Octavian</v>
      </c>
      <c r="T1845" s="7" t="str">
        <f ca="1">IFERROR(__xludf.DUMMYFUNCTION("""COMPUTED_VALUE"""),"http://www.ms.ro/2020/08/20/buletin-informativ-20-08-2020")</f>
        <v>http://www.ms.ro/2020/08/20/buletin-informativ-20-08-2020</v>
      </c>
      <c r="U1845" s="5"/>
      <c r="V1845" s="5"/>
      <c r="W1845" s="5"/>
      <c r="X1845" s="5"/>
      <c r="Y1845" s="5"/>
      <c r="Z1845" s="5"/>
      <c r="AA1845" s="5"/>
      <c r="AB1845" s="5"/>
      <c r="AC1845" s="5"/>
    </row>
    <row r="1846" spans="1:29" ht="12.5">
      <c r="A1846" s="5">
        <f ca="1">IFERROR(__xludf.DUMMYFUNCTION("""COMPUTED_VALUE"""),73799)</f>
        <v>73799</v>
      </c>
      <c r="B1846" s="5"/>
      <c r="C1846" s="5" t="str">
        <f ca="1">IFERROR(__xludf.DUMMYFUNCTION("""COMPUTED_VALUE"""),"Bihor")</f>
        <v>Bihor</v>
      </c>
      <c r="D1846" s="13">
        <f ca="1">IFERROR(__xludf.DUMMYFUNCTION("""COMPUTED_VALUE"""),44063)</f>
        <v>44063</v>
      </c>
      <c r="E1846" s="5" t="str">
        <f ca="1">IFERROR(__xludf.DUMMYFUNCTION("""COMPUTED_VALUE"""),"Nu")</f>
        <v>Nu</v>
      </c>
      <c r="F1846" s="5"/>
      <c r="G1846" s="5"/>
      <c r="H1846" s="6"/>
      <c r="I1846" s="5"/>
      <c r="J1846" s="5"/>
      <c r="K1846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46" s="5"/>
      <c r="M1846" s="5"/>
      <c r="N1846" s="5"/>
      <c r="O1846" s="5"/>
      <c r="P1846" s="5"/>
      <c r="Q1846" s="5"/>
      <c r="R1846" s="5" t="str">
        <f ca="1">IFERROR(__xludf.DUMMYFUNCTION("""COMPUTED_VALUE"""),"România")</f>
        <v>România</v>
      </c>
      <c r="S1846" s="5" t="str">
        <f ca="1">IFERROR(__xludf.DUMMYFUNCTION("""COMPUTED_VALUE"""),"Octavian")</f>
        <v>Octavian</v>
      </c>
      <c r="T1846" s="7" t="str">
        <f ca="1">IFERROR(__xludf.DUMMYFUNCTION("""COMPUTED_VALUE"""),"http://www.ms.ro/2020/08/20/buletin-informativ-20-08-2020")</f>
        <v>http://www.ms.ro/2020/08/20/buletin-informativ-20-08-2020</v>
      </c>
      <c r="U1846" s="5"/>
      <c r="V1846" s="5"/>
      <c r="W1846" s="5"/>
      <c r="X1846" s="5"/>
      <c r="Y1846" s="5"/>
      <c r="Z1846" s="5"/>
      <c r="AA1846" s="5"/>
      <c r="AB1846" s="5"/>
      <c r="AC1846" s="5"/>
    </row>
    <row r="1847" spans="1:29" ht="12.5">
      <c r="A1847" s="5">
        <f ca="1">IFERROR(__xludf.DUMMYFUNCTION("""COMPUTED_VALUE"""),73800)</f>
        <v>73800</v>
      </c>
      <c r="B1847" s="5"/>
      <c r="C1847" s="5" t="str">
        <f ca="1">IFERROR(__xludf.DUMMYFUNCTION("""COMPUTED_VALUE"""),"Bihor")</f>
        <v>Bihor</v>
      </c>
      <c r="D1847" s="13">
        <f ca="1">IFERROR(__xludf.DUMMYFUNCTION("""COMPUTED_VALUE"""),44063)</f>
        <v>44063</v>
      </c>
      <c r="E1847" s="5" t="str">
        <f ca="1">IFERROR(__xludf.DUMMYFUNCTION("""COMPUTED_VALUE"""),"Nu")</f>
        <v>Nu</v>
      </c>
      <c r="F1847" s="5"/>
      <c r="G1847" s="5"/>
      <c r="H1847" s="6"/>
      <c r="I1847" s="5"/>
      <c r="J1847" s="5"/>
      <c r="K1847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47" s="5"/>
      <c r="M1847" s="5"/>
      <c r="N1847" s="5"/>
      <c r="O1847" s="5"/>
      <c r="P1847" s="5"/>
      <c r="Q1847" s="5"/>
      <c r="R1847" s="5" t="str">
        <f ca="1">IFERROR(__xludf.DUMMYFUNCTION("""COMPUTED_VALUE"""),"România")</f>
        <v>România</v>
      </c>
      <c r="S1847" s="5" t="str">
        <f ca="1">IFERROR(__xludf.DUMMYFUNCTION("""COMPUTED_VALUE"""),"Octavian")</f>
        <v>Octavian</v>
      </c>
      <c r="T1847" s="7" t="str">
        <f ca="1">IFERROR(__xludf.DUMMYFUNCTION("""COMPUTED_VALUE"""),"http://www.ms.ro/2020/08/20/buletin-informativ-20-08-2020")</f>
        <v>http://www.ms.ro/2020/08/20/buletin-informativ-20-08-2020</v>
      </c>
      <c r="U1847" s="5"/>
      <c r="V1847" s="5"/>
      <c r="W1847" s="5"/>
      <c r="X1847" s="5"/>
      <c r="Y1847" s="5"/>
      <c r="Z1847" s="5"/>
      <c r="AA1847" s="5"/>
      <c r="AB1847" s="5"/>
      <c r="AC1847" s="5"/>
    </row>
    <row r="1848" spans="1:29" ht="12.5">
      <c r="A1848" s="5">
        <f ca="1">IFERROR(__xludf.DUMMYFUNCTION("""COMPUTED_VALUE"""),73801)</f>
        <v>73801</v>
      </c>
      <c r="B1848" s="5"/>
      <c r="C1848" s="5" t="str">
        <f ca="1">IFERROR(__xludf.DUMMYFUNCTION("""COMPUTED_VALUE"""),"Bihor")</f>
        <v>Bihor</v>
      </c>
      <c r="D1848" s="13">
        <f ca="1">IFERROR(__xludf.DUMMYFUNCTION("""COMPUTED_VALUE"""),44063)</f>
        <v>44063</v>
      </c>
      <c r="E1848" s="5" t="str">
        <f ca="1">IFERROR(__xludf.DUMMYFUNCTION("""COMPUTED_VALUE"""),"Nu")</f>
        <v>Nu</v>
      </c>
      <c r="F1848" s="5"/>
      <c r="G1848" s="5"/>
      <c r="H1848" s="6"/>
      <c r="I1848" s="5"/>
      <c r="J1848" s="5"/>
      <c r="K1848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48" s="5"/>
      <c r="M1848" s="5"/>
      <c r="N1848" s="5"/>
      <c r="O1848" s="5"/>
      <c r="P1848" s="5"/>
      <c r="Q1848" s="5"/>
      <c r="R1848" s="5" t="str">
        <f ca="1">IFERROR(__xludf.DUMMYFUNCTION("""COMPUTED_VALUE"""),"România")</f>
        <v>România</v>
      </c>
      <c r="S1848" s="5" t="str">
        <f ca="1">IFERROR(__xludf.DUMMYFUNCTION("""COMPUTED_VALUE"""),"Octavian")</f>
        <v>Octavian</v>
      </c>
      <c r="T1848" s="7" t="str">
        <f ca="1">IFERROR(__xludf.DUMMYFUNCTION("""COMPUTED_VALUE"""),"http://www.ms.ro/2020/08/20/buletin-informativ-20-08-2020")</f>
        <v>http://www.ms.ro/2020/08/20/buletin-informativ-20-08-2020</v>
      </c>
      <c r="U1848" s="5"/>
      <c r="V1848" s="5"/>
      <c r="W1848" s="5"/>
      <c r="X1848" s="5"/>
      <c r="Y1848" s="5"/>
      <c r="Z1848" s="5"/>
      <c r="AA1848" s="5"/>
      <c r="AB1848" s="5"/>
      <c r="AC1848" s="5"/>
    </row>
    <row r="1849" spans="1:29" ht="12.5">
      <c r="A1849" s="5">
        <f ca="1">IFERROR(__xludf.DUMMYFUNCTION("""COMPUTED_VALUE"""),73802)</f>
        <v>73802</v>
      </c>
      <c r="B1849" s="5"/>
      <c r="C1849" s="5" t="str">
        <f ca="1">IFERROR(__xludf.DUMMYFUNCTION("""COMPUTED_VALUE"""),"Bihor")</f>
        <v>Bihor</v>
      </c>
      <c r="D1849" s="13">
        <f ca="1">IFERROR(__xludf.DUMMYFUNCTION("""COMPUTED_VALUE"""),44063)</f>
        <v>44063</v>
      </c>
      <c r="E1849" s="5" t="str">
        <f ca="1">IFERROR(__xludf.DUMMYFUNCTION("""COMPUTED_VALUE"""),"Nu")</f>
        <v>Nu</v>
      </c>
      <c r="F1849" s="5"/>
      <c r="G1849" s="5"/>
      <c r="H1849" s="6"/>
      <c r="I1849" s="5"/>
      <c r="J1849" s="5"/>
      <c r="K1849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49" s="5"/>
      <c r="M1849" s="5"/>
      <c r="N1849" s="5"/>
      <c r="O1849" s="5"/>
      <c r="P1849" s="5"/>
      <c r="Q1849" s="5"/>
      <c r="R1849" s="5" t="str">
        <f ca="1">IFERROR(__xludf.DUMMYFUNCTION("""COMPUTED_VALUE"""),"România")</f>
        <v>România</v>
      </c>
      <c r="S1849" s="5" t="str">
        <f ca="1">IFERROR(__xludf.DUMMYFUNCTION("""COMPUTED_VALUE"""),"Octavian")</f>
        <v>Octavian</v>
      </c>
      <c r="T1849" s="7" t="str">
        <f ca="1">IFERROR(__xludf.DUMMYFUNCTION("""COMPUTED_VALUE"""),"http://www.ms.ro/2020/08/20/buletin-informativ-20-08-2020")</f>
        <v>http://www.ms.ro/2020/08/20/buletin-informativ-20-08-2020</v>
      </c>
      <c r="U1849" s="5"/>
      <c r="V1849" s="5"/>
      <c r="W1849" s="5"/>
      <c r="X1849" s="5"/>
      <c r="Y1849" s="5"/>
      <c r="Z1849" s="5"/>
      <c r="AA1849" s="5"/>
      <c r="AB1849" s="5"/>
      <c r="AC1849" s="5"/>
    </row>
    <row r="1850" spans="1:29" ht="12.5">
      <c r="A1850" s="5">
        <f ca="1">IFERROR(__xludf.DUMMYFUNCTION("""COMPUTED_VALUE"""),73803)</f>
        <v>73803</v>
      </c>
      <c r="B1850" s="5"/>
      <c r="C1850" s="5" t="str">
        <f ca="1">IFERROR(__xludf.DUMMYFUNCTION("""COMPUTED_VALUE"""),"Bihor")</f>
        <v>Bihor</v>
      </c>
      <c r="D1850" s="13">
        <f ca="1">IFERROR(__xludf.DUMMYFUNCTION("""COMPUTED_VALUE"""),44063)</f>
        <v>44063</v>
      </c>
      <c r="E1850" s="5" t="str">
        <f ca="1">IFERROR(__xludf.DUMMYFUNCTION("""COMPUTED_VALUE"""),"Nu")</f>
        <v>Nu</v>
      </c>
      <c r="F1850" s="5"/>
      <c r="G1850" s="5"/>
      <c r="H1850" s="6"/>
      <c r="I1850" s="5"/>
      <c r="J1850" s="5"/>
      <c r="K1850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50" s="5"/>
      <c r="M1850" s="5"/>
      <c r="N1850" s="5"/>
      <c r="O1850" s="5"/>
      <c r="P1850" s="5"/>
      <c r="Q1850" s="5"/>
      <c r="R1850" s="5" t="str">
        <f ca="1">IFERROR(__xludf.DUMMYFUNCTION("""COMPUTED_VALUE"""),"România")</f>
        <v>România</v>
      </c>
      <c r="S1850" s="5" t="str">
        <f ca="1">IFERROR(__xludf.DUMMYFUNCTION("""COMPUTED_VALUE"""),"Octavian")</f>
        <v>Octavian</v>
      </c>
      <c r="T1850" s="7" t="str">
        <f ca="1">IFERROR(__xludf.DUMMYFUNCTION("""COMPUTED_VALUE"""),"http://www.ms.ro/2020/08/20/buletin-informativ-20-08-2020")</f>
        <v>http://www.ms.ro/2020/08/20/buletin-informativ-20-08-2020</v>
      </c>
      <c r="U1850" s="5"/>
      <c r="V1850" s="5"/>
      <c r="W1850" s="5"/>
      <c r="X1850" s="5"/>
      <c r="Y1850" s="5"/>
      <c r="Z1850" s="5"/>
      <c r="AA1850" s="5"/>
      <c r="AB1850" s="5"/>
      <c r="AC1850" s="5"/>
    </row>
    <row r="1851" spans="1:29" ht="12.5">
      <c r="A1851" s="5">
        <f ca="1">IFERROR(__xludf.DUMMYFUNCTION("""COMPUTED_VALUE"""),73804)</f>
        <v>73804</v>
      </c>
      <c r="B1851" s="5"/>
      <c r="C1851" s="5" t="str">
        <f ca="1">IFERROR(__xludf.DUMMYFUNCTION("""COMPUTED_VALUE"""),"Bihor")</f>
        <v>Bihor</v>
      </c>
      <c r="D1851" s="13">
        <f ca="1">IFERROR(__xludf.DUMMYFUNCTION("""COMPUTED_VALUE"""),44063)</f>
        <v>44063</v>
      </c>
      <c r="E1851" s="5" t="str">
        <f ca="1">IFERROR(__xludf.DUMMYFUNCTION("""COMPUTED_VALUE"""),"Nu")</f>
        <v>Nu</v>
      </c>
      <c r="F1851" s="5"/>
      <c r="G1851" s="5"/>
      <c r="H1851" s="6"/>
      <c r="I1851" s="5"/>
      <c r="J1851" s="5"/>
      <c r="K1851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51" s="5"/>
      <c r="M1851" s="5"/>
      <c r="N1851" s="5"/>
      <c r="O1851" s="5"/>
      <c r="P1851" s="5"/>
      <c r="Q1851" s="5"/>
      <c r="R1851" s="5" t="str">
        <f ca="1">IFERROR(__xludf.DUMMYFUNCTION("""COMPUTED_VALUE"""),"România")</f>
        <v>România</v>
      </c>
      <c r="S1851" s="5" t="str">
        <f ca="1">IFERROR(__xludf.DUMMYFUNCTION("""COMPUTED_VALUE"""),"Octavian")</f>
        <v>Octavian</v>
      </c>
      <c r="T1851" s="7" t="str">
        <f ca="1">IFERROR(__xludf.DUMMYFUNCTION("""COMPUTED_VALUE"""),"http://www.ms.ro/2020/08/20/buletin-informativ-20-08-2020")</f>
        <v>http://www.ms.ro/2020/08/20/buletin-informativ-20-08-2020</v>
      </c>
      <c r="U1851" s="5"/>
      <c r="V1851" s="5"/>
      <c r="W1851" s="5"/>
      <c r="X1851" s="5"/>
      <c r="Y1851" s="5"/>
      <c r="Z1851" s="5"/>
      <c r="AA1851" s="5"/>
      <c r="AB1851" s="5"/>
      <c r="AC1851" s="5"/>
    </row>
    <row r="1852" spans="1:29" ht="12.5">
      <c r="A1852" s="5">
        <f ca="1">IFERROR(__xludf.DUMMYFUNCTION("""COMPUTED_VALUE"""),73805)</f>
        <v>73805</v>
      </c>
      <c r="B1852" s="5"/>
      <c r="C1852" s="5" t="str">
        <f ca="1">IFERROR(__xludf.DUMMYFUNCTION("""COMPUTED_VALUE"""),"Bihor")</f>
        <v>Bihor</v>
      </c>
      <c r="D1852" s="13">
        <f ca="1">IFERROR(__xludf.DUMMYFUNCTION("""COMPUTED_VALUE"""),44063)</f>
        <v>44063</v>
      </c>
      <c r="E1852" s="5" t="str">
        <f ca="1">IFERROR(__xludf.DUMMYFUNCTION("""COMPUTED_VALUE"""),"Nu")</f>
        <v>Nu</v>
      </c>
      <c r="F1852" s="5"/>
      <c r="G1852" s="5"/>
      <c r="H1852" s="6"/>
      <c r="I1852" s="5"/>
      <c r="J1852" s="5"/>
      <c r="K1852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52" s="5"/>
      <c r="M1852" s="5"/>
      <c r="N1852" s="5"/>
      <c r="O1852" s="5"/>
      <c r="P1852" s="5"/>
      <c r="Q1852" s="5"/>
      <c r="R1852" s="5" t="str">
        <f ca="1">IFERROR(__xludf.DUMMYFUNCTION("""COMPUTED_VALUE"""),"România")</f>
        <v>România</v>
      </c>
      <c r="S1852" s="5" t="str">
        <f ca="1">IFERROR(__xludf.DUMMYFUNCTION("""COMPUTED_VALUE"""),"Octavian")</f>
        <v>Octavian</v>
      </c>
      <c r="T1852" s="7" t="str">
        <f ca="1">IFERROR(__xludf.DUMMYFUNCTION("""COMPUTED_VALUE"""),"http://www.ms.ro/2020/08/20/buletin-informativ-20-08-2020")</f>
        <v>http://www.ms.ro/2020/08/20/buletin-informativ-20-08-2020</v>
      </c>
      <c r="U1852" s="5"/>
      <c r="V1852" s="5"/>
      <c r="W1852" s="5"/>
      <c r="X1852" s="5"/>
      <c r="Y1852" s="5"/>
      <c r="Z1852" s="5"/>
      <c r="AA1852" s="5"/>
      <c r="AB1852" s="5"/>
      <c r="AC1852" s="5"/>
    </row>
    <row r="1853" spans="1:29" ht="12.5">
      <c r="A1853" s="5">
        <f ca="1">IFERROR(__xludf.DUMMYFUNCTION("""COMPUTED_VALUE"""),73806)</f>
        <v>73806</v>
      </c>
      <c r="B1853" s="5"/>
      <c r="C1853" s="5" t="str">
        <f ca="1">IFERROR(__xludf.DUMMYFUNCTION("""COMPUTED_VALUE"""),"Bihor")</f>
        <v>Bihor</v>
      </c>
      <c r="D1853" s="13">
        <f ca="1">IFERROR(__xludf.DUMMYFUNCTION("""COMPUTED_VALUE"""),44063)</f>
        <v>44063</v>
      </c>
      <c r="E1853" s="5" t="str">
        <f ca="1">IFERROR(__xludf.DUMMYFUNCTION("""COMPUTED_VALUE"""),"Nu")</f>
        <v>Nu</v>
      </c>
      <c r="F1853" s="5"/>
      <c r="G1853" s="5"/>
      <c r="H1853" s="6"/>
      <c r="I1853" s="5"/>
      <c r="J1853" s="5"/>
      <c r="K1853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53" s="5"/>
      <c r="M1853" s="5"/>
      <c r="N1853" s="5"/>
      <c r="O1853" s="5"/>
      <c r="P1853" s="5"/>
      <c r="Q1853" s="5"/>
      <c r="R1853" s="5" t="str">
        <f ca="1">IFERROR(__xludf.DUMMYFUNCTION("""COMPUTED_VALUE"""),"România")</f>
        <v>România</v>
      </c>
      <c r="S1853" s="5" t="str">
        <f ca="1">IFERROR(__xludf.DUMMYFUNCTION("""COMPUTED_VALUE"""),"Octavian")</f>
        <v>Octavian</v>
      </c>
      <c r="T1853" s="7" t="str">
        <f ca="1">IFERROR(__xludf.DUMMYFUNCTION("""COMPUTED_VALUE"""),"http://www.ms.ro/2020/08/20/buletin-informativ-20-08-2020")</f>
        <v>http://www.ms.ro/2020/08/20/buletin-informativ-20-08-2020</v>
      </c>
      <c r="U1853" s="5"/>
      <c r="V1853" s="5"/>
      <c r="W1853" s="5"/>
      <c r="X1853" s="5"/>
      <c r="Y1853" s="5"/>
      <c r="Z1853" s="5"/>
      <c r="AA1853" s="5"/>
      <c r="AB1853" s="5"/>
      <c r="AC1853" s="5"/>
    </row>
    <row r="1854" spans="1:29" ht="12.5">
      <c r="A1854" s="5">
        <f ca="1">IFERROR(__xludf.DUMMYFUNCTION("""COMPUTED_VALUE"""),73807)</f>
        <v>73807</v>
      </c>
      <c r="B1854" s="5"/>
      <c r="C1854" s="5" t="str">
        <f ca="1">IFERROR(__xludf.DUMMYFUNCTION("""COMPUTED_VALUE"""),"Bihor")</f>
        <v>Bihor</v>
      </c>
      <c r="D1854" s="13">
        <f ca="1">IFERROR(__xludf.DUMMYFUNCTION("""COMPUTED_VALUE"""),44063)</f>
        <v>44063</v>
      </c>
      <c r="E1854" s="5" t="str">
        <f ca="1">IFERROR(__xludf.DUMMYFUNCTION("""COMPUTED_VALUE"""),"Nu")</f>
        <v>Nu</v>
      </c>
      <c r="F1854" s="5"/>
      <c r="G1854" s="5"/>
      <c r="H1854" s="6"/>
      <c r="I1854" s="5"/>
      <c r="J1854" s="5"/>
      <c r="K1854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54" s="5"/>
      <c r="M1854" s="5"/>
      <c r="N1854" s="5"/>
      <c r="O1854" s="5"/>
      <c r="P1854" s="5"/>
      <c r="Q1854" s="5"/>
      <c r="R1854" s="5" t="str">
        <f ca="1">IFERROR(__xludf.DUMMYFUNCTION("""COMPUTED_VALUE"""),"România")</f>
        <v>România</v>
      </c>
      <c r="S1854" s="5" t="str">
        <f ca="1">IFERROR(__xludf.DUMMYFUNCTION("""COMPUTED_VALUE"""),"Octavian")</f>
        <v>Octavian</v>
      </c>
      <c r="T1854" s="7" t="str">
        <f ca="1">IFERROR(__xludf.DUMMYFUNCTION("""COMPUTED_VALUE"""),"http://www.ms.ro/2020/08/20/buletin-informativ-20-08-2020")</f>
        <v>http://www.ms.ro/2020/08/20/buletin-informativ-20-08-2020</v>
      </c>
      <c r="U1854" s="5"/>
      <c r="V1854" s="5"/>
      <c r="W1854" s="5"/>
      <c r="X1854" s="5"/>
      <c r="Y1854" s="5"/>
      <c r="Z1854" s="5"/>
      <c r="AA1854" s="5"/>
      <c r="AB1854" s="5"/>
      <c r="AC1854" s="5"/>
    </row>
    <row r="1855" spans="1:29" ht="12.5">
      <c r="A1855" s="5">
        <f ca="1">IFERROR(__xludf.DUMMYFUNCTION("""COMPUTED_VALUE"""),73808)</f>
        <v>73808</v>
      </c>
      <c r="B1855" s="5"/>
      <c r="C1855" s="5" t="str">
        <f ca="1">IFERROR(__xludf.DUMMYFUNCTION("""COMPUTED_VALUE"""),"Bihor")</f>
        <v>Bihor</v>
      </c>
      <c r="D1855" s="13">
        <f ca="1">IFERROR(__xludf.DUMMYFUNCTION("""COMPUTED_VALUE"""),44063)</f>
        <v>44063</v>
      </c>
      <c r="E1855" s="5" t="str">
        <f ca="1">IFERROR(__xludf.DUMMYFUNCTION("""COMPUTED_VALUE"""),"Nu")</f>
        <v>Nu</v>
      </c>
      <c r="F1855" s="5"/>
      <c r="G1855" s="5"/>
      <c r="H1855" s="6"/>
      <c r="I1855" s="5"/>
      <c r="J1855" s="5"/>
      <c r="K1855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55" s="5"/>
      <c r="M1855" s="5"/>
      <c r="N1855" s="5"/>
      <c r="O1855" s="5"/>
      <c r="P1855" s="5"/>
      <c r="Q1855" s="5"/>
      <c r="R1855" s="5" t="str">
        <f ca="1">IFERROR(__xludf.DUMMYFUNCTION("""COMPUTED_VALUE"""),"România")</f>
        <v>România</v>
      </c>
      <c r="S1855" s="5" t="str">
        <f ca="1">IFERROR(__xludf.DUMMYFUNCTION("""COMPUTED_VALUE"""),"Octavian")</f>
        <v>Octavian</v>
      </c>
      <c r="T1855" s="7" t="str">
        <f ca="1">IFERROR(__xludf.DUMMYFUNCTION("""COMPUTED_VALUE"""),"http://www.ms.ro/2020/08/20/buletin-informativ-20-08-2020")</f>
        <v>http://www.ms.ro/2020/08/20/buletin-informativ-20-08-2020</v>
      </c>
      <c r="U1855" s="5"/>
      <c r="V1855" s="5"/>
      <c r="W1855" s="5"/>
      <c r="X1855" s="5"/>
      <c r="Y1855" s="5"/>
      <c r="Z1855" s="5"/>
      <c r="AA1855" s="5"/>
      <c r="AB1855" s="5"/>
      <c r="AC1855" s="5"/>
    </row>
    <row r="1856" spans="1:29" ht="12.5">
      <c r="A1856" s="5">
        <f ca="1">IFERROR(__xludf.DUMMYFUNCTION("""COMPUTED_VALUE"""),73809)</f>
        <v>73809</v>
      </c>
      <c r="B1856" s="5"/>
      <c r="C1856" s="5" t="str">
        <f ca="1">IFERROR(__xludf.DUMMYFUNCTION("""COMPUTED_VALUE"""),"Bihor")</f>
        <v>Bihor</v>
      </c>
      <c r="D1856" s="13">
        <f ca="1">IFERROR(__xludf.DUMMYFUNCTION("""COMPUTED_VALUE"""),44063)</f>
        <v>44063</v>
      </c>
      <c r="E1856" s="5" t="str">
        <f ca="1">IFERROR(__xludf.DUMMYFUNCTION("""COMPUTED_VALUE"""),"Nu")</f>
        <v>Nu</v>
      </c>
      <c r="F1856" s="5"/>
      <c r="G1856" s="5"/>
      <c r="H1856" s="6"/>
      <c r="I1856" s="5"/>
      <c r="J1856" s="5"/>
      <c r="K1856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56" s="5"/>
      <c r="M1856" s="5"/>
      <c r="N1856" s="5"/>
      <c r="O1856" s="5"/>
      <c r="P1856" s="5"/>
      <c r="Q1856" s="5"/>
      <c r="R1856" s="5" t="str">
        <f ca="1">IFERROR(__xludf.DUMMYFUNCTION("""COMPUTED_VALUE"""),"România")</f>
        <v>România</v>
      </c>
      <c r="S1856" s="5" t="str">
        <f ca="1">IFERROR(__xludf.DUMMYFUNCTION("""COMPUTED_VALUE"""),"Octavian")</f>
        <v>Octavian</v>
      </c>
      <c r="T1856" s="7" t="str">
        <f ca="1">IFERROR(__xludf.DUMMYFUNCTION("""COMPUTED_VALUE"""),"http://www.ms.ro/2020/08/20/buletin-informativ-20-08-2020")</f>
        <v>http://www.ms.ro/2020/08/20/buletin-informativ-20-08-2020</v>
      </c>
      <c r="U1856" s="5"/>
      <c r="V1856" s="5"/>
      <c r="W1856" s="5"/>
      <c r="X1856" s="5"/>
      <c r="Y1856" s="5"/>
      <c r="Z1856" s="5"/>
      <c r="AA1856" s="5"/>
      <c r="AB1856" s="5"/>
      <c r="AC1856" s="5"/>
    </row>
    <row r="1857" spans="1:29" ht="12.5">
      <c r="A1857" s="5">
        <f ca="1">IFERROR(__xludf.DUMMYFUNCTION("""COMPUTED_VALUE"""),73810)</f>
        <v>73810</v>
      </c>
      <c r="B1857" s="5"/>
      <c r="C1857" s="5" t="str">
        <f ca="1">IFERROR(__xludf.DUMMYFUNCTION("""COMPUTED_VALUE"""),"Bihor")</f>
        <v>Bihor</v>
      </c>
      <c r="D1857" s="13">
        <f ca="1">IFERROR(__xludf.DUMMYFUNCTION("""COMPUTED_VALUE"""),44063)</f>
        <v>44063</v>
      </c>
      <c r="E1857" s="5" t="str">
        <f ca="1">IFERROR(__xludf.DUMMYFUNCTION("""COMPUTED_VALUE"""),"Nu")</f>
        <v>Nu</v>
      </c>
      <c r="F1857" s="5"/>
      <c r="G1857" s="5"/>
      <c r="H1857" s="6"/>
      <c r="I1857" s="5"/>
      <c r="J1857" s="5"/>
      <c r="K1857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57" s="5"/>
      <c r="M1857" s="5"/>
      <c r="N1857" s="5"/>
      <c r="O1857" s="5"/>
      <c r="P1857" s="5"/>
      <c r="Q1857" s="5"/>
      <c r="R1857" s="5" t="str">
        <f ca="1">IFERROR(__xludf.DUMMYFUNCTION("""COMPUTED_VALUE"""),"România")</f>
        <v>România</v>
      </c>
      <c r="S1857" s="5" t="str">
        <f ca="1">IFERROR(__xludf.DUMMYFUNCTION("""COMPUTED_VALUE"""),"Octavian")</f>
        <v>Octavian</v>
      </c>
      <c r="T1857" s="7" t="str">
        <f ca="1">IFERROR(__xludf.DUMMYFUNCTION("""COMPUTED_VALUE"""),"http://www.ms.ro/2020/08/20/buletin-informativ-20-08-2020")</f>
        <v>http://www.ms.ro/2020/08/20/buletin-informativ-20-08-2020</v>
      </c>
      <c r="U1857" s="5"/>
      <c r="V1857" s="5"/>
      <c r="W1857" s="5"/>
      <c r="X1857" s="5"/>
      <c r="Y1857" s="5"/>
      <c r="Z1857" s="5"/>
      <c r="AA1857" s="5"/>
      <c r="AB1857" s="5"/>
      <c r="AC1857" s="5"/>
    </row>
    <row r="1858" spans="1:29" ht="12.5">
      <c r="A1858" s="5">
        <f ca="1">IFERROR(__xludf.DUMMYFUNCTION("""COMPUTED_VALUE"""),73811)</f>
        <v>73811</v>
      </c>
      <c r="B1858" s="5"/>
      <c r="C1858" s="5" t="str">
        <f ca="1">IFERROR(__xludf.DUMMYFUNCTION("""COMPUTED_VALUE"""),"Bihor")</f>
        <v>Bihor</v>
      </c>
      <c r="D1858" s="13">
        <f ca="1">IFERROR(__xludf.DUMMYFUNCTION("""COMPUTED_VALUE"""),44063)</f>
        <v>44063</v>
      </c>
      <c r="E1858" s="5" t="str">
        <f ca="1">IFERROR(__xludf.DUMMYFUNCTION("""COMPUTED_VALUE"""),"Nu")</f>
        <v>Nu</v>
      </c>
      <c r="F1858" s="5"/>
      <c r="G1858" s="5"/>
      <c r="H1858" s="6"/>
      <c r="I1858" s="5"/>
      <c r="J1858" s="5"/>
      <c r="K1858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58" s="5"/>
      <c r="M1858" s="5"/>
      <c r="N1858" s="5"/>
      <c r="O1858" s="5"/>
      <c r="P1858" s="5"/>
      <c r="Q1858" s="5"/>
      <c r="R1858" s="5" t="str">
        <f ca="1">IFERROR(__xludf.DUMMYFUNCTION("""COMPUTED_VALUE"""),"România")</f>
        <v>România</v>
      </c>
      <c r="S1858" s="5" t="str">
        <f ca="1">IFERROR(__xludf.DUMMYFUNCTION("""COMPUTED_VALUE"""),"Octavian")</f>
        <v>Octavian</v>
      </c>
      <c r="T1858" s="7" t="str">
        <f ca="1">IFERROR(__xludf.DUMMYFUNCTION("""COMPUTED_VALUE"""),"http://www.ms.ro/2020/08/20/buletin-informativ-20-08-2020")</f>
        <v>http://www.ms.ro/2020/08/20/buletin-informativ-20-08-2020</v>
      </c>
      <c r="U1858" s="5"/>
      <c r="V1858" s="5"/>
      <c r="W1858" s="5"/>
      <c r="X1858" s="5"/>
      <c r="Y1858" s="5"/>
      <c r="Z1858" s="5"/>
      <c r="AA1858" s="5"/>
      <c r="AB1858" s="5"/>
      <c r="AC1858" s="5"/>
    </row>
    <row r="1859" spans="1:29" ht="12.5">
      <c r="A1859" s="5">
        <f ca="1">IFERROR(__xludf.DUMMYFUNCTION("""COMPUTED_VALUE"""),73812)</f>
        <v>73812</v>
      </c>
      <c r="B1859" s="5"/>
      <c r="C1859" s="5" t="str">
        <f ca="1">IFERROR(__xludf.DUMMYFUNCTION("""COMPUTED_VALUE"""),"Bihor")</f>
        <v>Bihor</v>
      </c>
      <c r="D1859" s="13">
        <f ca="1">IFERROR(__xludf.DUMMYFUNCTION("""COMPUTED_VALUE"""),44063)</f>
        <v>44063</v>
      </c>
      <c r="E1859" s="5" t="str">
        <f ca="1">IFERROR(__xludf.DUMMYFUNCTION("""COMPUTED_VALUE"""),"Nu")</f>
        <v>Nu</v>
      </c>
      <c r="F1859" s="5"/>
      <c r="G1859" s="5"/>
      <c r="H1859" s="6"/>
      <c r="I1859" s="5"/>
      <c r="J1859" s="5"/>
      <c r="K1859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59" s="5"/>
      <c r="M1859" s="5"/>
      <c r="N1859" s="5"/>
      <c r="O1859" s="5"/>
      <c r="P1859" s="5"/>
      <c r="Q1859" s="5"/>
      <c r="R1859" s="5" t="str">
        <f ca="1">IFERROR(__xludf.DUMMYFUNCTION("""COMPUTED_VALUE"""),"România")</f>
        <v>România</v>
      </c>
      <c r="S1859" s="5" t="str">
        <f ca="1">IFERROR(__xludf.DUMMYFUNCTION("""COMPUTED_VALUE"""),"Octavian")</f>
        <v>Octavian</v>
      </c>
      <c r="T1859" s="7" t="str">
        <f ca="1">IFERROR(__xludf.DUMMYFUNCTION("""COMPUTED_VALUE"""),"http://www.ms.ro/2020/08/20/buletin-informativ-20-08-2020")</f>
        <v>http://www.ms.ro/2020/08/20/buletin-informativ-20-08-2020</v>
      </c>
      <c r="U1859" s="5"/>
      <c r="V1859" s="5"/>
      <c r="W1859" s="5"/>
      <c r="X1859" s="5"/>
      <c r="Y1859" s="5"/>
      <c r="Z1859" s="5"/>
      <c r="AA1859" s="5"/>
      <c r="AB1859" s="5"/>
      <c r="AC1859" s="5"/>
    </row>
    <row r="1860" spans="1:29" ht="12.5">
      <c r="A1860" s="5">
        <f ca="1">IFERROR(__xludf.DUMMYFUNCTION("""COMPUTED_VALUE"""),73813)</f>
        <v>73813</v>
      </c>
      <c r="B1860" s="5"/>
      <c r="C1860" s="5" t="str">
        <f ca="1">IFERROR(__xludf.DUMMYFUNCTION("""COMPUTED_VALUE"""),"Bihor")</f>
        <v>Bihor</v>
      </c>
      <c r="D1860" s="13">
        <f ca="1">IFERROR(__xludf.DUMMYFUNCTION("""COMPUTED_VALUE"""),44063)</f>
        <v>44063</v>
      </c>
      <c r="E1860" s="5" t="str">
        <f ca="1">IFERROR(__xludf.DUMMYFUNCTION("""COMPUTED_VALUE"""),"Nu")</f>
        <v>Nu</v>
      </c>
      <c r="F1860" s="5"/>
      <c r="G1860" s="5"/>
      <c r="H1860" s="6"/>
      <c r="I1860" s="5"/>
      <c r="J1860" s="5"/>
      <c r="K1860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60" s="5"/>
      <c r="M1860" s="5"/>
      <c r="N1860" s="5"/>
      <c r="O1860" s="5"/>
      <c r="P1860" s="5"/>
      <c r="Q1860" s="5"/>
      <c r="R1860" s="5" t="str">
        <f ca="1">IFERROR(__xludf.DUMMYFUNCTION("""COMPUTED_VALUE"""),"România")</f>
        <v>România</v>
      </c>
      <c r="S1860" s="5" t="str">
        <f ca="1">IFERROR(__xludf.DUMMYFUNCTION("""COMPUTED_VALUE"""),"Octavian")</f>
        <v>Octavian</v>
      </c>
      <c r="T1860" s="7" t="str">
        <f ca="1">IFERROR(__xludf.DUMMYFUNCTION("""COMPUTED_VALUE"""),"http://www.ms.ro/2020/08/20/buletin-informativ-20-08-2020")</f>
        <v>http://www.ms.ro/2020/08/20/buletin-informativ-20-08-2020</v>
      </c>
      <c r="U1860" s="5"/>
      <c r="V1860" s="5"/>
      <c r="W1860" s="5"/>
      <c r="X1860" s="5"/>
      <c r="Y1860" s="5"/>
      <c r="Z1860" s="5"/>
      <c r="AA1860" s="5"/>
      <c r="AB1860" s="5"/>
      <c r="AC1860" s="5"/>
    </row>
    <row r="1861" spans="1:29" ht="12.5">
      <c r="A1861" s="5">
        <f ca="1">IFERROR(__xludf.DUMMYFUNCTION("""COMPUTED_VALUE"""),73814)</f>
        <v>73814</v>
      </c>
      <c r="B1861" s="5"/>
      <c r="C1861" s="5" t="str">
        <f ca="1">IFERROR(__xludf.DUMMYFUNCTION("""COMPUTED_VALUE"""),"Bihor")</f>
        <v>Bihor</v>
      </c>
      <c r="D1861" s="13">
        <f ca="1">IFERROR(__xludf.DUMMYFUNCTION("""COMPUTED_VALUE"""),44063)</f>
        <v>44063</v>
      </c>
      <c r="E1861" s="5" t="str">
        <f ca="1">IFERROR(__xludf.DUMMYFUNCTION("""COMPUTED_VALUE"""),"Nu")</f>
        <v>Nu</v>
      </c>
      <c r="F1861" s="5"/>
      <c r="G1861" s="5"/>
      <c r="H1861" s="6"/>
      <c r="I1861" s="5"/>
      <c r="J1861" s="5"/>
      <c r="K1861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61" s="5"/>
      <c r="M1861" s="5"/>
      <c r="N1861" s="5"/>
      <c r="O1861" s="5"/>
      <c r="P1861" s="5"/>
      <c r="Q1861" s="5"/>
      <c r="R1861" s="5" t="str">
        <f ca="1">IFERROR(__xludf.DUMMYFUNCTION("""COMPUTED_VALUE"""),"România")</f>
        <v>România</v>
      </c>
      <c r="S1861" s="5" t="str">
        <f ca="1">IFERROR(__xludf.DUMMYFUNCTION("""COMPUTED_VALUE"""),"Octavian")</f>
        <v>Octavian</v>
      </c>
      <c r="T1861" s="7" t="str">
        <f ca="1">IFERROR(__xludf.DUMMYFUNCTION("""COMPUTED_VALUE"""),"http://www.ms.ro/2020/08/20/buletin-informativ-20-08-2020")</f>
        <v>http://www.ms.ro/2020/08/20/buletin-informativ-20-08-2020</v>
      </c>
      <c r="U1861" s="5"/>
      <c r="V1861" s="5"/>
      <c r="W1861" s="5"/>
      <c r="X1861" s="5"/>
      <c r="Y1861" s="5"/>
      <c r="Z1861" s="5"/>
      <c r="AA1861" s="5"/>
      <c r="AB1861" s="5"/>
      <c r="AC1861" s="5"/>
    </row>
    <row r="1862" spans="1:29" ht="12.5">
      <c r="A1862" s="5">
        <f ca="1">IFERROR(__xludf.DUMMYFUNCTION("""COMPUTED_VALUE"""),73815)</f>
        <v>73815</v>
      </c>
      <c r="B1862" s="5"/>
      <c r="C1862" s="5" t="str">
        <f ca="1">IFERROR(__xludf.DUMMYFUNCTION("""COMPUTED_VALUE"""),"Bihor")</f>
        <v>Bihor</v>
      </c>
      <c r="D1862" s="13">
        <f ca="1">IFERROR(__xludf.DUMMYFUNCTION("""COMPUTED_VALUE"""),44063)</f>
        <v>44063</v>
      </c>
      <c r="E1862" s="5" t="str">
        <f ca="1">IFERROR(__xludf.DUMMYFUNCTION("""COMPUTED_VALUE"""),"Nu")</f>
        <v>Nu</v>
      </c>
      <c r="F1862" s="5"/>
      <c r="G1862" s="5"/>
      <c r="H1862" s="6"/>
      <c r="I1862" s="5"/>
      <c r="J1862" s="5"/>
      <c r="K1862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62" s="5"/>
      <c r="M1862" s="5"/>
      <c r="N1862" s="5"/>
      <c r="O1862" s="5"/>
      <c r="P1862" s="5"/>
      <c r="Q1862" s="5"/>
      <c r="R1862" s="5" t="str">
        <f ca="1">IFERROR(__xludf.DUMMYFUNCTION("""COMPUTED_VALUE"""),"România")</f>
        <v>România</v>
      </c>
      <c r="S1862" s="5" t="str">
        <f ca="1">IFERROR(__xludf.DUMMYFUNCTION("""COMPUTED_VALUE"""),"Octavian")</f>
        <v>Octavian</v>
      </c>
      <c r="T1862" s="7" t="str">
        <f ca="1">IFERROR(__xludf.DUMMYFUNCTION("""COMPUTED_VALUE"""),"http://www.ms.ro/2020/08/20/buletin-informativ-20-08-2020")</f>
        <v>http://www.ms.ro/2020/08/20/buletin-informativ-20-08-2020</v>
      </c>
      <c r="U1862" s="5"/>
      <c r="V1862" s="5"/>
      <c r="W1862" s="5"/>
      <c r="X1862" s="5"/>
      <c r="Y1862" s="5"/>
      <c r="Z1862" s="5"/>
      <c r="AA1862" s="5"/>
      <c r="AB1862" s="5"/>
      <c r="AC1862" s="5"/>
    </row>
    <row r="1863" spans="1:29" ht="12.5">
      <c r="A1863" s="5">
        <f ca="1">IFERROR(__xludf.DUMMYFUNCTION("""COMPUTED_VALUE"""),73816)</f>
        <v>73816</v>
      </c>
      <c r="B1863" s="5"/>
      <c r="C1863" s="5" t="str">
        <f ca="1">IFERROR(__xludf.DUMMYFUNCTION("""COMPUTED_VALUE"""),"Bihor")</f>
        <v>Bihor</v>
      </c>
      <c r="D1863" s="13">
        <f ca="1">IFERROR(__xludf.DUMMYFUNCTION("""COMPUTED_VALUE"""),44063)</f>
        <v>44063</v>
      </c>
      <c r="E1863" s="5" t="str">
        <f ca="1">IFERROR(__xludf.DUMMYFUNCTION("""COMPUTED_VALUE"""),"Nu")</f>
        <v>Nu</v>
      </c>
      <c r="F1863" s="5"/>
      <c r="G1863" s="5"/>
      <c r="H1863" s="6"/>
      <c r="I1863" s="5"/>
      <c r="J1863" s="5"/>
      <c r="K1863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63" s="5"/>
      <c r="M1863" s="5"/>
      <c r="N1863" s="5"/>
      <c r="O1863" s="5"/>
      <c r="P1863" s="5"/>
      <c r="Q1863" s="5"/>
      <c r="R1863" s="5" t="str">
        <f ca="1">IFERROR(__xludf.DUMMYFUNCTION("""COMPUTED_VALUE"""),"România")</f>
        <v>România</v>
      </c>
      <c r="S1863" s="5" t="str">
        <f ca="1">IFERROR(__xludf.DUMMYFUNCTION("""COMPUTED_VALUE"""),"Octavian")</f>
        <v>Octavian</v>
      </c>
      <c r="T1863" s="7" t="str">
        <f ca="1">IFERROR(__xludf.DUMMYFUNCTION("""COMPUTED_VALUE"""),"http://www.ms.ro/2020/08/20/buletin-informativ-20-08-2020")</f>
        <v>http://www.ms.ro/2020/08/20/buletin-informativ-20-08-2020</v>
      </c>
      <c r="U1863" s="5"/>
      <c r="V1863" s="5"/>
      <c r="W1863" s="5"/>
      <c r="X1863" s="5"/>
      <c r="Y1863" s="5"/>
      <c r="Z1863" s="5"/>
      <c r="AA1863" s="5"/>
      <c r="AB1863" s="5"/>
      <c r="AC1863" s="5"/>
    </row>
    <row r="1864" spans="1:29" ht="12.5">
      <c r="A1864" s="5">
        <f ca="1">IFERROR(__xludf.DUMMYFUNCTION("""COMPUTED_VALUE"""),73817)</f>
        <v>73817</v>
      </c>
      <c r="B1864" s="5"/>
      <c r="C1864" s="5" t="str">
        <f ca="1">IFERROR(__xludf.DUMMYFUNCTION("""COMPUTED_VALUE"""),"Bihor")</f>
        <v>Bihor</v>
      </c>
      <c r="D1864" s="13">
        <f ca="1">IFERROR(__xludf.DUMMYFUNCTION("""COMPUTED_VALUE"""),44063)</f>
        <v>44063</v>
      </c>
      <c r="E1864" s="5" t="str">
        <f ca="1">IFERROR(__xludf.DUMMYFUNCTION("""COMPUTED_VALUE"""),"Nu")</f>
        <v>Nu</v>
      </c>
      <c r="F1864" s="5"/>
      <c r="G1864" s="5"/>
      <c r="H1864" s="6"/>
      <c r="I1864" s="5"/>
      <c r="J1864" s="5"/>
      <c r="K1864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64" s="5"/>
      <c r="M1864" s="5"/>
      <c r="N1864" s="5"/>
      <c r="O1864" s="5"/>
      <c r="P1864" s="5"/>
      <c r="Q1864" s="5"/>
      <c r="R1864" s="5" t="str">
        <f ca="1">IFERROR(__xludf.DUMMYFUNCTION("""COMPUTED_VALUE"""),"România")</f>
        <v>România</v>
      </c>
      <c r="S1864" s="5" t="str">
        <f ca="1">IFERROR(__xludf.DUMMYFUNCTION("""COMPUTED_VALUE"""),"Octavian")</f>
        <v>Octavian</v>
      </c>
      <c r="T1864" s="7" t="str">
        <f ca="1">IFERROR(__xludf.DUMMYFUNCTION("""COMPUTED_VALUE"""),"http://www.ms.ro/2020/08/20/buletin-informativ-20-08-2020")</f>
        <v>http://www.ms.ro/2020/08/20/buletin-informativ-20-08-2020</v>
      </c>
      <c r="U1864" s="5"/>
      <c r="V1864" s="5"/>
      <c r="W1864" s="5"/>
      <c r="X1864" s="5"/>
      <c r="Y1864" s="5"/>
      <c r="Z1864" s="5"/>
      <c r="AA1864" s="5"/>
      <c r="AB1864" s="5"/>
      <c r="AC1864" s="5"/>
    </row>
    <row r="1865" spans="1:29" ht="12.5">
      <c r="A1865" s="5">
        <f ca="1">IFERROR(__xludf.DUMMYFUNCTION("""COMPUTED_VALUE"""),73818)</f>
        <v>73818</v>
      </c>
      <c r="B1865" s="5"/>
      <c r="C1865" s="5" t="str">
        <f ca="1">IFERROR(__xludf.DUMMYFUNCTION("""COMPUTED_VALUE"""),"Bihor")</f>
        <v>Bihor</v>
      </c>
      <c r="D1865" s="13">
        <f ca="1">IFERROR(__xludf.DUMMYFUNCTION("""COMPUTED_VALUE"""),44063)</f>
        <v>44063</v>
      </c>
      <c r="E1865" s="5" t="str">
        <f ca="1">IFERROR(__xludf.DUMMYFUNCTION("""COMPUTED_VALUE"""),"Nu")</f>
        <v>Nu</v>
      </c>
      <c r="F1865" s="5"/>
      <c r="G1865" s="5"/>
      <c r="H1865" s="6"/>
      <c r="I1865" s="5"/>
      <c r="J1865" s="5"/>
      <c r="K1865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65" s="5"/>
      <c r="M1865" s="5"/>
      <c r="N1865" s="5"/>
      <c r="O1865" s="5"/>
      <c r="P1865" s="5"/>
      <c r="Q1865" s="5"/>
      <c r="R1865" s="5" t="str">
        <f ca="1">IFERROR(__xludf.DUMMYFUNCTION("""COMPUTED_VALUE"""),"România")</f>
        <v>România</v>
      </c>
      <c r="S1865" s="5" t="str">
        <f ca="1">IFERROR(__xludf.DUMMYFUNCTION("""COMPUTED_VALUE"""),"Octavian")</f>
        <v>Octavian</v>
      </c>
      <c r="T1865" s="7" t="str">
        <f ca="1">IFERROR(__xludf.DUMMYFUNCTION("""COMPUTED_VALUE"""),"http://www.ms.ro/2020/08/20/buletin-informativ-20-08-2020")</f>
        <v>http://www.ms.ro/2020/08/20/buletin-informativ-20-08-2020</v>
      </c>
      <c r="U1865" s="5"/>
      <c r="V1865" s="5"/>
      <c r="W1865" s="5"/>
      <c r="X1865" s="5"/>
      <c r="Y1865" s="5"/>
      <c r="Z1865" s="5"/>
      <c r="AA1865" s="5"/>
      <c r="AB1865" s="5"/>
      <c r="AC1865" s="5"/>
    </row>
    <row r="1866" spans="1:29" ht="12.5">
      <c r="A1866" s="5">
        <f ca="1">IFERROR(__xludf.DUMMYFUNCTION("""COMPUTED_VALUE"""),73819)</f>
        <v>73819</v>
      </c>
      <c r="B1866" s="5"/>
      <c r="C1866" s="5" t="str">
        <f ca="1">IFERROR(__xludf.DUMMYFUNCTION("""COMPUTED_VALUE"""),"Bihor")</f>
        <v>Bihor</v>
      </c>
      <c r="D1866" s="13">
        <f ca="1">IFERROR(__xludf.DUMMYFUNCTION("""COMPUTED_VALUE"""),44063)</f>
        <v>44063</v>
      </c>
      <c r="E1866" s="5" t="str">
        <f ca="1">IFERROR(__xludf.DUMMYFUNCTION("""COMPUTED_VALUE"""),"Nu")</f>
        <v>Nu</v>
      </c>
      <c r="F1866" s="5"/>
      <c r="G1866" s="5"/>
      <c r="H1866" s="6"/>
      <c r="I1866" s="5"/>
      <c r="J1866" s="5"/>
      <c r="K1866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66" s="5"/>
      <c r="M1866" s="5"/>
      <c r="N1866" s="5"/>
      <c r="O1866" s="5"/>
      <c r="P1866" s="5"/>
      <c r="Q1866" s="5"/>
      <c r="R1866" s="5" t="str">
        <f ca="1">IFERROR(__xludf.DUMMYFUNCTION("""COMPUTED_VALUE"""),"România")</f>
        <v>România</v>
      </c>
      <c r="S1866" s="5" t="str">
        <f ca="1">IFERROR(__xludf.DUMMYFUNCTION("""COMPUTED_VALUE"""),"Octavian")</f>
        <v>Octavian</v>
      </c>
      <c r="T1866" s="7" t="str">
        <f ca="1">IFERROR(__xludf.DUMMYFUNCTION("""COMPUTED_VALUE"""),"http://www.ms.ro/2020/08/20/buletin-informativ-20-08-2020")</f>
        <v>http://www.ms.ro/2020/08/20/buletin-informativ-20-08-2020</v>
      </c>
      <c r="U1866" s="5"/>
      <c r="V1866" s="5"/>
      <c r="W1866" s="5"/>
      <c r="X1866" s="5"/>
      <c r="Y1866" s="5"/>
      <c r="Z1866" s="5"/>
      <c r="AA1866" s="5"/>
      <c r="AB1866" s="5"/>
      <c r="AC1866" s="5"/>
    </row>
    <row r="1867" spans="1:29" ht="12.5">
      <c r="A1867" s="5">
        <f ca="1">IFERROR(__xludf.DUMMYFUNCTION("""COMPUTED_VALUE"""),73820)</f>
        <v>73820</v>
      </c>
      <c r="B1867" s="5"/>
      <c r="C1867" s="5" t="str">
        <f ca="1">IFERROR(__xludf.DUMMYFUNCTION("""COMPUTED_VALUE"""),"Bihor")</f>
        <v>Bihor</v>
      </c>
      <c r="D1867" s="13">
        <f ca="1">IFERROR(__xludf.DUMMYFUNCTION("""COMPUTED_VALUE"""),44063)</f>
        <v>44063</v>
      </c>
      <c r="E1867" s="5" t="str">
        <f ca="1">IFERROR(__xludf.DUMMYFUNCTION("""COMPUTED_VALUE"""),"Nu")</f>
        <v>Nu</v>
      </c>
      <c r="F1867" s="5"/>
      <c r="G1867" s="5"/>
      <c r="H1867" s="6"/>
      <c r="I1867" s="5"/>
      <c r="J1867" s="5"/>
      <c r="K1867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67" s="5"/>
      <c r="M1867" s="5"/>
      <c r="N1867" s="5"/>
      <c r="O1867" s="5"/>
      <c r="P1867" s="5"/>
      <c r="Q1867" s="5"/>
      <c r="R1867" s="5" t="str">
        <f ca="1">IFERROR(__xludf.DUMMYFUNCTION("""COMPUTED_VALUE"""),"România")</f>
        <v>România</v>
      </c>
      <c r="S1867" s="5" t="str">
        <f ca="1">IFERROR(__xludf.DUMMYFUNCTION("""COMPUTED_VALUE"""),"Octavian")</f>
        <v>Octavian</v>
      </c>
      <c r="T1867" s="7" t="str">
        <f ca="1">IFERROR(__xludf.DUMMYFUNCTION("""COMPUTED_VALUE"""),"http://www.ms.ro/2020/08/20/buletin-informativ-20-08-2020")</f>
        <v>http://www.ms.ro/2020/08/20/buletin-informativ-20-08-2020</v>
      </c>
      <c r="U1867" s="5"/>
      <c r="V1867" s="5"/>
      <c r="W1867" s="5"/>
      <c r="X1867" s="5"/>
      <c r="Y1867" s="5"/>
      <c r="Z1867" s="5"/>
      <c r="AA1867" s="5"/>
      <c r="AB1867" s="5"/>
      <c r="AC1867" s="5"/>
    </row>
    <row r="1868" spans="1:29" ht="12.5">
      <c r="A1868" s="5">
        <f ca="1">IFERROR(__xludf.DUMMYFUNCTION("""COMPUTED_VALUE"""),73821)</f>
        <v>73821</v>
      </c>
      <c r="B1868" s="5"/>
      <c r="C1868" s="5" t="str">
        <f ca="1">IFERROR(__xludf.DUMMYFUNCTION("""COMPUTED_VALUE"""),"Bihor")</f>
        <v>Bihor</v>
      </c>
      <c r="D1868" s="13">
        <f ca="1">IFERROR(__xludf.DUMMYFUNCTION("""COMPUTED_VALUE"""),44063)</f>
        <v>44063</v>
      </c>
      <c r="E1868" s="5" t="str">
        <f ca="1">IFERROR(__xludf.DUMMYFUNCTION("""COMPUTED_VALUE"""),"Nu")</f>
        <v>Nu</v>
      </c>
      <c r="F1868" s="5"/>
      <c r="G1868" s="5"/>
      <c r="H1868" s="6"/>
      <c r="I1868" s="5"/>
      <c r="J1868" s="5"/>
      <c r="K1868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68" s="5"/>
      <c r="M1868" s="5"/>
      <c r="N1868" s="5"/>
      <c r="O1868" s="5"/>
      <c r="P1868" s="5"/>
      <c r="Q1868" s="5"/>
      <c r="R1868" s="5" t="str">
        <f ca="1">IFERROR(__xludf.DUMMYFUNCTION("""COMPUTED_VALUE"""),"România")</f>
        <v>România</v>
      </c>
      <c r="S1868" s="5" t="str">
        <f ca="1">IFERROR(__xludf.DUMMYFUNCTION("""COMPUTED_VALUE"""),"Octavian")</f>
        <v>Octavian</v>
      </c>
      <c r="T1868" s="7" t="str">
        <f ca="1">IFERROR(__xludf.DUMMYFUNCTION("""COMPUTED_VALUE"""),"http://www.ms.ro/2020/08/20/buletin-informativ-20-08-2020")</f>
        <v>http://www.ms.ro/2020/08/20/buletin-informativ-20-08-2020</v>
      </c>
      <c r="U1868" s="5"/>
      <c r="V1868" s="5"/>
      <c r="W1868" s="5"/>
      <c r="X1868" s="5"/>
      <c r="Y1868" s="5"/>
      <c r="Z1868" s="5"/>
      <c r="AA1868" s="5"/>
      <c r="AB1868" s="5"/>
      <c r="AC1868" s="5"/>
    </row>
    <row r="1869" spans="1:29" ht="12.5">
      <c r="A1869" s="5">
        <f ca="1">IFERROR(__xludf.DUMMYFUNCTION("""COMPUTED_VALUE"""),73822)</f>
        <v>73822</v>
      </c>
      <c r="B1869" s="5"/>
      <c r="C1869" s="5" t="str">
        <f ca="1">IFERROR(__xludf.DUMMYFUNCTION("""COMPUTED_VALUE"""),"Bihor")</f>
        <v>Bihor</v>
      </c>
      <c r="D1869" s="13">
        <f ca="1">IFERROR(__xludf.DUMMYFUNCTION("""COMPUTED_VALUE"""),44063)</f>
        <v>44063</v>
      </c>
      <c r="E1869" s="5" t="str">
        <f ca="1">IFERROR(__xludf.DUMMYFUNCTION("""COMPUTED_VALUE"""),"Nu")</f>
        <v>Nu</v>
      </c>
      <c r="F1869" s="5"/>
      <c r="G1869" s="5"/>
      <c r="H1869" s="6"/>
      <c r="I1869" s="5"/>
      <c r="J1869" s="5"/>
      <c r="K1869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69" s="5"/>
      <c r="M1869" s="5"/>
      <c r="N1869" s="5"/>
      <c r="O1869" s="5"/>
      <c r="P1869" s="5"/>
      <c r="Q1869" s="5"/>
      <c r="R1869" s="5" t="str">
        <f ca="1">IFERROR(__xludf.DUMMYFUNCTION("""COMPUTED_VALUE"""),"România")</f>
        <v>România</v>
      </c>
      <c r="S1869" s="5" t="str">
        <f ca="1">IFERROR(__xludf.DUMMYFUNCTION("""COMPUTED_VALUE"""),"Octavian")</f>
        <v>Octavian</v>
      </c>
      <c r="T1869" s="7" t="str">
        <f ca="1">IFERROR(__xludf.DUMMYFUNCTION("""COMPUTED_VALUE"""),"http://www.ms.ro/2020/08/20/buletin-informativ-20-08-2020")</f>
        <v>http://www.ms.ro/2020/08/20/buletin-informativ-20-08-2020</v>
      </c>
      <c r="U1869" s="5"/>
      <c r="V1869" s="5"/>
      <c r="W1869" s="5"/>
      <c r="X1869" s="5"/>
      <c r="Y1869" s="5"/>
      <c r="Z1869" s="5"/>
      <c r="AA1869" s="5"/>
      <c r="AB1869" s="5"/>
      <c r="AC1869" s="5"/>
    </row>
    <row r="1870" spans="1:29" ht="12.5">
      <c r="A1870" s="5">
        <f ca="1">IFERROR(__xludf.DUMMYFUNCTION("""COMPUTED_VALUE"""),73823)</f>
        <v>73823</v>
      </c>
      <c r="B1870" s="5"/>
      <c r="C1870" s="5" t="str">
        <f ca="1">IFERROR(__xludf.DUMMYFUNCTION("""COMPUTED_VALUE"""),"Bihor")</f>
        <v>Bihor</v>
      </c>
      <c r="D1870" s="13">
        <f ca="1">IFERROR(__xludf.DUMMYFUNCTION("""COMPUTED_VALUE"""),44063)</f>
        <v>44063</v>
      </c>
      <c r="E1870" s="5" t="str">
        <f ca="1">IFERROR(__xludf.DUMMYFUNCTION("""COMPUTED_VALUE"""),"Nu")</f>
        <v>Nu</v>
      </c>
      <c r="F1870" s="5"/>
      <c r="G1870" s="5"/>
      <c r="H1870" s="6"/>
      <c r="I1870" s="5"/>
      <c r="J1870" s="5"/>
      <c r="K1870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70" s="5"/>
      <c r="M1870" s="5"/>
      <c r="N1870" s="5"/>
      <c r="O1870" s="5"/>
      <c r="P1870" s="5"/>
      <c r="Q1870" s="5"/>
      <c r="R1870" s="5" t="str">
        <f ca="1">IFERROR(__xludf.DUMMYFUNCTION("""COMPUTED_VALUE"""),"România")</f>
        <v>România</v>
      </c>
      <c r="S1870" s="5" t="str">
        <f ca="1">IFERROR(__xludf.DUMMYFUNCTION("""COMPUTED_VALUE"""),"Octavian")</f>
        <v>Octavian</v>
      </c>
      <c r="T1870" s="7" t="str">
        <f ca="1">IFERROR(__xludf.DUMMYFUNCTION("""COMPUTED_VALUE"""),"http://www.ms.ro/2020/08/20/buletin-informativ-20-08-2020")</f>
        <v>http://www.ms.ro/2020/08/20/buletin-informativ-20-08-2020</v>
      </c>
      <c r="U1870" s="5"/>
      <c r="V1870" s="5"/>
      <c r="W1870" s="5"/>
      <c r="X1870" s="5"/>
      <c r="Y1870" s="5"/>
      <c r="Z1870" s="5"/>
      <c r="AA1870" s="5"/>
      <c r="AB1870" s="5"/>
      <c r="AC1870" s="5"/>
    </row>
    <row r="1871" spans="1:29" ht="12.5">
      <c r="A1871" s="5">
        <f ca="1">IFERROR(__xludf.DUMMYFUNCTION("""COMPUTED_VALUE"""),73824)</f>
        <v>73824</v>
      </c>
      <c r="B1871" s="5"/>
      <c r="C1871" s="5" t="str">
        <f ca="1">IFERROR(__xludf.DUMMYFUNCTION("""COMPUTED_VALUE"""),"Bihor")</f>
        <v>Bihor</v>
      </c>
      <c r="D1871" s="13">
        <f ca="1">IFERROR(__xludf.DUMMYFUNCTION("""COMPUTED_VALUE"""),44063)</f>
        <v>44063</v>
      </c>
      <c r="E1871" s="5" t="str">
        <f ca="1">IFERROR(__xludf.DUMMYFUNCTION("""COMPUTED_VALUE"""),"Nu")</f>
        <v>Nu</v>
      </c>
      <c r="F1871" s="5"/>
      <c r="G1871" s="5"/>
      <c r="H1871" s="6"/>
      <c r="I1871" s="5"/>
      <c r="J1871" s="5"/>
      <c r="K1871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71" s="5"/>
      <c r="M1871" s="5"/>
      <c r="N1871" s="5"/>
      <c r="O1871" s="5"/>
      <c r="P1871" s="5"/>
      <c r="Q1871" s="5"/>
      <c r="R1871" s="5" t="str">
        <f ca="1">IFERROR(__xludf.DUMMYFUNCTION("""COMPUTED_VALUE"""),"România")</f>
        <v>România</v>
      </c>
      <c r="S1871" s="5" t="str">
        <f ca="1">IFERROR(__xludf.DUMMYFUNCTION("""COMPUTED_VALUE"""),"Octavian")</f>
        <v>Octavian</v>
      </c>
      <c r="T1871" s="7" t="str">
        <f ca="1">IFERROR(__xludf.DUMMYFUNCTION("""COMPUTED_VALUE"""),"http://www.ms.ro/2020/08/20/buletin-informativ-20-08-2020")</f>
        <v>http://www.ms.ro/2020/08/20/buletin-informativ-20-08-2020</v>
      </c>
      <c r="U1871" s="5"/>
      <c r="V1871" s="5"/>
      <c r="W1871" s="5"/>
      <c r="X1871" s="5"/>
      <c r="Y1871" s="5"/>
      <c r="Z1871" s="5"/>
      <c r="AA1871" s="5"/>
      <c r="AB1871" s="5"/>
      <c r="AC1871" s="5"/>
    </row>
    <row r="1872" spans="1:29" ht="12.5">
      <c r="A1872" s="5">
        <f ca="1">IFERROR(__xludf.DUMMYFUNCTION("""COMPUTED_VALUE"""),73825)</f>
        <v>73825</v>
      </c>
      <c r="B1872" s="5"/>
      <c r="C1872" s="5" t="str">
        <f ca="1">IFERROR(__xludf.DUMMYFUNCTION("""COMPUTED_VALUE"""),"Bihor")</f>
        <v>Bihor</v>
      </c>
      <c r="D1872" s="13">
        <f ca="1">IFERROR(__xludf.DUMMYFUNCTION("""COMPUTED_VALUE"""),44063)</f>
        <v>44063</v>
      </c>
      <c r="E1872" s="5" t="str">
        <f ca="1">IFERROR(__xludf.DUMMYFUNCTION("""COMPUTED_VALUE"""),"Nu")</f>
        <v>Nu</v>
      </c>
      <c r="F1872" s="5"/>
      <c r="G1872" s="5"/>
      <c r="H1872" s="6"/>
      <c r="I1872" s="5"/>
      <c r="J1872" s="5"/>
      <c r="K1872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72" s="5"/>
      <c r="M1872" s="5"/>
      <c r="N1872" s="5"/>
      <c r="O1872" s="5"/>
      <c r="P1872" s="5"/>
      <c r="Q1872" s="5"/>
      <c r="R1872" s="5" t="str">
        <f ca="1">IFERROR(__xludf.DUMMYFUNCTION("""COMPUTED_VALUE"""),"România")</f>
        <v>România</v>
      </c>
      <c r="S1872" s="5" t="str">
        <f ca="1">IFERROR(__xludf.DUMMYFUNCTION("""COMPUTED_VALUE"""),"Octavian")</f>
        <v>Octavian</v>
      </c>
      <c r="T1872" s="7" t="str">
        <f ca="1">IFERROR(__xludf.DUMMYFUNCTION("""COMPUTED_VALUE"""),"http://www.ms.ro/2020/08/20/buletin-informativ-20-08-2020")</f>
        <v>http://www.ms.ro/2020/08/20/buletin-informativ-20-08-2020</v>
      </c>
      <c r="U1872" s="5"/>
      <c r="V1872" s="5"/>
      <c r="W1872" s="5"/>
      <c r="X1872" s="5"/>
      <c r="Y1872" s="5"/>
      <c r="Z1872" s="5"/>
      <c r="AA1872" s="5"/>
      <c r="AB1872" s="5"/>
      <c r="AC1872" s="5"/>
    </row>
    <row r="1873" spans="1:29" ht="12.5">
      <c r="A1873" s="5">
        <f ca="1">IFERROR(__xludf.DUMMYFUNCTION("""COMPUTED_VALUE"""),73826)</f>
        <v>73826</v>
      </c>
      <c r="B1873" s="5"/>
      <c r="C1873" s="5" t="str">
        <f ca="1">IFERROR(__xludf.DUMMYFUNCTION("""COMPUTED_VALUE"""),"Bihor")</f>
        <v>Bihor</v>
      </c>
      <c r="D1873" s="13">
        <f ca="1">IFERROR(__xludf.DUMMYFUNCTION("""COMPUTED_VALUE"""),44063)</f>
        <v>44063</v>
      </c>
      <c r="E1873" s="5" t="str">
        <f ca="1">IFERROR(__xludf.DUMMYFUNCTION("""COMPUTED_VALUE"""),"Nu")</f>
        <v>Nu</v>
      </c>
      <c r="F1873" s="5"/>
      <c r="G1873" s="5"/>
      <c r="H1873" s="6"/>
      <c r="I1873" s="5"/>
      <c r="J1873" s="5"/>
      <c r="K1873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73" s="5"/>
      <c r="M1873" s="5"/>
      <c r="N1873" s="5"/>
      <c r="O1873" s="5"/>
      <c r="P1873" s="5"/>
      <c r="Q1873" s="5"/>
      <c r="R1873" s="5" t="str">
        <f ca="1">IFERROR(__xludf.DUMMYFUNCTION("""COMPUTED_VALUE"""),"România")</f>
        <v>România</v>
      </c>
      <c r="S1873" s="5" t="str">
        <f ca="1">IFERROR(__xludf.DUMMYFUNCTION("""COMPUTED_VALUE"""),"Octavian")</f>
        <v>Octavian</v>
      </c>
      <c r="T1873" s="7" t="str">
        <f ca="1">IFERROR(__xludf.DUMMYFUNCTION("""COMPUTED_VALUE"""),"http://www.ms.ro/2020/08/20/buletin-informativ-20-08-2020")</f>
        <v>http://www.ms.ro/2020/08/20/buletin-informativ-20-08-2020</v>
      </c>
      <c r="U1873" s="5"/>
      <c r="V1873" s="5"/>
      <c r="W1873" s="5"/>
      <c r="X1873" s="5"/>
      <c r="Y1873" s="5"/>
      <c r="Z1873" s="5"/>
      <c r="AA1873" s="5"/>
      <c r="AB1873" s="5"/>
      <c r="AC1873" s="5"/>
    </row>
    <row r="1874" spans="1:29" ht="12.5">
      <c r="A1874" s="5">
        <f ca="1">IFERROR(__xludf.DUMMYFUNCTION("""COMPUTED_VALUE"""),73827)</f>
        <v>73827</v>
      </c>
      <c r="B1874" s="5"/>
      <c r="C1874" s="5" t="str">
        <f ca="1">IFERROR(__xludf.DUMMYFUNCTION("""COMPUTED_VALUE"""),"Bihor")</f>
        <v>Bihor</v>
      </c>
      <c r="D1874" s="13">
        <f ca="1">IFERROR(__xludf.DUMMYFUNCTION("""COMPUTED_VALUE"""),44063)</f>
        <v>44063</v>
      </c>
      <c r="E1874" s="5" t="str">
        <f ca="1">IFERROR(__xludf.DUMMYFUNCTION("""COMPUTED_VALUE"""),"Nu")</f>
        <v>Nu</v>
      </c>
      <c r="F1874" s="5"/>
      <c r="G1874" s="5"/>
      <c r="H1874" s="6"/>
      <c r="I1874" s="5"/>
      <c r="J1874" s="5"/>
      <c r="K1874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74" s="5"/>
      <c r="M1874" s="5"/>
      <c r="N1874" s="5"/>
      <c r="O1874" s="5"/>
      <c r="P1874" s="5"/>
      <c r="Q1874" s="5"/>
      <c r="R1874" s="5" t="str">
        <f ca="1">IFERROR(__xludf.DUMMYFUNCTION("""COMPUTED_VALUE"""),"România")</f>
        <v>România</v>
      </c>
      <c r="S1874" s="5" t="str">
        <f ca="1">IFERROR(__xludf.DUMMYFUNCTION("""COMPUTED_VALUE"""),"Octavian")</f>
        <v>Octavian</v>
      </c>
      <c r="T1874" s="7" t="str">
        <f ca="1">IFERROR(__xludf.DUMMYFUNCTION("""COMPUTED_VALUE"""),"http://www.ms.ro/2020/08/20/buletin-informativ-20-08-2020")</f>
        <v>http://www.ms.ro/2020/08/20/buletin-informativ-20-08-2020</v>
      </c>
      <c r="U1874" s="5"/>
      <c r="V1874" s="5"/>
      <c r="W1874" s="5"/>
      <c r="X1874" s="5"/>
      <c r="Y1874" s="5"/>
      <c r="Z1874" s="5"/>
      <c r="AA1874" s="5"/>
      <c r="AB1874" s="5"/>
      <c r="AC1874" s="5"/>
    </row>
    <row r="1875" spans="1:29" ht="12.5">
      <c r="A1875" s="5">
        <f ca="1">IFERROR(__xludf.DUMMYFUNCTION("""COMPUTED_VALUE"""),73828)</f>
        <v>73828</v>
      </c>
      <c r="B1875" s="5"/>
      <c r="C1875" s="5" t="str">
        <f ca="1">IFERROR(__xludf.DUMMYFUNCTION("""COMPUTED_VALUE"""),"Bihor")</f>
        <v>Bihor</v>
      </c>
      <c r="D1875" s="13">
        <f ca="1">IFERROR(__xludf.DUMMYFUNCTION("""COMPUTED_VALUE"""),44063)</f>
        <v>44063</v>
      </c>
      <c r="E1875" s="5" t="str">
        <f ca="1">IFERROR(__xludf.DUMMYFUNCTION("""COMPUTED_VALUE"""),"Nu")</f>
        <v>Nu</v>
      </c>
      <c r="F1875" s="5"/>
      <c r="G1875" s="5"/>
      <c r="H1875" s="6"/>
      <c r="I1875" s="5"/>
      <c r="J1875" s="5"/>
      <c r="K1875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75" s="5"/>
      <c r="M1875" s="5"/>
      <c r="N1875" s="5"/>
      <c r="O1875" s="5"/>
      <c r="P1875" s="5"/>
      <c r="Q1875" s="5"/>
      <c r="R1875" s="5" t="str">
        <f ca="1">IFERROR(__xludf.DUMMYFUNCTION("""COMPUTED_VALUE"""),"România")</f>
        <v>România</v>
      </c>
      <c r="S1875" s="5" t="str">
        <f ca="1">IFERROR(__xludf.DUMMYFUNCTION("""COMPUTED_VALUE"""),"Octavian")</f>
        <v>Octavian</v>
      </c>
      <c r="T1875" s="7" t="str">
        <f ca="1">IFERROR(__xludf.DUMMYFUNCTION("""COMPUTED_VALUE"""),"http://www.ms.ro/2020/08/20/buletin-informativ-20-08-2020")</f>
        <v>http://www.ms.ro/2020/08/20/buletin-informativ-20-08-2020</v>
      </c>
      <c r="U1875" s="5"/>
      <c r="V1875" s="5"/>
      <c r="W1875" s="5"/>
      <c r="X1875" s="5"/>
      <c r="Y1875" s="5"/>
      <c r="Z1875" s="5"/>
      <c r="AA1875" s="5"/>
      <c r="AB1875" s="5"/>
      <c r="AC1875" s="5"/>
    </row>
    <row r="1876" spans="1:29" ht="12.5">
      <c r="A1876" s="5">
        <f ca="1">IFERROR(__xludf.DUMMYFUNCTION("""COMPUTED_VALUE"""),73829)</f>
        <v>73829</v>
      </c>
      <c r="B1876" s="5"/>
      <c r="C1876" s="5" t="str">
        <f ca="1">IFERROR(__xludf.DUMMYFUNCTION("""COMPUTED_VALUE"""),"Bihor")</f>
        <v>Bihor</v>
      </c>
      <c r="D1876" s="13">
        <f ca="1">IFERROR(__xludf.DUMMYFUNCTION("""COMPUTED_VALUE"""),44063)</f>
        <v>44063</v>
      </c>
      <c r="E1876" s="5" t="str">
        <f ca="1">IFERROR(__xludf.DUMMYFUNCTION("""COMPUTED_VALUE"""),"Nu")</f>
        <v>Nu</v>
      </c>
      <c r="F1876" s="5"/>
      <c r="G1876" s="5"/>
      <c r="H1876" s="6"/>
      <c r="I1876" s="5"/>
      <c r="J1876" s="5"/>
      <c r="K1876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76" s="5"/>
      <c r="M1876" s="5"/>
      <c r="N1876" s="5"/>
      <c r="O1876" s="5"/>
      <c r="P1876" s="5"/>
      <c r="Q1876" s="5"/>
      <c r="R1876" s="5" t="str">
        <f ca="1">IFERROR(__xludf.DUMMYFUNCTION("""COMPUTED_VALUE"""),"România")</f>
        <v>România</v>
      </c>
      <c r="S1876" s="5" t="str">
        <f ca="1">IFERROR(__xludf.DUMMYFUNCTION("""COMPUTED_VALUE"""),"Octavian")</f>
        <v>Octavian</v>
      </c>
      <c r="T1876" s="7" t="str">
        <f ca="1">IFERROR(__xludf.DUMMYFUNCTION("""COMPUTED_VALUE"""),"http://www.ms.ro/2020/08/20/buletin-informativ-20-08-2020")</f>
        <v>http://www.ms.ro/2020/08/20/buletin-informativ-20-08-2020</v>
      </c>
      <c r="U1876" s="5"/>
      <c r="V1876" s="5"/>
      <c r="W1876" s="5"/>
      <c r="X1876" s="5"/>
      <c r="Y1876" s="5"/>
      <c r="Z1876" s="5"/>
      <c r="AA1876" s="5"/>
      <c r="AB1876" s="5"/>
      <c r="AC1876" s="5"/>
    </row>
    <row r="1877" spans="1:29" ht="12.5">
      <c r="A1877" s="5">
        <f ca="1">IFERROR(__xludf.DUMMYFUNCTION("""COMPUTED_VALUE"""),73830)</f>
        <v>73830</v>
      </c>
      <c r="B1877" s="5"/>
      <c r="C1877" s="5" t="str">
        <f ca="1">IFERROR(__xludf.DUMMYFUNCTION("""COMPUTED_VALUE"""),"Bihor")</f>
        <v>Bihor</v>
      </c>
      <c r="D1877" s="13">
        <f ca="1">IFERROR(__xludf.DUMMYFUNCTION("""COMPUTED_VALUE"""),44063)</f>
        <v>44063</v>
      </c>
      <c r="E1877" s="5" t="str">
        <f ca="1">IFERROR(__xludf.DUMMYFUNCTION("""COMPUTED_VALUE"""),"Nu")</f>
        <v>Nu</v>
      </c>
      <c r="F1877" s="5"/>
      <c r="G1877" s="5"/>
      <c r="H1877" s="6"/>
      <c r="I1877" s="5"/>
      <c r="J1877" s="5"/>
      <c r="K1877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77" s="5"/>
      <c r="M1877" s="5"/>
      <c r="N1877" s="5"/>
      <c r="O1877" s="5"/>
      <c r="P1877" s="5"/>
      <c r="Q1877" s="5"/>
      <c r="R1877" s="5" t="str">
        <f ca="1">IFERROR(__xludf.DUMMYFUNCTION("""COMPUTED_VALUE"""),"România")</f>
        <v>România</v>
      </c>
      <c r="S1877" s="5" t="str">
        <f ca="1">IFERROR(__xludf.DUMMYFUNCTION("""COMPUTED_VALUE"""),"Octavian")</f>
        <v>Octavian</v>
      </c>
      <c r="T1877" s="7" t="str">
        <f ca="1">IFERROR(__xludf.DUMMYFUNCTION("""COMPUTED_VALUE"""),"http://www.ms.ro/2020/08/20/buletin-informativ-20-08-2020")</f>
        <v>http://www.ms.ro/2020/08/20/buletin-informativ-20-08-2020</v>
      </c>
      <c r="U1877" s="5"/>
      <c r="V1877" s="5"/>
      <c r="W1877" s="5"/>
      <c r="X1877" s="5"/>
      <c r="Y1877" s="5"/>
      <c r="Z1877" s="5"/>
      <c r="AA1877" s="5"/>
      <c r="AB1877" s="5"/>
      <c r="AC1877" s="5"/>
    </row>
    <row r="1878" spans="1:29" ht="12.5">
      <c r="A1878" s="5">
        <f ca="1">IFERROR(__xludf.DUMMYFUNCTION("""COMPUTED_VALUE"""),73831)</f>
        <v>73831</v>
      </c>
      <c r="B1878" s="5"/>
      <c r="C1878" s="5" t="str">
        <f ca="1">IFERROR(__xludf.DUMMYFUNCTION("""COMPUTED_VALUE"""),"Bihor")</f>
        <v>Bihor</v>
      </c>
      <c r="D1878" s="13">
        <f ca="1">IFERROR(__xludf.DUMMYFUNCTION("""COMPUTED_VALUE"""),44063)</f>
        <v>44063</v>
      </c>
      <c r="E1878" s="5" t="str">
        <f ca="1">IFERROR(__xludf.DUMMYFUNCTION("""COMPUTED_VALUE"""),"Nu")</f>
        <v>Nu</v>
      </c>
      <c r="F1878" s="5"/>
      <c r="G1878" s="5"/>
      <c r="H1878" s="6"/>
      <c r="I1878" s="5"/>
      <c r="J1878" s="5"/>
      <c r="K1878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78" s="5"/>
      <c r="M1878" s="5"/>
      <c r="N1878" s="5"/>
      <c r="O1878" s="5"/>
      <c r="P1878" s="5"/>
      <c r="Q1878" s="5"/>
      <c r="R1878" s="5" t="str">
        <f ca="1">IFERROR(__xludf.DUMMYFUNCTION("""COMPUTED_VALUE"""),"România")</f>
        <v>România</v>
      </c>
      <c r="S1878" s="5" t="str">
        <f ca="1">IFERROR(__xludf.DUMMYFUNCTION("""COMPUTED_VALUE"""),"Octavian")</f>
        <v>Octavian</v>
      </c>
      <c r="T1878" s="7" t="str">
        <f ca="1">IFERROR(__xludf.DUMMYFUNCTION("""COMPUTED_VALUE"""),"http://www.ms.ro/2020/08/20/buletin-informativ-20-08-2020")</f>
        <v>http://www.ms.ro/2020/08/20/buletin-informativ-20-08-2020</v>
      </c>
      <c r="U1878" s="5"/>
      <c r="V1878" s="5"/>
      <c r="W1878" s="5"/>
      <c r="X1878" s="5"/>
      <c r="Y1878" s="5"/>
      <c r="Z1878" s="5"/>
      <c r="AA1878" s="5"/>
      <c r="AB1878" s="5"/>
      <c r="AC1878" s="5"/>
    </row>
    <row r="1879" spans="1:29" ht="12.5">
      <c r="A1879" s="5">
        <f ca="1">IFERROR(__xludf.DUMMYFUNCTION("""COMPUTED_VALUE"""),73832)</f>
        <v>73832</v>
      </c>
      <c r="B1879" s="5"/>
      <c r="C1879" s="5" t="str">
        <f ca="1">IFERROR(__xludf.DUMMYFUNCTION("""COMPUTED_VALUE"""),"Bihor")</f>
        <v>Bihor</v>
      </c>
      <c r="D1879" s="13">
        <f ca="1">IFERROR(__xludf.DUMMYFUNCTION("""COMPUTED_VALUE"""),44063)</f>
        <v>44063</v>
      </c>
      <c r="E1879" s="5" t="str">
        <f ca="1">IFERROR(__xludf.DUMMYFUNCTION("""COMPUTED_VALUE"""),"Nu")</f>
        <v>Nu</v>
      </c>
      <c r="F1879" s="5"/>
      <c r="G1879" s="5"/>
      <c r="H1879" s="6"/>
      <c r="I1879" s="5"/>
      <c r="J1879" s="5"/>
      <c r="K1879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79" s="5"/>
      <c r="M1879" s="5"/>
      <c r="N1879" s="5"/>
      <c r="O1879" s="5"/>
      <c r="P1879" s="5"/>
      <c r="Q1879" s="5"/>
      <c r="R1879" s="5" t="str">
        <f ca="1">IFERROR(__xludf.DUMMYFUNCTION("""COMPUTED_VALUE"""),"România")</f>
        <v>România</v>
      </c>
      <c r="S1879" s="5" t="str">
        <f ca="1">IFERROR(__xludf.DUMMYFUNCTION("""COMPUTED_VALUE"""),"Octavian")</f>
        <v>Octavian</v>
      </c>
      <c r="T1879" s="7" t="str">
        <f ca="1">IFERROR(__xludf.DUMMYFUNCTION("""COMPUTED_VALUE"""),"http://www.ms.ro/2020/08/20/buletin-informativ-20-08-2020")</f>
        <v>http://www.ms.ro/2020/08/20/buletin-informativ-20-08-2020</v>
      </c>
      <c r="U1879" s="5"/>
      <c r="V1879" s="5"/>
      <c r="W1879" s="5"/>
      <c r="X1879" s="5"/>
      <c r="Y1879" s="5"/>
      <c r="Z1879" s="5"/>
      <c r="AA1879" s="5"/>
      <c r="AB1879" s="5"/>
      <c r="AC1879" s="5"/>
    </row>
    <row r="1880" spans="1:29" ht="12.5">
      <c r="A1880" s="5">
        <f ca="1">IFERROR(__xludf.DUMMYFUNCTION("""COMPUTED_VALUE"""),73833)</f>
        <v>73833</v>
      </c>
      <c r="B1880" s="5"/>
      <c r="C1880" s="5" t="str">
        <f ca="1">IFERROR(__xludf.DUMMYFUNCTION("""COMPUTED_VALUE"""),"Bihor")</f>
        <v>Bihor</v>
      </c>
      <c r="D1880" s="13">
        <f ca="1">IFERROR(__xludf.DUMMYFUNCTION("""COMPUTED_VALUE"""),44063)</f>
        <v>44063</v>
      </c>
      <c r="E1880" s="5" t="str">
        <f ca="1">IFERROR(__xludf.DUMMYFUNCTION("""COMPUTED_VALUE"""),"Nu")</f>
        <v>Nu</v>
      </c>
      <c r="F1880" s="5"/>
      <c r="G1880" s="5"/>
      <c r="H1880" s="6"/>
      <c r="I1880" s="5"/>
      <c r="J1880" s="5"/>
      <c r="K1880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80" s="5"/>
      <c r="M1880" s="5"/>
      <c r="N1880" s="5"/>
      <c r="O1880" s="5"/>
      <c r="P1880" s="5"/>
      <c r="Q1880" s="5"/>
      <c r="R1880" s="5" t="str">
        <f ca="1">IFERROR(__xludf.DUMMYFUNCTION("""COMPUTED_VALUE"""),"România")</f>
        <v>România</v>
      </c>
      <c r="S1880" s="5" t="str">
        <f ca="1">IFERROR(__xludf.DUMMYFUNCTION("""COMPUTED_VALUE"""),"Octavian")</f>
        <v>Octavian</v>
      </c>
      <c r="T1880" s="7" t="str">
        <f ca="1">IFERROR(__xludf.DUMMYFUNCTION("""COMPUTED_VALUE"""),"http://www.ms.ro/2020/08/20/buletin-informativ-20-08-2020")</f>
        <v>http://www.ms.ro/2020/08/20/buletin-informativ-20-08-2020</v>
      </c>
      <c r="U1880" s="5"/>
      <c r="V1880" s="5"/>
      <c r="W1880" s="5"/>
      <c r="X1880" s="5"/>
      <c r="Y1880" s="5"/>
      <c r="Z1880" s="5"/>
      <c r="AA1880" s="5"/>
      <c r="AB1880" s="5"/>
      <c r="AC1880" s="5"/>
    </row>
    <row r="1881" spans="1:29" ht="12.5">
      <c r="A1881" s="5">
        <f ca="1">IFERROR(__xludf.DUMMYFUNCTION("""COMPUTED_VALUE"""),73834)</f>
        <v>73834</v>
      </c>
      <c r="B1881" s="5"/>
      <c r="C1881" s="5" t="str">
        <f ca="1">IFERROR(__xludf.DUMMYFUNCTION("""COMPUTED_VALUE"""),"Bihor")</f>
        <v>Bihor</v>
      </c>
      <c r="D1881" s="13">
        <f ca="1">IFERROR(__xludf.DUMMYFUNCTION("""COMPUTED_VALUE"""),44063)</f>
        <v>44063</v>
      </c>
      <c r="E1881" s="5" t="str">
        <f ca="1">IFERROR(__xludf.DUMMYFUNCTION("""COMPUTED_VALUE"""),"Nu")</f>
        <v>Nu</v>
      </c>
      <c r="F1881" s="5"/>
      <c r="G1881" s="5"/>
      <c r="H1881" s="6"/>
      <c r="I1881" s="5"/>
      <c r="J1881" s="5"/>
      <c r="K1881" s="7" t="str">
        <f ca="1">IFERROR(__xludf.DUMMYFUNCTION("""COMPUTED_VALUE"""),"https://www.ebihoreanul.ro/stiri/record-alarmant-in-bihor-inca-85-de-cazuri-noi-de-covid-si-inca-doua-decese-158311.html")</f>
        <v>https://www.ebihoreanul.ro/stiri/record-alarmant-in-bihor-inca-85-de-cazuri-noi-de-covid-si-inca-doua-decese-158311.html</v>
      </c>
      <c r="L1881" s="5"/>
      <c r="M1881" s="5"/>
      <c r="N1881" s="5"/>
      <c r="O1881" s="5"/>
      <c r="P1881" s="5"/>
      <c r="Q1881" s="5"/>
      <c r="R1881" s="5" t="str">
        <f ca="1">IFERROR(__xludf.DUMMYFUNCTION("""COMPUTED_VALUE"""),"România")</f>
        <v>România</v>
      </c>
      <c r="S1881" s="5" t="str">
        <f ca="1">IFERROR(__xludf.DUMMYFUNCTION("""COMPUTED_VALUE"""),"Octavian")</f>
        <v>Octavian</v>
      </c>
      <c r="T1881" s="7" t="str">
        <f ca="1">IFERROR(__xludf.DUMMYFUNCTION("""COMPUTED_VALUE"""),"http://www.ms.ro/2020/08/20/buletin-informativ-20-08-2020")</f>
        <v>http://www.ms.ro/2020/08/20/buletin-informativ-20-08-2020</v>
      </c>
      <c r="U1881" s="5"/>
      <c r="V1881" s="5"/>
      <c r="W1881" s="5"/>
      <c r="X1881" s="5"/>
      <c r="Y1881" s="5"/>
      <c r="Z1881" s="5"/>
      <c r="AA1881" s="5"/>
      <c r="AB1881" s="5"/>
      <c r="AC1881" s="5"/>
    </row>
    <row r="1882" spans="1:29" ht="12.5">
      <c r="A1882" s="5">
        <f ca="1">IFERROR(__xludf.DUMMYFUNCTION("""COMPUTED_VALUE"""),75125)</f>
        <v>75125</v>
      </c>
      <c r="B1882" s="5"/>
      <c r="C1882" s="5" t="str">
        <f ca="1">IFERROR(__xludf.DUMMYFUNCTION("""COMPUTED_VALUE"""),"Bihor")</f>
        <v>Bihor</v>
      </c>
      <c r="D1882" s="13">
        <f ca="1">IFERROR(__xludf.DUMMYFUNCTION("""COMPUTED_VALUE"""),44064)</f>
        <v>44064</v>
      </c>
      <c r="E1882" s="5" t="str">
        <f ca="1">IFERROR(__xludf.DUMMYFUNCTION("""COMPUTED_VALUE"""),"Nu")</f>
        <v>Nu</v>
      </c>
      <c r="F1882" s="5"/>
      <c r="G1882" s="5"/>
      <c r="H1882" s="6"/>
      <c r="I1882" s="5"/>
      <c r="J1882" s="5"/>
      <c r="K1882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882" s="5"/>
      <c r="M1882" s="5" t="str">
        <f ca="1">IFERROR(__xludf.DUMMYFUNCTION("""COMPUTED_VALUE"""),"Oradea")</f>
        <v>Oradea</v>
      </c>
      <c r="N1882" s="5"/>
      <c r="O1882" s="5"/>
      <c r="P1882" s="5" t="str">
        <f ca="1">IFERROR(__xludf.DUMMYFUNCTION("""COMPUTED_VALUE"""),"SM Oradea, cadru medical.")</f>
        <v>SM Oradea, cadru medical.</v>
      </c>
      <c r="Q1882" s="5" t="str">
        <f ca="1">IFERROR(__xludf.DUMMYFUNCTION("""COMPUTED_VALUE"""),"Medical")</f>
        <v>Medical</v>
      </c>
      <c r="R1882" s="5" t="str">
        <f ca="1">IFERROR(__xludf.DUMMYFUNCTION("""COMPUTED_VALUE"""),"România")</f>
        <v>România</v>
      </c>
      <c r="S1882" s="5" t="str">
        <f ca="1">IFERROR(__xludf.DUMMYFUNCTION("""COMPUTED_VALUE"""),"Octavian")</f>
        <v>Octavian</v>
      </c>
      <c r="T1882" s="7" t="str">
        <f ca="1">IFERROR(__xludf.DUMMYFUNCTION("""COMPUTED_VALUE"""),"http://www.ms.ro/2020/08/21/buletin-informativ-21-08-2020")</f>
        <v>http://www.ms.ro/2020/08/21/buletin-informativ-21-08-2020</v>
      </c>
      <c r="U1882" s="5"/>
      <c r="V1882" s="5"/>
      <c r="W1882" s="5"/>
      <c r="X1882" s="5"/>
      <c r="Y1882" s="5"/>
      <c r="Z1882" s="5"/>
      <c r="AA1882" s="5"/>
      <c r="AB1882" s="5"/>
      <c r="AC1882" s="5"/>
    </row>
    <row r="1883" spans="1:29" ht="12.5">
      <c r="A1883" s="5">
        <f ca="1">IFERROR(__xludf.DUMMYFUNCTION("""COMPUTED_VALUE"""),75126)</f>
        <v>75126</v>
      </c>
      <c r="B1883" s="5"/>
      <c r="C1883" s="5" t="str">
        <f ca="1">IFERROR(__xludf.DUMMYFUNCTION("""COMPUTED_VALUE"""),"Bihor")</f>
        <v>Bihor</v>
      </c>
      <c r="D1883" s="13">
        <f ca="1">IFERROR(__xludf.DUMMYFUNCTION("""COMPUTED_VALUE"""),44064)</f>
        <v>44064</v>
      </c>
      <c r="E1883" s="5" t="str">
        <f ca="1">IFERROR(__xludf.DUMMYFUNCTION("""COMPUTED_VALUE"""),"Nu")</f>
        <v>Nu</v>
      </c>
      <c r="F1883" s="5"/>
      <c r="G1883" s="5"/>
      <c r="H1883" s="6"/>
      <c r="I1883" s="5"/>
      <c r="J1883" s="5"/>
      <c r="K1883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883" s="5"/>
      <c r="M1883" s="5" t="str">
        <f ca="1">IFERROR(__xludf.DUMMYFUNCTION("""COMPUTED_VALUE"""),"Oradea")</f>
        <v>Oradea</v>
      </c>
      <c r="N1883" s="5"/>
      <c r="O1883" s="5"/>
      <c r="P1883" s="5" t="str">
        <f ca="1">IFERROR(__xludf.DUMMYFUNCTION("""COMPUTED_VALUE"""),"SM Oradea, cadru medical.")</f>
        <v>SM Oradea, cadru medical.</v>
      </c>
      <c r="Q1883" s="5" t="str">
        <f ca="1">IFERROR(__xludf.DUMMYFUNCTION("""COMPUTED_VALUE"""),"Medical")</f>
        <v>Medical</v>
      </c>
      <c r="R1883" s="5" t="str">
        <f ca="1">IFERROR(__xludf.DUMMYFUNCTION("""COMPUTED_VALUE"""),"România")</f>
        <v>România</v>
      </c>
      <c r="S1883" s="5" t="str">
        <f ca="1">IFERROR(__xludf.DUMMYFUNCTION("""COMPUTED_VALUE"""),"Octavian")</f>
        <v>Octavian</v>
      </c>
      <c r="T1883" s="7" t="str">
        <f ca="1">IFERROR(__xludf.DUMMYFUNCTION("""COMPUTED_VALUE"""),"http://www.ms.ro/2020/08/21/buletin-informativ-21-08-2020")</f>
        <v>http://www.ms.ro/2020/08/21/buletin-informativ-21-08-2020</v>
      </c>
      <c r="U1883" s="5"/>
      <c r="V1883" s="5"/>
      <c r="W1883" s="5"/>
      <c r="X1883" s="5"/>
      <c r="Y1883" s="5"/>
      <c r="Z1883" s="5"/>
      <c r="AA1883" s="5"/>
      <c r="AB1883" s="5"/>
      <c r="AC1883" s="5"/>
    </row>
    <row r="1884" spans="1:29" ht="12.5">
      <c r="A1884" s="5">
        <f ca="1">IFERROR(__xludf.DUMMYFUNCTION("""COMPUTED_VALUE"""),75127)</f>
        <v>75127</v>
      </c>
      <c r="B1884" s="5"/>
      <c r="C1884" s="5" t="str">
        <f ca="1">IFERROR(__xludf.DUMMYFUNCTION("""COMPUTED_VALUE"""),"Bihor")</f>
        <v>Bihor</v>
      </c>
      <c r="D1884" s="13">
        <f ca="1">IFERROR(__xludf.DUMMYFUNCTION("""COMPUTED_VALUE"""),44064)</f>
        <v>44064</v>
      </c>
      <c r="E1884" s="5" t="str">
        <f ca="1">IFERROR(__xludf.DUMMYFUNCTION("""COMPUTED_VALUE"""),"Nu")</f>
        <v>Nu</v>
      </c>
      <c r="F1884" s="5"/>
      <c r="G1884" s="5"/>
      <c r="H1884" s="6"/>
      <c r="I1884" s="5"/>
      <c r="J1884" s="5"/>
      <c r="K1884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884" s="5"/>
      <c r="M1884" s="5" t="str">
        <f ca="1">IFERROR(__xludf.DUMMYFUNCTION("""COMPUTED_VALUE"""),"Oradea")</f>
        <v>Oradea</v>
      </c>
      <c r="N1884" s="5"/>
      <c r="O1884" s="5"/>
      <c r="P1884" s="5" t="str">
        <f ca="1">IFERROR(__xludf.DUMMYFUNCTION("""COMPUTED_VALUE"""),"SM Oradea, cadru medical.")</f>
        <v>SM Oradea, cadru medical.</v>
      </c>
      <c r="Q1884" s="5" t="str">
        <f ca="1">IFERROR(__xludf.DUMMYFUNCTION("""COMPUTED_VALUE"""),"Medical")</f>
        <v>Medical</v>
      </c>
      <c r="R1884" s="5" t="str">
        <f ca="1">IFERROR(__xludf.DUMMYFUNCTION("""COMPUTED_VALUE"""),"România")</f>
        <v>România</v>
      </c>
      <c r="S1884" s="5" t="str">
        <f ca="1">IFERROR(__xludf.DUMMYFUNCTION("""COMPUTED_VALUE"""),"Octavian")</f>
        <v>Octavian</v>
      </c>
      <c r="T1884" s="7" t="str">
        <f ca="1">IFERROR(__xludf.DUMMYFUNCTION("""COMPUTED_VALUE"""),"http://www.ms.ro/2020/08/21/buletin-informativ-21-08-2020")</f>
        <v>http://www.ms.ro/2020/08/21/buletin-informativ-21-08-2020</v>
      </c>
      <c r="U1884" s="5"/>
      <c r="V1884" s="5"/>
      <c r="W1884" s="5"/>
      <c r="X1884" s="5"/>
      <c r="Y1884" s="5"/>
      <c r="Z1884" s="5"/>
      <c r="AA1884" s="5"/>
      <c r="AB1884" s="5"/>
      <c r="AC1884" s="5"/>
    </row>
    <row r="1885" spans="1:29" ht="12.5">
      <c r="A1885" s="5">
        <f ca="1">IFERROR(__xludf.DUMMYFUNCTION("""COMPUTED_VALUE"""),75128)</f>
        <v>75128</v>
      </c>
      <c r="B1885" s="5"/>
      <c r="C1885" s="5" t="str">
        <f ca="1">IFERROR(__xludf.DUMMYFUNCTION("""COMPUTED_VALUE"""),"Bihor")</f>
        <v>Bihor</v>
      </c>
      <c r="D1885" s="13">
        <f ca="1">IFERROR(__xludf.DUMMYFUNCTION("""COMPUTED_VALUE"""),44064)</f>
        <v>44064</v>
      </c>
      <c r="E1885" s="5" t="str">
        <f ca="1">IFERROR(__xludf.DUMMYFUNCTION("""COMPUTED_VALUE"""),"Nu")</f>
        <v>Nu</v>
      </c>
      <c r="F1885" s="5"/>
      <c r="G1885" s="5"/>
      <c r="H1885" s="6"/>
      <c r="I1885" s="5"/>
      <c r="J1885" s="5"/>
      <c r="K1885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885" s="5"/>
      <c r="M1885" s="5" t="str">
        <f ca="1">IFERROR(__xludf.DUMMYFUNCTION("""COMPUTED_VALUE"""),"Oradea")</f>
        <v>Oradea</v>
      </c>
      <c r="N1885" s="5"/>
      <c r="O1885" s="5"/>
      <c r="P1885" s="5" t="str">
        <f ca="1">IFERROR(__xludf.DUMMYFUNCTION("""COMPUTED_VALUE"""),"SM Oradea, cadru medical.")</f>
        <v>SM Oradea, cadru medical.</v>
      </c>
      <c r="Q1885" s="5" t="str">
        <f ca="1">IFERROR(__xludf.DUMMYFUNCTION("""COMPUTED_VALUE"""),"Medical")</f>
        <v>Medical</v>
      </c>
      <c r="R1885" s="5" t="str">
        <f ca="1">IFERROR(__xludf.DUMMYFUNCTION("""COMPUTED_VALUE"""),"România")</f>
        <v>România</v>
      </c>
      <c r="S1885" s="5" t="str">
        <f ca="1">IFERROR(__xludf.DUMMYFUNCTION("""COMPUTED_VALUE"""),"Octavian")</f>
        <v>Octavian</v>
      </c>
      <c r="T1885" s="7" t="str">
        <f ca="1">IFERROR(__xludf.DUMMYFUNCTION("""COMPUTED_VALUE"""),"http://www.ms.ro/2020/08/21/buletin-informativ-21-08-2020")</f>
        <v>http://www.ms.ro/2020/08/21/buletin-informativ-21-08-2020</v>
      </c>
      <c r="U1885" s="5"/>
      <c r="V1885" s="5"/>
      <c r="W1885" s="5"/>
      <c r="X1885" s="5"/>
      <c r="Y1885" s="5"/>
      <c r="Z1885" s="5"/>
      <c r="AA1885" s="5"/>
      <c r="AB1885" s="5"/>
      <c r="AC1885" s="5"/>
    </row>
    <row r="1886" spans="1:29" ht="12.5">
      <c r="A1886" s="5">
        <f ca="1">IFERROR(__xludf.DUMMYFUNCTION("""COMPUTED_VALUE"""),75129)</f>
        <v>75129</v>
      </c>
      <c r="B1886" s="5"/>
      <c r="C1886" s="5" t="str">
        <f ca="1">IFERROR(__xludf.DUMMYFUNCTION("""COMPUTED_VALUE"""),"Bihor")</f>
        <v>Bihor</v>
      </c>
      <c r="D1886" s="13">
        <f ca="1">IFERROR(__xludf.DUMMYFUNCTION("""COMPUTED_VALUE"""),44064)</f>
        <v>44064</v>
      </c>
      <c r="E1886" s="5" t="str">
        <f ca="1">IFERROR(__xludf.DUMMYFUNCTION("""COMPUTED_VALUE"""),"Nu")</f>
        <v>Nu</v>
      </c>
      <c r="F1886" s="5"/>
      <c r="G1886" s="5"/>
      <c r="H1886" s="6"/>
      <c r="I1886" s="5"/>
      <c r="J1886" s="5"/>
      <c r="K1886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886" s="5"/>
      <c r="M1886" s="5" t="str">
        <f ca="1">IFERROR(__xludf.DUMMYFUNCTION("""COMPUTED_VALUE"""),"Oradea")</f>
        <v>Oradea</v>
      </c>
      <c r="N1886" s="5"/>
      <c r="O1886" s="5"/>
      <c r="P1886" s="5" t="str">
        <f ca="1">IFERROR(__xludf.DUMMYFUNCTION("""COMPUTED_VALUE"""),"SM Oradea, cadru medical.")</f>
        <v>SM Oradea, cadru medical.</v>
      </c>
      <c r="Q1886" s="5" t="str">
        <f ca="1">IFERROR(__xludf.DUMMYFUNCTION("""COMPUTED_VALUE"""),"Medical")</f>
        <v>Medical</v>
      </c>
      <c r="R1886" s="5" t="str">
        <f ca="1">IFERROR(__xludf.DUMMYFUNCTION("""COMPUTED_VALUE"""),"România")</f>
        <v>România</v>
      </c>
      <c r="S1886" s="5" t="str">
        <f ca="1">IFERROR(__xludf.DUMMYFUNCTION("""COMPUTED_VALUE"""),"Octavian")</f>
        <v>Octavian</v>
      </c>
      <c r="T1886" s="7" t="str">
        <f ca="1">IFERROR(__xludf.DUMMYFUNCTION("""COMPUTED_VALUE"""),"http://www.ms.ro/2020/08/21/buletin-informativ-21-08-2020")</f>
        <v>http://www.ms.ro/2020/08/21/buletin-informativ-21-08-2020</v>
      </c>
      <c r="U1886" s="5"/>
      <c r="V1886" s="5"/>
      <c r="W1886" s="5"/>
      <c r="X1886" s="5"/>
      <c r="Y1886" s="5"/>
      <c r="Z1886" s="5"/>
      <c r="AA1886" s="5"/>
      <c r="AB1886" s="5"/>
      <c r="AC1886" s="5"/>
    </row>
    <row r="1887" spans="1:29" ht="12.5">
      <c r="A1887" s="5">
        <f ca="1">IFERROR(__xludf.DUMMYFUNCTION("""COMPUTED_VALUE"""),75130)</f>
        <v>75130</v>
      </c>
      <c r="B1887" s="5"/>
      <c r="C1887" s="5" t="str">
        <f ca="1">IFERROR(__xludf.DUMMYFUNCTION("""COMPUTED_VALUE"""),"Bihor")</f>
        <v>Bihor</v>
      </c>
      <c r="D1887" s="13">
        <f ca="1">IFERROR(__xludf.DUMMYFUNCTION("""COMPUTED_VALUE"""),44064)</f>
        <v>44064</v>
      </c>
      <c r="E1887" s="5" t="str">
        <f ca="1">IFERROR(__xludf.DUMMYFUNCTION("""COMPUTED_VALUE"""),"Nu")</f>
        <v>Nu</v>
      </c>
      <c r="F1887" s="5"/>
      <c r="G1887" s="5"/>
      <c r="H1887" s="6"/>
      <c r="I1887" s="5"/>
      <c r="J1887" s="5"/>
      <c r="K1887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887" s="5"/>
      <c r="M1887" s="5" t="str">
        <f ca="1">IFERROR(__xludf.DUMMYFUNCTION("""COMPUTED_VALUE"""),"Oradea")</f>
        <v>Oradea</v>
      </c>
      <c r="N1887" s="5"/>
      <c r="O1887" s="5"/>
      <c r="P1887" s="5" t="str">
        <f ca="1">IFERROR(__xludf.DUMMYFUNCTION("""COMPUTED_VALUE"""),"SM Oradea, cadru medical.")</f>
        <v>SM Oradea, cadru medical.</v>
      </c>
      <c r="Q1887" s="5" t="str">
        <f ca="1">IFERROR(__xludf.DUMMYFUNCTION("""COMPUTED_VALUE"""),"Medical")</f>
        <v>Medical</v>
      </c>
      <c r="R1887" s="5" t="str">
        <f ca="1">IFERROR(__xludf.DUMMYFUNCTION("""COMPUTED_VALUE"""),"România")</f>
        <v>România</v>
      </c>
      <c r="S1887" s="5" t="str">
        <f ca="1">IFERROR(__xludf.DUMMYFUNCTION("""COMPUTED_VALUE"""),"Octavian")</f>
        <v>Octavian</v>
      </c>
      <c r="T1887" s="7" t="str">
        <f ca="1">IFERROR(__xludf.DUMMYFUNCTION("""COMPUTED_VALUE"""),"http://www.ms.ro/2020/08/21/buletin-informativ-21-08-2020")</f>
        <v>http://www.ms.ro/2020/08/21/buletin-informativ-21-08-2020</v>
      </c>
      <c r="U1887" s="5"/>
      <c r="V1887" s="5"/>
      <c r="W1887" s="5"/>
      <c r="X1887" s="5"/>
      <c r="Y1887" s="5"/>
      <c r="Z1887" s="5"/>
      <c r="AA1887" s="5"/>
      <c r="AB1887" s="5"/>
      <c r="AC1887" s="5"/>
    </row>
    <row r="1888" spans="1:29" ht="12.5">
      <c r="A1888" s="5">
        <f ca="1">IFERROR(__xludf.DUMMYFUNCTION("""COMPUTED_VALUE"""),75131)</f>
        <v>75131</v>
      </c>
      <c r="B1888" s="5"/>
      <c r="C1888" s="5" t="str">
        <f ca="1">IFERROR(__xludf.DUMMYFUNCTION("""COMPUTED_VALUE"""),"Bihor")</f>
        <v>Bihor</v>
      </c>
      <c r="D1888" s="13">
        <f ca="1">IFERROR(__xludf.DUMMYFUNCTION("""COMPUTED_VALUE"""),44064)</f>
        <v>44064</v>
      </c>
      <c r="E1888" s="5" t="str">
        <f ca="1">IFERROR(__xludf.DUMMYFUNCTION("""COMPUTED_VALUE"""),"Nu")</f>
        <v>Nu</v>
      </c>
      <c r="F1888" s="5"/>
      <c r="G1888" s="5"/>
      <c r="H1888" s="6"/>
      <c r="I1888" s="5"/>
      <c r="J1888" s="5"/>
      <c r="K1888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888" s="5"/>
      <c r="M1888" s="5" t="str">
        <f ca="1">IFERROR(__xludf.DUMMYFUNCTION("""COMPUTED_VALUE"""),"Oradea")</f>
        <v>Oradea</v>
      </c>
      <c r="N1888" s="5"/>
      <c r="O1888" s="5"/>
      <c r="P1888" s="5" t="str">
        <f ca="1">IFERROR(__xludf.DUMMYFUNCTION("""COMPUTED_VALUE"""),"SJU Oradea, cadru medical.")</f>
        <v>SJU Oradea, cadru medical.</v>
      </c>
      <c r="Q1888" s="5" t="str">
        <f ca="1">IFERROR(__xludf.DUMMYFUNCTION("""COMPUTED_VALUE"""),"Medical")</f>
        <v>Medical</v>
      </c>
      <c r="R1888" s="5" t="str">
        <f ca="1">IFERROR(__xludf.DUMMYFUNCTION("""COMPUTED_VALUE"""),"România")</f>
        <v>România</v>
      </c>
      <c r="S1888" s="5" t="str">
        <f ca="1">IFERROR(__xludf.DUMMYFUNCTION("""COMPUTED_VALUE"""),"Octavian")</f>
        <v>Octavian</v>
      </c>
      <c r="T1888" s="7" t="str">
        <f ca="1">IFERROR(__xludf.DUMMYFUNCTION("""COMPUTED_VALUE"""),"http://www.ms.ro/2020/08/21/buletin-informativ-21-08-2020")</f>
        <v>http://www.ms.ro/2020/08/21/buletin-informativ-21-08-2020</v>
      </c>
      <c r="U1888" s="5"/>
      <c r="V1888" s="5"/>
      <c r="W1888" s="5"/>
      <c r="X1888" s="5"/>
      <c r="Y1888" s="5"/>
      <c r="Z1888" s="5"/>
      <c r="AA1888" s="5"/>
      <c r="AB1888" s="5"/>
      <c r="AC1888" s="5"/>
    </row>
    <row r="1889" spans="1:29" ht="12.5">
      <c r="A1889" s="5">
        <f ca="1">IFERROR(__xludf.DUMMYFUNCTION("""COMPUTED_VALUE"""),75132)</f>
        <v>75132</v>
      </c>
      <c r="B1889" s="5"/>
      <c r="C1889" s="5" t="str">
        <f ca="1">IFERROR(__xludf.DUMMYFUNCTION("""COMPUTED_VALUE"""),"Bihor")</f>
        <v>Bihor</v>
      </c>
      <c r="D1889" s="13">
        <f ca="1">IFERROR(__xludf.DUMMYFUNCTION("""COMPUTED_VALUE"""),44064)</f>
        <v>44064</v>
      </c>
      <c r="E1889" s="5" t="str">
        <f ca="1">IFERROR(__xludf.DUMMYFUNCTION("""COMPUTED_VALUE"""),"Nu")</f>
        <v>Nu</v>
      </c>
      <c r="F1889" s="5"/>
      <c r="G1889" s="5"/>
      <c r="H1889" s="6"/>
      <c r="I1889" s="5"/>
      <c r="J1889" s="5"/>
      <c r="K1889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889" s="5"/>
      <c r="M1889" s="5" t="str">
        <f ca="1">IFERROR(__xludf.DUMMYFUNCTION("""COMPUTED_VALUE"""),"Oradea")</f>
        <v>Oradea</v>
      </c>
      <c r="N1889" s="5"/>
      <c r="O1889" s="5"/>
      <c r="P1889" s="5" t="str">
        <f ca="1">IFERROR(__xludf.DUMMYFUNCTION("""COMPUTED_VALUE"""),"SJU Oradea, cadru medical.")</f>
        <v>SJU Oradea, cadru medical.</v>
      </c>
      <c r="Q1889" s="5" t="str">
        <f ca="1">IFERROR(__xludf.DUMMYFUNCTION("""COMPUTED_VALUE"""),"Medical")</f>
        <v>Medical</v>
      </c>
      <c r="R1889" s="5" t="str">
        <f ca="1">IFERROR(__xludf.DUMMYFUNCTION("""COMPUTED_VALUE"""),"România")</f>
        <v>România</v>
      </c>
      <c r="S1889" s="5" t="str">
        <f ca="1">IFERROR(__xludf.DUMMYFUNCTION("""COMPUTED_VALUE"""),"Octavian")</f>
        <v>Octavian</v>
      </c>
      <c r="T1889" s="7" t="str">
        <f ca="1">IFERROR(__xludf.DUMMYFUNCTION("""COMPUTED_VALUE"""),"http://www.ms.ro/2020/08/21/buletin-informativ-21-08-2020")</f>
        <v>http://www.ms.ro/2020/08/21/buletin-informativ-21-08-2020</v>
      </c>
      <c r="U1889" s="5"/>
      <c r="V1889" s="5"/>
      <c r="W1889" s="5"/>
      <c r="X1889" s="5"/>
      <c r="Y1889" s="5"/>
      <c r="Z1889" s="5"/>
      <c r="AA1889" s="5"/>
      <c r="AB1889" s="5"/>
      <c r="AC1889" s="5"/>
    </row>
    <row r="1890" spans="1:29" ht="12.5">
      <c r="A1890" s="5">
        <f ca="1">IFERROR(__xludf.DUMMYFUNCTION("""COMPUTED_VALUE"""),75133)</f>
        <v>75133</v>
      </c>
      <c r="B1890" s="5"/>
      <c r="C1890" s="5" t="str">
        <f ca="1">IFERROR(__xludf.DUMMYFUNCTION("""COMPUTED_VALUE"""),"Bihor")</f>
        <v>Bihor</v>
      </c>
      <c r="D1890" s="13">
        <f ca="1">IFERROR(__xludf.DUMMYFUNCTION("""COMPUTED_VALUE"""),44064)</f>
        <v>44064</v>
      </c>
      <c r="E1890" s="5" t="str">
        <f ca="1">IFERROR(__xludf.DUMMYFUNCTION("""COMPUTED_VALUE"""),"Nu")</f>
        <v>Nu</v>
      </c>
      <c r="F1890" s="5"/>
      <c r="G1890" s="5"/>
      <c r="H1890" s="6"/>
      <c r="I1890" s="5"/>
      <c r="J1890" s="5"/>
      <c r="K1890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890" s="5"/>
      <c r="M1890" s="5" t="str">
        <f ca="1">IFERROR(__xludf.DUMMYFUNCTION("""COMPUTED_VALUE"""),"Oradea")</f>
        <v>Oradea</v>
      </c>
      <c r="N1890" s="5"/>
      <c r="O1890" s="5"/>
      <c r="P1890" s="5" t="str">
        <f ca="1">IFERROR(__xludf.DUMMYFUNCTION("""COMPUTED_VALUE"""),"SJU Oradea, cadru medical ATI.")</f>
        <v>SJU Oradea, cadru medical ATI.</v>
      </c>
      <c r="Q1890" s="5" t="str">
        <f ca="1">IFERROR(__xludf.DUMMYFUNCTION("""COMPUTED_VALUE"""),"Medical")</f>
        <v>Medical</v>
      </c>
      <c r="R1890" s="5" t="str">
        <f ca="1">IFERROR(__xludf.DUMMYFUNCTION("""COMPUTED_VALUE"""),"România")</f>
        <v>România</v>
      </c>
      <c r="S1890" s="5" t="str">
        <f ca="1">IFERROR(__xludf.DUMMYFUNCTION("""COMPUTED_VALUE"""),"Octavian")</f>
        <v>Octavian</v>
      </c>
      <c r="T1890" s="7" t="str">
        <f ca="1">IFERROR(__xludf.DUMMYFUNCTION("""COMPUTED_VALUE"""),"http://www.ms.ro/2020/08/21/buletin-informativ-21-08-2020")</f>
        <v>http://www.ms.ro/2020/08/21/buletin-informativ-21-08-2020</v>
      </c>
      <c r="U1890" s="5"/>
      <c r="V1890" s="5"/>
      <c r="W1890" s="5"/>
      <c r="X1890" s="5"/>
      <c r="Y1890" s="5"/>
      <c r="Z1890" s="5"/>
      <c r="AA1890" s="5"/>
      <c r="AB1890" s="5"/>
      <c r="AC1890" s="5"/>
    </row>
    <row r="1891" spans="1:29" ht="12.5">
      <c r="A1891" s="5">
        <f ca="1">IFERROR(__xludf.DUMMYFUNCTION("""COMPUTED_VALUE"""),75134)</f>
        <v>75134</v>
      </c>
      <c r="B1891" s="5"/>
      <c r="C1891" s="5" t="str">
        <f ca="1">IFERROR(__xludf.DUMMYFUNCTION("""COMPUTED_VALUE"""),"Bihor")</f>
        <v>Bihor</v>
      </c>
      <c r="D1891" s="13">
        <f ca="1">IFERROR(__xludf.DUMMYFUNCTION("""COMPUTED_VALUE"""),44064)</f>
        <v>44064</v>
      </c>
      <c r="E1891" s="5" t="str">
        <f ca="1">IFERROR(__xludf.DUMMYFUNCTION("""COMPUTED_VALUE"""),"Nu")</f>
        <v>Nu</v>
      </c>
      <c r="F1891" s="5"/>
      <c r="G1891" s="5"/>
      <c r="H1891" s="6"/>
      <c r="I1891" s="5"/>
      <c r="J1891" s="5"/>
      <c r="K1891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891" s="5"/>
      <c r="M1891" s="5" t="str">
        <f ca="1">IFERROR(__xludf.DUMMYFUNCTION("""COMPUTED_VALUE"""),"Oradea")</f>
        <v>Oradea</v>
      </c>
      <c r="N1891" s="5"/>
      <c r="O1891" s="5"/>
      <c r="P1891" s="5" t="str">
        <f ca="1">IFERROR(__xludf.DUMMYFUNCTION("""COMPUTED_VALUE"""),"SJU Oradea, cadru medical ATI.")</f>
        <v>SJU Oradea, cadru medical ATI.</v>
      </c>
      <c r="Q1891" s="5" t="str">
        <f ca="1">IFERROR(__xludf.DUMMYFUNCTION("""COMPUTED_VALUE"""),"Medical")</f>
        <v>Medical</v>
      </c>
      <c r="R1891" s="5" t="str">
        <f ca="1">IFERROR(__xludf.DUMMYFUNCTION("""COMPUTED_VALUE"""),"România")</f>
        <v>România</v>
      </c>
      <c r="S1891" s="5" t="str">
        <f ca="1">IFERROR(__xludf.DUMMYFUNCTION("""COMPUTED_VALUE"""),"Octavian")</f>
        <v>Octavian</v>
      </c>
      <c r="T1891" s="7" t="str">
        <f ca="1">IFERROR(__xludf.DUMMYFUNCTION("""COMPUTED_VALUE"""),"http://www.ms.ro/2020/08/21/buletin-informativ-21-08-2020")</f>
        <v>http://www.ms.ro/2020/08/21/buletin-informativ-21-08-2020</v>
      </c>
      <c r="U1891" s="5"/>
      <c r="V1891" s="5"/>
      <c r="W1891" s="5"/>
      <c r="X1891" s="5"/>
      <c r="Y1891" s="5"/>
      <c r="Z1891" s="5"/>
      <c r="AA1891" s="5"/>
      <c r="AB1891" s="5"/>
      <c r="AC1891" s="5"/>
    </row>
    <row r="1892" spans="1:29" ht="12.5">
      <c r="A1892" s="5">
        <f ca="1">IFERROR(__xludf.DUMMYFUNCTION("""COMPUTED_VALUE"""),75135)</f>
        <v>75135</v>
      </c>
      <c r="B1892" s="5"/>
      <c r="C1892" s="5" t="str">
        <f ca="1">IFERROR(__xludf.DUMMYFUNCTION("""COMPUTED_VALUE"""),"Bihor")</f>
        <v>Bihor</v>
      </c>
      <c r="D1892" s="13">
        <f ca="1">IFERROR(__xludf.DUMMYFUNCTION("""COMPUTED_VALUE"""),44064)</f>
        <v>44064</v>
      </c>
      <c r="E1892" s="5" t="str">
        <f ca="1">IFERROR(__xludf.DUMMYFUNCTION("""COMPUTED_VALUE"""),"Nu")</f>
        <v>Nu</v>
      </c>
      <c r="F1892" s="5"/>
      <c r="G1892" s="5"/>
      <c r="H1892" s="6"/>
      <c r="I1892" s="5"/>
      <c r="J1892" s="5"/>
      <c r="K1892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892" s="5"/>
      <c r="M1892" s="5" t="str">
        <f ca="1">IFERROR(__xludf.DUMMYFUNCTION("""COMPUTED_VALUE"""),"Oradea")</f>
        <v>Oradea</v>
      </c>
      <c r="N1892" s="5"/>
      <c r="O1892" s="5"/>
      <c r="P1892" s="5" t="str">
        <f ca="1">IFERROR(__xludf.DUMMYFUNCTION("""COMPUTED_VALUE"""),"SJU Oradea, cadru medical ATI.")</f>
        <v>SJU Oradea, cadru medical ATI.</v>
      </c>
      <c r="Q1892" s="5" t="str">
        <f ca="1">IFERROR(__xludf.DUMMYFUNCTION("""COMPUTED_VALUE"""),"Medical")</f>
        <v>Medical</v>
      </c>
      <c r="R1892" s="5" t="str">
        <f ca="1">IFERROR(__xludf.DUMMYFUNCTION("""COMPUTED_VALUE"""),"România")</f>
        <v>România</v>
      </c>
      <c r="S1892" s="5" t="str">
        <f ca="1">IFERROR(__xludf.DUMMYFUNCTION("""COMPUTED_VALUE"""),"Octavian")</f>
        <v>Octavian</v>
      </c>
      <c r="T1892" s="7" t="str">
        <f ca="1">IFERROR(__xludf.DUMMYFUNCTION("""COMPUTED_VALUE"""),"http://www.ms.ro/2020/08/21/buletin-informativ-21-08-2020")</f>
        <v>http://www.ms.ro/2020/08/21/buletin-informativ-21-08-2020</v>
      </c>
      <c r="U1892" s="5"/>
      <c r="V1892" s="5"/>
      <c r="W1892" s="5"/>
      <c r="X1892" s="5"/>
      <c r="Y1892" s="5"/>
      <c r="Z1892" s="5"/>
      <c r="AA1892" s="5"/>
      <c r="AB1892" s="5"/>
      <c r="AC1892" s="5"/>
    </row>
    <row r="1893" spans="1:29" ht="12.5">
      <c r="A1893" s="5">
        <f ca="1">IFERROR(__xludf.DUMMYFUNCTION("""COMPUTED_VALUE"""),75136)</f>
        <v>75136</v>
      </c>
      <c r="B1893" s="5"/>
      <c r="C1893" s="5" t="str">
        <f ca="1">IFERROR(__xludf.DUMMYFUNCTION("""COMPUTED_VALUE"""),"Bihor")</f>
        <v>Bihor</v>
      </c>
      <c r="D1893" s="13">
        <f ca="1">IFERROR(__xludf.DUMMYFUNCTION("""COMPUTED_VALUE"""),44064)</f>
        <v>44064</v>
      </c>
      <c r="E1893" s="5" t="str">
        <f ca="1">IFERROR(__xludf.DUMMYFUNCTION("""COMPUTED_VALUE"""),"Nu")</f>
        <v>Nu</v>
      </c>
      <c r="F1893" s="5"/>
      <c r="G1893" s="5"/>
      <c r="H1893" s="6"/>
      <c r="I1893" s="5"/>
      <c r="J1893" s="5"/>
      <c r="K1893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893" s="5"/>
      <c r="M1893" s="5" t="str">
        <f ca="1">IFERROR(__xludf.DUMMYFUNCTION("""COMPUTED_VALUE"""),"Salonta")</f>
        <v>Salonta</v>
      </c>
      <c r="N1893" s="5"/>
      <c r="O1893" s="5"/>
      <c r="P1893" s="5" t="str">
        <f ca="1">IFERROR(__xludf.DUMMYFUNCTION("""COMPUTED_VALUE"""),"Spital Salonta, pacient.")</f>
        <v>Spital Salonta, pacient.</v>
      </c>
      <c r="Q1893" s="5" t="str">
        <f ca="1">IFERROR(__xludf.DUMMYFUNCTION("""COMPUTED_VALUE"""),"Medical")</f>
        <v>Medical</v>
      </c>
      <c r="R1893" s="5" t="str">
        <f ca="1">IFERROR(__xludf.DUMMYFUNCTION("""COMPUTED_VALUE"""),"România")</f>
        <v>România</v>
      </c>
      <c r="S1893" s="5" t="str">
        <f ca="1">IFERROR(__xludf.DUMMYFUNCTION("""COMPUTED_VALUE"""),"Octavian")</f>
        <v>Octavian</v>
      </c>
      <c r="T1893" s="7" t="str">
        <f ca="1">IFERROR(__xludf.DUMMYFUNCTION("""COMPUTED_VALUE"""),"http://www.ms.ro/2020/08/21/buletin-informativ-21-08-2020")</f>
        <v>http://www.ms.ro/2020/08/21/buletin-informativ-21-08-2020</v>
      </c>
      <c r="U1893" s="5"/>
      <c r="V1893" s="5"/>
      <c r="W1893" s="5"/>
      <c r="X1893" s="5"/>
      <c r="Y1893" s="5"/>
      <c r="Z1893" s="5"/>
      <c r="AA1893" s="5"/>
      <c r="AB1893" s="5"/>
      <c r="AC1893" s="5"/>
    </row>
    <row r="1894" spans="1:29" ht="12.5">
      <c r="A1894" s="5">
        <f ca="1">IFERROR(__xludf.DUMMYFUNCTION("""COMPUTED_VALUE"""),75137)</f>
        <v>75137</v>
      </c>
      <c r="B1894" s="5"/>
      <c r="C1894" s="5" t="str">
        <f ca="1">IFERROR(__xludf.DUMMYFUNCTION("""COMPUTED_VALUE"""),"Bihor")</f>
        <v>Bihor</v>
      </c>
      <c r="D1894" s="13">
        <f ca="1">IFERROR(__xludf.DUMMYFUNCTION("""COMPUTED_VALUE"""),44064)</f>
        <v>44064</v>
      </c>
      <c r="E1894" s="5" t="str">
        <f ca="1">IFERROR(__xludf.DUMMYFUNCTION("""COMPUTED_VALUE"""),"Nu")</f>
        <v>Nu</v>
      </c>
      <c r="F1894" s="5"/>
      <c r="G1894" s="5"/>
      <c r="H1894" s="6"/>
      <c r="I1894" s="5"/>
      <c r="J1894" s="5"/>
      <c r="K1894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894" s="5"/>
      <c r="M1894" s="5" t="str">
        <f ca="1">IFERROR(__xludf.DUMMYFUNCTION("""COMPUTED_VALUE"""),"Salonta")</f>
        <v>Salonta</v>
      </c>
      <c r="N1894" s="5"/>
      <c r="O1894" s="5"/>
      <c r="P1894" s="5" t="str">
        <f ca="1">IFERROR(__xludf.DUMMYFUNCTION("""COMPUTED_VALUE"""),"Spital Salonta, pacient.")</f>
        <v>Spital Salonta, pacient.</v>
      </c>
      <c r="Q1894" s="5" t="str">
        <f ca="1">IFERROR(__xludf.DUMMYFUNCTION("""COMPUTED_VALUE"""),"Medical")</f>
        <v>Medical</v>
      </c>
      <c r="R1894" s="5" t="str">
        <f ca="1">IFERROR(__xludf.DUMMYFUNCTION("""COMPUTED_VALUE"""),"România")</f>
        <v>România</v>
      </c>
      <c r="S1894" s="5" t="str">
        <f ca="1">IFERROR(__xludf.DUMMYFUNCTION("""COMPUTED_VALUE"""),"Octavian")</f>
        <v>Octavian</v>
      </c>
      <c r="T1894" s="7" t="str">
        <f ca="1">IFERROR(__xludf.DUMMYFUNCTION("""COMPUTED_VALUE"""),"http://www.ms.ro/2020/08/21/buletin-informativ-21-08-2020")</f>
        <v>http://www.ms.ro/2020/08/21/buletin-informativ-21-08-2020</v>
      </c>
      <c r="U1894" s="5"/>
      <c r="V1894" s="5"/>
      <c r="W1894" s="5"/>
      <c r="X1894" s="5"/>
      <c r="Y1894" s="5"/>
      <c r="Z1894" s="5"/>
      <c r="AA1894" s="5"/>
      <c r="AB1894" s="5"/>
      <c r="AC1894" s="5"/>
    </row>
    <row r="1895" spans="1:29" ht="12.5">
      <c r="A1895" s="5">
        <f ca="1">IFERROR(__xludf.DUMMYFUNCTION("""COMPUTED_VALUE"""),75138)</f>
        <v>75138</v>
      </c>
      <c r="B1895" s="5"/>
      <c r="C1895" s="5" t="str">
        <f ca="1">IFERROR(__xludf.DUMMYFUNCTION("""COMPUTED_VALUE"""),"Bihor")</f>
        <v>Bihor</v>
      </c>
      <c r="D1895" s="13">
        <f ca="1">IFERROR(__xludf.DUMMYFUNCTION("""COMPUTED_VALUE"""),44064)</f>
        <v>44064</v>
      </c>
      <c r="E1895" s="5" t="str">
        <f ca="1">IFERROR(__xludf.DUMMYFUNCTION("""COMPUTED_VALUE"""),"Nu")</f>
        <v>Nu</v>
      </c>
      <c r="F1895" s="5"/>
      <c r="G1895" s="5"/>
      <c r="H1895" s="6"/>
      <c r="I1895" s="5"/>
      <c r="J1895" s="5"/>
      <c r="K1895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895" s="5"/>
      <c r="M1895" s="5" t="str">
        <f ca="1">IFERROR(__xludf.DUMMYFUNCTION("""COMPUTED_VALUE"""),"Salonta")</f>
        <v>Salonta</v>
      </c>
      <c r="N1895" s="5"/>
      <c r="O1895" s="5"/>
      <c r="P1895" s="5" t="str">
        <f ca="1">IFERROR(__xludf.DUMMYFUNCTION("""COMPUTED_VALUE"""),"Spital Salonta, pacient.")</f>
        <v>Spital Salonta, pacient.</v>
      </c>
      <c r="Q1895" s="5" t="str">
        <f ca="1">IFERROR(__xludf.DUMMYFUNCTION("""COMPUTED_VALUE"""),"Medical")</f>
        <v>Medical</v>
      </c>
      <c r="R1895" s="5" t="str">
        <f ca="1">IFERROR(__xludf.DUMMYFUNCTION("""COMPUTED_VALUE"""),"România")</f>
        <v>România</v>
      </c>
      <c r="S1895" s="5" t="str">
        <f ca="1">IFERROR(__xludf.DUMMYFUNCTION("""COMPUTED_VALUE"""),"Octavian")</f>
        <v>Octavian</v>
      </c>
      <c r="T1895" s="7" t="str">
        <f ca="1">IFERROR(__xludf.DUMMYFUNCTION("""COMPUTED_VALUE"""),"http://www.ms.ro/2020/08/21/buletin-informativ-21-08-2020")</f>
        <v>http://www.ms.ro/2020/08/21/buletin-informativ-21-08-2020</v>
      </c>
      <c r="U1895" s="5"/>
      <c r="V1895" s="5"/>
      <c r="W1895" s="5"/>
      <c r="X1895" s="5"/>
      <c r="Y1895" s="5"/>
      <c r="Z1895" s="5"/>
      <c r="AA1895" s="5"/>
      <c r="AB1895" s="5"/>
      <c r="AC1895" s="5"/>
    </row>
    <row r="1896" spans="1:29" ht="12.5">
      <c r="A1896" s="5">
        <f ca="1">IFERROR(__xludf.DUMMYFUNCTION("""COMPUTED_VALUE"""),75139)</f>
        <v>75139</v>
      </c>
      <c r="B1896" s="5"/>
      <c r="C1896" s="5" t="str">
        <f ca="1">IFERROR(__xludf.DUMMYFUNCTION("""COMPUTED_VALUE"""),"Bihor")</f>
        <v>Bihor</v>
      </c>
      <c r="D1896" s="13">
        <f ca="1">IFERROR(__xludf.DUMMYFUNCTION("""COMPUTED_VALUE"""),44064)</f>
        <v>44064</v>
      </c>
      <c r="E1896" s="5" t="str">
        <f ca="1">IFERROR(__xludf.DUMMYFUNCTION("""COMPUTED_VALUE"""),"Nu")</f>
        <v>Nu</v>
      </c>
      <c r="F1896" s="5"/>
      <c r="G1896" s="5"/>
      <c r="H1896" s="6"/>
      <c r="I1896" s="5"/>
      <c r="J1896" s="5"/>
      <c r="K1896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896" s="5"/>
      <c r="M1896" s="5" t="str">
        <f ca="1">IFERROR(__xludf.DUMMYFUNCTION("""COMPUTED_VALUE"""),"Salonta")</f>
        <v>Salonta</v>
      </c>
      <c r="N1896" s="5"/>
      <c r="O1896" s="5"/>
      <c r="P1896" s="5" t="str">
        <f ca="1">IFERROR(__xludf.DUMMYFUNCTION("""COMPUTED_VALUE"""),"Spital Salonta, pacient.")</f>
        <v>Spital Salonta, pacient.</v>
      </c>
      <c r="Q1896" s="5" t="str">
        <f ca="1">IFERROR(__xludf.DUMMYFUNCTION("""COMPUTED_VALUE"""),"Medical")</f>
        <v>Medical</v>
      </c>
      <c r="R1896" s="5" t="str">
        <f ca="1">IFERROR(__xludf.DUMMYFUNCTION("""COMPUTED_VALUE"""),"România")</f>
        <v>România</v>
      </c>
      <c r="S1896" s="5" t="str">
        <f ca="1">IFERROR(__xludf.DUMMYFUNCTION("""COMPUTED_VALUE"""),"Octavian")</f>
        <v>Octavian</v>
      </c>
      <c r="T1896" s="7" t="str">
        <f ca="1">IFERROR(__xludf.DUMMYFUNCTION("""COMPUTED_VALUE"""),"http://www.ms.ro/2020/08/21/buletin-informativ-21-08-2020")</f>
        <v>http://www.ms.ro/2020/08/21/buletin-informativ-21-08-2020</v>
      </c>
      <c r="U1896" s="5"/>
      <c r="V1896" s="5"/>
      <c r="W1896" s="5"/>
      <c r="X1896" s="5"/>
      <c r="Y1896" s="5"/>
      <c r="Z1896" s="5"/>
      <c r="AA1896" s="5"/>
      <c r="AB1896" s="5"/>
      <c r="AC1896" s="5"/>
    </row>
    <row r="1897" spans="1:29" ht="12.5">
      <c r="A1897" s="5">
        <f ca="1">IFERROR(__xludf.DUMMYFUNCTION("""COMPUTED_VALUE"""),75140)</f>
        <v>75140</v>
      </c>
      <c r="B1897" s="5"/>
      <c r="C1897" s="5" t="str">
        <f ca="1">IFERROR(__xludf.DUMMYFUNCTION("""COMPUTED_VALUE"""),"Bihor")</f>
        <v>Bihor</v>
      </c>
      <c r="D1897" s="13">
        <f ca="1">IFERROR(__xludf.DUMMYFUNCTION("""COMPUTED_VALUE"""),44064)</f>
        <v>44064</v>
      </c>
      <c r="E1897" s="5" t="str">
        <f ca="1">IFERROR(__xludf.DUMMYFUNCTION("""COMPUTED_VALUE"""),"Nu")</f>
        <v>Nu</v>
      </c>
      <c r="F1897" s="5"/>
      <c r="G1897" s="5"/>
      <c r="H1897" s="6"/>
      <c r="I1897" s="5"/>
      <c r="J1897" s="5"/>
      <c r="K1897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897" s="5"/>
      <c r="M1897" s="5" t="str">
        <f ca="1">IFERROR(__xludf.DUMMYFUNCTION("""COMPUTED_VALUE"""),"Aleșd")</f>
        <v>Aleșd</v>
      </c>
      <c r="N1897" s="5"/>
      <c r="O1897" s="5"/>
      <c r="P1897" s="5" t="str">
        <f ca="1">IFERROR(__xludf.DUMMYFUNCTION("""COMPUTED_VALUE"""),"Spital Aleșd, pacient.")</f>
        <v>Spital Aleșd, pacient.</v>
      </c>
      <c r="Q1897" s="5" t="str">
        <f ca="1">IFERROR(__xludf.DUMMYFUNCTION("""COMPUTED_VALUE"""),"Medical")</f>
        <v>Medical</v>
      </c>
      <c r="R1897" s="5" t="str">
        <f ca="1">IFERROR(__xludf.DUMMYFUNCTION("""COMPUTED_VALUE"""),"România")</f>
        <v>România</v>
      </c>
      <c r="S1897" s="5" t="str">
        <f ca="1">IFERROR(__xludf.DUMMYFUNCTION("""COMPUTED_VALUE"""),"Octavian")</f>
        <v>Octavian</v>
      </c>
      <c r="T1897" s="7" t="str">
        <f ca="1">IFERROR(__xludf.DUMMYFUNCTION("""COMPUTED_VALUE"""),"http://www.ms.ro/2020/08/21/buletin-informativ-21-08-2020")</f>
        <v>http://www.ms.ro/2020/08/21/buletin-informativ-21-08-2020</v>
      </c>
      <c r="U1897" s="5"/>
      <c r="V1897" s="5"/>
      <c r="W1897" s="5"/>
      <c r="X1897" s="5"/>
      <c r="Y1897" s="5"/>
      <c r="Z1897" s="5"/>
      <c r="AA1897" s="5"/>
      <c r="AB1897" s="5"/>
      <c r="AC1897" s="5"/>
    </row>
    <row r="1898" spans="1:29" ht="12.5">
      <c r="A1898" s="5">
        <f ca="1">IFERROR(__xludf.DUMMYFUNCTION("""COMPUTED_VALUE"""),75141)</f>
        <v>75141</v>
      </c>
      <c r="B1898" s="5"/>
      <c r="C1898" s="5" t="str">
        <f ca="1">IFERROR(__xludf.DUMMYFUNCTION("""COMPUTED_VALUE"""),"Bihor")</f>
        <v>Bihor</v>
      </c>
      <c r="D1898" s="13">
        <f ca="1">IFERROR(__xludf.DUMMYFUNCTION("""COMPUTED_VALUE"""),44064)</f>
        <v>44064</v>
      </c>
      <c r="E1898" s="5" t="str">
        <f ca="1">IFERROR(__xludf.DUMMYFUNCTION("""COMPUTED_VALUE"""),"Nu")</f>
        <v>Nu</v>
      </c>
      <c r="F1898" s="5"/>
      <c r="G1898" s="5"/>
      <c r="H1898" s="6"/>
      <c r="I1898" s="5"/>
      <c r="J1898" s="5"/>
      <c r="K1898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898" s="5"/>
      <c r="M1898" s="5" t="str">
        <f ca="1">IFERROR(__xludf.DUMMYFUNCTION("""COMPUTED_VALUE"""),"Aleșd")</f>
        <v>Aleșd</v>
      </c>
      <c r="N1898" s="5"/>
      <c r="O1898" s="5"/>
      <c r="P1898" s="5" t="str">
        <f ca="1">IFERROR(__xludf.DUMMYFUNCTION("""COMPUTED_VALUE"""),"Spital Aleșd, pacient.")</f>
        <v>Spital Aleșd, pacient.</v>
      </c>
      <c r="Q1898" s="5" t="str">
        <f ca="1">IFERROR(__xludf.DUMMYFUNCTION("""COMPUTED_VALUE"""),"Medical")</f>
        <v>Medical</v>
      </c>
      <c r="R1898" s="5" t="str">
        <f ca="1">IFERROR(__xludf.DUMMYFUNCTION("""COMPUTED_VALUE"""),"România")</f>
        <v>România</v>
      </c>
      <c r="S1898" s="5" t="str">
        <f ca="1">IFERROR(__xludf.DUMMYFUNCTION("""COMPUTED_VALUE"""),"Octavian")</f>
        <v>Octavian</v>
      </c>
      <c r="T1898" s="7" t="str">
        <f ca="1">IFERROR(__xludf.DUMMYFUNCTION("""COMPUTED_VALUE"""),"http://www.ms.ro/2020/08/21/buletin-informativ-21-08-2020")</f>
        <v>http://www.ms.ro/2020/08/21/buletin-informativ-21-08-2020</v>
      </c>
      <c r="U1898" s="5"/>
      <c r="V1898" s="5"/>
      <c r="W1898" s="5"/>
      <c r="X1898" s="5"/>
      <c r="Y1898" s="5"/>
      <c r="Z1898" s="5"/>
      <c r="AA1898" s="5"/>
      <c r="AB1898" s="5"/>
      <c r="AC1898" s="5"/>
    </row>
    <row r="1899" spans="1:29" ht="12.5">
      <c r="A1899" s="5">
        <f ca="1">IFERROR(__xludf.DUMMYFUNCTION("""COMPUTED_VALUE"""),75142)</f>
        <v>75142</v>
      </c>
      <c r="B1899" s="5"/>
      <c r="C1899" s="5" t="str">
        <f ca="1">IFERROR(__xludf.DUMMYFUNCTION("""COMPUTED_VALUE"""),"Bihor")</f>
        <v>Bihor</v>
      </c>
      <c r="D1899" s="13">
        <f ca="1">IFERROR(__xludf.DUMMYFUNCTION("""COMPUTED_VALUE"""),44064)</f>
        <v>44064</v>
      </c>
      <c r="E1899" s="5" t="str">
        <f ca="1">IFERROR(__xludf.DUMMYFUNCTION("""COMPUTED_VALUE"""),"Nu")</f>
        <v>Nu</v>
      </c>
      <c r="F1899" s="5"/>
      <c r="G1899" s="5"/>
      <c r="H1899" s="6"/>
      <c r="I1899" s="5"/>
      <c r="J1899" s="5"/>
      <c r="K1899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899" s="5"/>
      <c r="M1899" s="5" t="str">
        <f ca="1">IFERROR(__xludf.DUMMYFUNCTION("""COMPUTED_VALUE"""),"Ștei")</f>
        <v>Ștei</v>
      </c>
      <c r="N1899" s="5"/>
      <c r="O1899" s="5"/>
      <c r="P1899" s="5" t="str">
        <f ca="1">IFERROR(__xludf.DUMMYFUNCTION("""COMPUTED_VALUE"""),"Spital Ștei, pacient.")</f>
        <v>Spital Ștei, pacient.</v>
      </c>
      <c r="Q1899" s="5" t="str">
        <f ca="1">IFERROR(__xludf.DUMMYFUNCTION("""COMPUTED_VALUE"""),"Medical")</f>
        <v>Medical</v>
      </c>
      <c r="R1899" s="5" t="str">
        <f ca="1">IFERROR(__xludf.DUMMYFUNCTION("""COMPUTED_VALUE"""),"România")</f>
        <v>România</v>
      </c>
      <c r="S1899" s="5" t="str">
        <f ca="1">IFERROR(__xludf.DUMMYFUNCTION("""COMPUTED_VALUE"""),"Octavian")</f>
        <v>Octavian</v>
      </c>
      <c r="T1899" s="7" t="str">
        <f ca="1">IFERROR(__xludf.DUMMYFUNCTION("""COMPUTED_VALUE"""),"http://www.ms.ro/2020/08/21/buletin-informativ-21-08-2020")</f>
        <v>http://www.ms.ro/2020/08/21/buletin-informativ-21-08-2020</v>
      </c>
      <c r="U1899" s="5"/>
      <c r="V1899" s="5"/>
      <c r="W1899" s="5"/>
      <c r="X1899" s="5"/>
      <c r="Y1899" s="5"/>
      <c r="Z1899" s="5"/>
      <c r="AA1899" s="5"/>
      <c r="AB1899" s="5"/>
      <c r="AC1899" s="5"/>
    </row>
    <row r="1900" spans="1:29" ht="12.5">
      <c r="A1900" s="5">
        <f ca="1">IFERROR(__xludf.DUMMYFUNCTION("""COMPUTED_VALUE"""),75143)</f>
        <v>75143</v>
      </c>
      <c r="B1900" s="5"/>
      <c r="C1900" s="5" t="str">
        <f ca="1">IFERROR(__xludf.DUMMYFUNCTION("""COMPUTED_VALUE"""),"Bihor")</f>
        <v>Bihor</v>
      </c>
      <c r="D1900" s="13">
        <f ca="1">IFERROR(__xludf.DUMMYFUNCTION("""COMPUTED_VALUE"""),44064)</f>
        <v>44064</v>
      </c>
      <c r="E1900" s="5" t="str">
        <f ca="1">IFERROR(__xludf.DUMMYFUNCTION("""COMPUTED_VALUE"""),"Nu")</f>
        <v>Nu</v>
      </c>
      <c r="F1900" s="5"/>
      <c r="G1900" s="5"/>
      <c r="H1900" s="6"/>
      <c r="I1900" s="5"/>
      <c r="J1900" s="5"/>
      <c r="K1900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900" s="5"/>
      <c r="M1900" s="5" t="str">
        <f ca="1">IFERROR(__xludf.DUMMYFUNCTION("""COMPUTED_VALUE"""),"Nucet")</f>
        <v>Nucet</v>
      </c>
      <c r="N1900" s="5"/>
      <c r="O1900" s="5"/>
      <c r="P1900" s="5" t="str">
        <f ca="1">IFERROR(__xludf.DUMMYFUNCTION("""COMPUTED_VALUE"""),"Spital Nucet, pacient.")</f>
        <v>Spital Nucet, pacient.</v>
      </c>
      <c r="Q1900" s="5" t="str">
        <f ca="1">IFERROR(__xludf.DUMMYFUNCTION("""COMPUTED_VALUE"""),"Medical")</f>
        <v>Medical</v>
      </c>
      <c r="R1900" s="5" t="str">
        <f ca="1">IFERROR(__xludf.DUMMYFUNCTION("""COMPUTED_VALUE"""),"România")</f>
        <v>România</v>
      </c>
      <c r="S1900" s="5" t="str">
        <f ca="1">IFERROR(__xludf.DUMMYFUNCTION("""COMPUTED_VALUE"""),"Octavian")</f>
        <v>Octavian</v>
      </c>
      <c r="T1900" s="7" t="str">
        <f ca="1">IFERROR(__xludf.DUMMYFUNCTION("""COMPUTED_VALUE"""),"http://www.ms.ro/2020/08/21/buletin-informativ-21-08-2020")</f>
        <v>http://www.ms.ro/2020/08/21/buletin-informativ-21-08-2020</v>
      </c>
      <c r="U1900" s="5"/>
      <c r="V1900" s="5"/>
      <c r="W1900" s="5"/>
      <c r="X1900" s="5"/>
      <c r="Y1900" s="5"/>
      <c r="Z1900" s="5"/>
      <c r="AA1900" s="5"/>
      <c r="AB1900" s="5"/>
      <c r="AC1900" s="5"/>
    </row>
    <row r="1901" spans="1:29" ht="12.5">
      <c r="A1901" s="5">
        <f ca="1">IFERROR(__xludf.DUMMYFUNCTION("""COMPUTED_VALUE"""),75144)</f>
        <v>75144</v>
      </c>
      <c r="B1901" s="5"/>
      <c r="C1901" s="5" t="str">
        <f ca="1">IFERROR(__xludf.DUMMYFUNCTION("""COMPUTED_VALUE"""),"Bihor")</f>
        <v>Bihor</v>
      </c>
      <c r="D1901" s="13">
        <f ca="1">IFERROR(__xludf.DUMMYFUNCTION("""COMPUTED_VALUE"""),44064)</f>
        <v>44064</v>
      </c>
      <c r="E1901" s="5" t="str">
        <f ca="1">IFERROR(__xludf.DUMMYFUNCTION("""COMPUTED_VALUE"""),"Nu")</f>
        <v>Nu</v>
      </c>
      <c r="F1901" s="5"/>
      <c r="G1901" s="5"/>
      <c r="H1901" s="6"/>
      <c r="I1901" s="5"/>
      <c r="J1901" s="5"/>
      <c r="K1901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901" s="5"/>
      <c r="M1901" s="5" t="str">
        <f ca="1">IFERROR(__xludf.DUMMYFUNCTION("""COMPUTED_VALUE"""),"Tinca")</f>
        <v>Tinca</v>
      </c>
      <c r="N1901" s="5"/>
      <c r="O1901" s="5"/>
      <c r="P1901" s="5"/>
      <c r="Q1901" s="5"/>
      <c r="R1901" s="5" t="str">
        <f ca="1">IFERROR(__xludf.DUMMYFUNCTION("""COMPUTED_VALUE"""),"România")</f>
        <v>România</v>
      </c>
      <c r="S1901" s="5" t="str">
        <f ca="1">IFERROR(__xludf.DUMMYFUNCTION("""COMPUTED_VALUE"""),"Octavian")</f>
        <v>Octavian</v>
      </c>
      <c r="T1901" s="7" t="str">
        <f ca="1">IFERROR(__xludf.DUMMYFUNCTION("""COMPUTED_VALUE"""),"http://www.ms.ro/2020/08/21/buletin-informativ-21-08-2020")</f>
        <v>http://www.ms.ro/2020/08/21/buletin-informativ-21-08-2020</v>
      </c>
      <c r="U1901" s="5"/>
      <c r="V1901" s="5"/>
      <c r="W1901" s="5"/>
      <c r="X1901" s="5"/>
      <c r="Y1901" s="5"/>
      <c r="Z1901" s="5"/>
      <c r="AA1901" s="5"/>
      <c r="AB1901" s="5"/>
      <c r="AC1901" s="5"/>
    </row>
    <row r="1902" spans="1:29" ht="12.5">
      <c r="A1902" s="5">
        <f ca="1">IFERROR(__xludf.DUMMYFUNCTION("""COMPUTED_VALUE"""),75145)</f>
        <v>75145</v>
      </c>
      <c r="B1902" s="5"/>
      <c r="C1902" s="5" t="str">
        <f ca="1">IFERROR(__xludf.DUMMYFUNCTION("""COMPUTED_VALUE"""),"Bihor")</f>
        <v>Bihor</v>
      </c>
      <c r="D1902" s="13">
        <f ca="1">IFERROR(__xludf.DUMMYFUNCTION("""COMPUTED_VALUE"""),44064)</f>
        <v>44064</v>
      </c>
      <c r="E1902" s="5" t="str">
        <f ca="1">IFERROR(__xludf.DUMMYFUNCTION("""COMPUTED_VALUE"""),"Nu")</f>
        <v>Nu</v>
      </c>
      <c r="F1902" s="5"/>
      <c r="G1902" s="5"/>
      <c r="H1902" s="6"/>
      <c r="I1902" s="5"/>
      <c r="J1902" s="5"/>
      <c r="K1902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902" s="5"/>
      <c r="M1902" s="5" t="str">
        <f ca="1">IFERROR(__xludf.DUMMYFUNCTION("""COMPUTED_VALUE"""),"Abram")</f>
        <v>Abram</v>
      </c>
      <c r="N1902" s="5"/>
      <c r="O1902" s="5"/>
      <c r="P1902" s="5"/>
      <c r="Q1902" s="5"/>
      <c r="R1902" s="5" t="str">
        <f ca="1">IFERROR(__xludf.DUMMYFUNCTION("""COMPUTED_VALUE"""),"România")</f>
        <v>România</v>
      </c>
      <c r="S1902" s="5" t="str">
        <f ca="1">IFERROR(__xludf.DUMMYFUNCTION("""COMPUTED_VALUE"""),"Octavian")</f>
        <v>Octavian</v>
      </c>
      <c r="T1902" s="7" t="str">
        <f ca="1">IFERROR(__xludf.DUMMYFUNCTION("""COMPUTED_VALUE"""),"http://www.ms.ro/2020/08/21/buletin-informativ-21-08-2020")</f>
        <v>http://www.ms.ro/2020/08/21/buletin-informativ-21-08-2020</v>
      </c>
      <c r="U1902" s="5"/>
      <c r="V1902" s="5"/>
      <c r="W1902" s="5"/>
      <c r="X1902" s="5"/>
      <c r="Y1902" s="5"/>
      <c r="Z1902" s="5"/>
      <c r="AA1902" s="5"/>
      <c r="AB1902" s="5"/>
      <c r="AC1902" s="5"/>
    </row>
    <row r="1903" spans="1:29" ht="12.5">
      <c r="A1903" s="5">
        <f ca="1">IFERROR(__xludf.DUMMYFUNCTION("""COMPUTED_VALUE"""),75146)</f>
        <v>75146</v>
      </c>
      <c r="B1903" s="5"/>
      <c r="C1903" s="5" t="str">
        <f ca="1">IFERROR(__xludf.DUMMYFUNCTION("""COMPUTED_VALUE"""),"Bihor")</f>
        <v>Bihor</v>
      </c>
      <c r="D1903" s="13">
        <f ca="1">IFERROR(__xludf.DUMMYFUNCTION("""COMPUTED_VALUE"""),44064)</f>
        <v>44064</v>
      </c>
      <c r="E1903" s="5" t="str">
        <f ca="1">IFERROR(__xludf.DUMMYFUNCTION("""COMPUTED_VALUE"""),"Nu")</f>
        <v>Nu</v>
      </c>
      <c r="F1903" s="5"/>
      <c r="G1903" s="5"/>
      <c r="H1903" s="6"/>
      <c r="I1903" s="5"/>
      <c r="J1903" s="5"/>
      <c r="K1903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903" s="5"/>
      <c r="M1903" s="5" t="str">
        <f ca="1">IFERROR(__xludf.DUMMYFUNCTION("""COMPUTED_VALUE"""),"Dobrești")</f>
        <v>Dobrești</v>
      </c>
      <c r="N1903" s="5"/>
      <c r="O1903" s="5"/>
      <c r="P1903" s="5"/>
      <c r="Q1903" s="5"/>
      <c r="R1903" s="5" t="str">
        <f ca="1">IFERROR(__xludf.DUMMYFUNCTION("""COMPUTED_VALUE"""),"România")</f>
        <v>România</v>
      </c>
      <c r="S1903" s="5" t="str">
        <f ca="1">IFERROR(__xludf.DUMMYFUNCTION("""COMPUTED_VALUE"""),"Octavian")</f>
        <v>Octavian</v>
      </c>
      <c r="T1903" s="7" t="str">
        <f ca="1">IFERROR(__xludf.DUMMYFUNCTION("""COMPUTED_VALUE"""),"http://www.ms.ro/2020/08/21/buletin-informativ-21-08-2020")</f>
        <v>http://www.ms.ro/2020/08/21/buletin-informativ-21-08-2020</v>
      </c>
      <c r="U1903" s="5"/>
      <c r="V1903" s="5"/>
      <c r="W1903" s="5"/>
      <c r="X1903" s="5"/>
      <c r="Y1903" s="5"/>
      <c r="Z1903" s="5"/>
      <c r="AA1903" s="5"/>
      <c r="AB1903" s="5"/>
      <c r="AC1903" s="5"/>
    </row>
    <row r="1904" spans="1:29" ht="12.5">
      <c r="A1904" s="5">
        <f ca="1">IFERROR(__xludf.DUMMYFUNCTION("""COMPUTED_VALUE"""),75147)</f>
        <v>75147</v>
      </c>
      <c r="B1904" s="5"/>
      <c r="C1904" s="5" t="str">
        <f ca="1">IFERROR(__xludf.DUMMYFUNCTION("""COMPUTED_VALUE"""),"Bihor")</f>
        <v>Bihor</v>
      </c>
      <c r="D1904" s="13">
        <f ca="1">IFERROR(__xludf.DUMMYFUNCTION("""COMPUTED_VALUE"""),44064)</f>
        <v>44064</v>
      </c>
      <c r="E1904" s="5" t="str">
        <f ca="1">IFERROR(__xludf.DUMMYFUNCTION("""COMPUTED_VALUE"""),"Nu")</f>
        <v>Nu</v>
      </c>
      <c r="F1904" s="5"/>
      <c r="G1904" s="5"/>
      <c r="H1904" s="6"/>
      <c r="I1904" s="5"/>
      <c r="J1904" s="5"/>
      <c r="K1904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904" s="5"/>
      <c r="M1904" s="5" t="str">
        <f ca="1">IFERROR(__xludf.DUMMYFUNCTION("""COMPUTED_VALUE"""),"Copăcel")</f>
        <v>Copăcel</v>
      </c>
      <c r="N1904" s="5"/>
      <c r="O1904" s="5"/>
      <c r="P1904" s="5"/>
      <c r="Q1904" s="5"/>
      <c r="R1904" s="5" t="str">
        <f ca="1">IFERROR(__xludf.DUMMYFUNCTION("""COMPUTED_VALUE"""),"România")</f>
        <v>România</v>
      </c>
      <c r="S1904" s="5" t="str">
        <f ca="1">IFERROR(__xludf.DUMMYFUNCTION("""COMPUTED_VALUE"""),"Octavian")</f>
        <v>Octavian</v>
      </c>
      <c r="T1904" s="7" t="str">
        <f ca="1">IFERROR(__xludf.DUMMYFUNCTION("""COMPUTED_VALUE"""),"http://www.ms.ro/2020/08/21/buletin-informativ-21-08-2020")</f>
        <v>http://www.ms.ro/2020/08/21/buletin-informativ-21-08-2020</v>
      </c>
      <c r="U1904" s="5"/>
      <c r="V1904" s="5"/>
      <c r="W1904" s="5"/>
      <c r="X1904" s="5"/>
      <c r="Y1904" s="5"/>
      <c r="Z1904" s="5"/>
      <c r="AA1904" s="5"/>
      <c r="AB1904" s="5"/>
      <c r="AC1904" s="5"/>
    </row>
    <row r="1905" spans="1:29" ht="12.5">
      <c r="A1905" s="5">
        <f ca="1">IFERROR(__xludf.DUMMYFUNCTION("""COMPUTED_VALUE"""),75148)</f>
        <v>75148</v>
      </c>
      <c r="B1905" s="5"/>
      <c r="C1905" s="5" t="str">
        <f ca="1">IFERROR(__xludf.DUMMYFUNCTION("""COMPUTED_VALUE"""),"Bihor")</f>
        <v>Bihor</v>
      </c>
      <c r="D1905" s="13">
        <f ca="1">IFERROR(__xludf.DUMMYFUNCTION("""COMPUTED_VALUE"""),44064)</f>
        <v>44064</v>
      </c>
      <c r="E1905" s="5" t="str">
        <f ca="1">IFERROR(__xludf.DUMMYFUNCTION("""COMPUTED_VALUE"""),"Nu")</f>
        <v>Nu</v>
      </c>
      <c r="F1905" s="5"/>
      <c r="G1905" s="5"/>
      <c r="H1905" s="6"/>
      <c r="I1905" s="5"/>
      <c r="J1905" s="5"/>
      <c r="K1905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905" s="5"/>
      <c r="M1905" s="5" t="str">
        <f ca="1">IFERROR(__xludf.DUMMYFUNCTION("""COMPUTED_VALUE"""),"Măgești")</f>
        <v>Măgești</v>
      </c>
      <c r="N1905" s="5"/>
      <c r="O1905" s="5"/>
      <c r="P1905" s="5"/>
      <c r="Q1905" s="5"/>
      <c r="R1905" s="5" t="str">
        <f ca="1">IFERROR(__xludf.DUMMYFUNCTION("""COMPUTED_VALUE"""),"România")</f>
        <v>România</v>
      </c>
      <c r="S1905" s="5" t="str">
        <f ca="1">IFERROR(__xludf.DUMMYFUNCTION("""COMPUTED_VALUE"""),"Octavian")</f>
        <v>Octavian</v>
      </c>
      <c r="T1905" s="7" t="str">
        <f ca="1">IFERROR(__xludf.DUMMYFUNCTION("""COMPUTED_VALUE"""),"http://www.ms.ro/2020/08/21/buletin-informativ-21-08-2020")</f>
        <v>http://www.ms.ro/2020/08/21/buletin-informativ-21-08-2020</v>
      </c>
      <c r="U1905" s="5"/>
      <c r="V1905" s="5"/>
      <c r="W1905" s="5"/>
      <c r="X1905" s="5"/>
      <c r="Y1905" s="5"/>
      <c r="Z1905" s="5"/>
      <c r="AA1905" s="5"/>
      <c r="AB1905" s="5"/>
      <c r="AC1905" s="5"/>
    </row>
    <row r="1906" spans="1:29" ht="12.5">
      <c r="A1906" s="5">
        <f ca="1">IFERROR(__xludf.DUMMYFUNCTION("""COMPUTED_VALUE"""),75149)</f>
        <v>75149</v>
      </c>
      <c r="B1906" s="5"/>
      <c r="C1906" s="5" t="str">
        <f ca="1">IFERROR(__xludf.DUMMYFUNCTION("""COMPUTED_VALUE"""),"Bihor")</f>
        <v>Bihor</v>
      </c>
      <c r="D1906" s="13">
        <f ca="1">IFERROR(__xludf.DUMMYFUNCTION("""COMPUTED_VALUE"""),44064)</f>
        <v>44064</v>
      </c>
      <c r="E1906" s="5" t="str">
        <f ca="1">IFERROR(__xludf.DUMMYFUNCTION("""COMPUTED_VALUE"""),"Nu")</f>
        <v>Nu</v>
      </c>
      <c r="F1906" s="5"/>
      <c r="G1906" s="5"/>
      <c r="H1906" s="6"/>
      <c r="I1906" s="5"/>
      <c r="J1906" s="5"/>
      <c r="K1906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906" s="5"/>
      <c r="M1906" s="5" t="str">
        <f ca="1">IFERROR(__xludf.DUMMYFUNCTION("""COMPUTED_VALUE"""),"Vârciorog")</f>
        <v>Vârciorog</v>
      </c>
      <c r="N1906" s="5"/>
      <c r="O1906" s="5"/>
      <c r="P1906" s="5"/>
      <c r="Q1906" s="5"/>
      <c r="R1906" s="5" t="str">
        <f ca="1">IFERROR(__xludf.DUMMYFUNCTION("""COMPUTED_VALUE"""),"România")</f>
        <v>România</v>
      </c>
      <c r="S1906" s="5" t="str">
        <f ca="1">IFERROR(__xludf.DUMMYFUNCTION("""COMPUTED_VALUE"""),"Octavian")</f>
        <v>Octavian</v>
      </c>
      <c r="T1906" s="7" t="str">
        <f ca="1">IFERROR(__xludf.DUMMYFUNCTION("""COMPUTED_VALUE"""),"http://www.ms.ro/2020/08/21/buletin-informativ-21-08-2020")</f>
        <v>http://www.ms.ro/2020/08/21/buletin-informativ-21-08-2020</v>
      </c>
      <c r="U1906" s="5"/>
      <c r="V1906" s="5"/>
      <c r="W1906" s="5"/>
      <c r="X1906" s="5"/>
      <c r="Y1906" s="5"/>
      <c r="Z1906" s="5"/>
      <c r="AA1906" s="5"/>
      <c r="AB1906" s="5"/>
      <c r="AC1906" s="5"/>
    </row>
    <row r="1907" spans="1:29" ht="12.5">
      <c r="A1907" s="5">
        <f ca="1">IFERROR(__xludf.DUMMYFUNCTION("""COMPUTED_VALUE"""),75150)</f>
        <v>75150</v>
      </c>
      <c r="B1907" s="5"/>
      <c r="C1907" s="5" t="str">
        <f ca="1">IFERROR(__xludf.DUMMYFUNCTION("""COMPUTED_VALUE"""),"Bihor")</f>
        <v>Bihor</v>
      </c>
      <c r="D1907" s="13">
        <f ca="1">IFERROR(__xludf.DUMMYFUNCTION("""COMPUTED_VALUE"""),44064)</f>
        <v>44064</v>
      </c>
      <c r="E1907" s="5" t="str">
        <f ca="1">IFERROR(__xludf.DUMMYFUNCTION("""COMPUTED_VALUE"""),"Nu")</f>
        <v>Nu</v>
      </c>
      <c r="F1907" s="5"/>
      <c r="G1907" s="5"/>
      <c r="H1907" s="6"/>
      <c r="I1907" s="5"/>
      <c r="J1907" s="5"/>
      <c r="K1907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907" s="5"/>
      <c r="M1907" s="5" t="str">
        <f ca="1">IFERROR(__xludf.DUMMYFUNCTION("""COMPUTED_VALUE"""),"Derna")</f>
        <v>Derna</v>
      </c>
      <c r="N1907" s="5"/>
      <c r="O1907" s="5"/>
      <c r="P1907" s="5"/>
      <c r="Q1907" s="5"/>
      <c r="R1907" s="5" t="str">
        <f ca="1">IFERROR(__xludf.DUMMYFUNCTION("""COMPUTED_VALUE"""),"România")</f>
        <v>România</v>
      </c>
      <c r="S1907" s="5" t="str">
        <f ca="1">IFERROR(__xludf.DUMMYFUNCTION("""COMPUTED_VALUE"""),"Octavian")</f>
        <v>Octavian</v>
      </c>
      <c r="T1907" s="7" t="str">
        <f ca="1">IFERROR(__xludf.DUMMYFUNCTION("""COMPUTED_VALUE"""),"http://www.ms.ro/2020/08/21/buletin-informativ-21-08-2020")</f>
        <v>http://www.ms.ro/2020/08/21/buletin-informativ-21-08-2020</v>
      </c>
      <c r="U1907" s="5"/>
      <c r="V1907" s="5"/>
      <c r="W1907" s="5"/>
      <c r="X1907" s="5"/>
      <c r="Y1907" s="5"/>
      <c r="Z1907" s="5"/>
      <c r="AA1907" s="5"/>
      <c r="AB1907" s="5"/>
      <c r="AC1907" s="5"/>
    </row>
    <row r="1908" spans="1:29" ht="12.5">
      <c r="A1908" s="5">
        <f ca="1">IFERROR(__xludf.DUMMYFUNCTION("""COMPUTED_VALUE"""),75151)</f>
        <v>75151</v>
      </c>
      <c r="B1908" s="5"/>
      <c r="C1908" s="5" t="str">
        <f ca="1">IFERROR(__xludf.DUMMYFUNCTION("""COMPUTED_VALUE"""),"Bihor")</f>
        <v>Bihor</v>
      </c>
      <c r="D1908" s="13">
        <f ca="1">IFERROR(__xludf.DUMMYFUNCTION("""COMPUTED_VALUE"""),44064)</f>
        <v>44064</v>
      </c>
      <c r="E1908" s="5" t="str">
        <f ca="1">IFERROR(__xludf.DUMMYFUNCTION("""COMPUTED_VALUE"""),"Nu")</f>
        <v>Nu</v>
      </c>
      <c r="F1908" s="5"/>
      <c r="G1908" s="5"/>
      <c r="H1908" s="6"/>
      <c r="I1908" s="5"/>
      <c r="J1908" s="5"/>
      <c r="K1908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908" s="5"/>
      <c r="M1908" s="5" t="str">
        <f ca="1">IFERROR(__xludf.DUMMYFUNCTION("""COMPUTED_VALUE"""),"Cărpinet")</f>
        <v>Cărpinet</v>
      </c>
      <c r="N1908" s="5"/>
      <c r="O1908" s="5"/>
      <c r="P1908" s="5"/>
      <c r="Q1908" s="5"/>
      <c r="R1908" s="5" t="str">
        <f ca="1">IFERROR(__xludf.DUMMYFUNCTION("""COMPUTED_VALUE"""),"România")</f>
        <v>România</v>
      </c>
      <c r="S1908" s="5" t="str">
        <f ca="1">IFERROR(__xludf.DUMMYFUNCTION("""COMPUTED_VALUE"""),"Octavian")</f>
        <v>Octavian</v>
      </c>
      <c r="T1908" s="7" t="str">
        <f ca="1">IFERROR(__xludf.DUMMYFUNCTION("""COMPUTED_VALUE"""),"http://www.ms.ro/2020/08/21/buletin-informativ-21-08-2020")</f>
        <v>http://www.ms.ro/2020/08/21/buletin-informativ-21-08-2020</v>
      </c>
      <c r="U1908" s="5"/>
      <c r="V1908" s="5"/>
      <c r="W1908" s="5"/>
      <c r="X1908" s="5"/>
      <c r="Y1908" s="5"/>
      <c r="Z1908" s="5"/>
      <c r="AA1908" s="5"/>
      <c r="AB1908" s="5"/>
      <c r="AC1908" s="5"/>
    </row>
    <row r="1909" spans="1:29" ht="12.5">
      <c r="A1909" s="5">
        <f ca="1">IFERROR(__xludf.DUMMYFUNCTION("""COMPUTED_VALUE"""),75152)</f>
        <v>75152</v>
      </c>
      <c r="B1909" s="5"/>
      <c r="C1909" s="5" t="str">
        <f ca="1">IFERROR(__xludf.DUMMYFUNCTION("""COMPUTED_VALUE"""),"Bihor")</f>
        <v>Bihor</v>
      </c>
      <c r="D1909" s="13">
        <f ca="1">IFERROR(__xludf.DUMMYFUNCTION("""COMPUTED_VALUE"""),44064)</f>
        <v>44064</v>
      </c>
      <c r="E1909" s="5" t="str">
        <f ca="1">IFERROR(__xludf.DUMMYFUNCTION("""COMPUTED_VALUE"""),"Nu")</f>
        <v>Nu</v>
      </c>
      <c r="F1909" s="5"/>
      <c r="G1909" s="5"/>
      <c r="H1909" s="6"/>
      <c r="I1909" s="5"/>
      <c r="J1909" s="5"/>
      <c r="K1909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909" s="5"/>
      <c r="M1909" s="5" t="str">
        <f ca="1">IFERROR(__xludf.DUMMYFUNCTION("""COMPUTED_VALUE"""),"Bulz")</f>
        <v>Bulz</v>
      </c>
      <c r="N1909" s="5"/>
      <c r="O1909" s="5"/>
      <c r="P1909" s="5"/>
      <c r="Q1909" s="5"/>
      <c r="R1909" s="5" t="str">
        <f ca="1">IFERROR(__xludf.DUMMYFUNCTION("""COMPUTED_VALUE"""),"România")</f>
        <v>România</v>
      </c>
      <c r="S1909" s="5" t="str">
        <f ca="1">IFERROR(__xludf.DUMMYFUNCTION("""COMPUTED_VALUE"""),"Octavian")</f>
        <v>Octavian</v>
      </c>
      <c r="T1909" s="7" t="str">
        <f ca="1">IFERROR(__xludf.DUMMYFUNCTION("""COMPUTED_VALUE"""),"http://www.ms.ro/2020/08/21/buletin-informativ-21-08-2020")</f>
        <v>http://www.ms.ro/2020/08/21/buletin-informativ-21-08-2020</v>
      </c>
      <c r="U1909" s="5"/>
      <c r="V1909" s="5"/>
      <c r="W1909" s="5"/>
      <c r="X1909" s="5"/>
      <c r="Y1909" s="5"/>
      <c r="Z1909" s="5"/>
      <c r="AA1909" s="5"/>
      <c r="AB1909" s="5"/>
      <c r="AC1909" s="5"/>
    </row>
    <row r="1910" spans="1:29" ht="12.5">
      <c r="A1910" s="5">
        <f ca="1">IFERROR(__xludf.DUMMYFUNCTION("""COMPUTED_VALUE"""),75153)</f>
        <v>75153</v>
      </c>
      <c r="B1910" s="5"/>
      <c r="C1910" s="5" t="str">
        <f ca="1">IFERROR(__xludf.DUMMYFUNCTION("""COMPUTED_VALUE"""),"Bihor")</f>
        <v>Bihor</v>
      </c>
      <c r="D1910" s="13">
        <f ca="1">IFERROR(__xludf.DUMMYFUNCTION("""COMPUTED_VALUE"""),44064)</f>
        <v>44064</v>
      </c>
      <c r="E1910" s="5" t="str">
        <f ca="1">IFERROR(__xludf.DUMMYFUNCTION("""COMPUTED_VALUE"""),"Nu")</f>
        <v>Nu</v>
      </c>
      <c r="F1910" s="5"/>
      <c r="G1910" s="5"/>
      <c r="H1910" s="6"/>
      <c r="I1910" s="5"/>
      <c r="J1910" s="5"/>
      <c r="K1910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910" s="5"/>
      <c r="M1910" s="5" t="str">
        <f ca="1">IFERROR(__xludf.DUMMYFUNCTION("""COMPUTED_VALUE"""),"Lăzăreni")</f>
        <v>Lăzăreni</v>
      </c>
      <c r="N1910" s="5"/>
      <c r="O1910" s="5"/>
      <c r="P1910" s="5"/>
      <c r="Q1910" s="5"/>
      <c r="R1910" s="5" t="str">
        <f ca="1">IFERROR(__xludf.DUMMYFUNCTION("""COMPUTED_VALUE"""),"România")</f>
        <v>România</v>
      </c>
      <c r="S1910" s="5" t="str">
        <f ca="1">IFERROR(__xludf.DUMMYFUNCTION("""COMPUTED_VALUE"""),"Octavian")</f>
        <v>Octavian</v>
      </c>
      <c r="T1910" s="7" t="str">
        <f ca="1">IFERROR(__xludf.DUMMYFUNCTION("""COMPUTED_VALUE"""),"http://www.ms.ro/2020/08/21/buletin-informativ-21-08-2020")</f>
        <v>http://www.ms.ro/2020/08/21/buletin-informativ-21-08-2020</v>
      </c>
      <c r="U1910" s="5"/>
      <c r="V1910" s="5"/>
      <c r="W1910" s="5"/>
      <c r="X1910" s="5"/>
      <c r="Y1910" s="5"/>
      <c r="Z1910" s="5"/>
      <c r="AA1910" s="5"/>
      <c r="AB1910" s="5"/>
      <c r="AC1910" s="5"/>
    </row>
    <row r="1911" spans="1:29" ht="12.5">
      <c r="A1911" s="5">
        <f ca="1">IFERROR(__xludf.DUMMYFUNCTION("""COMPUTED_VALUE"""),75154)</f>
        <v>75154</v>
      </c>
      <c r="B1911" s="5"/>
      <c r="C1911" s="5" t="str">
        <f ca="1">IFERROR(__xludf.DUMMYFUNCTION("""COMPUTED_VALUE"""),"Bihor")</f>
        <v>Bihor</v>
      </c>
      <c r="D1911" s="13">
        <f ca="1">IFERROR(__xludf.DUMMYFUNCTION("""COMPUTED_VALUE"""),44064)</f>
        <v>44064</v>
      </c>
      <c r="E1911" s="5" t="str">
        <f ca="1">IFERROR(__xludf.DUMMYFUNCTION("""COMPUTED_VALUE"""),"Nu")</f>
        <v>Nu</v>
      </c>
      <c r="F1911" s="5"/>
      <c r="G1911" s="5"/>
      <c r="H1911" s="6"/>
      <c r="I1911" s="5"/>
      <c r="J1911" s="5"/>
      <c r="K1911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911" s="5"/>
      <c r="M1911" s="5" t="str">
        <f ca="1">IFERROR(__xludf.DUMMYFUNCTION("""COMPUTED_VALUE"""),"Holod")</f>
        <v>Holod</v>
      </c>
      <c r="N1911" s="5"/>
      <c r="O1911" s="5"/>
      <c r="P1911" s="5"/>
      <c r="Q1911" s="5"/>
      <c r="R1911" s="5" t="str">
        <f ca="1">IFERROR(__xludf.DUMMYFUNCTION("""COMPUTED_VALUE"""),"România")</f>
        <v>România</v>
      </c>
      <c r="S1911" s="5" t="str">
        <f ca="1">IFERROR(__xludf.DUMMYFUNCTION("""COMPUTED_VALUE"""),"Octavian")</f>
        <v>Octavian</v>
      </c>
      <c r="T1911" s="7" t="str">
        <f ca="1">IFERROR(__xludf.DUMMYFUNCTION("""COMPUTED_VALUE"""),"http://www.ms.ro/2020/08/21/buletin-informativ-21-08-2020")</f>
        <v>http://www.ms.ro/2020/08/21/buletin-informativ-21-08-2020</v>
      </c>
      <c r="U1911" s="5"/>
      <c r="V1911" s="5"/>
      <c r="W1911" s="5"/>
      <c r="X1911" s="5"/>
      <c r="Y1911" s="5"/>
      <c r="Z1911" s="5"/>
      <c r="AA1911" s="5"/>
      <c r="AB1911" s="5"/>
      <c r="AC1911" s="5"/>
    </row>
    <row r="1912" spans="1:29" ht="12.5">
      <c r="A1912" s="5">
        <f ca="1">IFERROR(__xludf.DUMMYFUNCTION("""COMPUTED_VALUE"""),75155)</f>
        <v>75155</v>
      </c>
      <c r="B1912" s="5"/>
      <c r="C1912" s="5" t="str">
        <f ca="1">IFERROR(__xludf.DUMMYFUNCTION("""COMPUTED_VALUE"""),"Bihor")</f>
        <v>Bihor</v>
      </c>
      <c r="D1912" s="13">
        <f ca="1">IFERROR(__xludf.DUMMYFUNCTION("""COMPUTED_VALUE"""),44064)</f>
        <v>44064</v>
      </c>
      <c r="E1912" s="5" t="str">
        <f ca="1">IFERROR(__xludf.DUMMYFUNCTION("""COMPUTED_VALUE"""),"Nu")</f>
        <v>Nu</v>
      </c>
      <c r="F1912" s="5"/>
      <c r="G1912" s="5"/>
      <c r="H1912" s="6"/>
      <c r="I1912" s="5"/>
      <c r="J1912" s="5"/>
      <c r="K1912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912" s="5"/>
      <c r="M1912" s="5" t="str">
        <f ca="1">IFERROR(__xludf.DUMMYFUNCTION("""COMPUTED_VALUE"""),"Balc")</f>
        <v>Balc</v>
      </c>
      <c r="N1912" s="5"/>
      <c r="O1912" s="5"/>
      <c r="P1912" s="5"/>
      <c r="Q1912" s="5"/>
      <c r="R1912" s="5" t="str">
        <f ca="1">IFERROR(__xludf.DUMMYFUNCTION("""COMPUTED_VALUE"""),"România")</f>
        <v>România</v>
      </c>
      <c r="S1912" s="5" t="str">
        <f ca="1">IFERROR(__xludf.DUMMYFUNCTION("""COMPUTED_VALUE"""),"Octavian")</f>
        <v>Octavian</v>
      </c>
      <c r="T1912" s="7" t="str">
        <f ca="1">IFERROR(__xludf.DUMMYFUNCTION("""COMPUTED_VALUE"""),"http://www.ms.ro/2020/08/21/buletin-informativ-21-08-2020")</f>
        <v>http://www.ms.ro/2020/08/21/buletin-informativ-21-08-2020</v>
      </c>
      <c r="U1912" s="5"/>
      <c r="V1912" s="5"/>
      <c r="W1912" s="5"/>
      <c r="X1912" s="5"/>
      <c r="Y1912" s="5"/>
      <c r="Z1912" s="5"/>
      <c r="AA1912" s="5"/>
      <c r="AB1912" s="5"/>
      <c r="AC1912" s="5"/>
    </row>
    <row r="1913" spans="1:29" ht="12.5">
      <c r="A1913" s="5">
        <f ca="1">IFERROR(__xludf.DUMMYFUNCTION("""COMPUTED_VALUE"""),75156)</f>
        <v>75156</v>
      </c>
      <c r="B1913" s="5"/>
      <c r="C1913" s="5" t="str">
        <f ca="1">IFERROR(__xludf.DUMMYFUNCTION("""COMPUTED_VALUE"""),"Bihor")</f>
        <v>Bihor</v>
      </c>
      <c r="D1913" s="13">
        <f ca="1">IFERROR(__xludf.DUMMYFUNCTION("""COMPUTED_VALUE"""),44064)</f>
        <v>44064</v>
      </c>
      <c r="E1913" s="5" t="str">
        <f ca="1">IFERROR(__xludf.DUMMYFUNCTION("""COMPUTED_VALUE"""),"Nu")</f>
        <v>Nu</v>
      </c>
      <c r="F1913" s="5"/>
      <c r="G1913" s="5"/>
      <c r="H1913" s="6"/>
      <c r="I1913" s="5"/>
      <c r="J1913" s="5"/>
      <c r="K1913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913" s="5"/>
      <c r="M1913" s="5" t="str">
        <f ca="1">IFERROR(__xludf.DUMMYFUNCTION("""COMPUTED_VALUE"""),"Drăgești")</f>
        <v>Drăgești</v>
      </c>
      <c r="N1913" s="5"/>
      <c r="O1913" s="5"/>
      <c r="P1913" s="5"/>
      <c r="Q1913" s="5"/>
      <c r="R1913" s="5" t="str">
        <f ca="1">IFERROR(__xludf.DUMMYFUNCTION("""COMPUTED_VALUE"""),"România")</f>
        <v>România</v>
      </c>
      <c r="S1913" s="5" t="str">
        <f ca="1">IFERROR(__xludf.DUMMYFUNCTION("""COMPUTED_VALUE"""),"Octavian")</f>
        <v>Octavian</v>
      </c>
      <c r="T1913" s="7" t="str">
        <f ca="1">IFERROR(__xludf.DUMMYFUNCTION("""COMPUTED_VALUE"""),"http://www.ms.ro/2020/08/21/buletin-informativ-21-08-2020")</f>
        <v>http://www.ms.ro/2020/08/21/buletin-informativ-21-08-2020</v>
      </c>
      <c r="U1913" s="5"/>
      <c r="V1913" s="5"/>
      <c r="W1913" s="5"/>
      <c r="X1913" s="5"/>
      <c r="Y1913" s="5"/>
      <c r="Z1913" s="5"/>
      <c r="AA1913" s="5"/>
      <c r="AB1913" s="5"/>
      <c r="AC1913" s="5"/>
    </row>
    <row r="1914" spans="1:29" ht="12.5">
      <c r="A1914" s="5">
        <f ca="1">IFERROR(__xludf.DUMMYFUNCTION("""COMPUTED_VALUE"""),75157)</f>
        <v>75157</v>
      </c>
      <c r="B1914" s="5"/>
      <c r="C1914" s="5" t="str">
        <f ca="1">IFERROR(__xludf.DUMMYFUNCTION("""COMPUTED_VALUE"""),"Bihor")</f>
        <v>Bihor</v>
      </c>
      <c r="D1914" s="13">
        <f ca="1">IFERROR(__xludf.DUMMYFUNCTION("""COMPUTED_VALUE"""),44064)</f>
        <v>44064</v>
      </c>
      <c r="E1914" s="5" t="str">
        <f ca="1">IFERROR(__xludf.DUMMYFUNCTION("""COMPUTED_VALUE"""),"Nu")</f>
        <v>Nu</v>
      </c>
      <c r="F1914" s="5"/>
      <c r="G1914" s="5"/>
      <c r="H1914" s="6"/>
      <c r="I1914" s="5"/>
      <c r="J1914" s="5"/>
      <c r="K1914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914" s="5"/>
      <c r="M1914" s="5" t="str">
        <f ca="1">IFERROR(__xludf.DUMMYFUNCTION("""COMPUTED_VALUE"""),"Aștileu")</f>
        <v>Aștileu</v>
      </c>
      <c r="N1914" s="5"/>
      <c r="O1914" s="5"/>
      <c r="P1914" s="5"/>
      <c r="Q1914" s="5"/>
      <c r="R1914" s="5" t="str">
        <f ca="1">IFERROR(__xludf.DUMMYFUNCTION("""COMPUTED_VALUE"""),"România")</f>
        <v>România</v>
      </c>
      <c r="S1914" s="5" t="str">
        <f ca="1">IFERROR(__xludf.DUMMYFUNCTION("""COMPUTED_VALUE"""),"Octavian")</f>
        <v>Octavian</v>
      </c>
      <c r="T1914" s="7" t="str">
        <f ca="1">IFERROR(__xludf.DUMMYFUNCTION("""COMPUTED_VALUE"""),"http://www.ms.ro/2020/08/21/buletin-informativ-21-08-2020")</f>
        <v>http://www.ms.ro/2020/08/21/buletin-informativ-21-08-2020</v>
      </c>
      <c r="U1914" s="5"/>
      <c r="V1914" s="5"/>
      <c r="W1914" s="5"/>
      <c r="X1914" s="5"/>
      <c r="Y1914" s="5"/>
      <c r="Z1914" s="5"/>
      <c r="AA1914" s="5"/>
      <c r="AB1914" s="5"/>
      <c r="AC1914" s="5"/>
    </row>
    <row r="1915" spans="1:29" ht="12.5">
      <c r="A1915" s="5">
        <f ca="1">IFERROR(__xludf.DUMMYFUNCTION("""COMPUTED_VALUE"""),75158)</f>
        <v>75158</v>
      </c>
      <c r="B1915" s="5"/>
      <c r="C1915" s="5" t="str">
        <f ca="1">IFERROR(__xludf.DUMMYFUNCTION("""COMPUTED_VALUE"""),"Bihor")</f>
        <v>Bihor</v>
      </c>
      <c r="D1915" s="13">
        <f ca="1">IFERROR(__xludf.DUMMYFUNCTION("""COMPUTED_VALUE"""),44064)</f>
        <v>44064</v>
      </c>
      <c r="E1915" s="5" t="str">
        <f ca="1">IFERROR(__xludf.DUMMYFUNCTION("""COMPUTED_VALUE"""),"Nu")</f>
        <v>Nu</v>
      </c>
      <c r="F1915" s="5"/>
      <c r="G1915" s="5"/>
      <c r="H1915" s="6"/>
      <c r="I1915" s="5"/>
      <c r="J1915" s="5"/>
      <c r="K1915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915" s="5"/>
      <c r="M1915" s="5" t="str">
        <f ca="1">IFERROR(__xludf.DUMMYFUNCTION("""COMPUTED_VALUE"""),"Beiuș")</f>
        <v>Beiuș</v>
      </c>
      <c r="N1915" s="5"/>
      <c r="O1915" s="5"/>
      <c r="P1915" s="5"/>
      <c r="Q1915" s="5"/>
      <c r="R1915" s="5" t="str">
        <f ca="1">IFERROR(__xludf.DUMMYFUNCTION("""COMPUTED_VALUE"""),"România")</f>
        <v>România</v>
      </c>
      <c r="S1915" s="5" t="str">
        <f ca="1">IFERROR(__xludf.DUMMYFUNCTION("""COMPUTED_VALUE"""),"Octavian")</f>
        <v>Octavian</v>
      </c>
      <c r="T1915" s="7" t="str">
        <f ca="1">IFERROR(__xludf.DUMMYFUNCTION("""COMPUTED_VALUE"""),"http://www.ms.ro/2020/08/21/buletin-informativ-21-08-2020")</f>
        <v>http://www.ms.ro/2020/08/21/buletin-informativ-21-08-2020</v>
      </c>
      <c r="U1915" s="5"/>
      <c r="V1915" s="5"/>
      <c r="W1915" s="5"/>
      <c r="X1915" s="5"/>
      <c r="Y1915" s="5"/>
      <c r="Z1915" s="5"/>
      <c r="AA1915" s="5"/>
      <c r="AB1915" s="5"/>
      <c r="AC1915" s="5"/>
    </row>
    <row r="1916" spans="1:29" ht="12.5">
      <c r="A1916" s="5">
        <f ca="1">IFERROR(__xludf.DUMMYFUNCTION("""COMPUTED_VALUE"""),75159)</f>
        <v>75159</v>
      </c>
      <c r="B1916" s="5"/>
      <c r="C1916" s="5" t="str">
        <f ca="1">IFERROR(__xludf.DUMMYFUNCTION("""COMPUTED_VALUE"""),"Bihor")</f>
        <v>Bihor</v>
      </c>
      <c r="D1916" s="13">
        <f ca="1">IFERROR(__xludf.DUMMYFUNCTION("""COMPUTED_VALUE"""),44064)</f>
        <v>44064</v>
      </c>
      <c r="E1916" s="5" t="str">
        <f ca="1">IFERROR(__xludf.DUMMYFUNCTION("""COMPUTED_VALUE"""),"Nu")</f>
        <v>Nu</v>
      </c>
      <c r="F1916" s="5"/>
      <c r="G1916" s="5"/>
      <c r="H1916" s="6"/>
      <c r="I1916" s="5"/>
      <c r="J1916" s="5"/>
      <c r="K1916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916" s="5"/>
      <c r="M1916" s="5" t="str">
        <f ca="1">IFERROR(__xludf.DUMMYFUNCTION("""COMPUTED_VALUE"""),"Tărcaia")</f>
        <v>Tărcaia</v>
      </c>
      <c r="N1916" s="5"/>
      <c r="O1916" s="5"/>
      <c r="P1916" s="5"/>
      <c r="Q1916" s="5"/>
      <c r="R1916" s="5" t="str">
        <f ca="1">IFERROR(__xludf.DUMMYFUNCTION("""COMPUTED_VALUE"""),"România")</f>
        <v>România</v>
      </c>
      <c r="S1916" s="5" t="str">
        <f ca="1">IFERROR(__xludf.DUMMYFUNCTION("""COMPUTED_VALUE"""),"Octavian")</f>
        <v>Octavian</v>
      </c>
      <c r="T1916" s="7" t="str">
        <f ca="1">IFERROR(__xludf.DUMMYFUNCTION("""COMPUTED_VALUE"""),"http://www.ms.ro/2020/08/21/buletin-informativ-21-08-2020")</f>
        <v>http://www.ms.ro/2020/08/21/buletin-informativ-21-08-2020</v>
      </c>
      <c r="U1916" s="5"/>
      <c r="V1916" s="5"/>
      <c r="W1916" s="5"/>
      <c r="X1916" s="5"/>
      <c r="Y1916" s="5"/>
      <c r="Z1916" s="5"/>
      <c r="AA1916" s="5"/>
      <c r="AB1916" s="5"/>
      <c r="AC1916" s="5"/>
    </row>
    <row r="1917" spans="1:29" ht="12.5">
      <c r="A1917" s="5">
        <f ca="1">IFERROR(__xludf.DUMMYFUNCTION("""COMPUTED_VALUE"""),75160)</f>
        <v>75160</v>
      </c>
      <c r="B1917" s="5"/>
      <c r="C1917" s="5" t="str">
        <f ca="1">IFERROR(__xludf.DUMMYFUNCTION("""COMPUTED_VALUE"""),"Bihor")</f>
        <v>Bihor</v>
      </c>
      <c r="D1917" s="13">
        <f ca="1">IFERROR(__xludf.DUMMYFUNCTION("""COMPUTED_VALUE"""),44064)</f>
        <v>44064</v>
      </c>
      <c r="E1917" s="5" t="str">
        <f ca="1">IFERROR(__xludf.DUMMYFUNCTION("""COMPUTED_VALUE"""),"Nu")</f>
        <v>Nu</v>
      </c>
      <c r="F1917" s="5"/>
      <c r="G1917" s="5"/>
      <c r="H1917" s="6"/>
      <c r="I1917" s="5"/>
      <c r="J1917" s="5"/>
      <c r="K1917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917" s="5"/>
      <c r="M1917" s="5"/>
      <c r="N1917" s="5"/>
      <c r="O1917" s="5"/>
      <c r="P1917" s="5"/>
      <c r="Q1917" s="5"/>
      <c r="R1917" s="5" t="str">
        <f ca="1">IFERROR(__xludf.DUMMYFUNCTION("""COMPUTED_VALUE"""),"România")</f>
        <v>România</v>
      </c>
      <c r="S1917" s="5" t="str">
        <f ca="1">IFERROR(__xludf.DUMMYFUNCTION("""COMPUTED_VALUE"""),"Octavian")</f>
        <v>Octavian</v>
      </c>
      <c r="T1917" s="7" t="str">
        <f ca="1">IFERROR(__xludf.DUMMYFUNCTION("""COMPUTED_VALUE"""),"http://www.ms.ro/2020/08/21/buletin-informativ-21-08-2020")</f>
        <v>http://www.ms.ro/2020/08/21/buletin-informativ-21-08-2020</v>
      </c>
      <c r="U1917" s="5"/>
      <c r="V1917" s="5"/>
      <c r="W1917" s="5"/>
      <c r="X1917" s="5"/>
      <c r="Y1917" s="5"/>
      <c r="Z1917" s="5"/>
      <c r="AA1917" s="5"/>
      <c r="AB1917" s="5"/>
      <c r="AC1917" s="5"/>
    </row>
    <row r="1918" spans="1:29" ht="12.5">
      <c r="A1918" s="5">
        <f ca="1">IFERROR(__xludf.DUMMYFUNCTION("""COMPUTED_VALUE"""),75161)</f>
        <v>75161</v>
      </c>
      <c r="B1918" s="5"/>
      <c r="C1918" s="5" t="str">
        <f ca="1">IFERROR(__xludf.DUMMYFUNCTION("""COMPUTED_VALUE"""),"Bihor")</f>
        <v>Bihor</v>
      </c>
      <c r="D1918" s="13">
        <f ca="1">IFERROR(__xludf.DUMMYFUNCTION("""COMPUTED_VALUE"""),44064)</f>
        <v>44064</v>
      </c>
      <c r="E1918" s="5" t="str">
        <f ca="1">IFERROR(__xludf.DUMMYFUNCTION("""COMPUTED_VALUE"""),"Nu")</f>
        <v>Nu</v>
      </c>
      <c r="F1918" s="5"/>
      <c r="G1918" s="5"/>
      <c r="H1918" s="6"/>
      <c r="I1918" s="5"/>
      <c r="J1918" s="5"/>
      <c r="K1918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918" s="5"/>
      <c r="M1918" s="5"/>
      <c r="N1918" s="5"/>
      <c r="O1918" s="5"/>
      <c r="P1918" s="5"/>
      <c r="Q1918" s="5"/>
      <c r="R1918" s="5" t="str">
        <f ca="1">IFERROR(__xludf.DUMMYFUNCTION("""COMPUTED_VALUE"""),"România")</f>
        <v>România</v>
      </c>
      <c r="S1918" s="5" t="str">
        <f ca="1">IFERROR(__xludf.DUMMYFUNCTION("""COMPUTED_VALUE"""),"Octavian")</f>
        <v>Octavian</v>
      </c>
      <c r="T1918" s="7" t="str">
        <f ca="1">IFERROR(__xludf.DUMMYFUNCTION("""COMPUTED_VALUE"""),"http://www.ms.ro/2020/08/21/buletin-informativ-21-08-2020")</f>
        <v>http://www.ms.ro/2020/08/21/buletin-informativ-21-08-2020</v>
      </c>
      <c r="U1918" s="5"/>
      <c r="V1918" s="5"/>
      <c r="W1918" s="5"/>
      <c r="X1918" s="5"/>
      <c r="Y1918" s="5"/>
      <c r="Z1918" s="5"/>
      <c r="AA1918" s="5"/>
      <c r="AB1918" s="5"/>
      <c r="AC1918" s="5"/>
    </row>
    <row r="1919" spans="1:29" ht="12.5">
      <c r="A1919" s="5">
        <f ca="1">IFERROR(__xludf.DUMMYFUNCTION("""COMPUTED_VALUE"""),75162)</f>
        <v>75162</v>
      </c>
      <c r="B1919" s="5"/>
      <c r="C1919" s="5" t="str">
        <f ca="1">IFERROR(__xludf.DUMMYFUNCTION("""COMPUTED_VALUE"""),"Bihor")</f>
        <v>Bihor</v>
      </c>
      <c r="D1919" s="13">
        <f ca="1">IFERROR(__xludf.DUMMYFUNCTION("""COMPUTED_VALUE"""),44064)</f>
        <v>44064</v>
      </c>
      <c r="E1919" s="5" t="str">
        <f ca="1">IFERROR(__xludf.DUMMYFUNCTION("""COMPUTED_VALUE"""),"Nu")</f>
        <v>Nu</v>
      </c>
      <c r="F1919" s="5"/>
      <c r="G1919" s="5"/>
      <c r="H1919" s="6"/>
      <c r="I1919" s="5"/>
      <c r="J1919" s="5"/>
      <c r="K1919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919" s="5"/>
      <c r="M1919" s="5"/>
      <c r="N1919" s="5"/>
      <c r="O1919" s="5"/>
      <c r="P1919" s="5"/>
      <c r="Q1919" s="5"/>
      <c r="R1919" s="5" t="str">
        <f ca="1">IFERROR(__xludf.DUMMYFUNCTION("""COMPUTED_VALUE"""),"România")</f>
        <v>România</v>
      </c>
      <c r="S1919" s="5" t="str">
        <f ca="1">IFERROR(__xludf.DUMMYFUNCTION("""COMPUTED_VALUE"""),"Octavian")</f>
        <v>Octavian</v>
      </c>
      <c r="T1919" s="7" t="str">
        <f ca="1">IFERROR(__xludf.DUMMYFUNCTION("""COMPUTED_VALUE"""),"http://www.ms.ro/2020/08/21/buletin-informativ-21-08-2020")</f>
        <v>http://www.ms.ro/2020/08/21/buletin-informativ-21-08-2020</v>
      </c>
      <c r="U1919" s="5"/>
      <c r="V1919" s="5"/>
      <c r="W1919" s="5"/>
      <c r="X1919" s="5"/>
      <c r="Y1919" s="5"/>
      <c r="Z1919" s="5"/>
      <c r="AA1919" s="5"/>
      <c r="AB1919" s="5"/>
      <c r="AC1919" s="5"/>
    </row>
    <row r="1920" spans="1:29" ht="12.5">
      <c r="A1920" s="5">
        <f ca="1">IFERROR(__xludf.DUMMYFUNCTION("""COMPUTED_VALUE"""),75163)</f>
        <v>75163</v>
      </c>
      <c r="B1920" s="5"/>
      <c r="C1920" s="5" t="str">
        <f ca="1">IFERROR(__xludf.DUMMYFUNCTION("""COMPUTED_VALUE"""),"Bihor")</f>
        <v>Bihor</v>
      </c>
      <c r="D1920" s="13">
        <f ca="1">IFERROR(__xludf.DUMMYFUNCTION("""COMPUTED_VALUE"""),44064)</f>
        <v>44064</v>
      </c>
      <c r="E1920" s="5" t="str">
        <f ca="1">IFERROR(__xludf.DUMMYFUNCTION("""COMPUTED_VALUE"""),"Nu")</f>
        <v>Nu</v>
      </c>
      <c r="F1920" s="5"/>
      <c r="G1920" s="5"/>
      <c r="H1920" s="6"/>
      <c r="I1920" s="5"/>
      <c r="J1920" s="5"/>
      <c r="K1920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920" s="5"/>
      <c r="M1920" s="5"/>
      <c r="N1920" s="5"/>
      <c r="O1920" s="5"/>
      <c r="P1920" s="5"/>
      <c r="Q1920" s="5"/>
      <c r="R1920" s="5" t="str">
        <f ca="1">IFERROR(__xludf.DUMMYFUNCTION("""COMPUTED_VALUE"""),"România")</f>
        <v>România</v>
      </c>
      <c r="S1920" s="5" t="str">
        <f ca="1">IFERROR(__xludf.DUMMYFUNCTION("""COMPUTED_VALUE"""),"Octavian")</f>
        <v>Octavian</v>
      </c>
      <c r="T1920" s="7" t="str">
        <f ca="1">IFERROR(__xludf.DUMMYFUNCTION("""COMPUTED_VALUE"""),"http://www.ms.ro/2020/08/21/buletin-informativ-21-08-2020")</f>
        <v>http://www.ms.ro/2020/08/21/buletin-informativ-21-08-2020</v>
      </c>
      <c r="U1920" s="5"/>
      <c r="V1920" s="5"/>
      <c r="W1920" s="5"/>
      <c r="X1920" s="5"/>
      <c r="Y1920" s="5"/>
      <c r="Z1920" s="5"/>
      <c r="AA1920" s="5"/>
      <c r="AB1920" s="5"/>
      <c r="AC1920" s="5"/>
    </row>
    <row r="1921" spans="1:29" ht="12.5">
      <c r="A1921" s="5">
        <f ca="1">IFERROR(__xludf.DUMMYFUNCTION("""COMPUTED_VALUE"""),75164)</f>
        <v>75164</v>
      </c>
      <c r="B1921" s="5"/>
      <c r="C1921" s="5" t="str">
        <f ca="1">IFERROR(__xludf.DUMMYFUNCTION("""COMPUTED_VALUE"""),"Bihor")</f>
        <v>Bihor</v>
      </c>
      <c r="D1921" s="13">
        <f ca="1">IFERROR(__xludf.DUMMYFUNCTION("""COMPUTED_VALUE"""),44064)</f>
        <v>44064</v>
      </c>
      <c r="E1921" s="5" t="str">
        <f ca="1">IFERROR(__xludf.DUMMYFUNCTION("""COMPUTED_VALUE"""),"Nu")</f>
        <v>Nu</v>
      </c>
      <c r="F1921" s="5"/>
      <c r="G1921" s="5"/>
      <c r="H1921" s="6"/>
      <c r="I1921" s="5"/>
      <c r="J1921" s="5"/>
      <c r="K1921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921" s="5"/>
      <c r="M1921" s="5"/>
      <c r="N1921" s="5"/>
      <c r="O1921" s="5"/>
      <c r="P1921" s="5"/>
      <c r="Q1921" s="5"/>
      <c r="R1921" s="5" t="str">
        <f ca="1">IFERROR(__xludf.DUMMYFUNCTION("""COMPUTED_VALUE"""),"România")</f>
        <v>România</v>
      </c>
      <c r="S1921" s="5" t="str">
        <f ca="1">IFERROR(__xludf.DUMMYFUNCTION("""COMPUTED_VALUE"""),"Octavian")</f>
        <v>Octavian</v>
      </c>
      <c r="T1921" s="7" t="str">
        <f ca="1">IFERROR(__xludf.DUMMYFUNCTION("""COMPUTED_VALUE"""),"http://www.ms.ro/2020/08/21/buletin-informativ-21-08-2020")</f>
        <v>http://www.ms.ro/2020/08/21/buletin-informativ-21-08-2020</v>
      </c>
      <c r="U1921" s="5"/>
      <c r="V1921" s="5"/>
      <c r="W1921" s="5"/>
      <c r="X1921" s="5"/>
      <c r="Y1921" s="5"/>
      <c r="Z1921" s="5"/>
      <c r="AA1921" s="5"/>
      <c r="AB1921" s="5"/>
      <c r="AC1921" s="5"/>
    </row>
    <row r="1922" spans="1:29" ht="12.5">
      <c r="A1922" s="5">
        <f ca="1">IFERROR(__xludf.DUMMYFUNCTION("""COMPUTED_VALUE"""),75165)</f>
        <v>75165</v>
      </c>
      <c r="B1922" s="5"/>
      <c r="C1922" s="5" t="str">
        <f ca="1">IFERROR(__xludf.DUMMYFUNCTION("""COMPUTED_VALUE"""),"Bihor")</f>
        <v>Bihor</v>
      </c>
      <c r="D1922" s="13">
        <f ca="1">IFERROR(__xludf.DUMMYFUNCTION("""COMPUTED_VALUE"""),44064)</f>
        <v>44064</v>
      </c>
      <c r="E1922" s="5" t="str">
        <f ca="1">IFERROR(__xludf.DUMMYFUNCTION("""COMPUTED_VALUE"""),"Nu")</f>
        <v>Nu</v>
      </c>
      <c r="F1922" s="5"/>
      <c r="G1922" s="5"/>
      <c r="H1922" s="6"/>
      <c r="I1922" s="5"/>
      <c r="J1922" s="5"/>
      <c r="K1922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922" s="5"/>
      <c r="M1922" s="5"/>
      <c r="N1922" s="5"/>
      <c r="O1922" s="5"/>
      <c r="P1922" s="5"/>
      <c r="Q1922" s="5"/>
      <c r="R1922" s="5" t="str">
        <f ca="1">IFERROR(__xludf.DUMMYFUNCTION("""COMPUTED_VALUE"""),"România")</f>
        <v>România</v>
      </c>
      <c r="S1922" s="5" t="str">
        <f ca="1">IFERROR(__xludf.DUMMYFUNCTION("""COMPUTED_VALUE"""),"Octavian")</f>
        <v>Octavian</v>
      </c>
      <c r="T1922" s="7" t="str">
        <f ca="1">IFERROR(__xludf.DUMMYFUNCTION("""COMPUTED_VALUE"""),"http://www.ms.ro/2020/08/21/buletin-informativ-21-08-2020")</f>
        <v>http://www.ms.ro/2020/08/21/buletin-informativ-21-08-2020</v>
      </c>
      <c r="U1922" s="5"/>
      <c r="V1922" s="5"/>
      <c r="W1922" s="5"/>
      <c r="X1922" s="5"/>
      <c r="Y1922" s="5"/>
      <c r="Z1922" s="5"/>
      <c r="AA1922" s="5"/>
      <c r="AB1922" s="5"/>
      <c r="AC1922" s="5"/>
    </row>
    <row r="1923" spans="1:29" ht="12.5">
      <c r="A1923" s="5">
        <f ca="1">IFERROR(__xludf.DUMMYFUNCTION("""COMPUTED_VALUE"""),75166)</f>
        <v>75166</v>
      </c>
      <c r="B1923" s="5"/>
      <c r="C1923" s="5" t="str">
        <f ca="1">IFERROR(__xludf.DUMMYFUNCTION("""COMPUTED_VALUE"""),"Bihor")</f>
        <v>Bihor</v>
      </c>
      <c r="D1923" s="13">
        <f ca="1">IFERROR(__xludf.DUMMYFUNCTION("""COMPUTED_VALUE"""),44064)</f>
        <v>44064</v>
      </c>
      <c r="E1923" s="5" t="str">
        <f ca="1">IFERROR(__xludf.DUMMYFUNCTION("""COMPUTED_VALUE"""),"Nu")</f>
        <v>Nu</v>
      </c>
      <c r="F1923" s="5"/>
      <c r="G1923" s="5"/>
      <c r="H1923" s="6"/>
      <c r="I1923" s="5"/>
      <c r="J1923" s="5"/>
      <c r="K1923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923" s="5"/>
      <c r="M1923" s="5"/>
      <c r="N1923" s="5"/>
      <c r="O1923" s="5"/>
      <c r="P1923" s="5"/>
      <c r="Q1923" s="5"/>
      <c r="R1923" s="5" t="str">
        <f ca="1">IFERROR(__xludf.DUMMYFUNCTION("""COMPUTED_VALUE"""),"România")</f>
        <v>România</v>
      </c>
      <c r="S1923" s="5" t="str">
        <f ca="1">IFERROR(__xludf.DUMMYFUNCTION("""COMPUTED_VALUE"""),"Octavian")</f>
        <v>Octavian</v>
      </c>
      <c r="T1923" s="7" t="str">
        <f ca="1">IFERROR(__xludf.DUMMYFUNCTION("""COMPUTED_VALUE"""),"http://www.ms.ro/2020/08/21/buletin-informativ-21-08-2020")</f>
        <v>http://www.ms.ro/2020/08/21/buletin-informativ-21-08-2020</v>
      </c>
      <c r="U1923" s="5"/>
      <c r="V1923" s="5"/>
      <c r="W1923" s="5"/>
      <c r="X1923" s="5"/>
      <c r="Y1923" s="5"/>
      <c r="Z1923" s="5"/>
      <c r="AA1923" s="5"/>
      <c r="AB1923" s="5"/>
      <c r="AC1923" s="5"/>
    </row>
    <row r="1924" spans="1:29" ht="12.5">
      <c r="A1924" s="5">
        <f ca="1">IFERROR(__xludf.DUMMYFUNCTION("""COMPUTED_VALUE"""),75167)</f>
        <v>75167</v>
      </c>
      <c r="B1924" s="5"/>
      <c r="C1924" s="5" t="str">
        <f ca="1">IFERROR(__xludf.DUMMYFUNCTION("""COMPUTED_VALUE"""),"Bihor")</f>
        <v>Bihor</v>
      </c>
      <c r="D1924" s="13">
        <f ca="1">IFERROR(__xludf.DUMMYFUNCTION("""COMPUTED_VALUE"""),44064)</f>
        <v>44064</v>
      </c>
      <c r="E1924" s="5" t="str">
        <f ca="1">IFERROR(__xludf.DUMMYFUNCTION("""COMPUTED_VALUE"""),"Nu")</f>
        <v>Nu</v>
      </c>
      <c r="F1924" s="5"/>
      <c r="G1924" s="5"/>
      <c r="H1924" s="6"/>
      <c r="I1924" s="5"/>
      <c r="J1924" s="5"/>
      <c r="K1924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924" s="5"/>
      <c r="M1924" s="5"/>
      <c r="N1924" s="5"/>
      <c r="O1924" s="5"/>
      <c r="P1924" s="5"/>
      <c r="Q1924" s="5"/>
      <c r="R1924" s="5" t="str">
        <f ca="1">IFERROR(__xludf.DUMMYFUNCTION("""COMPUTED_VALUE"""),"România")</f>
        <v>România</v>
      </c>
      <c r="S1924" s="5" t="str">
        <f ca="1">IFERROR(__xludf.DUMMYFUNCTION("""COMPUTED_VALUE"""),"Octavian")</f>
        <v>Octavian</v>
      </c>
      <c r="T1924" s="7" t="str">
        <f ca="1">IFERROR(__xludf.DUMMYFUNCTION("""COMPUTED_VALUE"""),"http://www.ms.ro/2020/08/21/buletin-informativ-21-08-2020")</f>
        <v>http://www.ms.ro/2020/08/21/buletin-informativ-21-08-2020</v>
      </c>
      <c r="U1924" s="5"/>
      <c r="V1924" s="5"/>
      <c r="W1924" s="5"/>
      <c r="X1924" s="5"/>
      <c r="Y1924" s="5"/>
      <c r="Z1924" s="5"/>
      <c r="AA1924" s="5"/>
      <c r="AB1924" s="5"/>
      <c r="AC1924" s="5"/>
    </row>
    <row r="1925" spans="1:29" ht="12.5">
      <c r="A1925" s="5">
        <f ca="1">IFERROR(__xludf.DUMMYFUNCTION("""COMPUTED_VALUE"""),75168)</f>
        <v>75168</v>
      </c>
      <c r="B1925" s="5"/>
      <c r="C1925" s="5" t="str">
        <f ca="1">IFERROR(__xludf.DUMMYFUNCTION("""COMPUTED_VALUE"""),"Bihor")</f>
        <v>Bihor</v>
      </c>
      <c r="D1925" s="13">
        <f ca="1">IFERROR(__xludf.DUMMYFUNCTION("""COMPUTED_VALUE"""),44064)</f>
        <v>44064</v>
      </c>
      <c r="E1925" s="5" t="str">
        <f ca="1">IFERROR(__xludf.DUMMYFUNCTION("""COMPUTED_VALUE"""),"Nu")</f>
        <v>Nu</v>
      </c>
      <c r="F1925" s="5"/>
      <c r="G1925" s="5"/>
      <c r="H1925" s="6"/>
      <c r="I1925" s="5"/>
      <c r="J1925" s="5"/>
      <c r="K1925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925" s="5"/>
      <c r="M1925" s="5"/>
      <c r="N1925" s="5"/>
      <c r="O1925" s="5"/>
      <c r="P1925" s="5"/>
      <c r="Q1925" s="5"/>
      <c r="R1925" s="5" t="str">
        <f ca="1">IFERROR(__xludf.DUMMYFUNCTION("""COMPUTED_VALUE"""),"România")</f>
        <v>România</v>
      </c>
      <c r="S1925" s="5" t="str">
        <f ca="1">IFERROR(__xludf.DUMMYFUNCTION("""COMPUTED_VALUE"""),"Octavian")</f>
        <v>Octavian</v>
      </c>
      <c r="T1925" s="7" t="str">
        <f ca="1">IFERROR(__xludf.DUMMYFUNCTION("""COMPUTED_VALUE"""),"http://www.ms.ro/2020/08/21/buletin-informativ-21-08-2020")</f>
        <v>http://www.ms.ro/2020/08/21/buletin-informativ-21-08-2020</v>
      </c>
      <c r="U1925" s="5"/>
      <c r="V1925" s="5"/>
      <c r="W1925" s="5"/>
      <c r="X1925" s="5"/>
      <c r="Y1925" s="5"/>
      <c r="Z1925" s="5"/>
      <c r="AA1925" s="5"/>
      <c r="AB1925" s="5"/>
      <c r="AC1925" s="5"/>
    </row>
    <row r="1926" spans="1:29" ht="12.5">
      <c r="A1926" s="5">
        <f ca="1">IFERROR(__xludf.DUMMYFUNCTION("""COMPUTED_VALUE"""),75169)</f>
        <v>75169</v>
      </c>
      <c r="B1926" s="5"/>
      <c r="C1926" s="5" t="str">
        <f ca="1">IFERROR(__xludf.DUMMYFUNCTION("""COMPUTED_VALUE"""),"Bihor")</f>
        <v>Bihor</v>
      </c>
      <c r="D1926" s="13">
        <f ca="1">IFERROR(__xludf.DUMMYFUNCTION("""COMPUTED_VALUE"""),44064)</f>
        <v>44064</v>
      </c>
      <c r="E1926" s="5" t="str">
        <f ca="1">IFERROR(__xludf.DUMMYFUNCTION("""COMPUTED_VALUE"""),"Nu")</f>
        <v>Nu</v>
      </c>
      <c r="F1926" s="5"/>
      <c r="G1926" s="5"/>
      <c r="H1926" s="6"/>
      <c r="I1926" s="5"/>
      <c r="J1926" s="5"/>
      <c r="K1926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926" s="5"/>
      <c r="M1926" s="5"/>
      <c r="N1926" s="5"/>
      <c r="O1926" s="5"/>
      <c r="P1926" s="5"/>
      <c r="Q1926" s="5"/>
      <c r="R1926" s="5" t="str">
        <f ca="1">IFERROR(__xludf.DUMMYFUNCTION("""COMPUTED_VALUE"""),"România")</f>
        <v>România</v>
      </c>
      <c r="S1926" s="5" t="str">
        <f ca="1">IFERROR(__xludf.DUMMYFUNCTION("""COMPUTED_VALUE"""),"Octavian")</f>
        <v>Octavian</v>
      </c>
      <c r="T1926" s="7" t="str">
        <f ca="1">IFERROR(__xludf.DUMMYFUNCTION("""COMPUTED_VALUE"""),"http://www.ms.ro/2020/08/21/buletin-informativ-21-08-2020")</f>
        <v>http://www.ms.ro/2020/08/21/buletin-informativ-21-08-2020</v>
      </c>
      <c r="U1926" s="5"/>
      <c r="V1926" s="5"/>
      <c r="W1926" s="5"/>
      <c r="X1926" s="5"/>
      <c r="Y1926" s="5"/>
      <c r="Z1926" s="5"/>
      <c r="AA1926" s="5"/>
      <c r="AB1926" s="5"/>
      <c r="AC1926" s="5"/>
    </row>
    <row r="1927" spans="1:29" ht="12.5">
      <c r="A1927" s="5">
        <f ca="1">IFERROR(__xludf.DUMMYFUNCTION("""COMPUTED_VALUE"""),75170)</f>
        <v>75170</v>
      </c>
      <c r="B1927" s="5"/>
      <c r="C1927" s="5" t="str">
        <f ca="1">IFERROR(__xludf.DUMMYFUNCTION("""COMPUTED_VALUE"""),"Bihor")</f>
        <v>Bihor</v>
      </c>
      <c r="D1927" s="13">
        <f ca="1">IFERROR(__xludf.DUMMYFUNCTION("""COMPUTED_VALUE"""),44064)</f>
        <v>44064</v>
      </c>
      <c r="E1927" s="5" t="str">
        <f ca="1">IFERROR(__xludf.DUMMYFUNCTION("""COMPUTED_VALUE"""),"Nu")</f>
        <v>Nu</v>
      </c>
      <c r="F1927" s="5"/>
      <c r="G1927" s="5"/>
      <c r="H1927" s="6"/>
      <c r="I1927" s="5"/>
      <c r="J1927" s="5"/>
      <c r="K1927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927" s="5"/>
      <c r="M1927" s="5"/>
      <c r="N1927" s="5"/>
      <c r="O1927" s="5"/>
      <c r="P1927" s="5"/>
      <c r="Q1927" s="5"/>
      <c r="R1927" s="5" t="str">
        <f ca="1">IFERROR(__xludf.DUMMYFUNCTION("""COMPUTED_VALUE"""),"România")</f>
        <v>România</v>
      </c>
      <c r="S1927" s="5" t="str">
        <f ca="1">IFERROR(__xludf.DUMMYFUNCTION("""COMPUTED_VALUE"""),"Octavian")</f>
        <v>Octavian</v>
      </c>
      <c r="T1927" s="7" t="str">
        <f ca="1">IFERROR(__xludf.DUMMYFUNCTION("""COMPUTED_VALUE"""),"http://www.ms.ro/2020/08/21/buletin-informativ-21-08-2020")</f>
        <v>http://www.ms.ro/2020/08/21/buletin-informativ-21-08-2020</v>
      </c>
      <c r="U1927" s="5"/>
      <c r="V1927" s="5"/>
      <c r="W1927" s="5"/>
      <c r="X1927" s="5"/>
      <c r="Y1927" s="5"/>
      <c r="Z1927" s="5"/>
      <c r="AA1927" s="5"/>
      <c r="AB1927" s="5"/>
      <c r="AC1927" s="5"/>
    </row>
    <row r="1928" spans="1:29" ht="12.5">
      <c r="A1928" s="5">
        <f ca="1">IFERROR(__xludf.DUMMYFUNCTION("""COMPUTED_VALUE"""),75171)</f>
        <v>75171</v>
      </c>
      <c r="B1928" s="5"/>
      <c r="C1928" s="5" t="str">
        <f ca="1">IFERROR(__xludf.DUMMYFUNCTION("""COMPUTED_VALUE"""),"Bihor")</f>
        <v>Bihor</v>
      </c>
      <c r="D1928" s="13">
        <f ca="1">IFERROR(__xludf.DUMMYFUNCTION("""COMPUTED_VALUE"""),44064)</f>
        <v>44064</v>
      </c>
      <c r="E1928" s="5" t="str">
        <f ca="1">IFERROR(__xludf.DUMMYFUNCTION("""COMPUTED_VALUE"""),"Nu")</f>
        <v>Nu</v>
      </c>
      <c r="F1928" s="5"/>
      <c r="G1928" s="5"/>
      <c r="H1928" s="6"/>
      <c r="I1928" s="5"/>
      <c r="J1928" s="5"/>
      <c r="K1928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928" s="5"/>
      <c r="M1928" s="5"/>
      <c r="N1928" s="5"/>
      <c r="O1928" s="5"/>
      <c r="P1928" s="5"/>
      <c r="Q1928" s="5"/>
      <c r="R1928" s="5" t="str">
        <f ca="1">IFERROR(__xludf.DUMMYFUNCTION("""COMPUTED_VALUE"""),"România")</f>
        <v>România</v>
      </c>
      <c r="S1928" s="5" t="str">
        <f ca="1">IFERROR(__xludf.DUMMYFUNCTION("""COMPUTED_VALUE"""),"Octavian")</f>
        <v>Octavian</v>
      </c>
      <c r="T1928" s="7" t="str">
        <f ca="1">IFERROR(__xludf.DUMMYFUNCTION("""COMPUTED_VALUE"""),"http://www.ms.ro/2020/08/21/buletin-informativ-21-08-2020")</f>
        <v>http://www.ms.ro/2020/08/21/buletin-informativ-21-08-2020</v>
      </c>
      <c r="U1928" s="5"/>
      <c r="V1928" s="5"/>
      <c r="W1928" s="5"/>
      <c r="X1928" s="5"/>
      <c r="Y1928" s="5"/>
      <c r="Z1928" s="5"/>
      <c r="AA1928" s="5"/>
      <c r="AB1928" s="5"/>
      <c r="AC1928" s="5"/>
    </row>
    <row r="1929" spans="1:29" ht="12.5">
      <c r="A1929" s="5">
        <f ca="1">IFERROR(__xludf.DUMMYFUNCTION("""COMPUTED_VALUE"""),75172)</f>
        <v>75172</v>
      </c>
      <c r="B1929" s="5"/>
      <c r="C1929" s="5" t="str">
        <f ca="1">IFERROR(__xludf.DUMMYFUNCTION("""COMPUTED_VALUE"""),"Bihor")</f>
        <v>Bihor</v>
      </c>
      <c r="D1929" s="13">
        <f ca="1">IFERROR(__xludf.DUMMYFUNCTION("""COMPUTED_VALUE"""),44064)</f>
        <v>44064</v>
      </c>
      <c r="E1929" s="5" t="str">
        <f ca="1">IFERROR(__xludf.DUMMYFUNCTION("""COMPUTED_VALUE"""),"Nu")</f>
        <v>Nu</v>
      </c>
      <c r="F1929" s="5"/>
      <c r="G1929" s="5"/>
      <c r="H1929" s="6"/>
      <c r="I1929" s="5"/>
      <c r="J1929" s="5"/>
      <c r="K1929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929" s="5"/>
      <c r="M1929" s="5"/>
      <c r="N1929" s="5"/>
      <c r="O1929" s="5"/>
      <c r="P1929" s="5"/>
      <c r="Q1929" s="5"/>
      <c r="R1929" s="5" t="str">
        <f ca="1">IFERROR(__xludf.DUMMYFUNCTION("""COMPUTED_VALUE"""),"România")</f>
        <v>România</v>
      </c>
      <c r="S1929" s="5" t="str">
        <f ca="1">IFERROR(__xludf.DUMMYFUNCTION("""COMPUTED_VALUE"""),"Octavian")</f>
        <v>Octavian</v>
      </c>
      <c r="T1929" s="7" t="str">
        <f ca="1">IFERROR(__xludf.DUMMYFUNCTION("""COMPUTED_VALUE"""),"http://www.ms.ro/2020/08/21/buletin-informativ-21-08-2020")</f>
        <v>http://www.ms.ro/2020/08/21/buletin-informativ-21-08-2020</v>
      </c>
      <c r="U1929" s="5"/>
      <c r="V1929" s="5"/>
      <c r="W1929" s="5"/>
      <c r="X1929" s="5"/>
      <c r="Y1929" s="5"/>
      <c r="Z1929" s="5"/>
      <c r="AA1929" s="5"/>
      <c r="AB1929" s="5"/>
      <c r="AC1929" s="5"/>
    </row>
    <row r="1930" spans="1:29" ht="12.5">
      <c r="A1930" s="5">
        <f ca="1">IFERROR(__xludf.DUMMYFUNCTION("""COMPUTED_VALUE"""),75173)</f>
        <v>75173</v>
      </c>
      <c r="B1930" s="5"/>
      <c r="C1930" s="5" t="str">
        <f ca="1">IFERROR(__xludf.DUMMYFUNCTION("""COMPUTED_VALUE"""),"Bihor")</f>
        <v>Bihor</v>
      </c>
      <c r="D1930" s="13">
        <f ca="1">IFERROR(__xludf.DUMMYFUNCTION("""COMPUTED_VALUE"""),44064)</f>
        <v>44064</v>
      </c>
      <c r="E1930" s="5" t="str">
        <f ca="1">IFERROR(__xludf.DUMMYFUNCTION("""COMPUTED_VALUE"""),"Nu")</f>
        <v>Nu</v>
      </c>
      <c r="F1930" s="5"/>
      <c r="G1930" s="5"/>
      <c r="H1930" s="6"/>
      <c r="I1930" s="5"/>
      <c r="J1930" s="5"/>
      <c r="K1930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930" s="5"/>
      <c r="M1930" s="5"/>
      <c r="N1930" s="5"/>
      <c r="O1930" s="5"/>
      <c r="P1930" s="5"/>
      <c r="Q1930" s="5"/>
      <c r="R1930" s="5" t="str">
        <f ca="1">IFERROR(__xludf.DUMMYFUNCTION("""COMPUTED_VALUE"""),"România")</f>
        <v>România</v>
      </c>
      <c r="S1930" s="5" t="str">
        <f ca="1">IFERROR(__xludf.DUMMYFUNCTION("""COMPUTED_VALUE"""),"Octavian")</f>
        <v>Octavian</v>
      </c>
      <c r="T1930" s="7" t="str">
        <f ca="1">IFERROR(__xludf.DUMMYFUNCTION("""COMPUTED_VALUE"""),"http://www.ms.ro/2020/08/21/buletin-informativ-21-08-2020")</f>
        <v>http://www.ms.ro/2020/08/21/buletin-informativ-21-08-2020</v>
      </c>
      <c r="U1930" s="5"/>
      <c r="V1930" s="5"/>
      <c r="W1930" s="5"/>
      <c r="X1930" s="5"/>
      <c r="Y1930" s="5"/>
      <c r="Z1930" s="5"/>
      <c r="AA1930" s="5"/>
      <c r="AB1930" s="5"/>
      <c r="AC1930" s="5"/>
    </row>
    <row r="1931" spans="1:29" ht="12.5">
      <c r="A1931" s="5">
        <f ca="1">IFERROR(__xludf.DUMMYFUNCTION("""COMPUTED_VALUE"""),75174)</f>
        <v>75174</v>
      </c>
      <c r="B1931" s="5"/>
      <c r="C1931" s="5" t="str">
        <f ca="1">IFERROR(__xludf.DUMMYFUNCTION("""COMPUTED_VALUE"""),"Bihor")</f>
        <v>Bihor</v>
      </c>
      <c r="D1931" s="13">
        <f ca="1">IFERROR(__xludf.DUMMYFUNCTION("""COMPUTED_VALUE"""),44064)</f>
        <v>44064</v>
      </c>
      <c r="E1931" s="5" t="str">
        <f ca="1">IFERROR(__xludf.DUMMYFUNCTION("""COMPUTED_VALUE"""),"Nu")</f>
        <v>Nu</v>
      </c>
      <c r="F1931" s="5"/>
      <c r="G1931" s="5"/>
      <c r="H1931" s="6"/>
      <c r="I1931" s="5"/>
      <c r="J1931" s="5"/>
      <c r="K1931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931" s="5"/>
      <c r="M1931" s="5"/>
      <c r="N1931" s="5"/>
      <c r="O1931" s="5"/>
      <c r="P1931" s="5"/>
      <c r="Q1931" s="5"/>
      <c r="R1931" s="5" t="str">
        <f ca="1">IFERROR(__xludf.DUMMYFUNCTION("""COMPUTED_VALUE"""),"România")</f>
        <v>România</v>
      </c>
      <c r="S1931" s="5" t="str">
        <f ca="1">IFERROR(__xludf.DUMMYFUNCTION("""COMPUTED_VALUE"""),"Octavian")</f>
        <v>Octavian</v>
      </c>
      <c r="T1931" s="7" t="str">
        <f ca="1">IFERROR(__xludf.DUMMYFUNCTION("""COMPUTED_VALUE"""),"http://www.ms.ro/2020/08/21/buletin-informativ-21-08-2020")</f>
        <v>http://www.ms.ro/2020/08/21/buletin-informativ-21-08-2020</v>
      </c>
      <c r="U1931" s="5"/>
      <c r="V1931" s="5"/>
      <c r="W1931" s="5"/>
      <c r="X1931" s="5"/>
      <c r="Y1931" s="5"/>
      <c r="Z1931" s="5"/>
      <c r="AA1931" s="5"/>
      <c r="AB1931" s="5"/>
      <c r="AC1931" s="5"/>
    </row>
    <row r="1932" spans="1:29" ht="12.5">
      <c r="A1932" s="5">
        <f ca="1">IFERROR(__xludf.DUMMYFUNCTION("""COMPUTED_VALUE"""),75175)</f>
        <v>75175</v>
      </c>
      <c r="B1932" s="5"/>
      <c r="C1932" s="5" t="str">
        <f ca="1">IFERROR(__xludf.DUMMYFUNCTION("""COMPUTED_VALUE"""),"Bihor")</f>
        <v>Bihor</v>
      </c>
      <c r="D1932" s="13">
        <f ca="1">IFERROR(__xludf.DUMMYFUNCTION("""COMPUTED_VALUE"""),44064)</f>
        <v>44064</v>
      </c>
      <c r="E1932" s="5" t="str">
        <f ca="1">IFERROR(__xludf.DUMMYFUNCTION("""COMPUTED_VALUE"""),"Nu")</f>
        <v>Nu</v>
      </c>
      <c r="F1932" s="5"/>
      <c r="G1932" s="5"/>
      <c r="H1932" s="6"/>
      <c r="I1932" s="5"/>
      <c r="J1932" s="5"/>
      <c r="K1932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932" s="5"/>
      <c r="M1932" s="5"/>
      <c r="N1932" s="5"/>
      <c r="O1932" s="5"/>
      <c r="P1932" s="5"/>
      <c r="Q1932" s="5"/>
      <c r="R1932" s="5" t="str">
        <f ca="1">IFERROR(__xludf.DUMMYFUNCTION("""COMPUTED_VALUE"""),"România")</f>
        <v>România</v>
      </c>
      <c r="S1932" s="5" t="str">
        <f ca="1">IFERROR(__xludf.DUMMYFUNCTION("""COMPUTED_VALUE"""),"Octavian")</f>
        <v>Octavian</v>
      </c>
      <c r="T1932" s="7" t="str">
        <f ca="1">IFERROR(__xludf.DUMMYFUNCTION("""COMPUTED_VALUE"""),"http://www.ms.ro/2020/08/21/buletin-informativ-21-08-2020")</f>
        <v>http://www.ms.ro/2020/08/21/buletin-informativ-21-08-2020</v>
      </c>
      <c r="U1932" s="5"/>
      <c r="V1932" s="5"/>
      <c r="W1932" s="5"/>
      <c r="X1932" s="5"/>
      <c r="Y1932" s="5"/>
      <c r="Z1932" s="5"/>
      <c r="AA1932" s="5"/>
      <c r="AB1932" s="5"/>
      <c r="AC1932" s="5"/>
    </row>
    <row r="1933" spans="1:29" ht="12.5">
      <c r="A1933" s="5">
        <f ca="1">IFERROR(__xludf.DUMMYFUNCTION("""COMPUTED_VALUE"""),75176)</f>
        <v>75176</v>
      </c>
      <c r="B1933" s="5"/>
      <c r="C1933" s="5" t="str">
        <f ca="1">IFERROR(__xludf.DUMMYFUNCTION("""COMPUTED_VALUE"""),"Bihor")</f>
        <v>Bihor</v>
      </c>
      <c r="D1933" s="13">
        <f ca="1">IFERROR(__xludf.DUMMYFUNCTION("""COMPUTED_VALUE"""),44064)</f>
        <v>44064</v>
      </c>
      <c r="E1933" s="5" t="str">
        <f ca="1">IFERROR(__xludf.DUMMYFUNCTION("""COMPUTED_VALUE"""),"Nu")</f>
        <v>Nu</v>
      </c>
      <c r="F1933" s="5"/>
      <c r="G1933" s="5"/>
      <c r="H1933" s="6"/>
      <c r="I1933" s="5"/>
      <c r="J1933" s="5"/>
      <c r="K1933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933" s="5"/>
      <c r="M1933" s="5"/>
      <c r="N1933" s="5"/>
      <c r="O1933" s="5"/>
      <c r="P1933" s="5"/>
      <c r="Q1933" s="5"/>
      <c r="R1933" s="5" t="str">
        <f ca="1">IFERROR(__xludf.DUMMYFUNCTION("""COMPUTED_VALUE"""),"România")</f>
        <v>România</v>
      </c>
      <c r="S1933" s="5" t="str">
        <f ca="1">IFERROR(__xludf.DUMMYFUNCTION("""COMPUTED_VALUE"""),"Octavian")</f>
        <v>Octavian</v>
      </c>
      <c r="T1933" s="7" t="str">
        <f ca="1">IFERROR(__xludf.DUMMYFUNCTION("""COMPUTED_VALUE"""),"http://www.ms.ro/2020/08/21/buletin-informativ-21-08-2020")</f>
        <v>http://www.ms.ro/2020/08/21/buletin-informativ-21-08-2020</v>
      </c>
      <c r="U1933" s="5"/>
      <c r="V1933" s="5"/>
      <c r="W1933" s="5"/>
      <c r="X1933" s="5"/>
      <c r="Y1933" s="5"/>
      <c r="Z1933" s="5"/>
      <c r="AA1933" s="5"/>
      <c r="AB1933" s="5"/>
      <c r="AC1933" s="5"/>
    </row>
    <row r="1934" spans="1:29" ht="12.5">
      <c r="A1934" s="5">
        <f ca="1">IFERROR(__xludf.DUMMYFUNCTION("""COMPUTED_VALUE"""),75177)</f>
        <v>75177</v>
      </c>
      <c r="B1934" s="5"/>
      <c r="C1934" s="5" t="str">
        <f ca="1">IFERROR(__xludf.DUMMYFUNCTION("""COMPUTED_VALUE"""),"Bihor")</f>
        <v>Bihor</v>
      </c>
      <c r="D1934" s="13">
        <f ca="1">IFERROR(__xludf.DUMMYFUNCTION("""COMPUTED_VALUE"""),44064)</f>
        <v>44064</v>
      </c>
      <c r="E1934" s="5" t="str">
        <f ca="1">IFERROR(__xludf.DUMMYFUNCTION("""COMPUTED_VALUE"""),"Nu")</f>
        <v>Nu</v>
      </c>
      <c r="F1934" s="5"/>
      <c r="G1934" s="5"/>
      <c r="H1934" s="6"/>
      <c r="I1934" s="5"/>
      <c r="J1934" s="5"/>
      <c r="K1934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934" s="5"/>
      <c r="M1934" s="5"/>
      <c r="N1934" s="5"/>
      <c r="O1934" s="5"/>
      <c r="P1934" s="5"/>
      <c r="Q1934" s="5"/>
      <c r="R1934" s="5" t="str">
        <f ca="1">IFERROR(__xludf.DUMMYFUNCTION("""COMPUTED_VALUE"""),"România")</f>
        <v>România</v>
      </c>
      <c r="S1934" s="5" t="str">
        <f ca="1">IFERROR(__xludf.DUMMYFUNCTION("""COMPUTED_VALUE"""),"Octavian")</f>
        <v>Octavian</v>
      </c>
      <c r="T1934" s="7" t="str">
        <f ca="1">IFERROR(__xludf.DUMMYFUNCTION("""COMPUTED_VALUE"""),"http://www.ms.ro/2020/08/21/buletin-informativ-21-08-2020")</f>
        <v>http://www.ms.ro/2020/08/21/buletin-informativ-21-08-2020</v>
      </c>
      <c r="U1934" s="5"/>
      <c r="V1934" s="5"/>
      <c r="W1934" s="5"/>
      <c r="X1934" s="5"/>
      <c r="Y1934" s="5"/>
      <c r="Z1934" s="5"/>
      <c r="AA1934" s="5"/>
      <c r="AB1934" s="5"/>
      <c r="AC1934" s="5"/>
    </row>
    <row r="1935" spans="1:29" ht="12.5">
      <c r="A1935" s="5">
        <f ca="1">IFERROR(__xludf.DUMMYFUNCTION("""COMPUTED_VALUE"""),75178)</f>
        <v>75178</v>
      </c>
      <c r="B1935" s="5"/>
      <c r="C1935" s="5" t="str">
        <f ca="1">IFERROR(__xludf.DUMMYFUNCTION("""COMPUTED_VALUE"""),"Bihor")</f>
        <v>Bihor</v>
      </c>
      <c r="D1935" s="13">
        <f ca="1">IFERROR(__xludf.DUMMYFUNCTION("""COMPUTED_VALUE"""),44064)</f>
        <v>44064</v>
      </c>
      <c r="E1935" s="5" t="str">
        <f ca="1">IFERROR(__xludf.DUMMYFUNCTION("""COMPUTED_VALUE"""),"Nu")</f>
        <v>Nu</v>
      </c>
      <c r="F1935" s="5"/>
      <c r="G1935" s="5"/>
      <c r="H1935" s="6"/>
      <c r="I1935" s="5"/>
      <c r="J1935" s="5"/>
      <c r="K1935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935" s="5"/>
      <c r="M1935" s="5"/>
      <c r="N1935" s="5"/>
      <c r="O1935" s="5"/>
      <c r="P1935" s="5"/>
      <c r="Q1935" s="5"/>
      <c r="R1935" s="5" t="str">
        <f ca="1">IFERROR(__xludf.DUMMYFUNCTION("""COMPUTED_VALUE"""),"România")</f>
        <v>România</v>
      </c>
      <c r="S1935" s="5" t="str">
        <f ca="1">IFERROR(__xludf.DUMMYFUNCTION("""COMPUTED_VALUE"""),"Octavian")</f>
        <v>Octavian</v>
      </c>
      <c r="T1935" s="7" t="str">
        <f ca="1">IFERROR(__xludf.DUMMYFUNCTION("""COMPUTED_VALUE"""),"http://www.ms.ro/2020/08/21/buletin-informativ-21-08-2020")</f>
        <v>http://www.ms.ro/2020/08/21/buletin-informativ-21-08-2020</v>
      </c>
      <c r="U1935" s="5"/>
      <c r="V1935" s="5"/>
      <c r="W1935" s="5"/>
      <c r="X1935" s="5"/>
      <c r="Y1935" s="5"/>
      <c r="Z1935" s="5"/>
      <c r="AA1935" s="5"/>
      <c r="AB1935" s="5"/>
      <c r="AC1935" s="5"/>
    </row>
    <row r="1936" spans="1:29" ht="12.5">
      <c r="A1936" s="5">
        <f ca="1">IFERROR(__xludf.DUMMYFUNCTION("""COMPUTED_VALUE"""),75179)</f>
        <v>75179</v>
      </c>
      <c r="B1936" s="5"/>
      <c r="C1936" s="5" t="str">
        <f ca="1">IFERROR(__xludf.DUMMYFUNCTION("""COMPUTED_VALUE"""),"Bihor")</f>
        <v>Bihor</v>
      </c>
      <c r="D1936" s="13">
        <f ca="1">IFERROR(__xludf.DUMMYFUNCTION("""COMPUTED_VALUE"""),44064)</f>
        <v>44064</v>
      </c>
      <c r="E1936" s="5" t="str">
        <f ca="1">IFERROR(__xludf.DUMMYFUNCTION("""COMPUTED_VALUE"""),"Nu")</f>
        <v>Nu</v>
      </c>
      <c r="F1936" s="5"/>
      <c r="G1936" s="5"/>
      <c r="H1936" s="6"/>
      <c r="I1936" s="5"/>
      <c r="J1936" s="5"/>
      <c r="K1936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936" s="5"/>
      <c r="M1936" s="5"/>
      <c r="N1936" s="5"/>
      <c r="O1936" s="5"/>
      <c r="P1936" s="5"/>
      <c r="Q1936" s="5"/>
      <c r="R1936" s="5" t="str">
        <f ca="1">IFERROR(__xludf.DUMMYFUNCTION("""COMPUTED_VALUE"""),"România")</f>
        <v>România</v>
      </c>
      <c r="S1936" s="5" t="str">
        <f ca="1">IFERROR(__xludf.DUMMYFUNCTION("""COMPUTED_VALUE"""),"Octavian")</f>
        <v>Octavian</v>
      </c>
      <c r="T1936" s="7" t="str">
        <f ca="1">IFERROR(__xludf.DUMMYFUNCTION("""COMPUTED_VALUE"""),"http://www.ms.ro/2020/08/21/buletin-informativ-21-08-2020")</f>
        <v>http://www.ms.ro/2020/08/21/buletin-informativ-21-08-2020</v>
      </c>
      <c r="U1936" s="5"/>
      <c r="V1936" s="5"/>
      <c r="W1936" s="5"/>
      <c r="X1936" s="5"/>
      <c r="Y1936" s="5"/>
      <c r="Z1936" s="5"/>
      <c r="AA1936" s="5"/>
      <c r="AB1936" s="5"/>
      <c r="AC1936" s="5"/>
    </row>
    <row r="1937" spans="1:29" ht="12.5">
      <c r="A1937" s="5">
        <f ca="1">IFERROR(__xludf.DUMMYFUNCTION("""COMPUTED_VALUE"""),75180)</f>
        <v>75180</v>
      </c>
      <c r="B1937" s="5"/>
      <c r="C1937" s="5" t="str">
        <f ca="1">IFERROR(__xludf.DUMMYFUNCTION("""COMPUTED_VALUE"""),"Bihor")</f>
        <v>Bihor</v>
      </c>
      <c r="D1937" s="13">
        <f ca="1">IFERROR(__xludf.DUMMYFUNCTION("""COMPUTED_VALUE"""),44064)</f>
        <v>44064</v>
      </c>
      <c r="E1937" s="5" t="str">
        <f ca="1">IFERROR(__xludf.DUMMYFUNCTION("""COMPUTED_VALUE"""),"Nu")</f>
        <v>Nu</v>
      </c>
      <c r="F1937" s="5"/>
      <c r="G1937" s="5"/>
      <c r="H1937" s="6"/>
      <c r="I1937" s="5"/>
      <c r="J1937" s="5"/>
      <c r="K1937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937" s="5"/>
      <c r="M1937" s="5"/>
      <c r="N1937" s="5"/>
      <c r="O1937" s="5"/>
      <c r="P1937" s="5"/>
      <c r="Q1937" s="5"/>
      <c r="R1937" s="5" t="str">
        <f ca="1">IFERROR(__xludf.DUMMYFUNCTION("""COMPUTED_VALUE"""),"România")</f>
        <v>România</v>
      </c>
      <c r="S1937" s="5" t="str">
        <f ca="1">IFERROR(__xludf.DUMMYFUNCTION("""COMPUTED_VALUE"""),"Octavian")</f>
        <v>Octavian</v>
      </c>
      <c r="T1937" s="7" t="str">
        <f ca="1">IFERROR(__xludf.DUMMYFUNCTION("""COMPUTED_VALUE"""),"http://www.ms.ro/2020/08/21/buletin-informativ-21-08-2020")</f>
        <v>http://www.ms.ro/2020/08/21/buletin-informativ-21-08-2020</v>
      </c>
      <c r="U1937" s="5"/>
      <c r="V1937" s="5"/>
      <c r="W1937" s="5"/>
      <c r="X1937" s="5"/>
      <c r="Y1937" s="5"/>
      <c r="Z1937" s="5"/>
      <c r="AA1937" s="5"/>
      <c r="AB1937" s="5"/>
      <c r="AC1937" s="5"/>
    </row>
    <row r="1938" spans="1:29" ht="12.5">
      <c r="A1938" s="5">
        <f ca="1">IFERROR(__xludf.DUMMYFUNCTION("""COMPUTED_VALUE"""),75181)</f>
        <v>75181</v>
      </c>
      <c r="B1938" s="5"/>
      <c r="C1938" s="5" t="str">
        <f ca="1">IFERROR(__xludf.DUMMYFUNCTION("""COMPUTED_VALUE"""),"Bihor")</f>
        <v>Bihor</v>
      </c>
      <c r="D1938" s="13">
        <f ca="1">IFERROR(__xludf.DUMMYFUNCTION("""COMPUTED_VALUE"""),44064)</f>
        <v>44064</v>
      </c>
      <c r="E1938" s="5" t="str">
        <f ca="1">IFERROR(__xludf.DUMMYFUNCTION("""COMPUTED_VALUE"""),"Nu")</f>
        <v>Nu</v>
      </c>
      <c r="F1938" s="5"/>
      <c r="G1938" s="5"/>
      <c r="H1938" s="6"/>
      <c r="I1938" s="5"/>
      <c r="J1938" s="5"/>
      <c r="K1938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938" s="5"/>
      <c r="M1938" s="5"/>
      <c r="N1938" s="5"/>
      <c r="O1938" s="5"/>
      <c r="P1938" s="5"/>
      <c r="Q1938" s="5"/>
      <c r="R1938" s="5" t="str">
        <f ca="1">IFERROR(__xludf.DUMMYFUNCTION("""COMPUTED_VALUE"""),"România")</f>
        <v>România</v>
      </c>
      <c r="S1938" s="5" t="str">
        <f ca="1">IFERROR(__xludf.DUMMYFUNCTION("""COMPUTED_VALUE"""),"Octavian")</f>
        <v>Octavian</v>
      </c>
      <c r="T1938" s="7" t="str">
        <f ca="1">IFERROR(__xludf.DUMMYFUNCTION("""COMPUTED_VALUE"""),"http://www.ms.ro/2020/08/21/buletin-informativ-21-08-2020")</f>
        <v>http://www.ms.ro/2020/08/21/buletin-informativ-21-08-2020</v>
      </c>
      <c r="U1938" s="5"/>
      <c r="V1938" s="5"/>
      <c r="W1938" s="5"/>
      <c r="X1938" s="5"/>
      <c r="Y1938" s="5"/>
      <c r="Z1938" s="5"/>
      <c r="AA1938" s="5"/>
      <c r="AB1938" s="5"/>
      <c r="AC1938" s="5"/>
    </row>
    <row r="1939" spans="1:29" ht="12.5">
      <c r="A1939" s="5">
        <f ca="1">IFERROR(__xludf.DUMMYFUNCTION("""COMPUTED_VALUE"""),75182)</f>
        <v>75182</v>
      </c>
      <c r="B1939" s="5"/>
      <c r="C1939" s="5" t="str">
        <f ca="1">IFERROR(__xludf.DUMMYFUNCTION("""COMPUTED_VALUE"""),"Bihor")</f>
        <v>Bihor</v>
      </c>
      <c r="D1939" s="13">
        <f ca="1">IFERROR(__xludf.DUMMYFUNCTION("""COMPUTED_VALUE"""),44064)</f>
        <v>44064</v>
      </c>
      <c r="E1939" s="5" t="str">
        <f ca="1">IFERROR(__xludf.DUMMYFUNCTION("""COMPUTED_VALUE"""),"Nu")</f>
        <v>Nu</v>
      </c>
      <c r="F1939" s="5"/>
      <c r="G1939" s="5"/>
      <c r="H1939" s="6"/>
      <c r="I1939" s="5"/>
      <c r="J1939" s="5"/>
      <c r="K1939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939" s="5"/>
      <c r="M1939" s="5"/>
      <c r="N1939" s="5"/>
      <c r="O1939" s="5"/>
      <c r="P1939" s="5"/>
      <c r="Q1939" s="5"/>
      <c r="R1939" s="5" t="str">
        <f ca="1">IFERROR(__xludf.DUMMYFUNCTION("""COMPUTED_VALUE"""),"România")</f>
        <v>România</v>
      </c>
      <c r="S1939" s="5" t="str">
        <f ca="1">IFERROR(__xludf.DUMMYFUNCTION("""COMPUTED_VALUE"""),"Octavian")</f>
        <v>Octavian</v>
      </c>
      <c r="T1939" s="7" t="str">
        <f ca="1">IFERROR(__xludf.DUMMYFUNCTION("""COMPUTED_VALUE"""),"http://www.ms.ro/2020/08/21/buletin-informativ-21-08-2020")</f>
        <v>http://www.ms.ro/2020/08/21/buletin-informativ-21-08-2020</v>
      </c>
      <c r="U1939" s="5"/>
      <c r="V1939" s="5"/>
      <c r="W1939" s="5"/>
      <c r="X1939" s="5"/>
      <c r="Y1939" s="5"/>
      <c r="Z1939" s="5"/>
      <c r="AA1939" s="5"/>
      <c r="AB1939" s="5"/>
      <c r="AC1939" s="5"/>
    </row>
    <row r="1940" spans="1:29" ht="12.5">
      <c r="A1940" s="5">
        <f ca="1">IFERROR(__xludf.DUMMYFUNCTION("""COMPUTED_VALUE"""),75183)</f>
        <v>75183</v>
      </c>
      <c r="B1940" s="5"/>
      <c r="C1940" s="5" t="str">
        <f ca="1">IFERROR(__xludf.DUMMYFUNCTION("""COMPUTED_VALUE"""),"Bihor")</f>
        <v>Bihor</v>
      </c>
      <c r="D1940" s="13">
        <f ca="1">IFERROR(__xludf.DUMMYFUNCTION("""COMPUTED_VALUE"""),44064)</f>
        <v>44064</v>
      </c>
      <c r="E1940" s="5" t="str">
        <f ca="1">IFERROR(__xludf.DUMMYFUNCTION("""COMPUTED_VALUE"""),"Nu")</f>
        <v>Nu</v>
      </c>
      <c r="F1940" s="5"/>
      <c r="G1940" s="5"/>
      <c r="H1940" s="6"/>
      <c r="I1940" s="5"/>
      <c r="J1940" s="5"/>
      <c r="K1940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940" s="5"/>
      <c r="M1940" s="5"/>
      <c r="N1940" s="5"/>
      <c r="O1940" s="5"/>
      <c r="P1940" s="5"/>
      <c r="Q1940" s="5"/>
      <c r="R1940" s="5" t="str">
        <f ca="1">IFERROR(__xludf.DUMMYFUNCTION("""COMPUTED_VALUE"""),"România")</f>
        <v>România</v>
      </c>
      <c r="S1940" s="5" t="str">
        <f ca="1">IFERROR(__xludf.DUMMYFUNCTION("""COMPUTED_VALUE"""),"Octavian")</f>
        <v>Octavian</v>
      </c>
      <c r="T1940" s="7" t="str">
        <f ca="1">IFERROR(__xludf.DUMMYFUNCTION("""COMPUTED_VALUE"""),"http://www.ms.ro/2020/08/21/buletin-informativ-21-08-2020")</f>
        <v>http://www.ms.ro/2020/08/21/buletin-informativ-21-08-2020</v>
      </c>
      <c r="U1940" s="5"/>
      <c r="V1940" s="5"/>
      <c r="W1940" s="5"/>
      <c r="X1940" s="5"/>
      <c r="Y1940" s="5"/>
      <c r="Z1940" s="5"/>
      <c r="AA1940" s="5"/>
      <c r="AB1940" s="5"/>
      <c r="AC1940" s="5"/>
    </row>
    <row r="1941" spans="1:29" ht="12.5">
      <c r="A1941" s="5">
        <f ca="1">IFERROR(__xludf.DUMMYFUNCTION("""COMPUTED_VALUE"""),75184)</f>
        <v>75184</v>
      </c>
      <c r="B1941" s="5"/>
      <c r="C1941" s="5" t="str">
        <f ca="1">IFERROR(__xludf.DUMMYFUNCTION("""COMPUTED_VALUE"""),"Bihor")</f>
        <v>Bihor</v>
      </c>
      <c r="D1941" s="13">
        <f ca="1">IFERROR(__xludf.DUMMYFUNCTION("""COMPUTED_VALUE"""),44064)</f>
        <v>44064</v>
      </c>
      <c r="E1941" s="5" t="str">
        <f ca="1">IFERROR(__xludf.DUMMYFUNCTION("""COMPUTED_VALUE"""),"Nu")</f>
        <v>Nu</v>
      </c>
      <c r="F1941" s="5"/>
      <c r="G1941" s="5"/>
      <c r="H1941" s="6"/>
      <c r="I1941" s="5"/>
      <c r="J1941" s="5"/>
      <c r="K1941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941" s="5"/>
      <c r="M1941" s="5"/>
      <c r="N1941" s="5"/>
      <c r="O1941" s="5"/>
      <c r="P1941" s="5"/>
      <c r="Q1941" s="5"/>
      <c r="R1941" s="5" t="str">
        <f ca="1">IFERROR(__xludf.DUMMYFUNCTION("""COMPUTED_VALUE"""),"România")</f>
        <v>România</v>
      </c>
      <c r="S1941" s="5" t="str">
        <f ca="1">IFERROR(__xludf.DUMMYFUNCTION("""COMPUTED_VALUE"""),"Octavian")</f>
        <v>Octavian</v>
      </c>
      <c r="T1941" s="7" t="str">
        <f ca="1">IFERROR(__xludf.DUMMYFUNCTION("""COMPUTED_VALUE"""),"http://www.ms.ro/2020/08/21/buletin-informativ-21-08-2020")</f>
        <v>http://www.ms.ro/2020/08/21/buletin-informativ-21-08-2020</v>
      </c>
      <c r="U1941" s="5"/>
      <c r="V1941" s="5"/>
      <c r="W1941" s="5"/>
      <c r="X1941" s="5"/>
      <c r="Y1941" s="5"/>
      <c r="Z1941" s="5"/>
      <c r="AA1941" s="5"/>
      <c r="AB1941" s="5"/>
      <c r="AC1941" s="5"/>
    </row>
    <row r="1942" spans="1:29" ht="12.5">
      <c r="A1942" s="5">
        <f ca="1">IFERROR(__xludf.DUMMYFUNCTION("""COMPUTED_VALUE"""),75185)</f>
        <v>75185</v>
      </c>
      <c r="B1942" s="5"/>
      <c r="C1942" s="5" t="str">
        <f ca="1">IFERROR(__xludf.DUMMYFUNCTION("""COMPUTED_VALUE"""),"Bihor")</f>
        <v>Bihor</v>
      </c>
      <c r="D1942" s="13">
        <f ca="1">IFERROR(__xludf.DUMMYFUNCTION("""COMPUTED_VALUE"""),44064)</f>
        <v>44064</v>
      </c>
      <c r="E1942" s="5" t="str">
        <f ca="1">IFERROR(__xludf.DUMMYFUNCTION("""COMPUTED_VALUE"""),"Nu")</f>
        <v>Nu</v>
      </c>
      <c r="F1942" s="5"/>
      <c r="G1942" s="5"/>
      <c r="H1942" s="6"/>
      <c r="I1942" s="5"/>
      <c r="J1942" s="5"/>
      <c r="K1942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942" s="5"/>
      <c r="M1942" s="5"/>
      <c r="N1942" s="5"/>
      <c r="O1942" s="5"/>
      <c r="P1942" s="5"/>
      <c r="Q1942" s="5"/>
      <c r="R1942" s="5" t="str">
        <f ca="1">IFERROR(__xludf.DUMMYFUNCTION("""COMPUTED_VALUE"""),"România")</f>
        <v>România</v>
      </c>
      <c r="S1942" s="5" t="str">
        <f ca="1">IFERROR(__xludf.DUMMYFUNCTION("""COMPUTED_VALUE"""),"Octavian")</f>
        <v>Octavian</v>
      </c>
      <c r="T1942" s="7" t="str">
        <f ca="1">IFERROR(__xludf.DUMMYFUNCTION("""COMPUTED_VALUE"""),"http://www.ms.ro/2020/08/21/buletin-informativ-21-08-2020")</f>
        <v>http://www.ms.ro/2020/08/21/buletin-informativ-21-08-2020</v>
      </c>
      <c r="U1942" s="5"/>
      <c r="V1942" s="5"/>
      <c r="W1942" s="5"/>
      <c r="X1942" s="5"/>
      <c r="Y1942" s="5"/>
      <c r="Z1942" s="5"/>
      <c r="AA1942" s="5"/>
      <c r="AB1942" s="5"/>
      <c r="AC1942" s="5"/>
    </row>
    <row r="1943" spans="1:29" ht="12.5">
      <c r="A1943" s="5">
        <f ca="1">IFERROR(__xludf.DUMMYFUNCTION("""COMPUTED_VALUE"""),75186)</f>
        <v>75186</v>
      </c>
      <c r="B1943" s="5"/>
      <c r="C1943" s="5" t="str">
        <f ca="1">IFERROR(__xludf.DUMMYFUNCTION("""COMPUTED_VALUE"""),"Bihor")</f>
        <v>Bihor</v>
      </c>
      <c r="D1943" s="13">
        <f ca="1">IFERROR(__xludf.DUMMYFUNCTION("""COMPUTED_VALUE"""),44064)</f>
        <v>44064</v>
      </c>
      <c r="E1943" s="5" t="str">
        <f ca="1">IFERROR(__xludf.DUMMYFUNCTION("""COMPUTED_VALUE"""),"Nu")</f>
        <v>Nu</v>
      </c>
      <c r="F1943" s="5"/>
      <c r="G1943" s="5"/>
      <c r="H1943" s="6"/>
      <c r="I1943" s="5"/>
      <c r="J1943" s="5"/>
      <c r="K1943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943" s="5"/>
      <c r="M1943" s="5"/>
      <c r="N1943" s="5"/>
      <c r="O1943" s="5"/>
      <c r="P1943" s="5"/>
      <c r="Q1943" s="5"/>
      <c r="R1943" s="5" t="str">
        <f ca="1">IFERROR(__xludf.DUMMYFUNCTION("""COMPUTED_VALUE"""),"România")</f>
        <v>România</v>
      </c>
      <c r="S1943" s="5" t="str">
        <f ca="1">IFERROR(__xludf.DUMMYFUNCTION("""COMPUTED_VALUE"""),"Octavian")</f>
        <v>Octavian</v>
      </c>
      <c r="T1943" s="7" t="str">
        <f ca="1">IFERROR(__xludf.DUMMYFUNCTION("""COMPUTED_VALUE"""),"http://www.ms.ro/2020/08/21/buletin-informativ-21-08-2020")</f>
        <v>http://www.ms.ro/2020/08/21/buletin-informativ-21-08-2020</v>
      </c>
      <c r="U1943" s="5"/>
      <c r="V1943" s="5"/>
      <c r="W1943" s="5"/>
      <c r="X1943" s="5"/>
      <c r="Y1943" s="5"/>
      <c r="Z1943" s="5"/>
      <c r="AA1943" s="5"/>
      <c r="AB1943" s="5"/>
      <c r="AC1943" s="5"/>
    </row>
    <row r="1944" spans="1:29" ht="12.5">
      <c r="A1944" s="5">
        <f ca="1">IFERROR(__xludf.DUMMYFUNCTION("""COMPUTED_VALUE"""),75187)</f>
        <v>75187</v>
      </c>
      <c r="B1944" s="5"/>
      <c r="C1944" s="5" t="str">
        <f ca="1">IFERROR(__xludf.DUMMYFUNCTION("""COMPUTED_VALUE"""),"Bihor")</f>
        <v>Bihor</v>
      </c>
      <c r="D1944" s="13">
        <f ca="1">IFERROR(__xludf.DUMMYFUNCTION("""COMPUTED_VALUE"""),44064)</f>
        <v>44064</v>
      </c>
      <c r="E1944" s="5" t="str">
        <f ca="1">IFERROR(__xludf.DUMMYFUNCTION("""COMPUTED_VALUE"""),"Nu")</f>
        <v>Nu</v>
      </c>
      <c r="F1944" s="5"/>
      <c r="G1944" s="5"/>
      <c r="H1944" s="6"/>
      <c r="I1944" s="5"/>
      <c r="J1944" s="5"/>
      <c r="K1944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944" s="5"/>
      <c r="M1944" s="5"/>
      <c r="N1944" s="5"/>
      <c r="O1944" s="5"/>
      <c r="P1944" s="5"/>
      <c r="Q1944" s="5"/>
      <c r="R1944" s="5" t="str">
        <f ca="1">IFERROR(__xludf.DUMMYFUNCTION("""COMPUTED_VALUE"""),"România")</f>
        <v>România</v>
      </c>
      <c r="S1944" s="5" t="str">
        <f ca="1">IFERROR(__xludf.DUMMYFUNCTION("""COMPUTED_VALUE"""),"Octavian")</f>
        <v>Octavian</v>
      </c>
      <c r="T1944" s="7" t="str">
        <f ca="1">IFERROR(__xludf.DUMMYFUNCTION("""COMPUTED_VALUE"""),"http://www.ms.ro/2020/08/21/buletin-informativ-21-08-2020")</f>
        <v>http://www.ms.ro/2020/08/21/buletin-informativ-21-08-2020</v>
      </c>
      <c r="U1944" s="5"/>
      <c r="V1944" s="5"/>
      <c r="W1944" s="5"/>
      <c r="X1944" s="5"/>
      <c r="Y1944" s="5"/>
      <c r="Z1944" s="5"/>
      <c r="AA1944" s="5"/>
      <c r="AB1944" s="5"/>
      <c r="AC1944" s="5"/>
    </row>
    <row r="1945" spans="1:29" ht="12.5">
      <c r="A1945" s="5">
        <f ca="1">IFERROR(__xludf.DUMMYFUNCTION("""COMPUTED_VALUE"""),75188)</f>
        <v>75188</v>
      </c>
      <c r="B1945" s="5"/>
      <c r="C1945" s="5" t="str">
        <f ca="1">IFERROR(__xludf.DUMMYFUNCTION("""COMPUTED_VALUE"""),"Bihor")</f>
        <v>Bihor</v>
      </c>
      <c r="D1945" s="13">
        <f ca="1">IFERROR(__xludf.DUMMYFUNCTION("""COMPUTED_VALUE"""),44064)</f>
        <v>44064</v>
      </c>
      <c r="E1945" s="5" t="str">
        <f ca="1">IFERROR(__xludf.DUMMYFUNCTION("""COMPUTED_VALUE"""),"Nu")</f>
        <v>Nu</v>
      </c>
      <c r="F1945" s="5"/>
      <c r="G1945" s="5"/>
      <c r="H1945" s="6"/>
      <c r="I1945" s="5"/>
      <c r="J1945" s="5"/>
      <c r="K1945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945" s="5"/>
      <c r="M1945" s="5"/>
      <c r="N1945" s="5"/>
      <c r="O1945" s="5"/>
      <c r="P1945" s="5"/>
      <c r="Q1945" s="5"/>
      <c r="R1945" s="5" t="str">
        <f ca="1">IFERROR(__xludf.DUMMYFUNCTION("""COMPUTED_VALUE"""),"România")</f>
        <v>România</v>
      </c>
      <c r="S1945" s="5" t="str">
        <f ca="1">IFERROR(__xludf.DUMMYFUNCTION("""COMPUTED_VALUE"""),"Octavian")</f>
        <v>Octavian</v>
      </c>
      <c r="T1945" s="7" t="str">
        <f ca="1">IFERROR(__xludf.DUMMYFUNCTION("""COMPUTED_VALUE"""),"http://www.ms.ro/2020/08/21/buletin-informativ-21-08-2020")</f>
        <v>http://www.ms.ro/2020/08/21/buletin-informativ-21-08-2020</v>
      </c>
      <c r="U1945" s="5"/>
      <c r="V1945" s="5"/>
      <c r="W1945" s="5"/>
      <c r="X1945" s="5"/>
      <c r="Y1945" s="5"/>
      <c r="Z1945" s="5"/>
      <c r="AA1945" s="5"/>
      <c r="AB1945" s="5"/>
      <c r="AC1945" s="5"/>
    </row>
    <row r="1946" spans="1:29" ht="12.5">
      <c r="A1946" s="5">
        <f ca="1">IFERROR(__xludf.DUMMYFUNCTION("""COMPUTED_VALUE"""),75189)</f>
        <v>75189</v>
      </c>
      <c r="B1946" s="5"/>
      <c r="C1946" s="5" t="str">
        <f ca="1">IFERROR(__xludf.DUMMYFUNCTION("""COMPUTED_VALUE"""),"Bihor")</f>
        <v>Bihor</v>
      </c>
      <c r="D1946" s="13">
        <f ca="1">IFERROR(__xludf.DUMMYFUNCTION("""COMPUTED_VALUE"""),44064)</f>
        <v>44064</v>
      </c>
      <c r="E1946" s="5" t="str">
        <f ca="1">IFERROR(__xludf.DUMMYFUNCTION("""COMPUTED_VALUE"""),"Nu")</f>
        <v>Nu</v>
      </c>
      <c r="F1946" s="5"/>
      <c r="G1946" s="5"/>
      <c r="H1946" s="6"/>
      <c r="I1946" s="5"/>
      <c r="J1946" s="5"/>
      <c r="K1946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946" s="5"/>
      <c r="M1946" s="5"/>
      <c r="N1946" s="5"/>
      <c r="O1946" s="5"/>
      <c r="P1946" s="5"/>
      <c r="Q1946" s="5"/>
      <c r="R1946" s="5" t="str">
        <f ca="1">IFERROR(__xludf.DUMMYFUNCTION("""COMPUTED_VALUE"""),"România")</f>
        <v>România</v>
      </c>
      <c r="S1946" s="5" t="str">
        <f ca="1">IFERROR(__xludf.DUMMYFUNCTION("""COMPUTED_VALUE"""),"Octavian")</f>
        <v>Octavian</v>
      </c>
      <c r="T1946" s="7" t="str">
        <f ca="1">IFERROR(__xludf.DUMMYFUNCTION("""COMPUTED_VALUE"""),"http://www.ms.ro/2020/08/21/buletin-informativ-21-08-2020")</f>
        <v>http://www.ms.ro/2020/08/21/buletin-informativ-21-08-2020</v>
      </c>
      <c r="U1946" s="5"/>
      <c r="V1946" s="5"/>
      <c r="W1946" s="5"/>
      <c r="X1946" s="5"/>
      <c r="Y1946" s="5"/>
      <c r="Z1946" s="5"/>
      <c r="AA1946" s="5"/>
      <c r="AB1946" s="5"/>
      <c r="AC1946" s="5"/>
    </row>
    <row r="1947" spans="1:29" ht="12.5">
      <c r="A1947" s="5">
        <f ca="1">IFERROR(__xludf.DUMMYFUNCTION("""COMPUTED_VALUE"""),75190)</f>
        <v>75190</v>
      </c>
      <c r="B1947" s="5"/>
      <c r="C1947" s="5" t="str">
        <f ca="1">IFERROR(__xludf.DUMMYFUNCTION("""COMPUTED_VALUE"""),"Bihor")</f>
        <v>Bihor</v>
      </c>
      <c r="D1947" s="13">
        <f ca="1">IFERROR(__xludf.DUMMYFUNCTION("""COMPUTED_VALUE"""),44064)</f>
        <v>44064</v>
      </c>
      <c r="E1947" s="5" t="str">
        <f ca="1">IFERROR(__xludf.DUMMYFUNCTION("""COMPUTED_VALUE"""),"Nu")</f>
        <v>Nu</v>
      </c>
      <c r="F1947" s="5"/>
      <c r="G1947" s="5"/>
      <c r="H1947" s="6"/>
      <c r="I1947" s="5"/>
      <c r="J1947" s="5"/>
      <c r="K1947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947" s="5"/>
      <c r="M1947" s="5"/>
      <c r="N1947" s="5"/>
      <c r="O1947" s="5"/>
      <c r="P1947" s="5"/>
      <c r="Q1947" s="5"/>
      <c r="R1947" s="5" t="str">
        <f ca="1">IFERROR(__xludf.DUMMYFUNCTION("""COMPUTED_VALUE"""),"România")</f>
        <v>România</v>
      </c>
      <c r="S1947" s="5" t="str">
        <f ca="1">IFERROR(__xludf.DUMMYFUNCTION("""COMPUTED_VALUE"""),"Octavian")</f>
        <v>Octavian</v>
      </c>
      <c r="T1947" s="7" t="str">
        <f ca="1">IFERROR(__xludf.DUMMYFUNCTION("""COMPUTED_VALUE"""),"http://www.ms.ro/2020/08/21/buletin-informativ-21-08-2020")</f>
        <v>http://www.ms.ro/2020/08/21/buletin-informativ-21-08-2020</v>
      </c>
      <c r="U1947" s="5"/>
      <c r="V1947" s="5"/>
      <c r="W1947" s="5"/>
      <c r="X1947" s="5"/>
      <c r="Y1947" s="5"/>
      <c r="Z1947" s="5"/>
      <c r="AA1947" s="5"/>
      <c r="AB1947" s="5"/>
      <c r="AC1947" s="5"/>
    </row>
    <row r="1948" spans="1:29" ht="12.5">
      <c r="A1948" s="5">
        <f ca="1">IFERROR(__xludf.DUMMYFUNCTION("""COMPUTED_VALUE"""),75191)</f>
        <v>75191</v>
      </c>
      <c r="B1948" s="5"/>
      <c r="C1948" s="5" t="str">
        <f ca="1">IFERROR(__xludf.DUMMYFUNCTION("""COMPUTED_VALUE"""),"Bihor")</f>
        <v>Bihor</v>
      </c>
      <c r="D1948" s="13">
        <f ca="1">IFERROR(__xludf.DUMMYFUNCTION("""COMPUTED_VALUE"""),44064)</f>
        <v>44064</v>
      </c>
      <c r="E1948" s="5" t="str">
        <f ca="1">IFERROR(__xludf.DUMMYFUNCTION("""COMPUTED_VALUE"""),"Nu")</f>
        <v>Nu</v>
      </c>
      <c r="F1948" s="5"/>
      <c r="G1948" s="5"/>
      <c r="H1948" s="6"/>
      <c r="I1948" s="5"/>
      <c r="J1948" s="5"/>
      <c r="K1948" s="7" t="str">
        <f ca="1">IFERROR(__xludf.DUMMYFUNCTION("""COMPUTED_VALUE"""),"https://www.ebihoreanul.ro/stiri/record-negru-in-bihor-cu-6-morti-si-67-noi-imbolnaviri-de-covid-ne-apropiem-de-2000-cazuri-in-total-si-peste-1000-cazuri-active-158328.html")</f>
        <v>https://www.ebihoreanul.ro/stiri/record-negru-in-bihor-cu-6-morti-si-67-noi-imbolnaviri-de-covid-ne-apropiem-de-2000-cazuri-in-total-si-peste-1000-cazuri-active-158328.html</v>
      </c>
      <c r="L1948" s="5"/>
      <c r="M1948" s="5"/>
      <c r="N1948" s="5"/>
      <c r="O1948" s="5"/>
      <c r="P1948" s="5"/>
      <c r="Q1948" s="5"/>
      <c r="R1948" s="5" t="str">
        <f ca="1">IFERROR(__xludf.DUMMYFUNCTION("""COMPUTED_VALUE"""),"România")</f>
        <v>România</v>
      </c>
      <c r="S1948" s="5" t="str">
        <f ca="1">IFERROR(__xludf.DUMMYFUNCTION("""COMPUTED_VALUE"""),"Octavian")</f>
        <v>Octavian</v>
      </c>
      <c r="T1948" s="7" t="str">
        <f ca="1">IFERROR(__xludf.DUMMYFUNCTION("""COMPUTED_VALUE"""),"http://www.ms.ro/2020/08/21/buletin-informativ-21-08-2020")</f>
        <v>http://www.ms.ro/2020/08/21/buletin-informativ-21-08-2020</v>
      </c>
      <c r="U1948" s="5"/>
      <c r="V1948" s="5"/>
      <c r="W1948" s="5"/>
      <c r="X1948" s="5"/>
      <c r="Y1948" s="5"/>
      <c r="Z1948" s="5"/>
      <c r="AA1948" s="5"/>
      <c r="AB1948" s="5"/>
      <c r="AC1948" s="5"/>
    </row>
    <row r="1949" spans="1:29" ht="12.5">
      <c r="A1949" s="5">
        <f ca="1">IFERROR(__xludf.DUMMYFUNCTION("""COMPUTED_VALUE"""),76482)</f>
        <v>76482</v>
      </c>
      <c r="B1949" s="5"/>
      <c r="C1949" s="5" t="str">
        <f ca="1">IFERROR(__xludf.DUMMYFUNCTION("""COMPUTED_VALUE"""),"Bihor")</f>
        <v>Bihor</v>
      </c>
      <c r="D1949" s="13">
        <f ca="1">IFERROR(__xludf.DUMMYFUNCTION("""COMPUTED_VALUE"""),44065)</f>
        <v>44065</v>
      </c>
      <c r="E1949" s="5" t="str">
        <f ca="1">IFERROR(__xludf.DUMMYFUNCTION("""COMPUTED_VALUE"""),"Nu")</f>
        <v>Nu</v>
      </c>
      <c r="F1949" s="5"/>
      <c r="G1949" s="5"/>
      <c r="H1949" s="6"/>
      <c r="I1949" s="5"/>
      <c r="J1949" s="5"/>
      <c r="K1949" s="7" t="str">
        <f ca="1">IFERROR(__xludf.DUMMYFUNCTION("""COMPUTED_VALUE"""),"https://www.ebihoreanul.ro/stiri/niciun-deces-in-bihor-si-zeci-de-pacienti-covid-vindecati-dar-si-40-noi-imbolnaviri-inclusiv-angajati-ai-maternitatii-si-spitalului-militar-158339.html")</f>
        <v>https://www.ebihoreanul.ro/stiri/niciun-deces-in-bihor-si-zeci-de-pacienti-covid-vindecati-dar-si-40-noi-imbolnaviri-inclusiv-angajati-ai-maternitatii-si-spitalului-militar-158339.html</v>
      </c>
      <c r="L1949" s="5"/>
      <c r="M1949" s="5" t="str">
        <f ca="1">IFERROR(__xludf.DUMMYFUNCTION("""COMPUTED_VALUE"""),"Oradea")</f>
        <v>Oradea</v>
      </c>
      <c r="N1949" s="5"/>
      <c r="O1949" s="5"/>
      <c r="P1949" s="5" t="str">
        <f ca="1">IFERROR(__xludf.DUMMYFUNCTION("""COMPUTED_VALUE"""),"Maternitatea Oradea., cadru medical.")</f>
        <v>Maternitatea Oradea., cadru medical.</v>
      </c>
      <c r="Q1949" s="5" t="str">
        <f ca="1">IFERROR(__xludf.DUMMYFUNCTION("""COMPUTED_VALUE"""),"Medical")</f>
        <v>Medical</v>
      </c>
      <c r="R1949" s="5" t="str">
        <f ca="1">IFERROR(__xludf.DUMMYFUNCTION("""COMPUTED_VALUE"""),"România")</f>
        <v>România</v>
      </c>
      <c r="S1949" s="5" t="str">
        <f ca="1">IFERROR(__xludf.DUMMYFUNCTION("""COMPUTED_VALUE"""),"Octavian")</f>
        <v>Octavian</v>
      </c>
      <c r="T1949" s="7" t="str">
        <f ca="1">IFERROR(__xludf.DUMMYFUNCTION("""COMPUTED_VALUE"""),"http://www.ms.ro/2020/08/22/buletin-informativ-22-08-2020")</f>
        <v>http://www.ms.ro/2020/08/22/buletin-informativ-22-08-2020</v>
      </c>
      <c r="U1949" s="5"/>
      <c r="V1949" s="5"/>
      <c r="W1949" s="5"/>
      <c r="X1949" s="5"/>
      <c r="Y1949" s="5"/>
      <c r="Z1949" s="5"/>
      <c r="AA1949" s="5"/>
      <c r="AB1949" s="5"/>
      <c r="AC1949" s="5"/>
    </row>
    <row r="1950" spans="1:29" ht="12.5">
      <c r="A1950" s="5">
        <f ca="1">IFERROR(__xludf.DUMMYFUNCTION("""COMPUTED_VALUE"""),76483)</f>
        <v>76483</v>
      </c>
      <c r="B1950" s="5"/>
      <c r="C1950" s="5" t="str">
        <f ca="1">IFERROR(__xludf.DUMMYFUNCTION("""COMPUTED_VALUE"""),"Bihor")</f>
        <v>Bihor</v>
      </c>
      <c r="D1950" s="13">
        <f ca="1">IFERROR(__xludf.DUMMYFUNCTION("""COMPUTED_VALUE"""),44065)</f>
        <v>44065</v>
      </c>
      <c r="E1950" s="5" t="str">
        <f ca="1">IFERROR(__xludf.DUMMYFUNCTION("""COMPUTED_VALUE"""),"Nu")</f>
        <v>Nu</v>
      </c>
      <c r="F1950" s="5"/>
      <c r="G1950" s="5"/>
      <c r="H1950" s="6"/>
      <c r="I1950" s="5"/>
      <c r="J1950" s="5"/>
      <c r="K1950" s="7" t="str">
        <f ca="1">IFERROR(__xludf.DUMMYFUNCTION("""COMPUTED_VALUE"""),"https://www.ebihoreanul.ro/stiri/niciun-deces-in-bihor-si-zeci-de-pacienti-covid-vindecati-dar-si-40-noi-imbolnaviri-inclusiv-angajati-ai-maternitatii-si-spitalului-militar-158339.html")</f>
        <v>https://www.ebihoreanul.ro/stiri/niciun-deces-in-bihor-si-zeci-de-pacienti-covid-vindecati-dar-si-40-noi-imbolnaviri-inclusiv-angajati-ai-maternitatii-si-spitalului-militar-158339.html</v>
      </c>
      <c r="L1950" s="5"/>
      <c r="M1950" s="5" t="str">
        <f ca="1">IFERROR(__xludf.DUMMYFUNCTION("""COMPUTED_VALUE"""),"Oradea")</f>
        <v>Oradea</v>
      </c>
      <c r="N1950" s="5"/>
      <c r="O1950" s="5"/>
      <c r="P1950" s="5" t="str">
        <f ca="1">IFERROR(__xludf.DUMMYFUNCTION("""COMPUTED_VALUE"""),"Spitalul Militar Oradea, cadru medical.")</f>
        <v>Spitalul Militar Oradea, cadru medical.</v>
      </c>
      <c r="Q1950" s="5" t="str">
        <f ca="1">IFERROR(__xludf.DUMMYFUNCTION("""COMPUTED_VALUE"""),"Medical")</f>
        <v>Medical</v>
      </c>
      <c r="R1950" s="5" t="str">
        <f ca="1">IFERROR(__xludf.DUMMYFUNCTION("""COMPUTED_VALUE"""),"România")</f>
        <v>România</v>
      </c>
      <c r="S1950" s="5" t="str">
        <f ca="1">IFERROR(__xludf.DUMMYFUNCTION("""COMPUTED_VALUE"""),"Octavian")</f>
        <v>Octavian</v>
      </c>
      <c r="T1950" s="7" t="str">
        <f ca="1">IFERROR(__xludf.DUMMYFUNCTION("""COMPUTED_VALUE"""),"http://www.ms.ro/2020/08/22/buletin-informativ-22-08-2020")</f>
        <v>http://www.ms.ro/2020/08/22/buletin-informativ-22-08-2020</v>
      </c>
      <c r="U1950" s="5"/>
      <c r="V1950" s="5"/>
      <c r="W1950" s="5"/>
      <c r="X1950" s="5"/>
      <c r="Y1950" s="5"/>
      <c r="Z1950" s="5"/>
      <c r="AA1950" s="5"/>
      <c r="AB1950" s="5"/>
      <c r="AC1950" s="5"/>
    </row>
    <row r="1951" spans="1:29" ht="12.5">
      <c r="A1951" s="5">
        <f ca="1">IFERROR(__xludf.DUMMYFUNCTION("""COMPUTED_VALUE"""),76484)</f>
        <v>76484</v>
      </c>
      <c r="B1951" s="5"/>
      <c r="C1951" s="5" t="str">
        <f ca="1">IFERROR(__xludf.DUMMYFUNCTION("""COMPUTED_VALUE"""),"Bihor")</f>
        <v>Bihor</v>
      </c>
      <c r="D1951" s="13">
        <f ca="1">IFERROR(__xludf.DUMMYFUNCTION("""COMPUTED_VALUE"""),44065)</f>
        <v>44065</v>
      </c>
      <c r="E1951" s="5" t="str">
        <f ca="1">IFERROR(__xludf.DUMMYFUNCTION("""COMPUTED_VALUE"""),"Nu")</f>
        <v>Nu</v>
      </c>
      <c r="F1951" s="5"/>
      <c r="G1951" s="5"/>
      <c r="H1951" s="6"/>
      <c r="I1951" s="5"/>
      <c r="J1951" s="5"/>
      <c r="K1951" s="7" t="str">
        <f ca="1">IFERROR(__xludf.DUMMYFUNCTION("""COMPUTED_VALUE"""),"https://www.ebihoreanul.ro/stiri/niciun-deces-in-bihor-si-zeci-de-pacienti-covid-vindecati-dar-si-40-noi-imbolnaviri-inclusiv-angajati-ai-maternitatii-si-spitalului-militar-158339.html")</f>
        <v>https://www.ebihoreanul.ro/stiri/niciun-deces-in-bihor-si-zeci-de-pacienti-covid-vindecati-dar-si-40-noi-imbolnaviri-inclusiv-angajati-ai-maternitatii-si-spitalului-militar-158339.html</v>
      </c>
      <c r="L1951" s="5"/>
      <c r="M1951" s="5" t="str">
        <f ca="1">IFERROR(__xludf.DUMMYFUNCTION("""COMPUTED_VALUE"""),"Oradea")</f>
        <v>Oradea</v>
      </c>
      <c r="N1951" s="5"/>
      <c r="O1951" s="5"/>
      <c r="P1951" s="5" t="str">
        <f ca="1">IFERROR(__xludf.DUMMYFUNCTION("""COMPUTED_VALUE"""),"SJU, pacient.")</f>
        <v>SJU, pacient.</v>
      </c>
      <c r="Q1951" s="5" t="str">
        <f ca="1">IFERROR(__xludf.DUMMYFUNCTION("""COMPUTED_VALUE"""),"Medical")</f>
        <v>Medical</v>
      </c>
      <c r="R1951" s="5" t="str">
        <f ca="1">IFERROR(__xludf.DUMMYFUNCTION("""COMPUTED_VALUE"""),"România")</f>
        <v>România</v>
      </c>
      <c r="S1951" s="5" t="str">
        <f ca="1">IFERROR(__xludf.DUMMYFUNCTION("""COMPUTED_VALUE"""),"Octavian")</f>
        <v>Octavian</v>
      </c>
      <c r="T1951" s="7" t="str">
        <f ca="1">IFERROR(__xludf.DUMMYFUNCTION("""COMPUTED_VALUE"""),"http://www.ms.ro/2020/08/22/buletin-informativ-22-08-2020")</f>
        <v>http://www.ms.ro/2020/08/22/buletin-informativ-22-08-2020</v>
      </c>
      <c r="U1951" s="5"/>
      <c r="V1951" s="5"/>
      <c r="W1951" s="5"/>
      <c r="X1951" s="5"/>
      <c r="Y1951" s="5"/>
      <c r="Z1951" s="5"/>
      <c r="AA1951" s="5"/>
      <c r="AB1951" s="5"/>
      <c r="AC1951" s="5"/>
    </row>
    <row r="1952" spans="1:29" ht="12.5">
      <c r="A1952" s="5">
        <f ca="1">IFERROR(__xludf.DUMMYFUNCTION("""COMPUTED_VALUE"""),76485)</f>
        <v>76485</v>
      </c>
      <c r="B1952" s="5"/>
      <c r="C1952" s="5" t="str">
        <f ca="1">IFERROR(__xludf.DUMMYFUNCTION("""COMPUTED_VALUE"""),"Bihor")</f>
        <v>Bihor</v>
      </c>
      <c r="D1952" s="13">
        <f ca="1">IFERROR(__xludf.DUMMYFUNCTION("""COMPUTED_VALUE"""),44065)</f>
        <v>44065</v>
      </c>
      <c r="E1952" s="5" t="str">
        <f ca="1">IFERROR(__xludf.DUMMYFUNCTION("""COMPUTED_VALUE"""),"Nu")</f>
        <v>Nu</v>
      </c>
      <c r="F1952" s="5"/>
      <c r="G1952" s="5"/>
      <c r="H1952" s="6"/>
      <c r="I1952" s="5"/>
      <c r="J1952" s="5"/>
      <c r="K1952" s="7" t="str">
        <f ca="1">IFERROR(__xludf.DUMMYFUNCTION("""COMPUTED_VALUE"""),"https://www.ebihoreanul.ro/stiri/niciun-deces-in-bihor-si-zeci-de-pacienti-covid-vindecati-dar-si-40-noi-imbolnaviri-inclusiv-angajati-ai-maternitatii-si-spitalului-militar-158339.html")</f>
        <v>https://www.ebihoreanul.ro/stiri/niciun-deces-in-bihor-si-zeci-de-pacienti-covid-vindecati-dar-si-40-noi-imbolnaviri-inclusiv-angajati-ai-maternitatii-si-spitalului-militar-158339.html</v>
      </c>
      <c r="L1952" s="5"/>
      <c r="M1952" s="5" t="str">
        <f ca="1">IFERROR(__xludf.DUMMYFUNCTION("""COMPUTED_VALUE"""),"Oradea")</f>
        <v>Oradea</v>
      </c>
      <c r="N1952" s="5"/>
      <c r="O1952" s="5"/>
      <c r="P1952" s="5" t="str">
        <f ca="1">IFERROR(__xludf.DUMMYFUNCTION("""COMPUTED_VALUE"""),"SJU, pacient.")</f>
        <v>SJU, pacient.</v>
      </c>
      <c r="Q1952" s="5" t="str">
        <f ca="1">IFERROR(__xludf.DUMMYFUNCTION("""COMPUTED_VALUE"""),"Medical")</f>
        <v>Medical</v>
      </c>
      <c r="R1952" s="5" t="str">
        <f ca="1">IFERROR(__xludf.DUMMYFUNCTION("""COMPUTED_VALUE"""),"România")</f>
        <v>România</v>
      </c>
      <c r="S1952" s="5" t="str">
        <f ca="1">IFERROR(__xludf.DUMMYFUNCTION("""COMPUTED_VALUE"""),"Octavian")</f>
        <v>Octavian</v>
      </c>
      <c r="T1952" s="7" t="str">
        <f ca="1">IFERROR(__xludf.DUMMYFUNCTION("""COMPUTED_VALUE"""),"http://www.ms.ro/2020/08/22/buletin-informativ-22-08-2020")</f>
        <v>http://www.ms.ro/2020/08/22/buletin-informativ-22-08-2020</v>
      </c>
      <c r="U1952" s="5"/>
      <c r="V1952" s="5"/>
      <c r="W1952" s="5"/>
      <c r="X1952" s="5"/>
      <c r="Y1952" s="5"/>
      <c r="Z1952" s="5"/>
      <c r="AA1952" s="5"/>
      <c r="AB1952" s="5"/>
      <c r="AC1952" s="5"/>
    </row>
    <row r="1953" spans="1:29" ht="12.5">
      <c r="A1953" s="5">
        <f ca="1">IFERROR(__xludf.DUMMYFUNCTION("""COMPUTED_VALUE"""),76486)</f>
        <v>76486</v>
      </c>
      <c r="B1953" s="5"/>
      <c r="C1953" s="5" t="str">
        <f ca="1">IFERROR(__xludf.DUMMYFUNCTION("""COMPUTED_VALUE"""),"Bihor")</f>
        <v>Bihor</v>
      </c>
      <c r="D1953" s="13">
        <f ca="1">IFERROR(__xludf.DUMMYFUNCTION("""COMPUTED_VALUE"""),44065)</f>
        <v>44065</v>
      </c>
      <c r="E1953" s="5" t="str">
        <f ca="1">IFERROR(__xludf.DUMMYFUNCTION("""COMPUTED_VALUE"""),"Nu")</f>
        <v>Nu</v>
      </c>
      <c r="F1953" s="5"/>
      <c r="G1953" s="5"/>
      <c r="H1953" s="6"/>
      <c r="I1953" s="5"/>
      <c r="J1953" s="5"/>
      <c r="K1953" s="7" t="str">
        <f ca="1">IFERROR(__xludf.DUMMYFUNCTION("""COMPUTED_VALUE"""),"https://www.ebihoreanul.ro/stiri/niciun-deces-in-bihor-si-zeci-de-pacienti-covid-vindecati-dar-si-40-noi-imbolnaviri-inclusiv-angajati-ai-maternitatii-si-spitalului-militar-158339.html")</f>
        <v>https://www.ebihoreanul.ro/stiri/niciun-deces-in-bihor-si-zeci-de-pacienti-covid-vindecati-dar-si-40-noi-imbolnaviri-inclusiv-angajati-ai-maternitatii-si-spitalului-militar-158339.html</v>
      </c>
      <c r="L1953" s="5"/>
      <c r="M1953" s="5" t="str">
        <f ca="1">IFERROR(__xludf.DUMMYFUNCTION("""COMPUTED_VALUE"""),"Salonta")</f>
        <v>Salonta</v>
      </c>
      <c r="N1953" s="5"/>
      <c r="O1953" s="5"/>
      <c r="P1953" s="5" t="str">
        <f ca="1">IFERROR(__xludf.DUMMYFUNCTION("""COMPUTED_VALUE"""),"Spital Salonta, pacient.")</f>
        <v>Spital Salonta, pacient.</v>
      </c>
      <c r="Q1953" s="5" t="str">
        <f ca="1">IFERROR(__xludf.DUMMYFUNCTION("""COMPUTED_VALUE"""),"Medical")</f>
        <v>Medical</v>
      </c>
      <c r="R1953" s="5" t="str">
        <f ca="1">IFERROR(__xludf.DUMMYFUNCTION("""COMPUTED_VALUE"""),"România")</f>
        <v>România</v>
      </c>
      <c r="S1953" s="5" t="str">
        <f ca="1">IFERROR(__xludf.DUMMYFUNCTION("""COMPUTED_VALUE"""),"Octavian")</f>
        <v>Octavian</v>
      </c>
      <c r="T1953" s="7" t="str">
        <f ca="1">IFERROR(__xludf.DUMMYFUNCTION("""COMPUTED_VALUE"""),"http://www.ms.ro/2020/08/22/buletin-informativ-22-08-2020")</f>
        <v>http://www.ms.ro/2020/08/22/buletin-informativ-22-08-2020</v>
      </c>
      <c r="U1953" s="5"/>
      <c r="V1953" s="5"/>
      <c r="W1953" s="5"/>
      <c r="X1953" s="5"/>
      <c r="Y1953" s="5"/>
      <c r="Z1953" s="5"/>
      <c r="AA1953" s="5"/>
      <c r="AB1953" s="5"/>
      <c r="AC1953" s="5"/>
    </row>
    <row r="1954" spans="1:29" ht="12.5">
      <c r="A1954" s="5">
        <f ca="1">IFERROR(__xludf.DUMMYFUNCTION("""COMPUTED_VALUE"""),76487)</f>
        <v>76487</v>
      </c>
      <c r="B1954" s="5"/>
      <c r="C1954" s="5" t="str">
        <f ca="1">IFERROR(__xludf.DUMMYFUNCTION("""COMPUTED_VALUE"""),"Bihor")</f>
        <v>Bihor</v>
      </c>
      <c r="D1954" s="13">
        <f ca="1">IFERROR(__xludf.DUMMYFUNCTION("""COMPUTED_VALUE"""),44065)</f>
        <v>44065</v>
      </c>
      <c r="E1954" s="5" t="str">
        <f ca="1">IFERROR(__xludf.DUMMYFUNCTION("""COMPUTED_VALUE"""),"Nu")</f>
        <v>Nu</v>
      </c>
      <c r="F1954" s="5"/>
      <c r="G1954" s="5"/>
      <c r="H1954" s="6"/>
      <c r="I1954" s="5"/>
      <c r="J1954" s="5"/>
      <c r="K1954" s="7" t="str">
        <f ca="1">IFERROR(__xludf.DUMMYFUNCTION("""COMPUTED_VALUE"""),"https://www.ebihoreanul.ro/stiri/niciun-deces-in-bihor-si-zeci-de-pacienti-covid-vindecati-dar-si-40-noi-imbolnaviri-inclusiv-angajati-ai-maternitatii-si-spitalului-militar-158339.html")</f>
        <v>https://www.ebihoreanul.ro/stiri/niciun-deces-in-bihor-si-zeci-de-pacienti-covid-vindecati-dar-si-40-noi-imbolnaviri-inclusiv-angajati-ai-maternitatii-si-spitalului-militar-158339.html</v>
      </c>
      <c r="L1954" s="5"/>
      <c r="M1954" s="5" t="str">
        <f ca="1">IFERROR(__xludf.DUMMYFUNCTION("""COMPUTED_VALUE"""),"Salonta")</f>
        <v>Salonta</v>
      </c>
      <c r="N1954" s="5"/>
      <c r="O1954" s="5"/>
      <c r="P1954" s="5" t="str">
        <f ca="1">IFERROR(__xludf.DUMMYFUNCTION("""COMPUTED_VALUE"""),"Spital Salonta, pacient.")</f>
        <v>Spital Salonta, pacient.</v>
      </c>
      <c r="Q1954" s="5" t="str">
        <f ca="1">IFERROR(__xludf.DUMMYFUNCTION("""COMPUTED_VALUE"""),"Medical")</f>
        <v>Medical</v>
      </c>
      <c r="R1954" s="5" t="str">
        <f ca="1">IFERROR(__xludf.DUMMYFUNCTION("""COMPUTED_VALUE"""),"România")</f>
        <v>România</v>
      </c>
      <c r="S1954" s="5" t="str">
        <f ca="1">IFERROR(__xludf.DUMMYFUNCTION("""COMPUTED_VALUE"""),"Octavian")</f>
        <v>Octavian</v>
      </c>
      <c r="T1954" s="7" t="str">
        <f ca="1">IFERROR(__xludf.DUMMYFUNCTION("""COMPUTED_VALUE"""),"http://www.ms.ro/2020/08/22/buletin-informativ-22-08-2020")</f>
        <v>http://www.ms.ro/2020/08/22/buletin-informativ-22-08-2020</v>
      </c>
      <c r="U1954" s="5"/>
      <c r="V1954" s="5"/>
      <c r="W1954" s="5"/>
      <c r="X1954" s="5"/>
      <c r="Y1954" s="5"/>
      <c r="Z1954" s="5"/>
      <c r="AA1954" s="5"/>
      <c r="AB1954" s="5"/>
      <c r="AC1954" s="5"/>
    </row>
    <row r="1955" spans="1:29" ht="12.5">
      <c r="A1955" s="5">
        <f ca="1">IFERROR(__xludf.DUMMYFUNCTION("""COMPUTED_VALUE"""),76488)</f>
        <v>76488</v>
      </c>
      <c r="B1955" s="5"/>
      <c r="C1955" s="5" t="str">
        <f ca="1">IFERROR(__xludf.DUMMYFUNCTION("""COMPUTED_VALUE"""),"Bihor")</f>
        <v>Bihor</v>
      </c>
      <c r="D1955" s="13">
        <f ca="1">IFERROR(__xludf.DUMMYFUNCTION("""COMPUTED_VALUE"""),44065)</f>
        <v>44065</v>
      </c>
      <c r="E1955" s="5" t="str">
        <f ca="1">IFERROR(__xludf.DUMMYFUNCTION("""COMPUTED_VALUE"""),"Nu")</f>
        <v>Nu</v>
      </c>
      <c r="F1955" s="5"/>
      <c r="G1955" s="5"/>
      <c r="H1955" s="6"/>
      <c r="I1955" s="5"/>
      <c r="J1955" s="5"/>
      <c r="K1955" s="7" t="str">
        <f ca="1">IFERROR(__xludf.DUMMYFUNCTION("""COMPUTED_VALUE"""),"https://www.ebihoreanul.ro/stiri/niciun-deces-in-bihor-si-zeci-de-pacienti-covid-vindecati-dar-si-40-noi-imbolnaviri-inclusiv-angajati-ai-maternitatii-si-spitalului-militar-158339.html")</f>
        <v>https://www.ebihoreanul.ro/stiri/niciun-deces-in-bihor-si-zeci-de-pacienti-covid-vindecati-dar-si-40-noi-imbolnaviri-inclusiv-angajati-ai-maternitatii-si-spitalului-militar-158339.html</v>
      </c>
      <c r="L1955" s="5"/>
      <c r="M1955" s="5" t="str">
        <f ca="1">IFERROR(__xludf.DUMMYFUNCTION("""COMPUTED_VALUE"""),"Salonta")</f>
        <v>Salonta</v>
      </c>
      <c r="N1955" s="5"/>
      <c r="O1955" s="5"/>
      <c r="P1955" s="5" t="str">
        <f ca="1">IFERROR(__xludf.DUMMYFUNCTION("""COMPUTED_VALUE"""),"Spital Salonta, pacient.")</f>
        <v>Spital Salonta, pacient.</v>
      </c>
      <c r="Q1955" s="5" t="str">
        <f ca="1">IFERROR(__xludf.DUMMYFUNCTION("""COMPUTED_VALUE"""),"Medical")</f>
        <v>Medical</v>
      </c>
      <c r="R1955" s="5" t="str">
        <f ca="1">IFERROR(__xludf.DUMMYFUNCTION("""COMPUTED_VALUE"""),"România")</f>
        <v>România</v>
      </c>
      <c r="S1955" s="5" t="str">
        <f ca="1">IFERROR(__xludf.DUMMYFUNCTION("""COMPUTED_VALUE"""),"Octavian")</f>
        <v>Octavian</v>
      </c>
      <c r="T1955" s="7" t="str">
        <f ca="1">IFERROR(__xludf.DUMMYFUNCTION("""COMPUTED_VALUE"""),"http://www.ms.ro/2020/08/22/buletin-informativ-22-08-2020")</f>
        <v>http://www.ms.ro/2020/08/22/buletin-informativ-22-08-2020</v>
      </c>
      <c r="U1955" s="5"/>
      <c r="V1955" s="5"/>
      <c r="W1955" s="5"/>
      <c r="X1955" s="5"/>
      <c r="Y1955" s="5"/>
      <c r="Z1955" s="5"/>
      <c r="AA1955" s="5"/>
      <c r="AB1955" s="5"/>
      <c r="AC1955" s="5"/>
    </row>
    <row r="1956" spans="1:29" ht="12.5">
      <c r="A1956" s="5">
        <f ca="1">IFERROR(__xludf.DUMMYFUNCTION("""COMPUTED_VALUE"""),76489)</f>
        <v>76489</v>
      </c>
      <c r="B1956" s="5"/>
      <c r="C1956" s="5" t="str">
        <f ca="1">IFERROR(__xludf.DUMMYFUNCTION("""COMPUTED_VALUE"""),"Bihor")</f>
        <v>Bihor</v>
      </c>
      <c r="D1956" s="13">
        <f ca="1">IFERROR(__xludf.DUMMYFUNCTION("""COMPUTED_VALUE"""),44065)</f>
        <v>44065</v>
      </c>
      <c r="E1956" s="5" t="str">
        <f ca="1">IFERROR(__xludf.DUMMYFUNCTION("""COMPUTED_VALUE"""),"Nu")</f>
        <v>Nu</v>
      </c>
      <c r="F1956" s="5"/>
      <c r="G1956" s="5"/>
      <c r="H1956" s="6"/>
      <c r="I1956" s="5"/>
      <c r="J1956" s="5"/>
      <c r="K1956" s="7" t="str">
        <f ca="1">IFERROR(__xludf.DUMMYFUNCTION("""COMPUTED_VALUE"""),"https://www.ebihoreanul.ro/stiri/niciun-deces-in-bihor-si-zeci-de-pacienti-covid-vindecati-dar-si-40-noi-imbolnaviri-inclusiv-angajati-ai-maternitatii-si-spitalului-militar-158339.html")</f>
        <v>https://www.ebihoreanul.ro/stiri/niciun-deces-in-bihor-si-zeci-de-pacienti-covid-vindecati-dar-si-40-noi-imbolnaviri-inclusiv-angajati-ai-maternitatii-si-spitalului-militar-158339.html</v>
      </c>
      <c r="L1956" s="5"/>
      <c r="M1956" s="5" t="str">
        <f ca="1">IFERROR(__xludf.DUMMYFUNCTION("""COMPUTED_VALUE"""),"Beiuș")</f>
        <v>Beiuș</v>
      </c>
      <c r="N1956" s="5"/>
      <c r="O1956" s="5"/>
      <c r="P1956" s="5" t="str">
        <f ca="1">IFERROR(__xludf.DUMMYFUNCTION("""COMPUTED_VALUE"""),"Spital Beiuș, pacient.")</f>
        <v>Spital Beiuș, pacient.</v>
      </c>
      <c r="Q1956" s="5" t="str">
        <f ca="1">IFERROR(__xludf.DUMMYFUNCTION("""COMPUTED_VALUE"""),"Medical")</f>
        <v>Medical</v>
      </c>
      <c r="R1956" s="5" t="str">
        <f ca="1">IFERROR(__xludf.DUMMYFUNCTION("""COMPUTED_VALUE"""),"România")</f>
        <v>România</v>
      </c>
      <c r="S1956" s="5" t="str">
        <f ca="1">IFERROR(__xludf.DUMMYFUNCTION("""COMPUTED_VALUE"""),"Octavian")</f>
        <v>Octavian</v>
      </c>
      <c r="T1956" s="7" t="str">
        <f ca="1">IFERROR(__xludf.DUMMYFUNCTION("""COMPUTED_VALUE"""),"http://www.ms.ro/2020/08/22/buletin-informativ-22-08-2020")</f>
        <v>http://www.ms.ro/2020/08/22/buletin-informativ-22-08-2020</v>
      </c>
      <c r="U1956" s="5"/>
      <c r="V1956" s="5"/>
      <c r="W1956" s="5"/>
      <c r="X1956" s="5"/>
      <c r="Y1956" s="5"/>
      <c r="Z1956" s="5"/>
      <c r="AA1956" s="5"/>
      <c r="AB1956" s="5"/>
      <c r="AC1956" s="5"/>
    </row>
    <row r="1957" spans="1:29" ht="12.5">
      <c r="A1957" s="5">
        <f ca="1">IFERROR(__xludf.DUMMYFUNCTION("""COMPUTED_VALUE"""),76490)</f>
        <v>76490</v>
      </c>
      <c r="B1957" s="5"/>
      <c r="C1957" s="5" t="str">
        <f ca="1">IFERROR(__xludf.DUMMYFUNCTION("""COMPUTED_VALUE"""),"Bihor")</f>
        <v>Bihor</v>
      </c>
      <c r="D1957" s="13">
        <f ca="1">IFERROR(__xludf.DUMMYFUNCTION("""COMPUTED_VALUE"""),44065)</f>
        <v>44065</v>
      </c>
      <c r="E1957" s="5" t="str">
        <f ca="1">IFERROR(__xludf.DUMMYFUNCTION("""COMPUTED_VALUE"""),"Nu")</f>
        <v>Nu</v>
      </c>
      <c r="F1957" s="5"/>
      <c r="G1957" s="5"/>
      <c r="H1957" s="6"/>
      <c r="I1957" s="5"/>
      <c r="J1957" s="5"/>
      <c r="K1957" s="7" t="str">
        <f ca="1">IFERROR(__xludf.DUMMYFUNCTION("""COMPUTED_VALUE"""),"https://www.ebihoreanul.ro/stiri/niciun-deces-in-bihor-si-zeci-de-pacienti-covid-vindecati-dar-si-40-noi-imbolnaviri-inclusiv-angajati-ai-maternitatii-si-spitalului-militar-158339.html")</f>
        <v>https://www.ebihoreanul.ro/stiri/niciun-deces-in-bihor-si-zeci-de-pacienti-covid-vindecati-dar-si-40-noi-imbolnaviri-inclusiv-angajati-ai-maternitatii-si-spitalului-militar-158339.html</v>
      </c>
      <c r="L1957" s="5"/>
      <c r="M1957" s="5" t="str">
        <f ca="1">IFERROR(__xludf.DUMMYFUNCTION("""COMPUTED_VALUE"""),"Beiuș")</f>
        <v>Beiuș</v>
      </c>
      <c r="N1957" s="5"/>
      <c r="O1957" s="5"/>
      <c r="P1957" s="5" t="str">
        <f ca="1">IFERROR(__xludf.DUMMYFUNCTION("""COMPUTED_VALUE"""),"Spital Beiuș, pacient.")</f>
        <v>Spital Beiuș, pacient.</v>
      </c>
      <c r="Q1957" s="5" t="str">
        <f ca="1">IFERROR(__xludf.DUMMYFUNCTION("""COMPUTED_VALUE"""),"Medical")</f>
        <v>Medical</v>
      </c>
      <c r="R1957" s="5" t="str">
        <f ca="1">IFERROR(__xludf.DUMMYFUNCTION("""COMPUTED_VALUE"""),"România")</f>
        <v>România</v>
      </c>
      <c r="S1957" s="5" t="str">
        <f ca="1">IFERROR(__xludf.DUMMYFUNCTION("""COMPUTED_VALUE"""),"Octavian")</f>
        <v>Octavian</v>
      </c>
      <c r="T1957" s="7" t="str">
        <f ca="1">IFERROR(__xludf.DUMMYFUNCTION("""COMPUTED_VALUE"""),"http://www.ms.ro/2020/08/22/buletin-informativ-22-08-2020")</f>
        <v>http://www.ms.ro/2020/08/22/buletin-informativ-22-08-2020</v>
      </c>
      <c r="U1957" s="5"/>
      <c r="V1957" s="5"/>
      <c r="W1957" s="5"/>
      <c r="X1957" s="5"/>
      <c r="Y1957" s="5"/>
      <c r="Z1957" s="5"/>
      <c r="AA1957" s="5"/>
      <c r="AB1957" s="5"/>
      <c r="AC1957" s="5"/>
    </row>
    <row r="1958" spans="1:29" ht="12.5">
      <c r="A1958" s="5">
        <f ca="1">IFERROR(__xludf.DUMMYFUNCTION("""COMPUTED_VALUE"""),76491)</f>
        <v>76491</v>
      </c>
      <c r="B1958" s="5"/>
      <c r="C1958" s="5" t="str">
        <f ca="1">IFERROR(__xludf.DUMMYFUNCTION("""COMPUTED_VALUE"""),"Bihor")</f>
        <v>Bihor</v>
      </c>
      <c r="D1958" s="13">
        <f ca="1">IFERROR(__xludf.DUMMYFUNCTION("""COMPUTED_VALUE"""),44065)</f>
        <v>44065</v>
      </c>
      <c r="E1958" s="5" t="str">
        <f ca="1">IFERROR(__xludf.DUMMYFUNCTION("""COMPUTED_VALUE"""),"Nu")</f>
        <v>Nu</v>
      </c>
      <c r="F1958" s="5"/>
      <c r="G1958" s="5"/>
      <c r="H1958" s="6"/>
      <c r="I1958" s="5"/>
      <c r="J1958" s="5"/>
      <c r="K1958" s="7" t="str">
        <f ca="1">IFERROR(__xludf.DUMMYFUNCTION("""COMPUTED_VALUE"""),"https://www.ebihoreanul.ro/stiri/niciun-deces-in-bihor-si-zeci-de-pacienti-covid-vindecati-dar-si-40-noi-imbolnaviri-inclusiv-angajati-ai-maternitatii-si-spitalului-militar-158339.html")</f>
        <v>https://www.ebihoreanul.ro/stiri/niciun-deces-in-bihor-si-zeci-de-pacienti-covid-vindecati-dar-si-40-noi-imbolnaviri-inclusiv-angajati-ai-maternitatii-si-spitalului-militar-158339.html</v>
      </c>
      <c r="L1958" s="5"/>
      <c r="M1958" s="5" t="str">
        <f ca="1">IFERROR(__xludf.DUMMYFUNCTION("""COMPUTED_VALUE"""),"Ștei")</f>
        <v>Ștei</v>
      </c>
      <c r="N1958" s="5"/>
      <c r="O1958" s="5"/>
      <c r="P1958" s="5" t="str">
        <f ca="1">IFERROR(__xludf.DUMMYFUNCTION("""COMPUTED_VALUE"""),"Spital Ștei, pacient.")</f>
        <v>Spital Ștei, pacient.</v>
      </c>
      <c r="Q1958" s="5" t="str">
        <f ca="1">IFERROR(__xludf.DUMMYFUNCTION("""COMPUTED_VALUE"""),"Medical")</f>
        <v>Medical</v>
      </c>
      <c r="R1958" s="5" t="str">
        <f ca="1">IFERROR(__xludf.DUMMYFUNCTION("""COMPUTED_VALUE"""),"România")</f>
        <v>România</v>
      </c>
      <c r="S1958" s="5" t="str">
        <f ca="1">IFERROR(__xludf.DUMMYFUNCTION("""COMPUTED_VALUE"""),"Octavian")</f>
        <v>Octavian</v>
      </c>
      <c r="T1958" s="7" t="str">
        <f ca="1">IFERROR(__xludf.DUMMYFUNCTION("""COMPUTED_VALUE"""),"http://www.ms.ro/2020/08/22/buletin-informativ-22-08-2020")</f>
        <v>http://www.ms.ro/2020/08/22/buletin-informativ-22-08-2020</v>
      </c>
      <c r="U1958" s="5"/>
      <c r="V1958" s="5"/>
      <c r="W1958" s="5"/>
      <c r="X1958" s="5"/>
      <c r="Y1958" s="5"/>
      <c r="Z1958" s="5"/>
      <c r="AA1958" s="5"/>
      <c r="AB1958" s="5"/>
      <c r="AC1958" s="5"/>
    </row>
    <row r="1959" spans="1:29" ht="12.5">
      <c r="A1959" s="5">
        <f ca="1">IFERROR(__xludf.DUMMYFUNCTION("""COMPUTED_VALUE"""),76492)</f>
        <v>76492</v>
      </c>
      <c r="B1959" s="5"/>
      <c r="C1959" s="5" t="str">
        <f ca="1">IFERROR(__xludf.DUMMYFUNCTION("""COMPUTED_VALUE"""),"Bihor")</f>
        <v>Bihor</v>
      </c>
      <c r="D1959" s="13">
        <f ca="1">IFERROR(__xludf.DUMMYFUNCTION("""COMPUTED_VALUE"""),44065)</f>
        <v>44065</v>
      </c>
      <c r="E1959" s="5" t="str">
        <f ca="1">IFERROR(__xludf.DUMMYFUNCTION("""COMPUTED_VALUE"""),"Nu")</f>
        <v>Nu</v>
      </c>
      <c r="F1959" s="5"/>
      <c r="G1959" s="5"/>
      <c r="H1959" s="6"/>
      <c r="I1959" s="5"/>
      <c r="J1959" s="5"/>
      <c r="K1959" s="7" t="str">
        <f ca="1">IFERROR(__xludf.DUMMYFUNCTION("""COMPUTED_VALUE"""),"https://www.ebihoreanul.ro/stiri/niciun-deces-in-bihor-si-zeci-de-pacienti-covid-vindecati-dar-si-40-noi-imbolnaviri-inclusiv-angajati-ai-maternitatii-si-spitalului-militar-158339.html")</f>
        <v>https://www.ebihoreanul.ro/stiri/niciun-deces-in-bihor-si-zeci-de-pacienti-covid-vindecati-dar-si-40-noi-imbolnaviri-inclusiv-angajati-ai-maternitatii-si-spitalului-militar-158339.html</v>
      </c>
      <c r="L1959" s="5"/>
      <c r="M1959" s="5" t="str">
        <f ca="1">IFERROR(__xludf.DUMMYFUNCTION("""COMPUTED_VALUE"""),"Ștei")</f>
        <v>Ștei</v>
      </c>
      <c r="N1959" s="5"/>
      <c r="O1959" s="5"/>
      <c r="P1959" s="5" t="str">
        <f ca="1">IFERROR(__xludf.DUMMYFUNCTION("""COMPUTED_VALUE"""),"Spital Ștei, pacient.")</f>
        <v>Spital Ștei, pacient.</v>
      </c>
      <c r="Q1959" s="5" t="str">
        <f ca="1">IFERROR(__xludf.DUMMYFUNCTION("""COMPUTED_VALUE"""),"Medical")</f>
        <v>Medical</v>
      </c>
      <c r="R1959" s="5" t="str">
        <f ca="1">IFERROR(__xludf.DUMMYFUNCTION("""COMPUTED_VALUE"""),"România")</f>
        <v>România</v>
      </c>
      <c r="S1959" s="5" t="str">
        <f ca="1">IFERROR(__xludf.DUMMYFUNCTION("""COMPUTED_VALUE"""),"Octavian")</f>
        <v>Octavian</v>
      </c>
      <c r="T1959" s="7" t="str">
        <f ca="1">IFERROR(__xludf.DUMMYFUNCTION("""COMPUTED_VALUE"""),"http://www.ms.ro/2020/08/22/buletin-informativ-22-08-2020")</f>
        <v>http://www.ms.ro/2020/08/22/buletin-informativ-22-08-2020</v>
      </c>
      <c r="U1959" s="5"/>
      <c r="V1959" s="5"/>
      <c r="W1959" s="5"/>
      <c r="X1959" s="5"/>
      <c r="Y1959" s="5"/>
      <c r="Z1959" s="5"/>
      <c r="AA1959" s="5"/>
      <c r="AB1959" s="5"/>
      <c r="AC1959" s="5"/>
    </row>
    <row r="1960" spans="1:29" ht="12.5">
      <c r="A1960" s="5">
        <f ca="1">IFERROR(__xludf.DUMMYFUNCTION("""COMPUTED_VALUE"""),76493)</f>
        <v>76493</v>
      </c>
      <c r="B1960" s="5"/>
      <c r="C1960" s="5" t="str">
        <f ca="1">IFERROR(__xludf.DUMMYFUNCTION("""COMPUTED_VALUE"""),"Bihor")</f>
        <v>Bihor</v>
      </c>
      <c r="D1960" s="13">
        <f ca="1">IFERROR(__xludf.DUMMYFUNCTION("""COMPUTED_VALUE"""),44065)</f>
        <v>44065</v>
      </c>
      <c r="E1960" s="5" t="str">
        <f ca="1">IFERROR(__xludf.DUMMYFUNCTION("""COMPUTED_VALUE"""),"Nu")</f>
        <v>Nu</v>
      </c>
      <c r="F1960" s="5"/>
      <c r="G1960" s="5"/>
      <c r="H1960" s="6"/>
      <c r="I1960" s="5"/>
      <c r="J1960" s="5"/>
      <c r="K1960" s="7" t="str">
        <f ca="1">IFERROR(__xludf.DUMMYFUNCTION("""COMPUTED_VALUE"""),"https://www.ebihoreanul.ro/stiri/niciun-deces-in-bihor-si-zeci-de-pacienti-covid-vindecati-dar-si-40-noi-imbolnaviri-inclusiv-angajati-ai-maternitatii-si-spitalului-militar-158339.html")</f>
        <v>https://www.ebihoreanul.ro/stiri/niciun-deces-in-bihor-si-zeci-de-pacienti-covid-vindecati-dar-si-40-noi-imbolnaviri-inclusiv-angajati-ai-maternitatii-si-spitalului-militar-158339.html</v>
      </c>
      <c r="L1960" s="5"/>
      <c r="M1960" s="5" t="str">
        <f ca="1">IFERROR(__xludf.DUMMYFUNCTION("""COMPUTED_VALUE"""),"Aleșd")</f>
        <v>Aleșd</v>
      </c>
      <c r="N1960" s="5"/>
      <c r="O1960" s="5"/>
      <c r="P1960" s="5" t="str">
        <f ca="1">IFERROR(__xludf.DUMMYFUNCTION("""COMPUTED_VALUE"""),"Spital Aleșd, pacient.")</f>
        <v>Spital Aleșd, pacient.</v>
      </c>
      <c r="Q1960" s="5" t="str">
        <f ca="1">IFERROR(__xludf.DUMMYFUNCTION("""COMPUTED_VALUE"""),"Medical")</f>
        <v>Medical</v>
      </c>
      <c r="R1960" s="5" t="str">
        <f ca="1">IFERROR(__xludf.DUMMYFUNCTION("""COMPUTED_VALUE"""),"România")</f>
        <v>România</v>
      </c>
      <c r="S1960" s="5" t="str">
        <f ca="1">IFERROR(__xludf.DUMMYFUNCTION("""COMPUTED_VALUE"""),"Octavian")</f>
        <v>Octavian</v>
      </c>
      <c r="T1960" s="7" t="str">
        <f ca="1">IFERROR(__xludf.DUMMYFUNCTION("""COMPUTED_VALUE"""),"http://www.ms.ro/2020/08/22/buletin-informativ-22-08-2020")</f>
        <v>http://www.ms.ro/2020/08/22/buletin-informativ-22-08-2020</v>
      </c>
      <c r="U1960" s="5"/>
      <c r="V1960" s="5"/>
      <c r="W1960" s="5"/>
      <c r="X1960" s="5"/>
      <c r="Y1960" s="5"/>
      <c r="Z1960" s="5"/>
      <c r="AA1960" s="5"/>
      <c r="AB1960" s="5"/>
      <c r="AC1960" s="5"/>
    </row>
    <row r="1961" spans="1:29" ht="12.5">
      <c r="A1961" s="5">
        <f ca="1">IFERROR(__xludf.DUMMYFUNCTION("""COMPUTED_VALUE"""),76494)</f>
        <v>76494</v>
      </c>
      <c r="B1961" s="5"/>
      <c r="C1961" s="5" t="str">
        <f ca="1">IFERROR(__xludf.DUMMYFUNCTION("""COMPUTED_VALUE"""),"Bihor")</f>
        <v>Bihor</v>
      </c>
      <c r="D1961" s="13">
        <f ca="1">IFERROR(__xludf.DUMMYFUNCTION("""COMPUTED_VALUE"""),44065)</f>
        <v>44065</v>
      </c>
      <c r="E1961" s="5" t="str">
        <f ca="1">IFERROR(__xludf.DUMMYFUNCTION("""COMPUTED_VALUE"""),"Nu")</f>
        <v>Nu</v>
      </c>
      <c r="F1961" s="5"/>
      <c r="G1961" s="5"/>
      <c r="H1961" s="6"/>
      <c r="I1961" s="5"/>
      <c r="J1961" s="5"/>
      <c r="K1961" s="7" t="str">
        <f ca="1">IFERROR(__xludf.DUMMYFUNCTION("""COMPUTED_VALUE"""),"https://www.ebihoreanul.ro/stiri/niciun-deces-in-bihor-si-zeci-de-pacienti-covid-vindecati-dar-si-40-noi-imbolnaviri-inclusiv-angajati-ai-maternitatii-si-spitalului-militar-158339.html")</f>
        <v>https://www.ebihoreanul.ro/stiri/niciun-deces-in-bihor-si-zeci-de-pacienti-covid-vindecati-dar-si-40-noi-imbolnaviri-inclusiv-angajati-ai-maternitatii-si-spitalului-militar-158339.html</v>
      </c>
      <c r="L1961" s="5"/>
      <c r="M1961" s="5" t="str">
        <f ca="1">IFERROR(__xludf.DUMMYFUNCTION("""COMPUTED_VALUE"""),"Aleșd")</f>
        <v>Aleșd</v>
      </c>
      <c r="N1961" s="5"/>
      <c r="O1961" s="5"/>
      <c r="P1961" s="5" t="str">
        <f ca="1">IFERROR(__xludf.DUMMYFUNCTION("""COMPUTED_VALUE"""),"Spital Aleșd, pacient.")</f>
        <v>Spital Aleșd, pacient.</v>
      </c>
      <c r="Q1961" s="5" t="str">
        <f ca="1">IFERROR(__xludf.DUMMYFUNCTION("""COMPUTED_VALUE"""),"Medical")</f>
        <v>Medical</v>
      </c>
      <c r="R1961" s="5" t="str">
        <f ca="1">IFERROR(__xludf.DUMMYFUNCTION("""COMPUTED_VALUE"""),"România")</f>
        <v>România</v>
      </c>
      <c r="S1961" s="5" t="str">
        <f ca="1">IFERROR(__xludf.DUMMYFUNCTION("""COMPUTED_VALUE"""),"Octavian")</f>
        <v>Octavian</v>
      </c>
      <c r="T1961" s="7" t="str">
        <f ca="1">IFERROR(__xludf.DUMMYFUNCTION("""COMPUTED_VALUE"""),"http://www.ms.ro/2020/08/22/buletin-informativ-22-08-2020")</f>
        <v>http://www.ms.ro/2020/08/22/buletin-informativ-22-08-2020</v>
      </c>
      <c r="U1961" s="5"/>
      <c r="V1961" s="5"/>
      <c r="W1961" s="5"/>
      <c r="X1961" s="5"/>
      <c r="Y1961" s="5"/>
      <c r="Z1961" s="5"/>
      <c r="AA1961" s="5"/>
      <c r="AB1961" s="5"/>
      <c r="AC1961" s="5"/>
    </row>
    <row r="1962" spans="1:29" ht="12.5">
      <c r="A1962" s="5">
        <f ca="1">IFERROR(__xludf.DUMMYFUNCTION("""COMPUTED_VALUE"""),76495)</f>
        <v>76495</v>
      </c>
      <c r="B1962" s="5"/>
      <c r="C1962" s="5" t="str">
        <f ca="1">IFERROR(__xludf.DUMMYFUNCTION("""COMPUTED_VALUE"""),"Bihor")</f>
        <v>Bihor</v>
      </c>
      <c r="D1962" s="13">
        <f ca="1">IFERROR(__xludf.DUMMYFUNCTION("""COMPUTED_VALUE"""),44065)</f>
        <v>44065</v>
      </c>
      <c r="E1962" s="5" t="str">
        <f ca="1">IFERROR(__xludf.DUMMYFUNCTION("""COMPUTED_VALUE"""),"Nu")</f>
        <v>Nu</v>
      </c>
      <c r="F1962" s="5"/>
      <c r="G1962" s="5"/>
      <c r="H1962" s="6"/>
      <c r="I1962" s="5"/>
      <c r="J1962" s="5"/>
      <c r="K1962" s="7" t="str">
        <f ca="1">IFERROR(__xludf.DUMMYFUNCTION("""COMPUTED_VALUE"""),"https://www.ebihoreanul.ro/stiri/niciun-deces-in-bihor-si-zeci-de-pacienti-covid-vindecati-dar-si-40-noi-imbolnaviri-inclusiv-angajati-ai-maternitatii-si-spitalului-militar-158339.html")</f>
        <v>https://www.ebihoreanul.ro/stiri/niciun-deces-in-bihor-si-zeci-de-pacienti-covid-vindecati-dar-si-40-noi-imbolnaviri-inclusiv-angajati-ai-maternitatii-si-spitalului-militar-158339.html</v>
      </c>
      <c r="L1962" s="5"/>
      <c r="M1962" s="5" t="str">
        <f ca="1">IFERROR(__xludf.DUMMYFUNCTION("""COMPUTED_VALUE"""),"Pocola")</f>
        <v>Pocola</v>
      </c>
      <c r="N1962" s="5"/>
      <c r="O1962" s="5"/>
      <c r="P1962" s="5"/>
      <c r="Q1962" s="5"/>
      <c r="R1962" s="5" t="str">
        <f ca="1">IFERROR(__xludf.DUMMYFUNCTION("""COMPUTED_VALUE"""),"România")</f>
        <v>România</v>
      </c>
      <c r="S1962" s="5" t="str">
        <f ca="1">IFERROR(__xludf.DUMMYFUNCTION("""COMPUTED_VALUE"""),"Octavian")</f>
        <v>Octavian</v>
      </c>
      <c r="T1962" s="7" t="str">
        <f ca="1">IFERROR(__xludf.DUMMYFUNCTION("""COMPUTED_VALUE"""),"http://www.ms.ro/2020/08/22/buletin-informativ-22-08-2020")</f>
        <v>http://www.ms.ro/2020/08/22/buletin-informativ-22-08-2020</v>
      </c>
      <c r="U1962" s="5"/>
      <c r="V1962" s="5"/>
      <c r="W1962" s="5"/>
      <c r="X1962" s="5"/>
      <c r="Y1962" s="5"/>
      <c r="Z1962" s="5"/>
      <c r="AA1962" s="5"/>
      <c r="AB1962" s="5"/>
      <c r="AC1962" s="5"/>
    </row>
    <row r="1963" spans="1:29" ht="12.5">
      <c r="A1963" s="5">
        <f ca="1">IFERROR(__xludf.DUMMYFUNCTION("""COMPUTED_VALUE"""),76496)</f>
        <v>76496</v>
      </c>
      <c r="B1963" s="5"/>
      <c r="C1963" s="5" t="str">
        <f ca="1">IFERROR(__xludf.DUMMYFUNCTION("""COMPUTED_VALUE"""),"Bihor")</f>
        <v>Bihor</v>
      </c>
      <c r="D1963" s="13">
        <f ca="1">IFERROR(__xludf.DUMMYFUNCTION("""COMPUTED_VALUE"""),44065)</f>
        <v>44065</v>
      </c>
      <c r="E1963" s="5" t="str">
        <f ca="1">IFERROR(__xludf.DUMMYFUNCTION("""COMPUTED_VALUE"""),"Nu")</f>
        <v>Nu</v>
      </c>
      <c r="F1963" s="5"/>
      <c r="G1963" s="5"/>
      <c r="H1963" s="6"/>
      <c r="I1963" s="5"/>
      <c r="J1963" s="5"/>
      <c r="K1963" s="7" t="str">
        <f ca="1">IFERROR(__xludf.DUMMYFUNCTION("""COMPUTED_VALUE"""),"https://www.ebihoreanul.ro/stiri/niciun-deces-in-bihor-si-zeci-de-pacienti-covid-vindecati-dar-si-40-noi-imbolnaviri-inclusiv-angajati-ai-maternitatii-si-spitalului-militar-158339.html")</f>
        <v>https://www.ebihoreanul.ro/stiri/niciun-deces-in-bihor-si-zeci-de-pacienti-covid-vindecati-dar-si-40-noi-imbolnaviri-inclusiv-angajati-ai-maternitatii-si-spitalului-militar-158339.html</v>
      </c>
      <c r="L1963" s="5"/>
      <c r="M1963" s="5" t="str">
        <f ca="1">IFERROR(__xludf.DUMMYFUNCTION("""COMPUTED_VALUE"""),"Lunca")</f>
        <v>Lunca</v>
      </c>
      <c r="N1963" s="5"/>
      <c r="O1963" s="5"/>
      <c r="P1963" s="5"/>
      <c r="Q1963" s="5"/>
      <c r="R1963" s="5" t="str">
        <f ca="1">IFERROR(__xludf.DUMMYFUNCTION("""COMPUTED_VALUE"""),"România")</f>
        <v>România</v>
      </c>
      <c r="S1963" s="5" t="str">
        <f ca="1">IFERROR(__xludf.DUMMYFUNCTION("""COMPUTED_VALUE"""),"Octavian")</f>
        <v>Octavian</v>
      </c>
      <c r="T1963" s="7" t="str">
        <f ca="1">IFERROR(__xludf.DUMMYFUNCTION("""COMPUTED_VALUE"""),"http://www.ms.ro/2020/08/22/buletin-informativ-22-08-2020")</f>
        <v>http://www.ms.ro/2020/08/22/buletin-informativ-22-08-2020</v>
      </c>
      <c r="U1963" s="5"/>
      <c r="V1963" s="5"/>
      <c r="W1963" s="5"/>
      <c r="X1963" s="5"/>
      <c r="Y1963" s="5"/>
      <c r="Z1963" s="5"/>
      <c r="AA1963" s="5"/>
      <c r="AB1963" s="5"/>
      <c r="AC1963" s="5"/>
    </row>
    <row r="1964" spans="1:29" ht="12.5">
      <c r="A1964" s="5">
        <f ca="1">IFERROR(__xludf.DUMMYFUNCTION("""COMPUTED_VALUE"""),76497)</f>
        <v>76497</v>
      </c>
      <c r="B1964" s="5"/>
      <c r="C1964" s="5" t="str">
        <f ca="1">IFERROR(__xludf.DUMMYFUNCTION("""COMPUTED_VALUE"""),"Bihor")</f>
        <v>Bihor</v>
      </c>
      <c r="D1964" s="13">
        <f ca="1">IFERROR(__xludf.DUMMYFUNCTION("""COMPUTED_VALUE"""),44065)</f>
        <v>44065</v>
      </c>
      <c r="E1964" s="5" t="str">
        <f ca="1">IFERROR(__xludf.DUMMYFUNCTION("""COMPUTED_VALUE"""),"Nu")</f>
        <v>Nu</v>
      </c>
      <c r="F1964" s="5"/>
      <c r="G1964" s="5"/>
      <c r="H1964" s="6"/>
      <c r="I1964" s="5"/>
      <c r="J1964" s="5"/>
      <c r="K1964" s="7" t="str">
        <f ca="1">IFERROR(__xludf.DUMMYFUNCTION("""COMPUTED_VALUE"""),"https://www.ebihoreanul.ro/stiri/niciun-deces-in-bihor-si-zeci-de-pacienti-covid-vindecati-dar-si-40-noi-imbolnaviri-inclusiv-angajati-ai-maternitatii-si-spitalului-militar-158339.html")</f>
        <v>https://www.ebihoreanul.ro/stiri/niciun-deces-in-bihor-si-zeci-de-pacienti-covid-vindecati-dar-si-40-noi-imbolnaviri-inclusiv-angajati-ai-maternitatii-si-spitalului-militar-158339.html</v>
      </c>
      <c r="L1964" s="5"/>
      <c r="M1964" s="5" t="str">
        <f ca="1">IFERROR(__xludf.DUMMYFUNCTION("""COMPUTED_VALUE"""),"Avram Iancu")</f>
        <v>Avram Iancu</v>
      </c>
      <c r="N1964" s="5"/>
      <c r="O1964" s="5"/>
      <c r="P1964" s="5"/>
      <c r="Q1964" s="5"/>
      <c r="R1964" s="5" t="str">
        <f ca="1">IFERROR(__xludf.DUMMYFUNCTION("""COMPUTED_VALUE"""),"România")</f>
        <v>România</v>
      </c>
      <c r="S1964" s="5" t="str">
        <f ca="1">IFERROR(__xludf.DUMMYFUNCTION("""COMPUTED_VALUE"""),"Octavian")</f>
        <v>Octavian</v>
      </c>
      <c r="T1964" s="7" t="str">
        <f ca="1">IFERROR(__xludf.DUMMYFUNCTION("""COMPUTED_VALUE"""),"http://www.ms.ro/2020/08/22/buletin-informativ-22-08-2020")</f>
        <v>http://www.ms.ro/2020/08/22/buletin-informativ-22-08-2020</v>
      </c>
      <c r="U1964" s="5"/>
      <c r="V1964" s="5"/>
      <c r="W1964" s="5"/>
      <c r="X1964" s="5"/>
      <c r="Y1964" s="5"/>
      <c r="Z1964" s="5"/>
      <c r="AA1964" s="5"/>
      <c r="AB1964" s="5"/>
      <c r="AC1964" s="5"/>
    </row>
    <row r="1965" spans="1:29" ht="12.5">
      <c r="A1965" s="5">
        <f ca="1">IFERROR(__xludf.DUMMYFUNCTION("""COMPUTED_VALUE"""),76498)</f>
        <v>76498</v>
      </c>
      <c r="B1965" s="5"/>
      <c r="C1965" s="5" t="str">
        <f ca="1">IFERROR(__xludf.DUMMYFUNCTION("""COMPUTED_VALUE"""),"Bihor")</f>
        <v>Bihor</v>
      </c>
      <c r="D1965" s="13">
        <f ca="1">IFERROR(__xludf.DUMMYFUNCTION("""COMPUTED_VALUE"""),44065)</f>
        <v>44065</v>
      </c>
      <c r="E1965" s="5" t="str">
        <f ca="1">IFERROR(__xludf.DUMMYFUNCTION("""COMPUTED_VALUE"""),"Nu")</f>
        <v>Nu</v>
      </c>
      <c r="F1965" s="5"/>
      <c r="G1965" s="5"/>
      <c r="H1965" s="6"/>
      <c r="I1965" s="5"/>
      <c r="J1965" s="5"/>
      <c r="K1965" s="7" t="str">
        <f ca="1">IFERROR(__xludf.DUMMYFUNCTION("""COMPUTED_VALUE"""),"https://www.ebihoreanul.ro/stiri/niciun-deces-in-bihor-si-zeci-de-pacienti-covid-vindecati-dar-si-40-noi-imbolnaviri-inclusiv-angajati-ai-maternitatii-si-spitalului-militar-158339.html")</f>
        <v>https://www.ebihoreanul.ro/stiri/niciun-deces-in-bihor-si-zeci-de-pacienti-covid-vindecati-dar-si-40-noi-imbolnaviri-inclusiv-angajati-ai-maternitatii-si-spitalului-militar-158339.html</v>
      </c>
      <c r="L1965" s="5"/>
      <c r="M1965" s="5" t="str">
        <f ca="1">IFERROR(__xludf.DUMMYFUNCTION("""COMPUTED_VALUE"""),"Căbești")</f>
        <v>Căbești</v>
      </c>
      <c r="N1965" s="5"/>
      <c r="O1965" s="5"/>
      <c r="P1965" s="5"/>
      <c r="Q1965" s="5"/>
      <c r="R1965" s="5" t="str">
        <f ca="1">IFERROR(__xludf.DUMMYFUNCTION("""COMPUTED_VALUE"""),"România")</f>
        <v>România</v>
      </c>
      <c r="S1965" s="5" t="str">
        <f ca="1">IFERROR(__xludf.DUMMYFUNCTION("""COMPUTED_VALUE"""),"Octavian")</f>
        <v>Octavian</v>
      </c>
      <c r="T1965" s="7" t="str">
        <f ca="1">IFERROR(__xludf.DUMMYFUNCTION("""COMPUTED_VALUE"""),"http://www.ms.ro/2020/08/22/buletin-informativ-22-08-2020")</f>
        <v>http://www.ms.ro/2020/08/22/buletin-informativ-22-08-2020</v>
      </c>
      <c r="U1965" s="5"/>
      <c r="V1965" s="5"/>
      <c r="W1965" s="5"/>
      <c r="X1965" s="5"/>
      <c r="Y1965" s="5"/>
      <c r="Z1965" s="5"/>
      <c r="AA1965" s="5"/>
      <c r="AB1965" s="5"/>
      <c r="AC1965" s="5"/>
    </row>
    <row r="1966" spans="1:29" ht="12.5">
      <c r="A1966" s="5">
        <f ca="1">IFERROR(__xludf.DUMMYFUNCTION("""COMPUTED_VALUE"""),76499)</f>
        <v>76499</v>
      </c>
      <c r="B1966" s="5"/>
      <c r="C1966" s="5" t="str">
        <f ca="1">IFERROR(__xludf.DUMMYFUNCTION("""COMPUTED_VALUE"""),"Bihor")</f>
        <v>Bihor</v>
      </c>
      <c r="D1966" s="13">
        <f ca="1">IFERROR(__xludf.DUMMYFUNCTION("""COMPUTED_VALUE"""),44065)</f>
        <v>44065</v>
      </c>
      <c r="E1966" s="5" t="str">
        <f ca="1">IFERROR(__xludf.DUMMYFUNCTION("""COMPUTED_VALUE"""),"Nu")</f>
        <v>Nu</v>
      </c>
      <c r="F1966" s="5"/>
      <c r="G1966" s="5"/>
      <c r="H1966" s="6"/>
      <c r="I1966" s="5"/>
      <c r="J1966" s="5"/>
      <c r="K1966" s="7" t="str">
        <f ca="1">IFERROR(__xludf.DUMMYFUNCTION("""COMPUTED_VALUE"""),"https://www.ebihoreanul.ro/stiri/niciun-deces-in-bihor-si-zeci-de-pacienti-covid-vindecati-dar-si-40-noi-imbolnaviri-inclusiv-angajati-ai-maternitatii-si-spitalului-militar-158339.html")</f>
        <v>https://www.ebihoreanul.ro/stiri/niciun-deces-in-bihor-si-zeci-de-pacienti-covid-vindecati-dar-si-40-noi-imbolnaviri-inclusiv-angajati-ai-maternitatii-si-spitalului-militar-158339.html</v>
      </c>
      <c r="L1966" s="5"/>
      <c r="M1966" s="5" t="str">
        <f ca="1">IFERROR(__xludf.DUMMYFUNCTION("""COMPUTED_VALUE"""),"Săcuieni")</f>
        <v>Săcuieni</v>
      </c>
      <c r="N1966" s="5"/>
      <c r="O1966" s="5"/>
      <c r="P1966" s="5"/>
      <c r="Q1966" s="5"/>
      <c r="R1966" s="5" t="str">
        <f ca="1">IFERROR(__xludf.DUMMYFUNCTION("""COMPUTED_VALUE"""),"România")</f>
        <v>România</v>
      </c>
      <c r="S1966" s="5" t="str">
        <f ca="1">IFERROR(__xludf.DUMMYFUNCTION("""COMPUTED_VALUE"""),"Octavian")</f>
        <v>Octavian</v>
      </c>
      <c r="T1966" s="7" t="str">
        <f ca="1">IFERROR(__xludf.DUMMYFUNCTION("""COMPUTED_VALUE"""),"http://www.ms.ro/2020/08/22/buletin-informativ-22-08-2020")</f>
        <v>http://www.ms.ro/2020/08/22/buletin-informativ-22-08-2020</v>
      </c>
      <c r="U1966" s="5"/>
      <c r="V1966" s="5"/>
      <c r="W1966" s="5"/>
      <c r="X1966" s="5"/>
      <c r="Y1966" s="5"/>
      <c r="Z1966" s="5"/>
      <c r="AA1966" s="5"/>
      <c r="AB1966" s="5"/>
      <c r="AC1966" s="5"/>
    </row>
    <row r="1967" spans="1:29" ht="12.5">
      <c r="A1967" s="5">
        <f ca="1">IFERROR(__xludf.DUMMYFUNCTION("""COMPUTED_VALUE"""),76500)</f>
        <v>76500</v>
      </c>
      <c r="B1967" s="5"/>
      <c r="C1967" s="5" t="str">
        <f ca="1">IFERROR(__xludf.DUMMYFUNCTION("""COMPUTED_VALUE"""),"Bihor")</f>
        <v>Bihor</v>
      </c>
      <c r="D1967" s="13">
        <f ca="1">IFERROR(__xludf.DUMMYFUNCTION("""COMPUTED_VALUE"""),44065)</f>
        <v>44065</v>
      </c>
      <c r="E1967" s="5" t="str">
        <f ca="1">IFERROR(__xludf.DUMMYFUNCTION("""COMPUTED_VALUE"""),"Nu")</f>
        <v>Nu</v>
      </c>
      <c r="F1967" s="5"/>
      <c r="G1967" s="5"/>
      <c r="H1967" s="6"/>
      <c r="I1967" s="5"/>
      <c r="J1967" s="5"/>
      <c r="K1967" s="7" t="str">
        <f ca="1">IFERROR(__xludf.DUMMYFUNCTION("""COMPUTED_VALUE"""),"https://www.ebihoreanul.ro/stiri/niciun-deces-in-bihor-si-zeci-de-pacienti-covid-vindecati-dar-si-40-noi-imbolnaviri-inclusiv-angajati-ai-maternitatii-si-spitalului-militar-158339.html")</f>
        <v>https://www.ebihoreanul.ro/stiri/niciun-deces-in-bihor-si-zeci-de-pacienti-covid-vindecati-dar-si-40-noi-imbolnaviri-inclusiv-angajati-ai-maternitatii-si-spitalului-militar-158339.html</v>
      </c>
      <c r="L1967" s="5"/>
      <c r="M1967" s="5" t="str">
        <f ca="1">IFERROR(__xludf.DUMMYFUNCTION("""COMPUTED_VALUE"""),"Tăuteu")</f>
        <v>Tăuteu</v>
      </c>
      <c r="N1967" s="5"/>
      <c r="O1967" s="5"/>
      <c r="P1967" s="5"/>
      <c r="Q1967" s="5"/>
      <c r="R1967" s="5" t="str">
        <f ca="1">IFERROR(__xludf.DUMMYFUNCTION("""COMPUTED_VALUE"""),"România")</f>
        <v>România</v>
      </c>
      <c r="S1967" s="5" t="str">
        <f ca="1">IFERROR(__xludf.DUMMYFUNCTION("""COMPUTED_VALUE"""),"Octavian")</f>
        <v>Octavian</v>
      </c>
      <c r="T1967" s="7" t="str">
        <f ca="1">IFERROR(__xludf.DUMMYFUNCTION("""COMPUTED_VALUE"""),"http://www.ms.ro/2020/08/22/buletin-informativ-22-08-2020")</f>
        <v>http://www.ms.ro/2020/08/22/buletin-informativ-22-08-2020</v>
      </c>
      <c r="U1967" s="5"/>
      <c r="V1967" s="5"/>
      <c r="W1967" s="5"/>
      <c r="X1967" s="5"/>
      <c r="Y1967" s="5"/>
      <c r="Z1967" s="5"/>
      <c r="AA1967" s="5"/>
      <c r="AB1967" s="5"/>
      <c r="AC1967" s="5"/>
    </row>
    <row r="1968" spans="1:29" ht="12.5">
      <c r="A1968" s="5">
        <f ca="1">IFERROR(__xludf.DUMMYFUNCTION("""COMPUTED_VALUE"""),76501)</f>
        <v>76501</v>
      </c>
      <c r="B1968" s="5"/>
      <c r="C1968" s="5" t="str">
        <f ca="1">IFERROR(__xludf.DUMMYFUNCTION("""COMPUTED_VALUE"""),"Bihor")</f>
        <v>Bihor</v>
      </c>
      <c r="D1968" s="13">
        <f ca="1">IFERROR(__xludf.DUMMYFUNCTION("""COMPUTED_VALUE"""),44065)</f>
        <v>44065</v>
      </c>
      <c r="E1968" s="5" t="str">
        <f ca="1">IFERROR(__xludf.DUMMYFUNCTION("""COMPUTED_VALUE"""),"Nu")</f>
        <v>Nu</v>
      </c>
      <c r="F1968" s="5"/>
      <c r="G1968" s="5"/>
      <c r="H1968" s="6"/>
      <c r="I1968" s="5"/>
      <c r="J1968" s="5"/>
      <c r="K1968" s="7" t="str">
        <f ca="1">IFERROR(__xludf.DUMMYFUNCTION("""COMPUTED_VALUE"""),"https://www.ebihoreanul.ro/stiri/niciun-deces-in-bihor-si-zeci-de-pacienti-covid-vindecati-dar-si-40-noi-imbolnaviri-inclusiv-angajati-ai-maternitatii-si-spitalului-militar-158339.html")</f>
        <v>https://www.ebihoreanul.ro/stiri/niciun-deces-in-bihor-si-zeci-de-pacienti-covid-vindecati-dar-si-40-noi-imbolnaviri-inclusiv-angajati-ai-maternitatii-si-spitalului-militar-158339.html</v>
      </c>
      <c r="L1968" s="5"/>
      <c r="M1968" s="5" t="str">
        <f ca="1">IFERROR(__xludf.DUMMYFUNCTION("""COMPUTED_VALUE"""),"Derna")</f>
        <v>Derna</v>
      </c>
      <c r="N1968" s="5"/>
      <c r="O1968" s="5"/>
      <c r="P1968" s="5"/>
      <c r="Q1968" s="5"/>
      <c r="R1968" s="5" t="str">
        <f ca="1">IFERROR(__xludf.DUMMYFUNCTION("""COMPUTED_VALUE"""),"România")</f>
        <v>România</v>
      </c>
      <c r="S1968" s="5" t="str">
        <f ca="1">IFERROR(__xludf.DUMMYFUNCTION("""COMPUTED_VALUE"""),"Octavian")</f>
        <v>Octavian</v>
      </c>
      <c r="T1968" s="7" t="str">
        <f ca="1">IFERROR(__xludf.DUMMYFUNCTION("""COMPUTED_VALUE"""),"http://www.ms.ro/2020/08/22/buletin-informativ-22-08-2020")</f>
        <v>http://www.ms.ro/2020/08/22/buletin-informativ-22-08-2020</v>
      </c>
      <c r="U1968" s="5"/>
      <c r="V1968" s="5"/>
      <c r="W1968" s="5"/>
      <c r="X1968" s="5"/>
      <c r="Y1968" s="5"/>
      <c r="Z1968" s="5"/>
      <c r="AA1968" s="5"/>
      <c r="AB1968" s="5"/>
      <c r="AC1968" s="5"/>
    </row>
    <row r="1969" spans="1:29" ht="12.5">
      <c r="A1969" s="5">
        <f ca="1">IFERROR(__xludf.DUMMYFUNCTION("""COMPUTED_VALUE"""),76502)</f>
        <v>76502</v>
      </c>
      <c r="B1969" s="5"/>
      <c r="C1969" s="5" t="str">
        <f ca="1">IFERROR(__xludf.DUMMYFUNCTION("""COMPUTED_VALUE"""),"Bihor")</f>
        <v>Bihor</v>
      </c>
      <c r="D1969" s="13">
        <f ca="1">IFERROR(__xludf.DUMMYFUNCTION("""COMPUTED_VALUE"""),44065)</f>
        <v>44065</v>
      </c>
      <c r="E1969" s="5" t="str">
        <f ca="1">IFERROR(__xludf.DUMMYFUNCTION("""COMPUTED_VALUE"""),"Nu")</f>
        <v>Nu</v>
      </c>
      <c r="F1969" s="5"/>
      <c r="G1969" s="5"/>
      <c r="H1969" s="6"/>
      <c r="I1969" s="5"/>
      <c r="J1969" s="5"/>
      <c r="K1969" s="7" t="str">
        <f ca="1">IFERROR(__xludf.DUMMYFUNCTION("""COMPUTED_VALUE"""),"https://www.ebihoreanul.ro/stiri/niciun-deces-in-bihor-si-zeci-de-pacienti-covid-vindecati-dar-si-40-noi-imbolnaviri-inclusiv-angajati-ai-maternitatii-si-spitalului-militar-158339.html")</f>
        <v>https://www.ebihoreanul.ro/stiri/niciun-deces-in-bihor-si-zeci-de-pacienti-covid-vindecati-dar-si-40-noi-imbolnaviri-inclusiv-angajati-ai-maternitatii-si-spitalului-militar-158339.html</v>
      </c>
      <c r="L1969" s="5"/>
      <c r="M1969" s="5" t="str">
        <f ca="1">IFERROR(__xludf.DUMMYFUNCTION("""COMPUTED_VALUE"""),"Ceica")</f>
        <v>Ceica</v>
      </c>
      <c r="N1969" s="5"/>
      <c r="O1969" s="5"/>
      <c r="P1969" s="5"/>
      <c r="Q1969" s="5"/>
      <c r="R1969" s="5" t="str">
        <f ca="1">IFERROR(__xludf.DUMMYFUNCTION("""COMPUTED_VALUE"""),"România")</f>
        <v>România</v>
      </c>
      <c r="S1969" s="5" t="str">
        <f ca="1">IFERROR(__xludf.DUMMYFUNCTION("""COMPUTED_VALUE"""),"Octavian")</f>
        <v>Octavian</v>
      </c>
      <c r="T1969" s="7" t="str">
        <f ca="1">IFERROR(__xludf.DUMMYFUNCTION("""COMPUTED_VALUE"""),"http://www.ms.ro/2020/08/22/buletin-informativ-22-08-2020")</f>
        <v>http://www.ms.ro/2020/08/22/buletin-informativ-22-08-2020</v>
      </c>
      <c r="U1969" s="5"/>
      <c r="V1969" s="5"/>
      <c r="W1969" s="5"/>
      <c r="X1969" s="5"/>
      <c r="Y1969" s="5"/>
      <c r="Z1969" s="5"/>
      <c r="AA1969" s="5"/>
      <c r="AB1969" s="5"/>
      <c r="AC1969" s="5"/>
    </row>
    <row r="1970" spans="1:29" ht="12.5">
      <c r="A1970" s="5">
        <f ca="1">IFERROR(__xludf.DUMMYFUNCTION("""COMPUTED_VALUE"""),76503)</f>
        <v>76503</v>
      </c>
      <c r="B1970" s="5"/>
      <c r="C1970" s="5" t="str">
        <f ca="1">IFERROR(__xludf.DUMMYFUNCTION("""COMPUTED_VALUE"""),"Bihor")</f>
        <v>Bihor</v>
      </c>
      <c r="D1970" s="13">
        <f ca="1">IFERROR(__xludf.DUMMYFUNCTION("""COMPUTED_VALUE"""),44065)</f>
        <v>44065</v>
      </c>
      <c r="E1970" s="5" t="str">
        <f ca="1">IFERROR(__xludf.DUMMYFUNCTION("""COMPUTED_VALUE"""),"Nu")</f>
        <v>Nu</v>
      </c>
      <c r="F1970" s="5"/>
      <c r="G1970" s="5"/>
      <c r="H1970" s="6"/>
      <c r="I1970" s="5"/>
      <c r="J1970" s="5"/>
      <c r="K1970" s="7" t="str">
        <f ca="1">IFERROR(__xludf.DUMMYFUNCTION("""COMPUTED_VALUE"""),"https://www.ebihoreanul.ro/stiri/niciun-deces-in-bihor-si-zeci-de-pacienti-covid-vindecati-dar-si-40-noi-imbolnaviri-inclusiv-angajati-ai-maternitatii-si-spitalului-militar-158339.html")</f>
        <v>https://www.ebihoreanul.ro/stiri/niciun-deces-in-bihor-si-zeci-de-pacienti-covid-vindecati-dar-si-40-noi-imbolnaviri-inclusiv-angajati-ai-maternitatii-si-spitalului-militar-158339.html</v>
      </c>
      <c r="L1970" s="5"/>
      <c r="M1970" s="5" t="str">
        <f ca="1">IFERROR(__xludf.DUMMYFUNCTION("""COMPUTED_VALUE"""),"Brusturi")</f>
        <v>Brusturi</v>
      </c>
      <c r="N1970" s="5"/>
      <c r="O1970" s="5"/>
      <c r="P1970" s="5"/>
      <c r="Q1970" s="5"/>
      <c r="R1970" s="5" t="str">
        <f ca="1">IFERROR(__xludf.DUMMYFUNCTION("""COMPUTED_VALUE"""),"România")</f>
        <v>România</v>
      </c>
      <c r="S1970" s="5" t="str">
        <f ca="1">IFERROR(__xludf.DUMMYFUNCTION("""COMPUTED_VALUE"""),"Octavian")</f>
        <v>Octavian</v>
      </c>
      <c r="T1970" s="7" t="str">
        <f ca="1">IFERROR(__xludf.DUMMYFUNCTION("""COMPUTED_VALUE"""),"http://www.ms.ro/2020/08/22/buletin-informativ-22-08-2020")</f>
        <v>http://www.ms.ro/2020/08/22/buletin-informativ-22-08-2020</v>
      </c>
      <c r="U1970" s="5"/>
      <c r="V1970" s="5"/>
      <c r="W1970" s="5"/>
      <c r="X1970" s="5"/>
      <c r="Y1970" s="5"/>
      <c r="Z1970" s="5"/>
      <c r="AA1970" s="5"/>
      <c r="AB1970" s="5"/>
      <c r="AC1970" s="5"/>
    </row>
    <row r="1971" spans="1:29" ht="12.5">
      <c r="A1971" s="5">
        <f ca="1">IFERROR(__xludf.DUMMYFUNCTION("""COMPUTED_VALUE"""),76504)</f>
        <v>76504</v>
      </c>
      <c r="B1971" s="5"/>
      <c r="C1971" s="5" t="str">
        <f ca="1">IFERROR(__xludf.DUMMYFUNCTION("""COMPUTED_VALUE"""),"Bihor")</f>
        <v>Bihor</v>
      </c>
      <c r="D1971" s="13">
        <f ca="1">IFERROR(__xludf.DUMMYFUNCTION("""COMPUTED_VALUE"""),44065)</f>
        <v>44065</v>
      </c>
      <c r="E1971" s="5" t="str">
        <f ca="1">IFERROR(__xludf.DUMMYFUNCTION("""COMPUTED_VALUE"""),"Nu")</f>
        <v>Nu</v>
      </c>
      <c r="F1971" s="5"/>
      <c r="G1971" s="5"/>
      <c r="H1971" s="6"/>
      <c r="I1971" s="5"/>
      <c r="J1971" s="5"/>
      <c r="K1971" s="7" t="str">
        <f ca="1">IFERROR(__xludf.DUMMYFUNCTION("""COMPUTED_VALUE"""),"https://www.ebihoreanul.ro/stiri/niciun-deces-in-bihor-si-zeci-de-pacienti-covid-vindecati-dar-si-40-noi-imbolnaviri-inclusiv-angajati-ai-maternitatii-si-spitalului-militar-158339.html")</f>
        <v>https://www.ebihoreanul.ro/stiri/niciun-deces-in-bihor-si-zeci-de-pacienti-covid-vindecati-dar-si-40-noi-imbolnaviri-inclusiv-angajati-ai-maternitatii-si-spitalului-militar-158339.html</v>
      </c>
      <c r="L1971" s="5"/>
      <c r="M1971" s="5" t="str">
        <f ca="1">IFERROR(__xludf.DUMMYFUNCTION("""COMPUTED_VALUE"""),"Buntești")</f>
        <v>Buntești</v>
      </c>
      <c r="N1971" s="5"/>
      <c r="O1971" s="5"/>
      <c r="P1971" s="5"/>
      <c r="Q1971" s="5"/>
      <c r="R1971" s="5" t="str">
        <f ca="1">IFERROR(__xludf.DUMMYFUNCTION("""COMPUTED_VALUE"""),"România")</f>
        <v>România</v>
      </c>
      <c r="S1971" s="5" t="str">
        <f ca="1">IFERROR(__xludf.DUMMYFUNCTION("""COMPUTED_VALUE"""),"Octavian")</f>
        <v>Octavian</v>
      </c>
      <c r="T1971" s="7" t="str">
        <f ca="1">IFERROR(__xludf.DUMMYFUNCTION("""COMPUTED_VALUE"""),"http://www.ms.ro/2020/08/22/buletin-informativ-22-08-2020")</f>
        <v>http://www.ms.ro/2020/08/22/buletin-informativ-22-08-2020</v>
      </c>
      <c r="U1971" s="5"/>
      <c r="V1971" s="5"/>
      <c r="W1971" s="5"/>
      <c r="X1971" s="5"/>
      <c r="Y1971" s="5"/>
      <c r="Z1971" s="5"/>
      <c r="AA1971" s="5"/>
      <c r="AB1971" s="5"/>
      <c r="AC1971" s="5"/>
    </row>
    <row r="1972" spans="1:29" ht="12.5">
      <c r="A1972" s="5">
        <f ca="1">IFERROR(__xludf.DUMMYFUNCTION("""COMPUTED_VALUE"""),76505)</f>
        <v>76505</v>
      </c>
      <c r="B1972" s="5"/>
      <c r="C1972" s="5" t="str">
        <f ca="1">IFERROR(__xludf.DUMMYFUNCTION("""COMPUTED_VALUE"""),"Bihor")</f>
        <v>Bihor</v>
      </c>
      <c r="D1972" s="13">
        <f ca="1">IFERROR(__xludf.DUMMYFUNCTION("""COMPUTED_VALUE"""),44065)</f>
        <v>44065</v>
      </c>
      <c r="E1972" s="5" t="str">
        <f ca="1">IFERROR(__xludf.DUMMYFUNCTION("""COMPUTED_VALUE"""),"Nu")</f>
        <v>Nu</v>
      </c>
      <c r="F1972" s="5"/>
      <c r="G1972" s="5"/>
      <c r="H1972" s="6"/>
      <c r="I1972" s="5"/>
      <c r="J1972" s="5"/>
      <c r="K1972" s="7" t="str">
        <f ca="1">IFERROR(__xludf.DUMMYFUNCTION("""COMPUTED_VALUE"""),"https://www.ebihoreanul.ro/stiri/niciun-deces-in-bihor-si-zeci-de-pacienti-covid-vindecati-dar-si-40-noi-imbolnaviri-inclusiv-angajati-ai-maternitatii-si-spitalului-militar-158339.html")</f>
        <v>https://www.ebihoreanul.ro/stiri/niciun-deces-in-bihor-si-zeci-de-pacienti-covid-vindecati-dar-si-40-noi-imbolnaviri-inclusiv-angajati-ai-maternitatii-si-spitalului-militar-158339.html</v>
      </c>
      <c r="L1972" s="5"/>
      <c r="M1972" s="5"/>
      <c r="N1972" s="5"/>
      <c r="O1972" s="5"/>
      <c r="P1972" s="5"/>
      <c r="Q1972" s="5"/>
      <c r="R1972" s="5" t="str">
        <f ca="1">IFERROR(__xludf.DUMMYFUNCTION("""COMPUTED_VALUE"""),"România")</f>
        <v>România</v>
      </c>
      <c r="S1972" s="5" t="str">
        <f ca="1">IFERROR(__xludf.DUMMYFUNCTION("""COMPUTED_VALUE"""),"Octavian")</f>
        <v>Octavian</v>
      </c>
      <c r="T1972" s="7" t="str">
        <f ca="1">IFERROR(__xludf.DUMMYFUNCTION("""COMPUTED_VALUE"""),"http://www.ms.ro/2020/08/22/buletin-informativ-22-08-2020")</f>
        <v>http://www.ms.ro/2020/08/22/buletin-informativ-22-08-2020</v>
      </c>
      <c r="U1972" s="5"/>
      <c r="V1972" s="5"/>
      <c r="W1972" s="5"/>
      <c r="X1972" s="5"/>
      <c r="Y1972" s="5"/>
      <c r="Z1972" s="5"/>
      <c r="AA1972" s="5"/>
      <c r="AB1972" s="5"/>
      <c r="AC1972" s="5"/>
    </row>
    <row r="1973" spans="1:29" ht="12.5">
      <c r="A1973" s="5">
        <f ca="1">IFERROR(__xludf.DUMMYFUNCTION("""COMPUTED_VALUE"""),76506)</f>
        <v>76506</v>
      </c>
      <c r="B1973" s="5"/>
      <c r="C1973" s="5" t="str">
        <f ca="1">IFERROR(__xludf.DUMMYFUNCTION("""COMPUTED_VALUE"""),"Bihor")</f>
        <v>Bihor</v>
      </c>
      <c r="D1973" s="13">
        <f ca="1">IFERROR(__xludf.DUMMYFUNCTION("""COMPUTED_VALUE"""),44065)</f>
        <v>44065</v>
      </c>
      <c r="E1973" s="5" t="str">
        <f ca="1">IFERROR(__xludf.DUMMYFUNCTION("""COMPUTED_VALUE"""),"Nu")</f>
        <v>Nu</v>
      </c>
      <c r="F1973" s="5"/>
      <c r="G1973" s="5"/>
      <c r="H1973" s="6"/>
      <c r="I1973" s="5"/>
      <c r="J1973" s="5"/>
      <c r="K1973" s="7" t="str">
        <f ca="1">IFERROR(__xludf.DUMMYFUNCTION("""COMPUTED_VALUE"""),"https://www.ebihoreanul.ro/stiri/niciun-deces-in-bihor-si-zeci-de-pacienti-covid-vindecati-dar-si-40-noi-imbolnaviri-inclusiv-angajati-ai-maternitatii-si-spitalului-militar-158339.html")</f>
        <v>https://www.ebihoreanul.ro/stiri/niciun-deces-in-bihor-si-zeci-de-pacienti-covid-vindecati-dar-si-40-noi-imbolnaviri-inclusiv-angajati-ai-maternitatii-si-spitalului-militar-158339.html</v>
      </c>
      <c r="L1973" s="5"/>
      <c r="M1973" s="5"/>
      <c r="N1973" s="5"/>
      <c r="O1973" s="5"/>
      <c r="P1973" s="5"/>
      <c r="Q1973" s="5"/>
      <c r="R1973" s="5" t="str">
        <f ca="1">IFERROR(__xludf.DUMMYFUNCTION("""COMPUTED_VALUE"""),"România")</f>
        <v>România</v>
      </c>
      <c r="S1973" s="5" t="str">
        <f ca="1">IFERROR(__xludf.DUMMYFUNCTION("""COMPUTED_VALUE"""),"Octavian")</f>
        <v>Octavian</v>
      </c>
      <c r="T1973" s="7" t="str">
        <f ca="1">IFERROR(__xludf.DUMMYFUNCTION("""COMPUTED_VALUE"""),"http://www.ms.ro/2020/08/22/buletin-informativ-22-08-2020")</f>
        <v>http://www.ms.ro/2020/08/22/buletin-informativ-22-08-2020</v>
      </c>
      <c r="U1973" s="5"/>
      <c r="V1973" s="5"/>
      <c r="W1973" s="5"/>
      <c r="X1973" s="5"/>
      <c r="Y1973" s="5"/>
      <c r="Z1973" s="5"/>
      <c r="AA1973" s="5"/>
      <c r="AB1973" s="5"/>
      <c r="AC1973" s="5"/>
    </row>
    <row r="1974" spans="1:29" ht="12.5">
      <c r="A1974" s="5">
        <f ca="1">IFERROR(__xludf.DUMMYFUNCTION("""COMPUTED_VALUE"""),76507)</f>
        <v>76507</v>
      </c>
      <c r="B1974" s="5"/>
      <c r="C1974" s="5" t="str">
        <f ca="1">IFERROR(__xludf.DUMMYFUNCTION("""COMPUTED_VALUE"""),"Bihor")</f>
        <v>Bihor</v>
      </c>
      <c r="D1974" s="13">
        <f ca="1">IFERROR(__xludf.DUMMYFUNCTION("""COMPUTED_VALUE"""),44065)</f>
        <v>44065</v>
      </c>
      <c r="E1974" s="5" t="str">
        <f ca="1">IFERROR(__xludf.DUMMYFUNCTION("""COMPUTED_VALUE"""),"Nu")</f>
        <v>Nu</v>
      </c>
      <c r="F1974" s="5"/>
      <c r="G1974" s="5"/>
      <c r="H1974" s="6"/>
      <c r="I1974" s="5"/>
      <c r="J1974" s="5"/>
      <c r="K1974" s="7" t="str">
        <f ca="1">IFERROR(__xludf.DUMMYFUNCTION("""COMPUTED_VALUE"""),"https://www.ebihoreanul.ro/stiri/niciun-deces-in-bihor-si-zeci-de-pacienti-covid-vindecati-dar-si-40-noi-imbolnaviri-inclusiv-angajati-ai-maternitatii-si-spitalului-militar-158339.html")</f>
        <v>https://www.ebihoreanul.ro/stiri/niciun-deces-in-bihor-si-zeci-de-pacienti-covid-vindecati-dar-si-40-noi-imbolnaviri-inclusiv-angajati-ai-maternitatii-si-spitalului-militar-158339.html</v>
      </c>
      <c r="L1974" s="5"/>
      <c r="M1974" s="5"/>
      <c r="N1974" s="5"/>
      <c r="O1974" s="5"/>
      <c r="P1974" s="5"/>
      <c r="Q1974" s="5"/>
      <c r="R1974" s="5" t="str">
        <f ca="1">IFERROR(__xludf.DUMMYFUNCTION("""COMPUTED_VALUE"""),"România")</f>
        <v>România</v>
      </c>
      <c r="S1974" s="5" t="str">
        <f ca="1">IFERROR(__xludf.DUMMYFUNCTION("""COMPUTED_VALUE"""),"Octavian")</f>
        <v>Octavian</v>
      </c>
      <c r="T1974" s="7" t="str">
        <f ca="1">IFERROR(__xludf.DUMMYFUNCTION("""COMPUTED_VALUE"""),"http://www.ms.ro/2020/08/22/buletin-informativ-22-08-2020")</f>
        <v>http://www.ms.ro/2020/08/22/buletin-informativ-22-08-2020</v>
      </c>
      <c r="U1974" s="5"/>
      <c r="V1974" s="5"/>
      <c r="W1974" s="5"/>
      <c r="X1974" s="5"/>
      <c r="Y1974" s="5"/>
      <c r="Z1974" s="5"/>
      <c r="AA1974" s="5"/>
      <c r="AB1974" s="5"/>
      <c r="AC1974" s="5"/>
    </row>
    <row r="1975" spans="1:29" ht="12.5">
      <c r="A1975" s="5">
        <f ca="1">IFERROR(__xludf.DUMMYFUNCTION("""COMPUTED_VALUE"""),76508)</f>
        <v>76508</v>
      </c>
      <c r="B1975" s="5"/>
      <c r="C1975" s="5" t="str">
        <f ca="1">IFERROR(__xludf.DUMMYFUNCTION("""COMPUTED_VALUE"""),"Bihor")</f>
        <v>Bihor</v>
      </c>
      <c r="D1975" s="13">
        <f ca="1">IFERROR(__xludf.DUMMYFUNCTION("""COMPUTED_VALUE"""),44065)</f>
        <v>44065</v>
      </c>
      <c r="E1975" s="5" t="str">
        <f ca="1">IFERROR(__xludf.DUMMYFUNCTION("""COMPUTED_VALUE"""),"Nu")</f>
        <v>Nu</v>
      </c>
      <c r="F1975" s="5"/>
      <c r="G1975" s="5"/>
      <c r="H1975" s="6"/>
      <c r="I1975" s="5"/>
      <c r="J1975" s="5"/>
      <c r="K1975" s="7" t="str">
        <f ca="1">IFERROR(__xludf.DUMMYFUNCTION("""COMPUTED_VALUE"""),"https://www.ebihoreanul.ro/stiri/niciun-deces-in-bihor-si-zeci-de-pacienti-covid-vindecati-dar-si-40-noi-imbolnaviri-inclusiv-angajati-ai-maternitatii-si-spitalului-militar-158339.html")</f>
        <v>https://www.ebihoreanul.ro/stiri/niciun-deces-in-bihor-si-zeci-de-pacienti-covid-vindecati-dar-si-40-noi-imbolnaviri-inclusiv-angajati-ai-maternitatii-si-spitalului-militar-158339.html</v>
      </c>
      <c r="L1975" s="5"/>
      <c r="M1975" s="5"/>
      <c r="N1975" s="5"/>
      <c r="O1975" s="5"/>
      <c r="P1975" s="5"/>
      <c r="Q1975" s="5"/>
      <c r="R1975" s="5" t="str">
        <f ca="1">IFERROR(__xludf.DUMMYFUNCTION("""COMPUTED_VALUE"""),"România")</f>
        <v>România</v>
      </c>
      <c r="S1975" s="5" t="str">
        <f ca="1">IFERROR(__xludf.DUMMYFUNCTION("""COMPUTED_VALUE"""),"Octavian")</f>
        <v>Octavian</v>
      </c>
      <c r="T1975" s="7" t="str">
        <f ca="1">IFERROR(__xludf.DUMMYFUNCTION("""COMPUTED_VALUE"""),"http://www.ms.ro/2020/08/22/buletin-informativ-22-08-2020")</f>
        <v>http://www.ms.ro/2020/08/22/buletin-informativ-22-08-2020</v>
      </c>
      <c r="U1975" s="5"/>
      <c r="V1975" s="5"/>
      <c r="W1975" s="5"/>
      <c r="X1975" s="5"/>
      <c r="Y1975" s="5"/>
      <c r="Z1975" s="5"/>
      <c r="AA1975" s="5"/>
      <c r="AB1975" s="5"/>
      <c r="AC1975" s="5"/>
    </row>
    <row r="1976" spans="1:29" ht="12.5">
      <c r="A1976" s="5">
        <f ca="1">IFERROR(__xludf.DUMMYFUNCTION("""COMPUTED_VALUE"""),76509)</f>
        <v>76509</v>
      </c>
      <c r="B1976" s="5"/>
      <c r="C1976" s="5" t="str">
        <f ca="1">IFERROR(__xludf.DUMMYFUNCTION("""COMPUTED_VALUE"""),"Bihor")</f>
        <v>Bihor</v>
      </c>
      <c r="D1976" s="13">
        <f ca="1">IFERROR(__xludf.DUMMYFUNCTION("""COMPUTED_VALUE"""),44065)</f>
        <v>44065</v>
      </c>
      <c r="E1976" s="5" t="str">
        <f ca="1">IFERROR(__xludf.DUMMYFUNCTION("""COMPUTED_VALUE"""),"Nu")</f>
        <v>Nu</v>
      </c>
      <c r="F1976" s="5"/>
      <c r="G1976" s="5"/>
      <c r="H1976" s="6"/>
      <c r="I1976" s="5"/>
      <c r="J1976" s="5"/>
      <c r="K1976" s="7" t="str">
        <f ca="1">IFERROR(__xludf.DUMMYFUNCTION("""COMPUTED_VALUE"""),"https://www.ebihoreanul.ro/stiri/niciun-deces-in-bihor-si-zeci-de-pacienti-covid-vindecati-dar-si-40-noi-imbolnaviri-inclusiv-angajati-ai-maternitatii-si-spitalului-militar-158339.html")</f>
        <v>https://www.ebihoreanul.ro/stiri/niciun-deces-in-bihor-si-zeci-de-pacienti-covid-vindecati-dar-si-40-noi-imbolnaviri-inclusiv-angajati-ai-maternitatii-si-spitalului-militar-158339.html</v>
      </c>
      <c r="L1976" s="5"/>
      <c r="M1976" s="5"/>
      <c r="N1976" s="5"/>
      <c r="O1976" s="5"/>
      <c r="P1976" s="5"/>
      <c r="Q1976" s="5"/>
      <c r="R1976" s="5" t="str">
        <f ca="1">IFERROR(__xludf.DUMMYFUNCTION("""COMPUTED_VALUE"""),"România")</f>
        <v>România</v>
      </c>
      <c r="S1976" s="5" t="str">
        <f ca="1">IFERROR(__xludf.DUMMYFUNCTION("""COMPUTED_VALUE"""),"Octavian")</f>
        <v>Octavian</v>
      </c>
      <c r="T1976" s="7" t="str">
        <f ca="1">IFERROR(__xludf.DUMMYFUNCTION("""COMPUTED_VALUE"""),"http://www.ms.ro/2020/08/22/buletin-informativ-22-08-2020")</f>
        <v>http://www.ms.ro/2020/08/22/buletin-informativ-22-08-2020</v>
      </c>
      <c r="U1976" s="5"/>
      <c r="V1976" s="5"/>
      <c r="W1976" s="5"/>
      <c r="X1976" s="5"/>
      <c r="Y1976" s="5"/>
      <c r="Z1976" s="5"/>
      <c r="AA1976" s="5"/>
      <c r="AB1976" s="5"/>
      <c r="AC1976" s="5"/>
    </row>
    <row r="1977" spans="1:29" ht="12.5">
      <c r="A1977" s="5">
        <f ca="1">IFERROR(__xludf.DUMMYFUNCTION("""COMPUTED_VALUE"""),76510)</f>
        <v>76510</v>
      </c>
      <c r="B1977" s="5"/>
      <c r="C1977" s="5" t="str">
        <f ca="1">IFERROR(__xludf.DUMMYFUNCTION("""COMPUTED_VALUE"""),"Bihor")</f>
        <v>Bihor</v>
      </c>
      <c r="D1977" s="13">
        <f ca="1">IFERROR(__xludf.DUMMYFUNCTION("""COMPUTED_VALUE"""),44065)</f>
        <v>44065</v>
      </c>
      <c r="E1977" s="5" t="str">
        <f ca="1">IFERROR(__xludf.DUMMYFUNCTION("""COMPUTED_VALUE"""),"Nu")</f>
        <v>Nu</v>
      </c>
      <c r="F1977" s="5"/>
      <c r="G1977" s="5"/>
      <c r="H1977" s="6"/>
      <c r="I1977" s="5"/>
      <c r="J1977" s="5"/>
      <c r="K1977" s="7" t="str">
        <f ca="1">IFERROR(__xludf.DUMMYFUNCTION("""COMPUTED_VALUE"""),"https://www.ebihoreanul.ro/stiri/niciun-deces-in-bihor-si-zeci-de-pacienti-covid-vindecati-dar-si-40-noi-imbolnaviri-inclusiv-angajati-ai-maternitatii-si-spitalului-militar-158339.html")</f>
        <v>https://www.ebihoreanul.ro/stiri/niciun-deces-in-bihor-si-zeci-de-pacienti-covid-vindecati-dar-si-40-noi-imbolnaviri-inclusiv-angajati-ai-maternitatii-si-spitalului-militar-158339.html</v>
      </c>
      <c r="L1977" s="5"/>
      <c r="M1977" s="5"/>
      <c r="N1977" s="5"/>
      <c r="O1977" s="5"/>
      <c r="P1977" s="5"/>
      <c r="Q1977" s="5"/>
      <c r="R1977" s="5" t="str">
        <f ca="1">IFERROR(__xludf.DUMMYFUNCTION("""COMPUTED_VALUE"""),"România")</f>
        <v>România</v>
      </c>
      <c r="S1977" s="5" t="str">
        <f ca="1">IFERROR(__xludf.DUMMYFUNCTION("""COMPUTED_VALUE"""),"Octavian")</f>
        <v>Octavian</v>
      </c>
      <c r="T1977" s="7" t="str">
        <f ca="1">IFERROR(__xludf.DUMMYFUNCTION("""COMPUTED_VALUE"""),"http://www.ms.ro/2020/08/22/buletin-informativ-22-08-2020")</f>
        <v>http://www.ms.ro/2020/08/22/buletin-informativ-22-08-2020</v>
      </c>
      <c r="U1977" s="5"/>
      <c r="V1977" s="5"/>
      <c r="W1977" s="5"/>
      <c r="X1977" s="5"/>
      <c r="Y1977" s="5"/>
      <c r="Z1977" s="5"/>
      <c r="AA1977" s="5"/>
      <c r="AB1977" s="5"/>
      <c r="AC1977" s="5"/>
    </row>
    <row r="1978" spans="1:29" ht="12.5">
      <c r="A1978" s="5">
        <f ca="1">IFERROR(__xludf.DUMMYFUNCTION("""COMPUTED_VALUE"""),76511)</f>
        <v>76511</v>
      </c>
      <c r="B1978" s="5"/>
      <c r="C1978" s="5" t="str">
        <f ca="1">IFERROR(__xludf.DUMMYFUNCTION("""COMPUTED_VALUE"""),"Bihor")</f>
        <v>Bihor</v>
      </c>
      <c r="D1978" s="13">
        <f ca="1">IFERROR(__xludf.DUMMYFUNCTION("""COMPUTED_VALUE"""),44065)</f>
        <v>44065</v>
      </c>
      <c r="E1978" s="5" t="str">
        <f ca="1">IFERROR(__xludf.DUMMYFUNCTION("""COMPUTED_VALUE"""),"Nu")</f>
        <v>Nu</v>
      </c>
      <c r="F1978" s="5"/>
      <c r="G1978" s="5"/>
      <c r="H1978" s="6"/>
      <c r="I1978" s="5"/>
      <c r="J1978" s="5"/>
      <c r="K1978" s="7" t="str">
        <f ca="1">IFERROR(__xludf.DUMMYFUNCTION("""COMPUTED_VALUE"""),"https://www.ebihoreanul.ro/stiri/niciun-deces-in-bihor-si-zeci-de-pacienti-covid-vindecati-dar-si-40-noi-imbolnaviri-inclusiv-angajati-ai-maternitatii-si-spitalului-militar-158339.html")</f>
        <v>https://www.ebihoreanul.ro/stiri/niciun-deces-in-bihor-si-zeci-de-pacienti-covid-vindecati-dar-si-40-noi-imbolnaviri-inclusiv-angajati-ai-maternitatii-si-spitalului-militar-158339.html</v>
      </c>
      <c r="L1978" s="5"/>
      <c r="M1978" s="5"/>
      <c r="N1978" s="5"/>
      <c r="O1978" s="5"/>
      <c r="P1978" s="5"/>
      <c r="Q1978" s="5"/>
      <c r="R1978" s="5" t="str">
        <f ca="1">IFERROR(__xludf.DUMMYFUNCTION("""COMPUTED_VALUE"""),"România")</f>
        <v>România</v>
      </c>
      <c r="S1978" s="5" t="str">
        <f ca="1">IFERROR(__xludf.DUMMYFUNCTION("""COMPUTED_VALUE"""),"Octavian")</f>
        <v>Octavian</v>
      </c>
      <c r="T1978" s="7" t="str">
        <f ca="1">IFERROR(__xludf.DUMMYFUNCTION("""COMPUTED_VALUE"""),"http://www.ms.ro/2020/08/22/buletin-informativ-22-08-2020")</f>
        <v>http://www.ms.ro/2020/08/22/buletin-informativ-22-08-2020</v>
      </c>
      <c r="U1978" s="5"/>
      <c r="V1978" s="5"/>
      <c r="W1978" s="5"/>
      <c r="X1978" s="5"/>
      <c r="Y1978" s="5"/>
      <c r="Z1978" s="5"/>
      <c r="AA1978" s="5"/>
      <c r="AB1978" s="5"/>
      <c r="AC1978" s="5"/>
    </row>
    <row r="1979" spans="1:29" ht="12.5">
      <c r="A1979" s="5">
        <f ca="1">IFERROR(__xludf.DUMMYFUNCTION("""COMPUTED_VALUE"""),76512)</f>
        <v>76512</v>
      </c>
      <c r="B1979" s="5"/>
      <c r="C1979" s="5" t="str">
        <f ca="1">IFERROR(__xludf.DUMMYFUNCTION("""COMPUTED_VALUE"""),"Bihor")</f>
        <v>Bihor</v>
      </c>
      <c r="D1979" s="13">
        <f ca="1">IFERROR(__xludf.DUMMYFUNCTION("""COMPUTED_VALUE"""),44065)</f>
        <v>44065</v>
      </c>
      <c r="E1979" s="5" t="str">
        <f ca="1">IFERROR(__xludf.DUMMYFUNCTION("""COMPUTED_VALUE"""),"Nu")</f>
        <v>Nu</v>
      </c>
      <c r="F1979" s="5"/>
      <c r="G1979" s="5"/>
      <c r="H1979" s="6"/>
      <c r="I1979" s="5"/>
      <c r="J1979" s="5"/>
      <c r="K1979" s="7" t="str">
        <f ca="1">IFERROR(__xludf.DUMMYFUNCTION("""COMPUTED_VALUE"""),"https://www.ebihoreanul.ro/stiri/niciun-deces-in-bihor-si-zeci-de-pacienti-covid-vindecati-dar-si-40-noi-imbolnaviri-inclusiv-angajati-ai-maternitatii-si-spitalului-militar-158339.html")</f>
        <v>https://www.ebihoreanul.ro/stiri/niciun-deces-in-bihor-si-zeci-de-pacienti-covid-vindecati-dar-si-40-noi-imbolnaviri-inclusiv-angajati-ai-maternitatii-si-spitalului-militar-158339.html</v>
      </c>
      <c r="L1979" s="5"/>
      <c r="M1979" s="5"/>
      <c r="N1979" s="5"/>
      <c r="O1979" s="5"/>
      <c r="P1979" s="5"/>
      <c r="Q1979" s="5"/>
      <c r="R1979" s="5" t="str">
        <f ca="1">IFERROR(__xludf.DUMMYFUNCTION("""COMPUTED_VALUE"""),"România")</f>
        <v>România</v>
      </c>
      <c r="S1979" s="5" t="str">
        <f ca="1">IFERROR(__xludf.DUMMYFUNCTION("""COMPUTED_VALUE"""),"Octavian")</f>
        <v>Octavian</v>
      </c>
      <c r="T1979" s="7" t="str">
        <f ca="1">IFERROR(__xludf.DUMMYFUNCTION("""COMPUTED_VALUE"""),"http://www.ms.ro/2020/08/22/buletin-informativ-22-08-2020")</f>
        <v>http://www.ms.ro/2020/08/22/buletin-informativ-22-08-2020</v>
      </c>
      <c r="U1979" s="5"/>
      <c r="V1979" s="5"/>
      <c r="W1979" s="5"/>
      <c r="X1979" s="5"/>
      <c r="Y1979" s="5"/>
      <c r="Z1979" s="5"/>
      <c r="AA1979" s="5"/>
      <c r="AB1979" s="5"/>
      <c r="AC1979" s="5"/>
    </row>
    <row r="1980" spans="1:29" ht="12.5">
      <c r="A1980" s="5">
        <f ca="1">IFERROR(__xludf.DUMMYFUNCTION("""COMPUTED_VALUE"""),76513)</f>
        <v>76513</v>
      </c>
      <c r="B1980" s="5"/>
      <c r="C1980" s="5" t="str">
        <f ca="1">IFERROR(__xludf.DUMMYFUNCTION("""COMPUTED_VALUE"""),"Bihor")</f>
        <v>Bihor</v>
      </c>
      <c r="D1980" s="13">
        <f ca="1">IFERROR(__xludf.DUMMYFUNCTION("""COMPUTED_VALUE"""),44065)</f>
        <v>44065</v>
      </c>
      <c r="E1980" s="5" t="str">
        <f ca="1">IFERROR(__xludf.DUMMYFUNCTION("""COMPUTED_VALUE"""),"Nu")</f>
        <v>Nu</v>
      </c>
      <c r="F1980" s="5"/>
      <c r="G1980" s="5"/>
      <c r="H1980" s="6"/>
      <c r="I1980" s="5"/>
      <c r="J1980" s="5"/>
      <c r="K1980" s="7" t="str">
        <f ca="1">IFERROR(__xludf.DUMMYFUNCTION("""COMPUTED_VALUE"""),"https://www.ebihoreanul.ro/stiri/niciun-deces-in-bihor-si-zeci-de-pacienti-covid-vindecati-dar-si-40-noi-imbolnaviri-inclusiv-angajati-ai-maternitatii-si-spitalului-militar-158339.html")</f>
        <v>https://www.ebihoreanul.ro/stiri/niciun-deces-in-bihor-si-zeci-de-pacienti-covid-vindecati-dar-si-40-noi-imbolnaviri-inclusiv-angajati-ai-maternitatii-si-spitalului-militar-158339.html</v>
      </c>
      <c r="L1980" s="5"/>
      <c r="M1980" s="5"/>
      <c r="N1980" s="5"/>
      <c r="O1980" s="5"/>
      <c r="P1980" s="5"/>
      <c r="Q1980" s="5"/>
      <c r="R1980" s="5" t="str">
        <f ca="1">IFERROR(__xludf.DUMMYFUNCTION("""COMPUTED_VALUE"""),"România")</f>
        <v>România</v>
      </c>
      <c r="S1980" s="5" t="str">
        <f ca="1">IFERROR(__xludf.DUMMYFUNCTION("""COMPUTED_VALUE"""),"Octavian")</f>
        <v>Octavian</v>
      </c>
      <c r="T1980" s="7" t="str">
        <f ca="1">IFERROR(__xludf.DUMMYFUNCTION("""COMPUTED_VALUE"""),"http://www.ms.ro/2020/08/22/buletin-informativ-22-08-2020")</f>
        <v>http://www.ms.ro/2020/08/22/buletin-informativ-22-08-2020</v>
      </c>
      <c r="U1980" s="5"/>
      <c r="V1980" s="5"/>
      <c r="W1980" s="5"/>
      <c r="X1980" s="5"/>
      <c r="Y1980" s="5"/>
      <c r="Z1980" s="5"/>
      <c r="AA1980" s="5"/>
      <c r="AB1980" s="5"/>
      <c r="AC1980" s="5"/>
    </row>
    <row r="1981" spans="1:29" ht="12.5">
      <c r="A1981" s="5">
        <f ca="1">IFERROR(__xludf.DUMMYFUNCTION("""COMPUTED_VALUE"""),76514)</f>
        <v>76514</v>
      </c>
      <c r="B1981" s="5"/>
      <c r="C1981" s="5" t="str">
        <f ca="1">IFERROR(__xludf.DUMMYFUNCTION("""COMPUTED_VALUE"""),"Bihor")</f>
        <v>Bihor</v>
      </c>
      <c r="D1981" s="13">
        <f ca="1">IFERROR(__xludf.DUMMYFUNCTION("""COMPUTED_VALUE"""),44065)</f>
        <v>44065</v>
      </c>
      <c r="E1981" s="5" t="str">
        <f ca="1">IFERROR(__xludf.DUMMYFUNCTION("""COMPUTED_VALUE"""),"Nu")</f>
        <v>Nu</v>
      </c>
      <c r="F1981" s="5"/>
      <c r="G1981" s="5"/>
      <c r="H1981" s="6"/>
      <c r="I1981" s="5"/>
      <c r="J1981" s="5"/>
      <c r="K1981" s="7" t="str">
        <f ca="1">IFERROR(__xludf.DUMMYFUNCTION("""COMPUTED_VALUE"""),"https://www.ebihoreanul.ro/stiri/niciun-deces-in-bihor-si-zeci-de-pacienti-covid-vindecati-dar-si-40-noi-imbolnaviri-inclusiv-angajati-ai-maternitatii-si-spitalului-militar-158339.html")</f>
        <v>https://www.ebihoreanul.ro/stiri/niciun-deces-in-bihor-si-zeci-de-pacienti-covid-vindecati-dar-si-40-noi-imbolnaviri-inclusiv-angajati-ai-maternitatii-si-spitalului-militar-158339.html</v>
      </c>
      <c r="L1981" s="5"/>
      <c r="M1981" s="5"/>
      <c r="N1981" s="5"/>
      <c r="O1981" s="5"/>
      <c r="P1981" s="5"/>
      <c r="Q1981" s="5"/>
      <c r="R1981" s="5" t="str">
        <f ca="1">IFERROR(__xludf.DUMMYFUNCTION("""COMPUTED_VALUE"""),"România")</f>
        <v>România</v>
      </c>
      <c r="S1981" s="5" t="str">
        <f ca="1">IFERROR(__xludf.DUMMYFUNCTION("""COMPUTED_VALUE"""),"Octavian")</f>
        <v>Octavian</v>
      </c>
      <c r="T1981" s="7" t="str">
        <f ca="1">IFERROR(__xludf.DUMMYFUNCTION("""COMPUTED_VALUE"""),"http://www.ms.ro/2020/08/22/buletin-informativ-22-08-2020")</f>
        <v>http://www.ms.ro/2020/08/22/buletin-informativ-22-08-2020</v>
      </c>
      <c r="U1981" s="5"/>
      <c r="V1981" s="5"/>
      <c r="W1981" s="5"/>
      <c r="X1981" s="5"/>
      <c r="Y1981" s="5"/>
      <c r="Z1981" s="5"/>
      <c r="AA1981" s="5"/>
      <c r="AB1981" s="5"/>
      <c r="AC1981" s="5"/>
    </row>
    <row r="1982" spans="1:29" ht="12.5">
      <c r="A1982" s="5">
        <f ca="1">IFERROR(__xludf.DUMMYFUNCTION("""COMPUTED_VALUE"""),76515)</f>
        <v>76515</v>
      </c>
      <c r="B1982" s="5"/>
      <c r="C1982" s="5" t="str">
        <f ca="1">IFERROR(__xludf.DUMMYFUNCTION("""COMPUTED_VALUE"""),"Bihor")</f>
        <v>Bihor</v>
      </c>
      <c r="D1982" s="13">
        <f ca="1">IFERROR(__xludf.DUMMYFUNCTION("""COMPUTED_VALUE"""),44065)</f>
        <v>44065</v>
      </c>
      <c r="E1982" s="5" t="str">
        <f ca="1">IFERROR(__xludf.DUMMYFUNCTION("""COMPUTED_VALUE"""),"Nu")</f>
        <v>Nu</v>
      </c>
      <c r="F1982" s="5"/>
      <c r="G1982" s="5"/>
      <c r="H1982" s="6"/>
      <c r="I1982" s="5"/>
      <c r="J1982" s="5"/>
      <c r="K1982" s="7" t="str">
        <f ca="1">IFERROR(__xludf.DUMMYFUNCTION("""COMPUTED_VALUE"""),"https://www.ebihoreanul.ro/stiri/niciun-deces-in-bihor-si-zeci-de-pacienti-covid-vindecati-dar-si-40-noi-imbolnaviri-inclusiv-angajati-ai-maternitatii-si-spitalului-militar-158339.html")</f>
        <v>https://www.ebihoreanul.ro/stiri/niciun-deces-in-bihor-si-zeci-de-pacienti-covid-vindecati-dar-si-40-noi-imbolnaviri-inclusiv-angajati-ai-maternitatii-si-spitalului-militar-158339.html</v>
      </c>
      <c r="L1982" s="5"/>
      <c r="M1982" s="5"/>
      <c r="N1982" s="5"/>
      <c r="O1982" s="5"/>
      <c r="P1982" s="5"/>
      <c r="Q1982" s="5"/>
      <c r="R1982" s="5" t="str">
        <f ca="1">IFERROR(__xludf.DUMMYFUNCTION("""COMPUTED_VALUE"""),"România")</f>
        <v>România</v>
      </c>
      <c r="S1982" s="5" t="str">
        <f ca="1">IFERROR(__xludf.DUMMYFUNCTION("""COMPUTED_VALUE"""),"Octavian")</f>
        <v>Octavian</v>
      </c>
      <c r="T1982" s="7" t="str">
        <f ca="1">IFERROR(__xludf.DUMMYFUNCTION("""COMPUTED_VALUE"""),"http://www.ms.ro/2020/08/22/buletin-informativ-22-08-2020")</f>
        <v>http://www.ms.ro/2020/08/22/buletin-informativ-22-08-2020</v>
      </c>
      <c r="U1982" s="5"/>
      <c r="V1982" s="5"/>
      <c r="W1982" s="5"/>
      <c r="X1982" s="5"/>
      <c r="Y1982" s="5"/>
      <c r="Z1982" s="5"/>
      <c r="AA1982" s="5"/>
      <c r="AB1982" s="5"/>
      <c r="AC1982" s="5"/>
    </row>
    <row r="1983" spans="1:29" ht="12.5">
      <c r="A1983" s="5">
        <f ca="1">IFERROR(__xludf.DUMMYFUNCTION("""COMPUTED_VALUE"""),76516)</f>
        <v>76516</v>
      </c>
      <c r="B1983" s="5"/>
      <c r="C1983" s="5" t="str">
        <f ca="1">IFERROR(__xludf.DUMMYFUNCTION("""COMPUTED_VALUE"""),"Bihor")</f>
        <v>Bihor</v>
      </c>
      <c r="D1983" s="13">
        <f ca="1">IFERROR(__xludf.DUMMYFUNCTION("""COMPUTED_VALUE"""),44065)</f>
        <v>44065</v>
      </c>
      <c r="E1983" s="5" t="str">
        <f ca="1">IFERROR(__xludf.DUMMYFUNCTION("""COMPUTED_VALUE"""),"Nu")</f>
        <v>Nu</v>
      </c>
      <c r="F1983" s="5"/>
      <c r="G1983" s="5"/>
      <c r="H1983" s="6"/>
      <c r="I1983" s="5"/>
      <c r="J1983" s="5"/>
      <c r="K1983" s="7" t="str">
        <f ca="1">IFERROR(__xludf.DUMMYFUNCTION("""COMPUTED_VALUE"""),"https://www.ebihoreanul.ro/stiri/niciun-deces-in-bihor-si-zeci-de-pacienti-covid-vindecati-dar-si-40-noi-imbolnaviri-inclusiv-angajati-ai-maternitatii-si-spitalului-militar-158339.html")</f>
        <v>https://www.ebihoreanul.ro/stiri/niciun-deces-in-bihor-si-zeci-de-pacienti-covid-vindecati-dar-si-40-noi-imbolnaviri-inclusiv-angajati-ai-maternitatii-si-spitalului-militar-158339.html</v>
      </c>
      <c r="L1983" s="5"/>
      <c r="M1983" s="5"/>
      <c r="N1983" s="5"/>
      <c r="O1983" s="5"/>
      <c r="P1983" s="5"/>
      <c r="Q1983" s="5"/>
      <c r="R1983" s="5" t="str">
        <f ca="1">IFERROR(__xludf.DUMMYFUNCTION("""COMPUTED_VALUE"""),"România")</f>
        <v>România</v>
      </c>
      <c r="S1983" s="5" t="str">
        <f ca="1">IFERROR(__xludf.DUMMYFUNCTION("""COMPUTED_VALUE"""),"Octavian")</f>
        <v>Octavian</v>
      </c>
      <c r="T1983" s="7" t="str">
        <f ca="1">IFERROR(__xludf.DUMMYFUNCTION("""COMPUTED_VALUE"""),"http://www.ms.ro/2020/08/22/buletin-informativ-22-08-2020")</f>
        <v>http://www.ms.ro/2020/08/22/buletin-informativ-22-08-2020</v>
      </c>
      <c r="U1983" s="5"/>
      <c r="V1983" s="5"/>
      <c r="W1983" s="5"/>
      <c r="X1983" s="5"/>
      <c r="Y1983" s="5"/>
      <c r="Z1983" s="5"/>
      <c r="AA1983" s="5"/>
      <c r="AB1983" s="5"/>
      <c r="AC1983" s="5"/>
    </row>
    <row r="1984" spans="1:29" ht="12.5">
      <c r="A1984" s="5">
        <f ca="1">IFERROR(__xludf.DUMMYFUNCTION("""COMPUTED_VALUE"""),76517)</f>
        <v>76517</v>
      </c>
      <c r="B1984" s="5"/>
      <c r="C1984" s="5" t="str">
        <f ca="1">IFERROR(__xludf.DUMMYFUNCTION("""COMPUTED_VALUE"""),"Bihor")</f>
        <v>Bihor</v>
      </c>
      <c r="D1984" s="13">
        <f ca="1">IFERROR(__xludf.DUMMYFUNCTION("""COMPUTED_VALUE"""),44065)</f>
        <v>44065</v>
      </c>
      <c r="E1984" s="5" t="str">
        <f ca="1">IFERROR(__xludf.DUMMYFUNCTION("""COMPUTED_VALUE"""),"Nu")</f>
        <v>Nu</v>
      </c>
      <c r="F1984" s="5"/>
      <c r="G1984" s="5"/>
      <c r="H1984" s="6"/>
      <c r="I1984" s="5"/>
      <c r="J1984" s="5"/>
      <c r="K1984" s="7" t="str">
        <f ca="1">IFERROR(__xludf.DUMMYFUNCTION("""COMPUTED_VALUE"""),"https://www.ebihoreanul.ro/stiri/niciun-deces-in-bihor-si-zeci-de-pacienti-covid-vindecati-dar-si-40-noi-imbolnaviri-inclusiv-angajati-ai-maternitatii-si-spitalului-militar-158339.html")</f>
        <v>https://www.ebihoreanul.ro/stiri/niciun-deces-in-bihor-si-zeci-de-pacienti-covid-vindecati-dar-si-40-noi-imbolnaviri-inclusiv-angajati-ai-maternitatii-si-spitalului-militar-158339.html</v>
      </c>
      <c r="L1984" s="5"/>
      <c r="M1984" s="5"/>
      <c r="N1984" s="5"/>
      <c r="O1984" s="5"/>
      <c r="P1984" s="5"/>
      <c r="Q1984" s="5"/>
      <c r="R1984" s="5" t="str">
        <f ca="1">IFERROR(__xludf.DUMMYFUNCTION("""COMPUTED_VALUE"""),"România")</f>
        <v>România</v>
      </c>
      <c r="S1984" s="5" t="str">
        <f ca="1">IFERROR(__xludf.DUMMYFUNCTION("""COMPUTED_VALUE"""),"Octavian")</f>
        <v>Octavian</v>
      </c>
      <c r="T1984" s="7" t="str">
        <f ca="1">IFERROR(__xludf.DUMMYFUNCTION("""COMPUTED_VALUE"""),"http://www.ms.ro/2020/08/22/buletin-informativ-22-08-2020")</f>
        <v>http://www.ms.ro/2020/08/22/buletin-informativ-22-08-2020</v>
      </c>
      <c r="U1984" s="5"/>
      <c r="V1984" s="5"/>
      <c r="W1984" s="5"/>
      <c r="X1984" s="5"/>
      <c r="Y1984" s="5"/>
      <c r="Z1984" s="5"/>
      <c r="AA1984" s="5"/>
      <c r="AB1984" s="5"/>
      <c r="AC1984" s="5"/>
    </row>
    <row r="1985" spans="1:29" ht="12.5">
      <c r="A1985" s="5">
        <f ca="1">IFERROR(__xludf.DUMMYFUNCTION("""COMPUTED_VALUE"""),76518)</f>
        <v>76518</v>
      </c>
      <c r="B1985" s="5"/>
      <c r="C1985" s="5" t="str">
        <f ca="1">IFERROR(__xludf.DUMMYFUNCTION("""COMPUTED_VALUE"""),"Bihor")</f>
        <v>Bihor</v>
      </c>
      <c r="D1985" s="13">
        <f ca="1">IFERROR(__xludf.DUMMYFUNCTION("""COMPUTED_VALUE"""),44065)</f>
        <v>44065</v>
      </c>
      <c r="E1985" s="5" t="str">
        <f ca="1">IFERROR(__xludf.DUMMYFUNCTION("""COMPUTED_VALUE"""),"Nu")</f>
        <v>Nu</v>
      </c>
      <c r="F1985" s="5"/>
      <c r="G1985" s="5"/>
      <c r="H1985" s="6"/>
      <c r="I1985" s="5"/>
      <c r="J1985" s="5"/>
      <c r="K1985" s="7" t="str">
        <f ca="1">IFERROR(__xludf.DUMMYFUNCTION("""COMPUTED_VALUE"""),"https://www.ebihoreanul.ro/stiri/niciun-deces-in-bihor-si-zeci-de-pacienti-covid-vindecati-dar-si-40-noi-imbolnaviri-inclusiv-angajati-ai-maternitatii-si-spitalului-militar-158339.html")</f>
        <v>https://www.ebihoreanul.ro/stiri/niciun-deces-in-bihor-si-zeci-de-pacienti-covid-vindecati-dar-si-40-noi-imbolnaviri-inclusiv-angajati-ai-maternitatii-si-spitalului-militar-158339.html</v>
      </c>
      <c r="L1985" s="5"/>
      <c r="M1985" s="5"/>
      <c r="N1985" s="5"/>
      <c r="O1985" s="5"/>
      <c r="P1985" s="5"/>
      <c r="Q1985" s="5"/>
      <c r="R1985" s="5" t="str">
        <f ca="1">IFERROR(__xludf.DUMMYFUNCTION("""COMPUTED_VALUE"""),"România")</f>
        <v>România</v>
      </c>
      <c r="S1985" s="5" t="str">
        <f ca="1">IFERROR(__xludf.DUMMYFUNCTION("""COMPUTED_VALUE"""),"Octavian")</f>
        <v>Octavian</v>
      </c>
      <c r="T1985" s="7" t="str">
        <f ca="1">IFERROR(__xludf.DUMMYFUNCTION("""COMPUTED_VALUE"""),"http://www.ms.ro/2020/08/22/buletin-informativ-22-08-2020")</f>
        <v>http://www.ms.ro/2020/08/22/buletin-informativ-22-08-2020</v>
      </c>
      <c r="U1985" s="5"/>
      <c r="V1985" s="5"/>
      <c r="W1985" s="5"/>
      <c r="X1985" s="5"/>
      <c r="Y1985" s="5"/>
      <c r="Z1985" s="5"/>
      <c r="AA1985" s="5"/>
      <c r="AB1985" s="5"/>
      <c r="AC1985" s="5"/>
    </row>
    <row r="1986" spans="1:29" ht="12.5">
      <c r="A1986" s="5">
        <f ca="1">IFERROR(__xludf.DUMMYFUNCTION("""COMPUTED_VALUE"""),76519)</f>
        <v>76519</v>
      </c>
      <c r="B1986" s="5"/>
      <c r="C1986" s="5" t="str">
        <f ca="1">IFERROR(__xludf.DUMMYFUNCTION("""COMPUTED_VALUE"""),"Bihor")</f>
        <v>Bihor</v>
      </c>
      <c r="D1986" s="13">
        <f ca="1">IFERROR(__xludf.DUMMYFUNCTION("""COMPUTED_VALUE"""),44065)</f>
        <v>44065</v>
      </c>
      <c r="E1986" s="5" t="str">
        <f ca="1">IFERROR(__xludf.DUMMYFUNCTION("""COMPUTED_VALUE"""),"Nu")</f>
        <v>Nu</v>
      </c>
      <c r="F1986" s="5"/>
      <c r="G1986" s="5"/>
      <c r="H1986" s="6"/>
      <c r="I1986" s="5"/>
      <c r="J1986" s="5"/>
      <c r="K1986" s="7" t="str">
        <f ca="1">IFERROR(__xludf.DUMMYFUNCTION("""COMPUTED_VALUE"""),"https://www.ebihoreanul.ro/stiri/niciun-deces-in-bihor-si-zeci-de-pacienti-covid-vindecati-dar-si-40-noi-imbolnaviri-inclusiv-angajati-ai-maternitatii-si-spitalului-militar-158339.html")</f>
        <v>https://www.ebihoreanul.ro/stiri/niciun-deces-in-bihor-si-zeci-de-pacienti-covid-vindecati-dar-si-40-noi-imbolnaviri-inclusiv-angajati-ai-maternitatii-si-spitalului-militar-158339.html</v>
      </c>
      <c r="L1986" s="5"/>
      <c r="M1986" s="5"/>
      <c r="N1986" s="5"/>
      <c r="O1986" s="5"/>
      <c r="P1986" s="5"/>
      <c r="Q1986" s="5"/>
      <c r="R1986" s="5" t="str">
        <f ca="1">IFERROR(__xludf.DUMMYFUNCTION("""COMPUTED_VALUE"""),"România")</f>
        <v>România</v>
      </c>
      <c r="S1986" s="5" t="str">
        <f ca="1">IFERROR(__xludf.DUMMYFUNCTION("""COMPUTED_VALUE"""),"Octavian")</f>
        <v>Octavian</v>
      </c>
      <c r="T1986" s="7" t="str">
        <f ca="1">IFERROR(__xludf.DUMMYFUNCTION("""COMPUTED_VALUE"""),"http://www.ms.ro/2020/08/22/buletin-informativ-22-08-2020")</f>
        <v>http://www.ms.ro/2020/08/22/buletin-informativ-22-08-2020</v>
      </c>
      <c r="U1986" s="5"/>
      <c r="V1986" s="5"/>
      <c r="W1986" s="5"/>
      <c r="X1986" s="5"/>
      <c r="Y1986" s="5"/>
      <c r="Z1986" s="5"/>
      <c r="AA1986" s="5"/>
      <c r="AB1986" s="5"/>
      <c r="AC1986" s="5"/>
    </row>
    <row r="1987" spans="1:29" ht="12.5">
      <c r="A1987" s="5">
        <f ca="1">IFERROR(__xludf.DUMMYFUNCTION("""COMPUTED_VALUE"""),76520)</f>
        <v>76520</v>
      </c>
      <c r="B1987" s="5"/>
      <c r="C1987" s="5" t="str">
        <f ca="1">IFERROR(__xludf.DUMMYFUNCTION("""COMPUTED_VALUE"""),"Bihor")</f>
        <v>Bihor</v>
      </c>
      <c r="D1987" s="13">
        <f ca="1">IFERROR(__xludf.DUMMYFUNCTION("""COMPUTED_VALUE"""),44065)</f>
        <v>44065</v>
      </c>
      <c r="E1987" s="5" t="str">
        <f ca="1">IFERROR(__xludf.DUMMYFUNCTION("""COMPUTED_VALUE"""),"Nu")</f>
        <v>Nu</v>
      </c>
      <c r="F1987" s="5"/>
      <c r="G1987" s="5"/>
      <c r="H1987" s="6"/>
      <c r="I1987" s="5"/>
      <c r="J1987" s="5"/>
      <c r="K1987" s="7" t="str">
        <f ca="1">IFERROR(__xludf.DUMMYFUNCTION("""COMPUTED_VALUE"""),"https://www.ebihoreanul.ro/stiri/niciun-deces-in-bihor-si-zeci-de-pacienti-covid-vindecati-dar-si-40-noi-imbolnaviri-inclusiv-angajati-ai-maternitatii-si-spitalului-militar-158339.html")</f>
        <v>https://www.ebihoreanul.ro/stiri/niciun-deces-in-bihor-si-zeci-de-pacienti-covid-vindecati-dar-si-40-noi-imbolnaviri-inclusiv-angajati-ai-maternitatii-si-spitalului-militar-158339.html</v>
      </c>
      <c r="L1987" s="5"/>
      <c r="M1987" s="5"/>
      <c r="N1987" s="5"/>
      <c r="O1987" s="5"/>
      <c r="P1987" s="5"/>
      <c r="Q1987" s="5"/>
      <c r="R1987" s="5" t="str">
        <f ca="1">IFERROR(__xludf.DUMMYFUNCTION("""COMPUTED_VALUE"""),"România")</f>
        <v>România</v>
      </c>
      <c r="S1987" s="5" t="str">
        <f ca="1">IFERROR(__xludf.DUMMYFUNCTION("""COMPUTED_VALUE"""),"Octavian")</f>
        <v>Octavian</v>
      </c>
      <c r="T1987" s="7" t="str">
        <f ca="1">IFERROR(__xludf.DUMMYFUNCTION("""COMPUTED_VALUE"""),"http://www.ms.ro/2020/08/22/buletin-informativ-22-08-2020")</f>
        <v>http://www.ms.ro/2020/08/22/buletin-informativ-22-08-2020</v>
      </c>
      <c r="U1987" s="5"/>
      <c r="V1987" s="5"/>
      <c r="W1987" s="5"/>
      <c r="X1987" s="5"/>
      <c r="Y1987" s="5"/>
      <c r="Z1987" s="5"/>
      <c r="AA1987" s="5"/>
      <c r="AB1987" s="5"/>
      <c r="AC1987" s="5"/>
    </row>
    <row r="1988" spans="1:29" ht="12.5">
      <c r="A1988" s="5">
        <f ca="1">IFERROR(__xludf.DUMMYFUNCTION("""COMPUTED_VALUE"""),76521)</f>
        <v>76521</v>
      </c>
      <c r="B1988" s="5"/>
      <c r="C1988" s="5" t="str">
        <f ca="1">IFERROR(__xludf.DUMMYFUNCTION("""COMPUTED_VALUE"""),"Bihor")</f>
        <v>Bihor</v>
      </c>
      <c r="D1988" s="13">
        <f ca="1">IFERROR(__xludf.DUMMYFUNCTION("""COMPUTED_VALUE"""),44065)</f>
        <v>44065</v>
      </c>
      <c r="E1988" s="5" t="str">
        <f ca="1">IFERROR(__xludf.DUMMYFUNCTION("""COMPUTED_VALUE"""),"Nu")</f>
        <v>Nu</v>
      </c>
      <c r="F1988" s="5"/>
      <c r="G1988" s="5"/>
      <c r="H1988" s="6"/>
      <c r="I1988" s="5"/>
      <c r="J1988" s="5"/>
      <c r="K1988" s="7" t="str">
        <f ca="1">IFERROR(__xludf.DUMMYFUNCTION("""COMPUTED_VALUE"""),"https://www.ebihoreanul.ro/stiri/niciun-deces-in-bihor-si-zeci-de-pacienti-covid-vindecati-dar-si-40-noi-imbolnaviri-inclusiv-angajati-ai-maternitatii-si-spitalului-militar-158339.html")</f>
        <v>https://www.ebihoreanul.ro/stiri/niciun-deces-in-bihor-si-zeci-de-pacienti-covid-vindecati-dar-si-40-noi-imbolnaviri-inclusiv-angajati-ai-maternitatii-si-spitalului-militar-158339.html</v>
      </c>
      <c r="L1988" s="5"/>
      <c r="M1988" s="5"/>
      <c r="N1988" s="5"/>
      <c r="O1988" s="5"/>
      <c r="P1988" s="5"/>
      <c r="Q1988" s="5"/>
      <c r="R1988" s="5" t="str">
        <f ca="1">IFERROR(__xludf.DUMMYFUNCTION("""COMPUTED_VALUE"""),"România")</f>
        <v>România</v>
      </c>
      <c r="S1988" s="5" t="str">
        <f ca="1">IFERROR(__xludf.DUMMYFUNCTION("""COMPUTED_VALUE"""),"Octavian")</f>
        <v>Octavian</v>
      </c>
      <c r="T1988" s="7" t="str">
        <f ca="1">IFERROR(__xludf.DUMMYFUNCTION("""COMPUTED_VALUE"""),"http://www.ms.ro/2020/08/22/buletin-informativ-22-08-2020")</f>
        <v>http://www.ms.ro/2020/08/22/buletin-informativ-22-08-2020</v>
      </c>
      <c r="U1988" s="5"/>
      <c r="V1988" s="5"/>
      <c r="W1988" s="5"/>
      <c r="X1988" s="5"/>
      <c r="Y1988" s="5"/>
      <c r="Z1988" s="5"/>
      <c r="AA1988" s="5"/>
      <c r="AB1988" s="5"/>
      <c r="AC1988" s="5"/>
    </row>
    <row r="1989" spans="1:29" ht="12.5">
      <c r="A1989" s="5">
        <f ca="1">IFERROR(__xludf.DUMMYFUNCTION("""COMPUTED_VALUE"""),77676)</f>
        <v>77676</v>
      </c>
      <c r="B1989" s="5"/>
      <c r="C1989" s="5" t="str">
        <f ca="1">IFERROR(__xludf.DUMMYFUNCTION("""COMPUTED_VALUE"""),"Bihor")</f>
        <v>Bihor</v>
      </c>
      <c r="D1989" s="13">
        <f ca="1">IFERROR(__xludf.DUMMYFUNCTION("""COMPUTED_VALUE"""),44066)</f>
        <v>44066</v>
      </c>
      <c r="E1989" s="5" t="str">
        <f ca="1">IFERROR(__xludf.DUMMYFUNCTION("""COMPUTED_VALUE"""),"Nu")</f>
        <v>Nu</v>
      </c>
      <c r="F1989" s="5"/>
      <c r="G1989" s="5"/>
      <c r="H1989" s="6"/>
      <c r="I1989" s="5"/>
      <c r="J1989" s="5"/>
      <c r="K1989" s="7" t="str">
        <f ca="1">IFERROR(__xludf.DUMMYFUNCTION("""COMPUTED_VALUE"""),"https://www.ebihoreanul.ro/stiri/a-fost-depasit-pragul-de-2000-de-cazuri-covid-19diagnosticate-in-bihor-158350.html")</f>
        <v>https://www.ebihoreanul.ro/stiri/a-fost-depasit-pragul-de-2000-de-cazuri-covid-19diagnosticate-in-bihor-158350.html</v>
      </c>
      <c r="L1989" s="5"/>
      <c r="M1989" s="5" t="str">
        <f ca="1">IFERROR(__xludf.DUMMYFUNCTION("""COMPUTED_VALUE"""),"Oradea")</f>
        <v>Oradea</v>
      </c>
      <c r="N1989" s="5"/>
      <c r="O1989" s="5"/>
      <c r="P1989" s="5" t="str">
        <f ca="1">IFERROR(__xludf.DUMMYFUNCTION("""COMPUTED_VALUE"""),"SJU, cadru medical.")</f>
        <v>SJU, cadru medical.</v>
      </c>
      <c r="Q1989" s="5" t="str">
        <f ca="1">IFERROR(__xludf.DUMMYFUNCTION("""COMPUTED_VALUE"""),"Medical")</f>
        <v>Medical</v>
      </c>
      <c r="R1989" s="5" t="str">
        <f ca="1">IFERROR(__xludf.DUMMYFUNCTION("""COMPUTED_VALUE"""),"România")</f>
        <v>România</v>
      </c>
      <c r="S1989" s="5" t="str">
        <f ca="1">IFERROR(__xludf.DUMMYFUNCTION("""COMPUTED_VALUE"""),"Octavian")</f>
        <v>Octavian</v>
      </c>
      <c r="T1989" s="7" t="str">
        <f ca="1">IFERROR(__xludf.DUMMYFUNCTION("""COMPUTED_VALUE"""),"http://www.ms.ro/2020/08/23/buletin-informativ-23-08-2020")</f>
        <v>http://www.ms.ro/2020/08/23/buletin-informativ-23-08-2020</v>
      </c>
      <c r="U1989" s="5"/>
      <c r="V1989" s="5"/>
      <c r="W1989" s="5"/>
      <c r="X1989" s="5"/>
      <c r="Y1989" s="5"/>
      <c r="Z1989" s="5"/>
      <c r="AA1989" s="5"/>
      <c r="AB1989" s="5"/>
      <c r="AC1989" s="5"/>
    </row>
    <row r="1990" spans="1:29" ht="12.5">
      <c r="A1990" s="5">
        <f ca="1">IFERROR(__xludf.DUMMYFUNCTION("""COMPUTED_VALUE"""),77677)</f>
        <v>77677</v>
      </c>
      <c r="B1990" s="5"/>
      <c r="C1990" s="5" t="str">
        <f ca="1">IFERROR(__xludf.DUMMYFUNCTION("""COMPUTED_VALUE"""),"Bihor")</f>
        <v>Bihor</v>
      </c>
      <c r="D1990" s="13">
        <f ca="1">IFERROR(__xludf.DUMMYFUNCTION("""COMPUTED_VALUE"""),44066)</f>
        <v>44066</v>
      </c>
      <c r="E1990" s="5" t="str">
        <f ca="1">IFERROR(__xludf.DUMMYFUNCTION("""COMPUTED_VALUE"""),"Nu")</f>
        <v>Nu</v>
      </c>
      <c r="F1990" s="5"/>
      <c r="G1990" s="5"/>
      <c r="H1990" s="6"/>
      <c r="I1990" s="5"/>
      <c r="J1990" s="5"/>
      <c r="K1990" s="7" t="str">
        <f ca="1">IFERROR(__xludf.DUMMYFUNCTION("""COMPUTED_VALUE"""),"https://www.ebihoreanul.ro/stiri/a-fost-depasit-pragul-de-2000-de-cazuri-covid-19diagnosticate-in-bihor-158350.html")</f>
        <v>https://www.ebihoreanul.ro/stiri/a-fost-depasit-pragul-de-2000-de-cazuri-covid-19diagnosticate-in-bihor-158350.html</v>
      </c>
      <c r="L1990" s="5"/>
      <c r="M1990" s="5" t="str">
        <f ca="1">IFERROR(__xludf.DUMMYFUNCTION("""COMPUTED_VALUE"""),"Oradea")</f>
        <v>Oradea</v>
      </c>
      <c r="N1990" s="5"/>
      <c r="O1990" s="5"/>
      <c r="P1990" s="5" t="str">
        <f ca="1">IFERROR(__xludf.DUMMYFUNCTION("""COMPUTED_VALUE"""),"SJU, cadru medical.")</f>
        <v>SJU, cadru medical.</v>
      </c>
      <c r="Q1990" s="5" t="str">
        <f ca="1">IFERROR(__xludf.DUMMYFUNCTION("""COMPUTED_VALUE"""),"Medical")</f>
        <v>Medical</v>
      </c>
      <c r="R1990" s="5" t="str">
        <f ca="1">IFERROR(__xludf.DUMMYFUNCTION("""COMPUTED_VALUE"""),"România")</f>
        <v>România</v>
      </c>
      <c r="S1990" s="5" t="str">
        <f ca="1">IFERROR(__xludf.DUMMYFUNCTION("""COMPUTED_VALUE"""),"Octavian")</f>
        <v>Octavian</v>
      </c>
      <c r="T1990" s="7" t="str">
        <f ca="1">IFERROR(__xludf.DUMMYFUNCTION("""COMPUTED_VALUE"""),"http://www.ms.ro/2020/08/23/buletin-informativ-23-08-2020")</f>
        <v>http://www.ms.ro/2020/08/23/buletin-informativ-23-08-2020</v>
      </c>
      <c r="U1990" s="5"/>
      <c r="V1990" s="5"/>
      <c r="W1990" s="5"/>
      <c r="X1990" s="5"/>
      <c r="Y1990" s="5"/>
      <c r="Z1990" s="5"/>
      <c r="AA1990" s="5"/>
      <c r="AB1990" s="5"/>
      <c r="AC1990" s="5"/>
    </row>
    <row r="1991" spans="1:29" ht="12.5">
      <c r="A1991" s="5">
        <f ca="1">IFERROR(__xludf.DUMMYFUNCTION("""COMPUTED_VALUE"""),77678)</f>
        <v>77678</v>
      </c>
      <c r="B1991" s="5"/>
      <c r="C1991" s="5" t="str">
        <f ca="1">IFERROR(__xludf.DUMMYFUNCTION("""COMPUTED_VALUE"""),"Bihor")</f>
        <v>Bihor</v>
      </c>
      <c r="D1991" s="13">
        <f ca="1">IFERROR(__xludf.DUMMYFUNCTION("""COMPUTED_VALUE"""),44066)</f>
        <v>44066</v>
      </c>
      <c r="E1991" s="5" t="str">
        <f ca="1">IFERROR(__xludf.DUMMYFUNCTION("""COMPUTED_VALUE"""),"Nu")</f>
        <v>Nu</v>
      </c>
      <c r="F1991" s="5"/>
      <c r="G1991" s="5"/>
      <c r="H1991" s="6"/>
      <c r="I1991" s="5"/>
      <c r="J1991" s="5"/>
      <c r="K1991" s="7" t="str">
        <f ca="1">IFERROR(__xludf.DUMMYFUNCTION("""COMPUTED_VALUE"""),"https://www.ebihoreanul.ro/stiri/a-fost-depasit-pragul-de-2000-de-cazuri-covid-19diagnosticate-in-bihor-158350.html")</f>
        <v>https://www.ebihoreanul.ro/stiri/a-fost-depasit-pragul-de-2000-de-cazuri-covid-19diagnosticate-in-bihor-158350.html</v>
      </c>
      <c r="L1991" s="5"/>
      <c r="M1991" s="5" t="str">
        <f ca="1">IFERROR(__xludf.DUMMYFUNCTION("""COMPUTED_VALUE"""),"Oradea")</f>
        <v>Oradea</v>
      </c>
      <c r="N1991" s="5"/>
      <c r="O1991" s="5"/>
      <c r="P1991" s="5" t="str">
        <f ca="1">IFERROR(__xludf.DUMMYFUNCTION("""COMPUTED_VALUE"""),"SJU-UPU, cadru medical.")</f>
        <v>SJU-UPU, cadru medical.</v>
      </c>
      <c r="Q1991" s="5" t="str">
        <f ca="1">IFERROR(__xludf.DUMMYFUNCTION("""COMPUTED_VALUE"""),"Medical")</f>
        <v>Medical</v>
      </c>
      <c r="R1991" s="5" t="str">
        <f ca="1">IFERROR(__xludf.DUMMYFUNCTION("""COMPUTED_VALUE"""),"România")</f>
        <v>România</v>
      </c>
      <c r="S1991" s="5" t="str">
        <f ca="1">IFERROR(__xludf.DUMMYFUNCTION("""COMPUTED_VALUE"""),"Octavian")</f>
        <v>Octavian</v>
      </c>
      <c r="T1991" s="7" t="str">
        <f ca="1">IFERROR(__xludf.DUMMYFUNCTION("""COMPUTED_VALUE"""),"http://www.ms.ro/2020/08/23/buletin-informativ-23-08-2020")</f>
        <v>http://www.ms.ro/2020/08/23/buletin-informativ-23-08-2020</v>
      </c>
      <c r="U1991" s="5"/>
      <c r="V1991" s="5"/>
      <c r="W1991" s="5"/>
      <c r="X1991" s="5"/>
      <c r="Y1991" s="5"/>
      <c r="Z1991" s="5"/>
      <c r="AA1991" s="5"/>
      <c r="AB1991" s="5"/>
      <c r="AC1991" s="5"/>
    </row>
    <row r="1992" spans="1:29" ht="12.5">
      <c r="A1992" s="5">
        <f ca="1">IFERROR(__xludf.DUMMYFUNCTION("""COMPUTED_VALUE"""),77679)</f>
        <v>77679</v>
      </c>
      <c r="B1992" s="5"/>
      <c r="C1992" s="5" t="str">
        <f ca="1">IFERROR(__xludf.DUMMYFUNCTION("""COMPUTED_VALUE"""),"Bihor")</f>
        <v>Bihor</v>
      </c>
      <c r="D1992" s="13">
        <f ca="1">IFERROR(__xludf.DUMMYFUNCTION("""COMPUTED_VALUE"""),44066)</f>
        <v>44066</v>
      </c>
      <c r="E1992" s="5" t="str">
        <f ca="1">IFERROR(__xludf.DUMMYFUNCTION("""COMPUTED_VALUE"""),"Nu")</f>
        <v>Nu</v>
      </c>
      <c r="F1992" s="5"/>
      <c r="G1992" s="5"/>
      <c r="H1992" s="6"/>
      <c r="I1992" s="5"/>
      <c r="J1992" s="5"/>
      <c r="K1992" s="7" t="str">
        <f ca="1">IFERROR(__xludf.DUMMYFUNCTION("""COMPUTED_VALUE"""),"https://www.ebihoreanul.ro/stiri/a-fost-depasit-pragul-de-2000-de-cazuri-covid-19diagnosticate-in-bihor-158350.html")</f>
        <v>https://www.ebihoreanul.ro/stiri/a-fost-depasit-pragul-de-2000-de-cazuri-covid-19diagnosticate-in-bihor-158350.html</v>
      </c>
      <c r="L1992" s="5"/>
      <c r="M1992" s="5" t="str">
        <f ca="1">IFERROR(__xludf.DUMMYFUNCTION("""COMPUTED_VALUE"""),"Oradea")</f>
        <v>Oradea</v>
      </c>
      <c r="N1992" s="5"/>
      <c r="O1992" s="5"/>
      <c r="P1992" s="5" t="str">
        <f ca="1">IFERROR(__xludf.DUMMYFUNCTION("""COMPUTED_VALUE"""),"SJU-UPU, cadru medical.")</f>
        <v>SJU-UPU, cadru medical.</v>
      </c>
      <c r="Q1992" s="5" t="str">
        <f ca="1">IFERROR(__xludf.DUMMYFUNCTION("""COMPUTED_VALUE"""),"Medical")</f>
        <v>Medical</v>
      </c>
      <c r="R1992" s="5" t="str">
        <f ca="1">IFERROR(__xludf.DUMMYFUNCTION("""COMPUTED_VALUE"""),"România")</f>
        <v>România</v>
      </c>
      <c r="S1992" s="5" t="str">
        <f ca="1">IFERROR(__xludf.DUMMYFUNCTION("""COMPUTED_VALUE"""),"Octavian")</f>
        <v>Octavian</v>
      </c>
      <c r="T1992" s="7" t="str">
        <f ca="1">IFERROR(__xludf.DUMMYFUNCTION("""COMPUTED_VALUE"""),"http://www.ms.ro/2020/08/23/buletin-informativ-23-08-2020")</f>
        <v>http://www.ms.ro/2020/08/23/buletin-informativ-23-08-2020</v>
      </c>
      <c r="U1992" s="5"/>
      <c r="V1992" s="5"/>
      <c r="W1992" s="5"/>
      <c r="X1992" s="5"/>
      <c r="Y1992" s="5"/>
      <c r="Z1992" s="5"/>
      <c r="AA1992" s="5"/>
      <c r="AB1992" s="5"/>
      <c r="AC1992" s="5"/>
    </row>
    <row r="1993" spans="1:29" ht="12.5">
      <c r="A1993" s="5">
        <f ca="1">IFERROR(__xludf.DUMMYFUNCTION("""COMPUTED_VALUE"""),77680)</f>
        <v>77680</v>
      </c>
      <c r="B1993" s="5"/>
      <c r="C1993" s="5" t="str">
        <f ca="1">IFERROR(__xludf.DUMMYFUNCTION("""COMPUTED_VALUE"""),"Bihor")</f>
        <v>Bihor</v>
      </c>
      <c r="D1993" s="13">
        <f ca="1">IFERROR(__xludf.DUMMYFUNCTION("""COMPUTED_VALUE"""),44066)</f>
        <v>44066</v>
      </c>
      <c r="E1993" s="5" t="str">
        <f ca="1">IFERROR(__xludf.DUMMYFUNCTION("""COMPUTED_VALUE"""),"Nu")</f>
        <v>Nu</v>
      </c>
      <c r="F1993" s="5"/>
      <c r="G1993" s="5"/>
      <c r="H1993" s="6"/>
      <c r="I1993" s="5"/>
      <c r="J1993" s="5"/>
      <c r="K1993" s="7" t="str">
        <f ca="1">IFERROR(__xludf.DUMMYFUNCTION("""COMPUTED_VALUE"""),"https://www.ebihoreanul.ro/stiri/a-fost-depasit-pragul-de-2000-de-cazuri-covid-19diagnosticate-in-bihor-158350.html")</f>
        <v>https://www.ebihoreanul.ro/stiri/a-fost-depasit-pragul-de-2000-de-cazuri-covid-19diagnosticate-in-bihor-158350.html</v>
      </c>
      <c r="L1993" s="5"/>
      <c r="M1993" s="5" t="str">
        <f ca="1">IFERROR(__xludf.DUMMYFUNCTION("""COMPUTED_VALUE"""),"Oradea")</f>
        <v>Oradea</v>
      </c>
      <c r="N1993" s="5"/>
      <c r="O1993" s="5"/>
      <c r="P1993" s="5" t="str">
        <f ca="1">IFERROR(__xludf.DUMMYFUNCTION("""COMPUTED_VALUE"""),"SJU, pacient.")</f>
        <v>SJU, pacient.</v>
      </c>
      <c r="Q1993" s="5" t="str">
        <f ca="1">IFERROR(__xludf.DUMMYFUNCTION("""COMPUTED_VALUE"""),"Medical")</f>
        <v>Medical</v>
      </c>
      <c r="R1993" s="5" t="str">
        <f ca="1">IFERROR(__xludf.DUMMYFUNCTION("""COMPUTED_VALUE"""),"România")</f>
        <v>România</v>
      </c>
      <c r="S1993" s="5" t="str">
        <f ca="1">IFERROR(__xludf.DUMMYFUNCTION("""COMPUTED_VALUE"""),"Octavian")</f>
        <v>Octavian</v>
      </c>
      <c r="T1993" s="7" t="str">
        <f ca="1">IFERROR(__xludf.DUMMYFUNCTION("""COMPUTED_VALUE"""),"http://www.ms.ro/2020/08/23/buletin-informativ-23-08-2020")</f>
        <v>http://www.ms.ro/2020/08/23/buletin-informativ-23-08-2020</v>
      </c>
      <c r="U1993" s="5"/>
      <c r="V1993" s="5"/>
      <c r="W1993" s="5"/>
      <c r="X1993" s="5"/>
      <c r="Y1993" s="5"/>
      <c r="Z1993" s="5"/>
      <c r="AA1993" s="5"/>
      <c r="AB1993" s="5"/>
      <c r="AC1993" s="5"/>
    </row>
    <row r="1994" spans="1:29" ht="12.5">
      <c r="A1994" s="5">
        <f ca="1">IFERROR(__xludf.DUMMYFUNCTION("""COMPUTED_VALUE"""),77681)</f>
        <v>77681</v>
      </c>
      <c r="B1994" s="5"/>
      <c r="C1994" s="5" t="str">
        <f ca="1">IFERROR(__xludf.DUMMYFUNCTION("""COMPUTED_VALUE"""),"Bihor")</f>
        <v>Bihor</v>
      </c>
      <c r="D1994" s="13">
        <f ca="1">IFERROR(__xludf.DUMMYFUNCTION("""COMPUTED_VALUE"""),44066)</f>
        <v>44066</v>
      </c>
      <c r="E1994" s="5" t="str">
        <f ca="1">IFERROR(__xludf.DUMMYFUNCTION("""COMPUTED_VALUE"""),"Nu")</f>
        <v>Nu</v>
      </c>
      <c r="F1994" s="5"/>
      <c r="G1994" s="5"/>
      <c r="H1994" s="6"/>
      <c r="I1994" s="5"/>
      <c r="J1994" s="5"/>
      <c r="K1994" s="7" t="str">
        <f ca="1">IFERROR(__xludf.DUMMYFUNCTION("""COMPUTED_VALUE"""),"https://www.ebihoreanul.ro/stiri/a-fost-depasit-pragul-de-2000-de-cazuri-covid-19diagnosticate-in-bihor-158350.html")</f>
        <v>https://www.ebihoreanul.ro/stiri/a-fost-depasit-pragul-de-2000-de-cazuri-covid-19diagnosticate-in-bihor-158350.html</v>
      </c>
      <c r="L1994" s="5"/>
      <c r="M1994" s="5" t="str">
        <f ca="1">IFERROR(__xludf.DUMMYFUNCTION("""COMPUTED_VALUE"""),"Salonta")</f>
        <v>Salonta</v>
      </c>
      <c r="N1994" s="5"/>
      <c r="O1994" s="5"/>
      <c r="P1994" s="5" t="str">
        <f ca="1">IFERROR(__xludf.DUMMYFUNCTION("""COMPUTED_VALUE"""),"Spital Salonta, pacient.")</f>
        <v>Spital Salonta, pacient.</v>
      </c>
      <c r="Q1994" s="5" t="str">
        <f ca="1">IFERROR(__xludf.DUMMYFUNCTION("""COMPUTED_VALUE"""),"Medical")</f>
        <v>Medical</v>
      </c>
      <c r="R1994" s="5" t="str">
        <f ca="1">IFERROR(__xludf.DUMMYFUNCTION("""COMPUTED_VALUE"""),"România")</f>
        <v>România</v>
      </c>
      <c r="S1994" s="5" t="str">
        <f ca="1">IFERROR(__xludf.DUMMYFUNCTION("""COMPUTED_VALUE"""),"Octavian")</f>
        <v>Octavian</v>
      </c>
      <c r="T1994" s="7" t="str">
        <f ca="1">IFERROR(__xludf.DUMMYFUNCTION("""COMPUTED_VALUE"""),"http://www.ms.ro/2020/08/23/buletin-informativ-23-08-2020")</f>
        <v>http://www.ms.ro/2020/08/23/buletin-informativ-23-08-2020</v>
      </c>
      <c r="U1994" s="5"/>
      <c r="V1994" s="5"/>
      <c r="W1994" s="5"/>
      <c r="X1994" s="5"/>
      <c r="Y1994" s="5"/>
      <c r="Z1994" s="5"/>
      <c r="AA1994" s="5"/>
      <c r="AB1994" s="5"/>
      <c r="AC1994" s="5"/>
    </row>
    <row r="1995" spans="1:29" ht="12.5">
      <c r="A1995" s="5">
        <f ca="1">IFERROR(__xludf.DUMMYFUNCTION("""COMPUTED_VALUE"""),77682)</f>
        <v>77682</v>
      </c>
      <c r="B1995" s="5"/>
      <c r="C1995" s="5" t="str">
        <f ca="1">IFERROR(__xludf.DUMMYFUNCTION("""COMPUTED_VALUE"""),"Bihor")</f>
        <v>Bihor</v>
      </c>
      <c r="D1995" s="13">
        <f ca="1">IFERROR(__xludf.DUMMYFUNCTION("""COMPUTED_VALUE"""),44066)</f>
        <v>44066</v>
      </c>
      <c r="E1995" s="5" t="str">
        <f ca="1">IFERROR(__xludf.DUMMYFUNCTION("""COMPUTED_VALUE"""),"Nu")</f>
        <v>Nu</v>
      </c>
      <c r="F1995" s="5"/>
      <c r="G1995" s="5"/>
      <c r="H1995" s="6"/>
      <c r="I1995" s="5"/>
      <c r="J1995" s="5"/>
      <c r="K1995" s="7" t="str">
        <f ca="1">IFERROR(__xludf.DUMMYFUNCTION("""COMPUTED_VALUE"""),"https://www.ebihoreanul.ro/stiri/a-fost-depasit-pragul-de-2000-de-cazuri-covid-19diagnosticate-in-bihor-158350.html")</f>
        <v>https://www.ebihoreanul.ro/stiri/a-fost-depasit-pragul-de-2000-de-cazuri-covid-19diagnosticate-in-bihor-158350.html</v>
      </c>
      <c r="L1995" s="5"/>
      <c r="M1995" s="5" t="str">
        <f ca="1">IFERROR(__xludf.DUMMYFUNCTION("""COMPUTED_VALUE"""),"Ștei")</f>
        <v>Ștei</v>
      </c>
      <c r="N1995" s="5"/>
      <c r="O1995" s="5"/>
      <c r="P1995" s="5" t="str">
        <f ca="1">IFERROR(__xludf.DUMMYFUNCTION("""COMPUTED_VALUE"""),"Spital Ștei, pacient.")</f>
        <v>Spital Ștei, pacient.</v>
      </c>
      <c r="Q1995" s="5" t="str">
        <f ca="1">IFERROR(__xludf.DUMMYFUNCTION("""COMPUTED_VALUE"""),"Medical")</f>
        <v>Medical</v>
      </c>
      <c r="R1995" s="5" t="str">
        <f ca="1">IFERROR(__xludf.DUMMYFUNCTION("""COMPUTED_VALUE"""),"România")</f>
        <v>România</v>
      </c>
      <c r="S1995" s="5" t="str">
        <f ca="1">IFERROR(__xludf.DUMMYFUNCTION("""COMPUTED_VALUE"""),"Octavian")</f>
        <v>Octavian</v>
      </c>
      <c r="T1995" s="7" t="str">
        <f ca="1">IFERROR(__xludf.DUMMYFUNCTION("""COMPUTED_VALUE"""),"http://www.ms.ro/2020/08/23/buletin-informativ-23-08-2020")</f>
        <v>http://www.ms.ro/2020/08/23/buletin-informativ-23-08-2020</v>
      </c>
      <c r="U1995" s="5"/>
      <c r="V1995" s="5"/>
      <c r="W1995" s="5"/>
      <c r="X1995" s="5"/>
      <c r="Y1995" s="5"/>
      <c r="Z1995" s="5"/>
      <c r="AA1995" s="5"/>
      <c r="AB1995" s="5"/>
      <c r="AC1995" s="5"/>
    </row>
    <row r="1996" spans="1:29" ht="12.5">
      <c r="A1996" s="5">
        <f ca="1">IFERROR(__xludf.DUMMYFUNCTION("""COMPUTED_VALUE"""),77683)</f>
        <v>77683</v>
      </c>
      <c r="B1996" s="5"/>
      <c r="C1996" s="5" t="str">
        <f ca="1">IFERROR(__xludf.DUMMYFUNCTION("""COMPUTED_VALUE"""),"Bihor")</f>
        <v>Bihor</v>
      </c>
      <c r="D1996" s="13">
        <f ca="1">IFERROR(__xludf.DUMMYFUNCTION("""COMPUTED_VALUE"""),44066)</f>
        <v>44066</v>
      </c>
      <c r="E1996" s="5" t="str">
        <f ca="1">IFERROR(__xludf.DUMMYFUNCTION("""COMPUTED_VALUE"""),"Nu")</f>
        <v>Nu</v>
      </c>
      <c r="F1996" s="5"/>
      <c r="G1996" s="5"/>
      <c r="H1996" s="6"/>
      <c r="I1996" s="5"/>
      <c r="J1996" s="5"/>
      <c r="K1996" s="7" t="str">
        <f ca="1">IFERROR(__xludf.DUMMYFUNCTION("""COMPUTED_VALUE"""),"https://www.ebihoreanul.ro/stiri/a-fost-depasit-pragul-de-2000-de-cazuri-covid-19diagnosticate-in-bihor-158350.html")</f>
        <v>https://www.ebihoreanul.ro/stiri/a-fost-depasit-pragul-de-2000-de-cazuri-covid-19diagnosticate-in-bihor-158350.html</v>
      </c>
      <c r="L1996" s="5"/>
      <c r="M1996" s="5" t="str">
        <f ca="1">IFERROR(__xludf.DUMMYFUNCTION("""COMPUTED_VALUE"""),"Ștei")</f>
        <v>Ștei</v>
      </c>
      <c r="N1996" s="5"/>
      <c r="O1996" s="5"/>
      <c r="P1996" s="5" t="str">
        <f ca="1">IFERROR(__xludf.DUMMYFUNCTION("""COMPUTED_VALUE"""),"Spital Ștei, pacient.")</f>
        <v>Spital Ștei, pacient.</v>
      </c>
      <c r="Q1996" s="5" t="str">
        <f ca="1">IFERROR(__xludf.DUMMYFUNCTION("""COMPUTED_VALUE"""),"Medical")</f>
        <v>Medical</v>
      </c>
      <c r="R1996" s="5" t="str">
        <f ca="1">IFERROR(__xludf.DUMMYFUNCTION("""COMPUTED_VALUE"""),"România")</f>
        <v>România</v>
      </c>
      <c r="S1996" s="5" t="str">
        <f ca="1">IFERROR(__xludf.DUMMYFUNCTION("""COMPUTED_VALUE"""),"Octavian")</f>
        <v>Octavian</v>
      </c>
      <c r="T1996" s="7" t="str">
        <f ca="1">IFERROR(__xludf.DUMMYFUNCTION("""COMPUTED_VALUE"""),"http://www.ms.ro/2020/08/23/buletin-informativ-23-08-2020")</f>
        <v>http://www.ms.ro/2020/08/23/buletin-informativ-23-08-2020</v>
      </c>
      <c r="U1996" s="5"/>
      <c r="V1996" s="5"/>
      <c r="W1996" s="5"/>
      <c r="X1996" s="5"/>
      <c r="Y1996" s="5"/>
      <c r="Z1996" s="5"/>
      <c r="AA1996" s="5"/>
      <c r="AB1996" s="5"/>
      <c r="AC1996" s="5"/>
    </row>
    <row r="1997" spans="1:29" ht="12.5">
      <c r="A1997" s="5">
        <f ca="1">IFERROR(__xludf.DUMMYFUNCTION("""COMPUTED_VALUE"""),77684)</f>
        <v>77684</v>
      </c>
      <c r="B1997" s="5"/>
      <c r="C1997" s="5" t="str">
        <f ca="1">IFERROR(__xludf.DUMMYFUNCTION("""COMPUTED_VALUE"""),"Bihor")</f>
        <v>Bihor</v>
      </c>
      <c r="D1997" s="13">
        <f ca="1">IFERROR(__xludf.DUMMYFUNCTION("""COMPUTED_VALUE"""),44066)</f>
        <v>44066</v>
      </c>
      <c r="E1997" s="5" t="str">
        <f ca="1">IFERROR(__xludf.DUMMYFUNCTION("""COMPUTED_VALUE"""),"Nu")</f>
        <v>Nu</v>
      </c>
      <c r="F1997" s="5"/>
      <c r="G1997" s="5"/>
      <c r="H1997" s="6"/>
      <c r="I1997" s="5"/>
      <c r="J1997" s="5"/>
      <c r="K1997" s="7" t="str">
        <f ca="1">IFERROR(__xludf.DUMMYFUNCTION("""COMPUTED_VALUE"""),"https://www.ebihoreanul.ro/stiri/a-fost-depasit-pragul-de-2000-de-cazuri-covid-19diagnosticate-in-bihor-158350.html")</f>
        <v>https://www.ebihoreanul.ro/stiri/a-fost-depasit-pragul-de-2000-de-cazuri-covid-19diagnosticate-in-bihor-158350.html</v>
      </c>
      <c r="L1997" s="5"/>
      <c r="M1997" s="5" t="str">
        <f ca="1">IFERROR(__xludf.DUMMYFUNCTION("""COMPUTED_VALUE"""),"Batăr")</f>
        <v>Batăr</v>
      </c>
      <c r="N1997" s="5"/>
      <c r="O1997" s="5"/>
      <c r="P1997" s="5"/>
      <c r="Q1997" s="5"/>
      <c r="R1997" s="5" t="str">
        <f ca="1">IFERROR(__xludf.DUMMYFUNCTION("""COMPUTED_VALUE"""),"România")</f>
        <v>România</v>
      </c>
      <c r="S1997" s="5" t="str">
        <f ca="1">IFERROR(__xludf.DUMMYFUNCTION("""COMPUTED_VALUE"""),"Octavian")</f>
        <v>Octavian</v>
      </c>
      <c r="T1997" s="7" t="str">
        <f ca="1">IFERROR(__xludf.DUMMYFUNCTION("""COMPUTED_VALUE"""),"http://www.ms.ro/2020/08/23/buletin-informativ-23-08-2020")</f>
        <v>http://www.ms.ro/2020/08/23/buletin-informativ-23-08-2020</v>
      </c>
      <c r="U1997" s="5"/>
      <c r="V1997" s="5"/>
      <c r="W1997" s="5"/>
      <c r="X1997" s="5"/>
      <c r="Y1997" s="5"/>
      <c r="Z1997" s="5"/>
      <c r="AA1997" s="5"/>
      <c r="AB1997" s="5"/>
      <c r="AC1997" s="5"/>
    </row>
    <row r="1998" spans="1:29" ht="12.5">
      <c r="A1998" s="5">
        <f ca="1">IFERROR(__xludf.DUMMYFUNCTION("""COMPUTED_VALUE"""),77685)</f>
        <v>77685</v>
      </c>
      <c r="B1998" s="5"/>
      <c r="C1998" s="5" t="str">
        <f ca="1">IFERROR(__xludf.DUMMYFUNCTION("""COMPUTED_VALUE"""),"Bihor")</f>
        <v>Bihor</v>
      </c>
      <c r="D1998" s="13">
        <f ca="1">IFERROR(__xludf.DUMMYFUNCTION("""COMPUTED_VALUE"""),44066)</f>
        <v>44066</v>
      </c>
      <c r="E1998" s="5" t="str">
        <f ca="1">IFERROR(__xludf.DUMMYFUNCTION("""COMPUTED_VALUE"""),"Nu")</f>
        <v>Nu</v>
      </c>
      <c r="F1998" s="5"/>
      <c r="G1998" s="5"/>
      <c r="H1998" s="6"/>
      <c r="I1998" s="5"/>
      <c r="J1998" s="5"/>
      <c r="K1998" s="7" t="str">
        <f ca="1">IFERROR(__xludf.DUMMYFUNCTION("""COMPUTED_VALUE"""),"https://www.ebihoreanul.ro/stiri/a-fost-depasit-pragul-de-2000-de-cazuri-covid-19diagnosticate-in-bihor-158350.html")</f>
        <v>https://www.ebihoreanul.ro/stiri/a-fost-depasit-pragul-de-2000-de-cazuri-covid-19diagnosticate-in-bihor-158350.html</v>
      </c>
      <c r="L1998" s="5"/>
      <c r="M1998" s="5" t="str">
        <f ca="1">IFERROR(__xludf.DUMMYFUNCTION("""COMPUTED_VALUE"""),"Husasău de Tinca")</f>
        <v>Husasău de Tinca</v>
      </c>
      <c r="N1998" s="5"/>
      <c r="O1998" s="5"/>
      <c r="P1998" s="5"/>
      <c r="Q1998" s="5"/>
      <c r="R1998" s="5" t="str">
        <f ca="1">IFERROR(__xludf.DUMMYFUNCTION("""COMPUTED_VALUE"""),"România")</f>
        <v>România</v>
      </c>
      <c r="S1998" s="5" t="str">
        <f ca="1">IFERROR(__xludf.DUMMYFUNCTION("""COMPUTED_VALUE"""),"Octavian")</f>
        <v>Octavian</v>
      </c>
      <c r="T1998" s="7" t="str">
        <f ca="1">IFERROR(__xludf.DUMMYFUNCTION("""COMPUTED_VALUE"""),"http://www.ms.ro/2020/08/23/buletin-informativ-23-08-2020")</f>
        <v>http://www.ms.ro/2020/08/23/buletin-informativ-23-08-2020</v>
      </c>
      <c r="U1998" s="5"/>
      <c r="V1998" s="5"/>
      <c r="W1998" s="5"/>
      <c r="X1998" s="5"/>
      <c r="Y1998" s="5"/>
      <c r="Z1998" s="5"/>
      <c r="AA1998" s="5"/>
      <c r="AB1998" s="5"/>
      <c r="AC1998" s="5"/>
    </row>
    <row r="1999" spans="1:29" ht="12.5">
      <c r="A1999" s="5">
        <f ca="1">IFERROR(__xludf.DUMMYFUNCTION("""COMPUTED_VALUE"""),77686)</f>
        <v>77686</v>
      </c>
      <c r="B1999" s="5"/>
      <c r="C1999" s="5" t="str">
        <f ca="1">IFERROR(__xludf.DUMMYFUNCTION("""COMPUTED_VALUE"""),"Bihor")</f>
        <v>Bihor</v>
      </c>
      <c r="D1999" s="13">
        <f ca="1">IFERROR(__xludf.DUMMYFUNCTION("""COMPUTED_VALUE"""),44066)</f>
        <v>44066</v>
      </c>
      <c r="E1999" s="5" t="str">
        <f ca="1">IFERROR(__xludf.DUMMYFUNCTION("""COMPUTED_VALUE"""),"Nu")</f>
        <v>Nu</v>
      </c>
      <c r="F1999" s="5"/>
      <c r="G1999" s="5"/>
      <c r="H1999" s="6"/>
      <c r="I1999" s="5"/>
      <c r="J1999" s="5"/>
      <c r="K1999" s="7" t="str">
        <f ca="1">IFERROR(__xludf.DUMMYFUNCTION("""COMPUTED_VALUE"""),"https://www.ebihoreanul.ro/stiri/a-fost-depasit-pragul-de-2000-de-cazuri-covid-19diagnosticate-in-bihor-158350.html")</f>
        <v>https://www.ebihoreanul.ro/stiri/a-fost-depasit-pragul-de-2000-de-cazuri-covid-19diagnosticate-in-bihor-158350.html</v>
      </c>
      <c r="L1999" s="5"/>
      <c r="M1999" s="5" t="str">
        <f ca="1">IFERROR(__xludf.DUMMYFUNCTION("""COMPUTED_VALUE"""),"Ulieacu de Beiuș")</f>
        <v>Ulieacu de Beiuș</v>
      </c>
      <c r="N1999" s="5"/>
      <c r="O1999" s="5"/>
      <c r="P1999" s="5"/>
      <c r="Q1999" s="5"/>
      <c r="R1999" s="5" t="str">
        <f ca="1">IFERROR(__xludf.DUMMYFUNCTION("""COMPUTED_VALUE"""),"România")</f>
        <v>România</v>
      </c>
      <c r="S1999" s="5" t="str">
        <f ca="1">IFERROR(__xludf.DUMMYFUNCTION("""COMPUTED_VALUE"""),"Octavian")</f>
        <v>Octavian</v>
      </c>
      <c r="T1999" s="7" t="str">
        <f ca="1">IFERROR(__xludf.DUMMYFUNCTION("""COMPUTED_VALUE"""),"http://www.ms.ro/2020/08/23/buletin-informativ-23-08-2020")</f>
        <v>http://www.ms.ro/2020/08/23/buletin-informativ-23-08-2020</v>
      </c>
      <c r="U1999" s="5"/>
      <c r="V1999" s="5"/>
      <c r="W1999" s="5"/>
      <c r="X1999" s="5"/>
      <c r="Y1999" s="5"/>
      <c r="Z1999" s="5"/>
      <c r="AA1999" s="5"/>
      <c r="AB1999" s="5"/>
      <c r="AC1999" s="5"/>
    </row>
    <row r="2000" spans="1:29" ht="12.5">
      <c r="A2000" s="5">
        <f ca="1">IFERROR(__xludf.DUMMYFUNCTION("""COMPUTED_VALUE"""),77687)</f>
        <v>77687</v>
      </c>
      <c r="B2000" s="5"/>
      <c r="C2000" s="5" t="str">
        <f ca="1">IFERROR(__xludf.DUMMYFUNCTION("""COMPUTED_VALUE"""),"Bihor")</f>
        <v>Bihor</v>
      </c>
      <c r="D2000" s="13">
        <f ca="1">IFERROR(__xludf.DUMMYFUNCTION("""COMPUTED_VALUE"""),44066)</f>
        <v>44066</v>
      </c>
      <c r="E2000" s="5" t="str">
        <f ca="1">IFERROR(__xludf.DUMMYFUNCTION("""COMPUTED_VALUE"""),"Nu")</f>
        <v>Nu</v>
      </c>
      <c r="F2000" s="5"/>
      <c r="G2000" s="5"/>
      <c r="H2000" s="6"/>
      <c r="I2000" s="5"/>
      <c r="J2000" s="5"/>
      <c r="K2000" s="7" t="str">
        <f ca="1">IFERROR(__xludf.DUMMYFUNCTION("""COMPUTED_VALUE"""),"https://www.ebihoreanul.ro/stiri/a-fost-depasit-pragul-de-2000-de-cazuri-covid-19diagnosticate-in-bihor-158350.html")</f>
        <v>https://www.ebihoreanul.ro/stiri/a-fost-depasit-pragul-de-2000-de-cazuri-covid-19diagnosticate-in-bihor-158350.html</v>
      </c>
      <c r="L2000" s="5"/>
      <c r="M2000" s="5" t="str">
        <f ca="1">IFERROR(__xludf.DUMMYFUNCTION("""COMPUTED_VALUE"""),"Beiuș")</f>
        <v>Beiuș</v>
      </c>
      <c r="N2000" s="5"/>
      <c r="O2000" s="5"/>
      <c r="P2000" s="5"/>
      <c r="Q2000" s="5"/>
      <c r="R2000" s="5" t="str">
        <f ca="1">IFERROR(__xludf.DUMMYFUNCTION("""COMPUTED_VALUE"""),"România")</f>
        <v>România</v>
      </c>
      <c r="S2000" s="5" t="str">
        <f ca="1">IFERROR(__xludf.DUMMYFUNCTION("""COMPUTED_VALUE"""),"Octavian")</f>
        <v>Octavian</v>
      </c>
      <c r="T2000" s="7" t="str">
        <f ca="1">IFERROR(__xludf.DUMMYFUNCTION("""COMPUTED_VALUE"""),"http://www.ms.ro/2020/08/23/buletin-informativ-23-08-2020")</f>
        <v>http://www.ms.ro/2020/08/23/buletin-informativ-23-08-2020</v>
      </c>
      <c r="U2000" s="5"/>
      <c r="V2000" s="5"/>
      <c r="W2000" s="5"/>
      <c r="X2000" s="5"/>
      <c r="Y2000" s="5"/>
      <c r="Z2000" s="5"/>
      <c r="AA2000" s="5"/>
      <c r="AB2000" s="5"/>
      <c r="AC2000" s="5"/>
    </row>
    <row r="2001" spans="1:29" ht="12.5">
      <c r="A2001" s="5">
        <f ca="1">IFERROR(__xludf.DUMMYFUNCTION("""COMPUTED_VALUE"""),77688)</f>
        <v>77688</v>
      </c>
      <c r="B2001" s="5"/>
      <c r="C2001" s="5" t="str">
        <f ca="1">IFERROR(__xludf.DUMMYFUNCTION("""COMPUTED_VALUE"""),"Bihor")</f>
        <v>Bihor</v>
      </c>
      <c r="D2001" s="13">
        <f ca="1">IFERROR(__xludf.DUMMYFUNCTION("""COMPUTED_VALUE"""),44066)</f>
        <v>44066</v>
      </c>
      <c r="E2001" s="5" t="str">
        <f ca="1">IFERROR(__xludf.DUMMYFUNCTION("""COMPUTED_VALUE"""),"Nu")</f>
        <v>Nu</v>
      </c>
      <c r="F2001" s="5"/>
      <c r="G2001" s="5"/>
      <c r="H2001" s="6"/>
      <c r="I2001" s="5"/>
      <c r="J2001" s="5"/>
      <c r="K2001" s="7" t="str">
        <f ca="1">IFERROR(__xludf.DUMMYFUNCTION("""COMPUTED_VALUE"""),"https://www.ebihoreanul.ro/stiri/a-fost-depasit-pragul-de-2000-de-cazuri-covid-19diagnosticate-in-bihor-158350.html")</f>
        <v>https://www.ebihoreanul.ro/stiri/a-fost-depasit-pragul-de-2000-de-cazuri-covid-19diagnosticate-in-bihor-158350.html</v>
      </c>
      <c r="L2001" s="5"/>
      <c r="M2001" s="5" t="str">
        <f ca="1">IFERROR(__xludf.DUMMYFUNCTION("""COMPUTED_VALUE"""),"Răbăgani")</f>
        <v>Răbăgani</v>
      </c>
      <c r="N2001" s="5"/>
      <c r="O2001" s="5"/>
      <c r="P2001" s="5"/>
      <c r="Q2001" s="5"/>
      <c r="R2001" s="5" t="str">
        <f ca="1">IFERROR(__xludf.DUMMYFUNCTION("""COMPUTED_VALUE"""),"România")</f>
        <v>România</v>
      </c>
      <c r="S2001" s="5" t="str">
        <f ca="1">IFERROR(__xludf.DUMMYFUNCTION("""COMPUTED_VALUE"""),"Octavian")</f>
        <v>Octavian</v>
      </c>
      <c r="T2001" s="7" t="str">
        <f ca="1">IFERROR(__xludf.DUMMYFUNCTION("""COMPUTED_VALUE"""),"http://www.ms.ro/2020/08/23/buletin-informativ-23-08-2020")</f>
        <v>http://www.ms.ro/2020/08/23/buletin-informativ-23-08-2020</v>
      </c>
      <c r="U2001" s="5"/>
      <c r="V2001" s="5"/>
      <c r="W2001" s="5"/>
      <c r="X2001" s="5"/>
      <c r="Y2001" s="5"/>
      <c r="Z2001" s="5"/>
      <c r="AA2001" s="5"/>
      <c r="AB2001" s="5"/>
      <c r="AC2001" s="5"/>
    </row>
    <row r="2002" spans="1:29" ht="12.5">
      <c r="A2002" s="5">
        <f ca="1">IFERROR(__xludf.DUMMYFUNCTION("""COMPUTED_VALUE"""),77689)</f>
        <v>77689</v>
      </c>
      <c r="B2002" s="5"/>
      <c r="C2002" s="5" t="str">
        <f ca="1">IFERROR(__xludf.DUMMYFUNCTION("""COMPUTED_VALUE"""),"Bihor")</f>
        <v>Bihor</v>
      </c>
      <c r="D2002" s="13">
        <f ca="1">IFERROR(__xludf.DUMMYFUNCTION("""COMPUTED_VALUE"""),44066)</f>
        <v>44066</v>
      </c>
      <c r="E2002" s="5" t="str">
        <f ca="1">IFERROR(__xludf.DUMMYFUNCTION("""COMPUTED_VALUE"""),"Nu")</f>
        <v>Nu</v>
      </c>
      <c r="F2002" s="5"/>
      <c r="G2002" s="5"/>
      <c r="H2002" s="6"/>
      <c r="I2002" s="5"/>
      <c r="J2002" s="5"/>
      <c r="K2002" s="7" t="str">
        <f ca="1">IFERROR(__xludf.DUMMYFUNCTION("""COMPUTED_VALUE"""),"https://www.ebihoreanul.ro/stiri/a-fost-depasit-pragul-de-2000-de-cazuri-covid-19diagnosticate-in-bihor-158350.html")</f>
        <v>https://www.ebihoreanul.ro/stiri/a-fost-depasit-pragul-de-2000-de-cazuri-covid-19diagnosticate-in-bihor-158350.html</v>
      </c>
      <c r="L2002" s="5"/>
      <c r="M2002" s="5" t="str">
        <f ca="1">IFERROR(__xludf.DUMMYFUNCTION("""COMPUTED_VALUE"""),"Ineu")</f>
        <v>Ineu</v>
      </c>
      <c r="N2002" s="5"/>
      <c r="O2002" s="5"/>
      <c r="P2002" s="5"/>
      <c r="Q2002" s="5"/>
      <c r="R2002" s="5" t="str">
        <f ca="1">IFERROR(__xludf.DUMMYFUNCTION("""COMPUTED_VALUE"""),"România")</f>
        <v>România</v>
      </c>
      <c r="S2002" s="5" t="str">
        <f ca="1">IFERROR(__xludf.DUMMYFUNCTION("""COMPUTED_VALUE"""),"Octavian")</f>
        <v>Octavian</v>
      </c>
      <c r="T2002" s="7" t="str">
        <f ca="1">IFERROR(__xludf.DUMMYFUNCTION("""COMPUTED_VALUE"""),"http://www.ms.ro/2020/08/23/buletin-informativ-23-08-2020")</f>
        <v>http://www.ms.ro/2020/08/23/buletin-informativ-23-08-2020</v>
      </c>
      <c r="U2002" s="5"/>
      <c r="V2002" s="5"/>
      <c r="W2002" s="5"/>
      <c r="X2002" s="5"/>
      <c r="Y2002" s="5"/>
      <c r="Z2002" s="5"/>
      <c r="AA2002" s="5"/>
      <c r="AB2002" s="5"/>
      <c r="AC2002" s="5"/>
    </row>
    <row r="2003" spans="1:29" ht="12.5">
      <c r="A2003" s="5">
        <f ca="1">IFERROR(__xludf.DUMMYFUNCTION("""COMPUTED_VALUE"""),77690)</f>
        <v>77690</v>
      </c>
      <c r="B2003" s="5"/>
      <c r="C2003" s="5" t="str">
        <f ca="1">IFERROR(__xludf.DUMMYFUNCTION("""COMPUTED_VALUE"""),"Bihor")</f>
        <v>Bihor</v>
      </c>
      <c r="D2003" s="13">
        <f ca="1">IFERROR(__xludf.DUMMYFUNCTION("""COMPUTED_VALUE"""),44066)</f>
        <v>44066</v>
      </c>
      <c r="E2003" s="5" t="str">
        <f ca="1">IFERROR(__xludf.DUMMYFUNCTION("""COMPUTED_VALUE"""),"Nu")</f>
        <v>Nu</v>
      </c>
      <c r="F2003" s="5"/>
      <c r="G2003" s="5"/>
      <c r="H2003" s="6"/>
      <c r="I2003" s="5"/>
      <c r="J2003" s="5"/>
      <c r="K2003" s="7" t="str">
        <f ca="1">IFERROR(__xludf.DUMMYFUNCTION("""COMPUTED_VALUE"""),"https://www.ebihoreanul.ro/stiri/a-fost-depasit-pragul-de-2000-de-cazuri-covid-19diagnosticate-in-bihor-158350.html")</f>
        <v>https://www.ebihoreanul.ro/stiri/a-fost-depasit-pragul-de-2000-de-cazuri-covid-19diagnosticate-in-bihor-158350.html</v>
      </c>
      <c r="L2003" s="5"/>
      <c r="M2003" s="5" t="str">
        <f ca="1">IFERROR(__xludf.DUMMYFUNCTION("""COMPUTED_VALUE"""),"Drăgești")</f>
        <v>Drăgești</v>
      </c>
      <c r="N2003" s="5"/>
      <c r="O2003" s="5"/>
      <c r="P2003" s="5"/>
      <c r="Q2003" s="5"/>
      <c r="R2003" s="5" t="str">
        <f ca="1">IFERROR(__xludf.DUMMYFUNCTION("""COMPUTED_VALUE"""),"România")</f>
        <v>România</v>
      </c>
      <c r="S2003" s="5" t="str">
        <f ca="1">IFERROR(__xludf.DUMMYFUNCTION("""COMPUTED_VALUE"""),"Octavian")</f>
        <v>Octavian</v>
      </c>
      <c r="T2003" s="7" t="str">
        <f ca="1">IFERROR(__xludf.DUMMYFUNCTION("""COMPUTED_VALUE"""),"http://www.ms.ro/2020/08/23/buletin-informativ-23-08-2020")</f>
        <v>http://www.ms.ro/2020/08/23/buletin-informativ-23-08-2020</v>
      </c>
      <c r="U2003" s="5"/>
      <c r="V2003" s="5"/>
      <c r="W2003" s="5"/>
      <c r="X2003" s="5"/>
      <c r="Y2003" s="5"/>
      <c r="Z2003" s="5"/>
      <c r="AA2003" s="5"/>
      <c r="AB2003" s="5"/>
      <c r="AC2003" s="5"/>
    </row>
    <row r="2004" spans="1:29" ht="12.5">
      <c r="A2004" s="5">
        <f ca="1">IFERROR(__xludf.DUMMYFUNCTION("""COMPUTED_VALUE"""),77691)</f>
        <v>77691</v>
      </c>
      <c r="B2004" s="5"/>
      <c r="C2004" s="5" t="str">
        <f ca="1">IFERROR(__xludf.DUMMYFUNCTION("""COMPUTED_VALUE"""),"Bihor")</f>
        <v>Bihor</v>
      </c>
      <c r="D2004" s="13">
        <f ca="1">IFERROR(__xludf.DUMMYFUNCTION("""COMPUTED_VALUE"""),44066)</f>
        <v>44066</v>
      </c>
      <c r="E2004" s="5" t="str">
        <f ca="1">IFERROR(__xludf.DUMMYFUNCTION("""COMPUTED_VALUE"""),"Nu")</f>
        <v>Nu</v>
      </c>
      <c r="F2004" s="5"/>
      <c r="G2004" s="5"/>
      <c r="H2004" s="6"/>
      <c r="I2004" s="5"/>
      <c r="J2004" s="5"/>
      <c r="K2004" s="7" t="str">
        <f ca="1">IFERROR(__xludf.DUMMYFUNCTION("""COMPUTED_VALUE"""),"https://www.ebihoreanul.ro/stiri/a-fost-depasit-pragul-de-2000-de-cazuri-covid-19diagnosticate-in-bihor-158350.html")</f>
        <v>https://www.ebihoreanul.ro/stiri/a-fost-depasit-pragul-de-2000-de-cazuri-covid-19diagnosticate-in-bihor-158350.html</v>
      </c>
      <c r="L2004" s="5"/>
      <c r="M2004" s="5" t="str">
        <f ca="1">IFERROR(__xludf.DUMMYFUNCTION("""COMPUTED_VALUE"""),"Tinca")</f>
        <v>Tinca</v>
      </c>
      <c r="N2004" s="5"/>
      <c r="O2004" s="5"/>
      <c r="P2004" s="5"/>
      <c r="Q2004" s="5"/>
      <c r="R2004" s="5" t="str">
        <f ca="1">IFERROR(__xludf.DUMMYFUNCTION("""COMPUTED_VALUE"""),"România")</f>
        <v>România</v>
      </c>
      <c r="S2004" s="5" t="str">
        <f ca="1">IFERROR(__xludf.DUMMYFUNCTION("""COMPUTED_VALUE"""),"Octavian")</f>
        <v>Octavian</v>
      </c>
      <c r="T2004" s="7" t="str">
        <f ca="1">IFERROR(__xludf.DUMMYFUNCTION("""COMPUTED_VALUE"""),"http://www.ms.ro/2020/08/23/buletin-informativ-23-08-2020")</f>
        <v>http://www.ms.ro/2020/08/23/buletin-informativ-23-08-2020</v>
      </c>
      <c r="U2004" s="5"/>
      <c r="V2004" s="5"/>
      <c r="W2004" s="5"/>
      <c r="X2004" s="5"/>
      <c r="Y2004" s="5"/>
      <c r="Z2004" s="5"/>
      <c r="AA2004" s="5"/>
      <c r="AB2004" s="5"/>
      <c r="AC2004" s="5"/>
    </row>
    <row r="2005" spans="1:29" ht="12.5">
      <c r="A2005" s="5">
        <f ca="1">IFERROR(__xludf.DUMMYFUNCTION("""COMPUTED_VALUE"""),77692)</f>
        <v>77692</v>
      </c>
      <c r="B2005" s="5"/>
      <c r="C2005" s="5" t="str">
        <f ca="1">IFERROR(__xludf.DUMMYFUNCTION("""COMPUTED_VALUE"""),"Bihor")</f>
        <v>Bihor</v>
      </c>
      <c r="D2005" s="13">
        <f ca="1">IFERROR(__xludf.DUMMYFUNCTION("""COMPUTED_VALUE"""),44066)</f>
        <v>44066</v>
      </c>
      <c r="E2005" s="5" t="str">
        <f ca="1">IFERROR(__xludf.DUMMYFUNCTION("""COMPUTED_VALUE"""),"Nu")</f>
        <v>Nu</v>
      </c>
      <c r="F2005" s="5"/>
      <c r="G2005" s="5"/>
      <c r="H2005" s="6"/>
      <c r="I2005" s="5"/>
      <c r="J2005" s="5"/>
      <c r="K2005" s="7" t="str">
        <f ca="1">IFERROR(__xludf.DUMMYFUNCTION("""COMPUTED_VALUE"""),"https://www.ebihoreanul.ro/stiri/a-fost-depasit-pragul-de-2000-de-cazuri-covid-19diagnosticate-in-bihor-158350.html")</f>
        <v>https://www.ebihoreanul.ro/stiri/a-fost-depasit-pragul-de-2000-de-cazuri-covid-19diagnosticate-in-bihor-158350.html</v>
      </c>
      <c r="L2005" s="5"/>
      <c r="M2005" s="5" t="str">
        <f ca="1">IFERROR(__xludf.DUMMYFUNCTION("""COMPUTED_VALUE"""),"Derna")</f>
        <v>Derna</v>
      </c>
      <c r="N2005" s="5"/>
      <c r="O2005" s="5"/>
      <c r="P2005" s="5"/>
      <c r="Q2005" s="5"/>
      <c r="R2005" s="5" t="str">
        <f ca="1">IFERROR(__xludf.DUMMYFUNCTION("""COMPUTED_VALUE"""),"România")</f>
        <v>România</v>
      </c>
      <c r="S2005" s="5" t="str">
        <f ca="1">IFERROR(__xludf.DUMMYFUNCTION("""COMPUTED_VALUE"""),"Octavian")</f>
        <v>Octavian</v>
      </c>
      <c r="T2005" s="7" t="str">
        <f ca="1">IFERROR(__xludf.DUMMYFUNCTION("""COMPUTED_VALUE"""),"http://www.ms.ro/2020/08/23/buletin-informativ-23-08-2020")</f>
        <v>http://www.ms.ro/2020/08/23/buletin-informativ-23-08-2020</v>
      </c>
      <c r="U2005" s="5"/>
      <c r="V2005" s="5"/>
      <c r="W2005" s="5"/>
      <c r="X2005" s="5"/>
      <c r="Y2005" s="5"/>
      <c r="Z2005" s="5"/>
      <c r="AA2005" s="5"/>
      <c r="AB2005" s="5"/>
      <c r="AC2005" s="5"/>
    </row>
    <row r="2006" spans="1:29" ht="12.5">
      <c r="A2006" s="5">
        <f ca="1">IFERROR(__xludf.DUMMYFUNCTION("""COMPUTED_VALUE"""),77693)</f>
        <v>77693</v>
      </c>
      <c r="B2006" s="5"/>
      <c r="C2006" s="5" t="str">
        <f ca="1">IFERROR(__xludf.DUMMYFUNCTION("""COMPUTED_VALUE"""),"Bihor")</f>
        <v>Bihor</v>
      </c>
      <c r="D2006" s="13">
        <f ca="1">IFERROR(__xludf.DUMMYFUNCTION("""COMPUTED_VALUE"""),44066)</f>
        <v>44066</v>
      </c>
      <c r="E2006" s="5" t="str">
        <f ca="1">IFERROR(__xludf.DUMMYFUNCTION("""COMPUTED_VALUE"""),"Nu")</f>
        <v>Nu</v>
      </c>
      <c r="F2006" s="5"/>
      <c r="G2006" s="5"/>
      <c r="H2006" s="6"/>
      <c r="I2006" s="5"/>
      <c r="J2006" s="5"/>
      <c r="K2006" s="7" t="str">
        <f ca="1">IFERROR(__xludf.DUMMYFUNCTION("""COMPUTED_VALUE"""),"https://www.ebihoreanul.ro/stiri/a-fost-depasit-pragul-de-2000-de-cazuri-covid-19diagnosticate-in-bihor-158350.html")</f>
        <v>https://www.ebihoreanul.ro/stiri/a-fost-depasit-pragul-de-2000-de-cazuri-covid-19diagnosticate-in-bihor-158350.html</v>
      </c>
      <c r="L2006" s="5"/>
      <c r="M2006" s="5" t="str">
        <f ca="1">IFERROR(__xludf.DUMMYFUNCTION("""COMPUTED_VALUE"""),"ceica")</f>
        <v>ceica</v>
      </c>
      <c r="N2006" s="5"/>
      <c r="O2006" s="5"/>
      <c r="P2006" s="5"/>
      <c r="Q2006" s="5"/>
      <c r="R2006" s="5" t="str">
        <f ca="1">IFERROR(__xludf.DUMMYFUNCTION("""COMPUTED_VALUE"""),"România")</f>
        <v>România</v>
      </c>
      <c r="S2006" s="5" t="str">
        <f ca="1">IFERROR(__xludf.DUMMYFUNCTION("""COMPUTED_VALUE"""),"Octavian")</f>
        <v>Octavian</v>
      </c>
      <c r="T2006" s="7" t="str">
        <f ca="1">IFERROR(__xludf.DUMMYFUNCTION("""COMPUTED_VALUE"""),"http://www.ms.ro/2020/08/23/buletin-informativ-23-08-2020")</f>
        <v>http://www.ms.ro/2020/08/23/buletin-informativ-23-08-2020</v>
      </c>
      <c r="U2006" s="5"/>
      <c r="V2006" s="5"/>
      <c r="W2006" s="5"/>
      <c r="X2006" s="5"/>
      <c r="Y2006" s="5"/>
      <c r="Z2006" s="5"/>
      <c r="AA2006" s="5"/>
      <c r="AB2006" s="5"/>
      <c r="AC2006" s="5"/>
    </row>
    <row r="2007" spans="1:29" ht="12.5">
      <c r="A2007" s="5">
        <f ca="1">IFERROR(__xludf.DUMMYFUNCTION("""COMPUTED_VALUE"""),77694)</f>
        <v>77694</v>
      </c>
      <c r="B2007" s="5"/>
      <c r="C2007" s="5" t="str">
        <f ca="1">IFERROR(__xludf.DUMMYFUNCTION("""COMPUTED_VALUE"""),"Bihor")</f>
        <v>Bihor</v>
      </c>
      <c r="D2007" s="13">
        <f ca="1">IFERROR(__xludf.DUMMYFUNCTION("""COMPUTED_VALUE"""),44066)</f>
        <v>44066</v>
      </c>
      <c r="E2007" s="5" t="str">
        <f ca="1">IFERROR(__xludf.DUMMYFUNCTION("""COMPUTED_VALUE"""),"Nu")</f>
        <v>Nu</v>
      </c>
      <c r="F2007" s="5"/>
      <c r="G2007" s="5"/>
      <c r="H2007" s="6"/>
      <c r="I2007" s="5"/>
      <c r="J2007" s="5"/>
      <c r="K2007" s="7" t="str">
        <f ca="1">IFERROR(__xludf.DUMMYFUNCTION("""COMPUTED_VALUE"""),"https://www.ebihoreanul.ro/stiri/a-fost-depasit-pragul-de-2000-de-cazuri-covid-19diagnosticate-in-bihor-158350.html")</f>
        <v>https://www.ebihoreanul.ro/stiri/a-fost-depasit-pragul-de-2000-de-cazuri-covid-19diagnosticate-in-bihor-158350.html</v>
      </c>
      <c r="L2007" s="5"/>
      <c r="M2007" s="5" t="str">
        <f ca="1">IFERROR(__xludf.DUMMYFUNCTION("""COMPUTED_VALUE"""),"Buntești")</f>
        <v>Buntești</v>
      </c>
      <c r="N2007" s="5"/>
      <c r="O2007" s="5"/>
      <c r="P2007" s="5"/>
      <c r="Q2007" s="5"/>
      <c r="R2007" s="5" t="str">
        <f ca="1">IFERROR(__xludf.DUMMYFUNCTION("""COMPUTED_VALUE"""),"România")</f>
        <v>România</v>
      </c>
      <c r="S2007" s="5" t="str">
        <f ca="1">IFERROR(__xludf.DUMMYFUNCTION("""COMPUTED_VALUE"""),"Octavian")</f>
        <v>Octavian</v>
      </c>
      <c r="T2007" s="7" t="str">
        <f ca="1">IFERROR(__xludf.DUMMYFUNCTION("""COMPUTED_VALUE"""),"http://www.ms.ro/2020/08/23/buletin-informativ-23-08-2020")</f>
        <v>http://www.ms.ro/2020/08/23/buletin-informativ-23-08-2020</v>
      </c>
      <c r="U2007" s="5"/>
      <c r="V2007" s="5"/>
      <c r="W2007" s="5"/>
      <c r="X2007" s="5"/>
      <c r="Y2007" s="5"/>
      <c r="Z2007" s="5"/>
      <c r="AA2007" s="5"/>
      <c r="AB2007" s="5"/>
      <c r="AC2007" s="5"/>
    </row>
    <row r="2008" spans="1:29" ht="12.5">
      <c r="A2008" s="5">
        <f ca="1">IFERROR(__xludf.DUMMYFUNCTION("""COMPUTED_VALUE"""),77695)</f>
        <v>77695</v>
      </c>
      <c r="B2008" s="5"/>
      <c r="C2008" s="5" t="str">
        <f ca="1">IFERROR(__xludf.DUMMYFUNCTION("""COMPUTED_VALUE"""),"Bihor")</f>
        <v>Bihor</v>
      </c>
      <c r="D2008" s="13">
        <f ca="1">IFERROR(__xludf.DUMMYFUNCTION("""COMPUTED_VALUE"""),44066)</f>
        <v>44066</v>
      </c>
      <c r="E2008" s="5" t="str">
        <f ca="1">IFERROR(__xludf.DUMMYFUNCTION("""COMPUTED_VALUE"""),"Nu")</f>
        <v>Nu</v>
      </c>
      <c r="F2008" s="5"/>
      <c r="G2008" s="5"/>
      <c r="H2008" s="6"/>
      <c r="I2008" s="5"/>
      <c r="J2008" s="5"/>
      <c r="K2008" s="7" t="str">
        <f ca="1">IFERROR(__xludf.DUMMYFUNCTION("""COMPUTED_VALUE"""),"https://www.ebihoreanul.ro/stiri/a-fost-depasit-pragul-de-2000-de-cazuri-covid-19diagnosticate-in-bihor-158350.html")</f>
        <v>https://www.ebihoreanul.ro/stiri/a-fost-depasit-pragul-de-2000-de-cazuri-covid-19diagnosticate-in-bihor-158350.html</v>
      </c>
      <c r="L2008" s="5"/>
      <c r="M2008" s="5" t="str">
        <f ca="1">IFERROR(__xludf.DUMMYFUNCTION("""COMPUTED_VALUE"""),"Căpâlna")</f>
        <v>Căpâlna</v>
      </c>
      <c r="N2008" s="5"/>
      <c r="O2008" s="5"/>
      <c r="P2008" s="5"/>
      <c r="Q2008" s="5"/>
      <c r="R2008" s="5" t="str">
        <f ca="1">IFERROR(__xludf.DUMMYFUNCTION("""COMPUTED_VALUE"""),"România")</f>
        <v>România</v>
      </c>
      <c r="S2008" s="5" t="str">
        <f ca="1">IFERROR(__xludf.DUMMYFUNCTION("""COMPUTED_VALUE"""),"Octavian")</f>
        <v>Octavian</v>
      </c>
      <c r="T2008" s="7" t="str">
        <f ca="1">IFERROR(__xludf.DUMMYFUNCTION("""COMPUTED_VALUE"""),"http://www.ms.ro/2020/08/23/buletin-informativ-23-08-2020")</f>
        <v>http://www.ms.ro/2020/08/23/buletin-informativ-23-08-2020</v>
      </c>
      <c r="U2008" s="5"/>
      <c r="V2008" s="5"/>
      <c r="W2008" s="5"/>
      <c r="X2008" s="5"/>
      <c r="Y2008" s="5"/>
      <c r="Z2008" s="5"/>
      <c r="AA2008" s="5"/>
      <c r="AB2008" s="5"/>
      <c r="AC2008" s="5"/>
    </row>
    <row r="2009" spans="1:29" ht="12.5">
      <c r="A2009" s="5">
        <f ca="1">IFERROR(__xludf.DUMMYFUNCTION("""COMPUTED_VALUE"""),77696)</f>
        <v>77696</v>
      </c>
      <c r="B2009" s="5"/>
      <c r="C2009" s="5" t="str">
        <f ca="1">IFERROR(__xludf.DUMMYFUNCTION("""COMPUTED_VALUE"""),"Bihor")</f>
        <v>Bihor</v>
      </c>
      <c r="D2009" s="13">
        <f ca="1">IFERROR(__xludf.DUMMYFUNCTION("""COMPUTED_VALUE"""),44066)</f>
        <v>44066</v>
      </c>
      <c r="E2009" s="5" t="str">
        <f ca="1">IFERROR(__xludf.DUMMYFUNCTION("""COMPUTED_VALUE"""),"Nu")</f>
        <v>Nu</v>
      </c>
      <c r="F2009" s="5"/>
      <c r="G2009" s="5"/>
      <c r="H2009" s="6"/>
      <c r="I2009" s="5"/>
      <c r="J2009" s="5"/>
      <c r="K2009" s="7" t="str">
        <f ca="1">IFERROR(__xludf.DUMMYFUNCTION("""COMPUTED_VALUE"""),"https://www.ebihoreanul.ro/stiri/a-fost-depasit-pragul-de-2000-de-cazuri-covid-19diagnosticate-in-bihor-158350.html")</f>
        <v>https://www.ebihoreanul.ro/stiri/a-fost-depasit-pragul-de-2000-de-cazuri-covid-19diagnosticate-in-bihor-158350.html</v>
      </c>
      <c r="L2009" s="5"/>
      <c r="M2009" s="5" t="str">
        <f ca="1">IFERROR(__xludf.DUMMYFUNCTION("""COMPUTED_VALUE"""),"Nucet")</f>
        <v>Nucet</v>
      </c>
      <c r="N2009" s="5"/>
      <c r="O2009" s="5"/>
      <c r="P2009" s="5"/>
      <c r="Q2009" s="5"/>
      <c r="R2009" s="5" t="str">
        <f ca="1">IFERROR(__xludf.DUMMYFUNCTION("""COMPUTED_VALUE"""),"România")</f>
        <v>România</v>
      </c>
      <c r="S2009" s="5" t="str">
        <f ca="1">IFERROR(__xludf.DUMMYFUNCTION("""COMPUTED_VALUE"""),"Octavian")</f>
        <v>Octavian</v>
      </c>
      <c r="T2009" s="7" t="str">
        <f ca="1">IFERROR(__xludf.DUMMYFUNCTION("""COMPUTED_VALUE"""),"http://www.ms.ro/2020/08/23/buletin-informativ-23-08-2020")</f>
        <v>http://www.ms.ro/2020/08/23/buletin-informativ-23-08-2020</v>
      </c>
      <c r="U2009" s="5"/>
      <c r="V2009" s="5"/>
      <c r="W2009" s="5"/>
      <c r="X2009" s="5"/>
      <c r="Y2009" s="5"/>
      <c r="Z2009" s="5"/>
      <c r="AA2009" s="5"/>
      <c r="AB2009" s="5"/>
      <c r="AC2009" s="5"/>
    </row>
    <row r="2010" spans="1:29" ht="12.5">
      <c r="A2010" s="5">
        <f ca="1">IFERROR(__xludf.DUMMYFUNCTION("""COMPUTED_VALUE"""),77697)</f>
        <v>77697</v>
      </c>
      <c r="B2010" s="5"/>
      <c r="C2010" s="5" t="str">
        <f ca="1">IFERROR(__xludf.DUMMYFUNCTION("""COMPUTED_VALUE"""),"Bihor")</f>
        <v>Bihor</v>
      </c>
      <c r="D2010" s="13">
        <f ca="1">IFERROR(__xludf.DUMMYFUNCTION("""COMPUTED_VALUE"""),44066)</f>
        <v>44066</v>
      </c>
      <c r="E2010" s="5" t="str">
        <f ca="1">IFERROR(__xludf.DUMMYFUNCTION("""COMPUTED_VALUE"""),"Nu")</f>
        <v>Nu</v>
      </c>
      <c r="F2010" s="5"/>
      <c r="G2010" s="5"/>
      <c r="H2010" s="6"/>
      <c r="I2010" s="5"/>
      <c r="J2010" s="5"/>
      <c r="K2010" s="7" t="str">
        <f ca="1">IFERROR(__xludf.DUMMYFUNCTION("""COMPUTED_VALUE"""),"https://www.ebihoreanul.ro/stiri/a-fost-depasit-pragul-de-2000-de-cazuri-covid-19diagnosticate-in-bihor-158350.html")</f>
        <v>https://www.ebihoreanul.ro/stiri/a-fost-depasit-pragul-de-2000-de-cazuri-covid-19diagnosticate-in-bihor-158350.html</v>
      </c>
      <c r="L2010" s="5"/>
      <c r="M2010" s="5" t="str">
        <f ca="1">IFERROR(__xludf.DUMMYFUNCTION("""COMPUTED_VALUE"""),"Aleșd")</f>
        <v>Aleșd</v>
      </c>
      <c r="N2010" s="5"/>
      <c r="O2010" s="5"/>
      <c r="P2010" s="5"/>
      <c r="Q2010" s="5"/>
      <c r="R2010" s="5" t="str">
        <f ca="1">IFERROR(__xludf.DUMMYFUNCTION("""COMPUTED_VALUE"""),"România")</f>
        <v>România</v>
      </c>
      <c r="S2010" s="5" t="str">
        <f ca="1">IFERROR(__xludf.DUMMYFUNCTION("""COMPUTED_VALUE"""),"Octavian")</f>
        <v>Octavian</v>
      </c>
      <c r="T2010" s="7" t="str">
        <f ca="1">IFERROR(__xludf.DUMMYFUNCTION("""COMPUTED_VALUE"""),"http://www.ms.ro/2020/08/23/buletin-informativ-23-08-2020")</f>
        <v>http://www.ms.ro/2020/08/23/buletin-informativ-23-08-2020</v>
      </c>
      <c r="U2010" s="5"/>
      <c r="V2010" s="5"/>
      <c r="W2010" s="5"/>
      <c r="X2010" s="5"/>
      <c r="Y2010" s="5"/>
      <c r="Z2010" s="5"/>
      <c r="AA2010" s="5"/>
      <c r="AB2010" s="5"/>
      <c r="AC2010" s="5"/>
    </row>
    <row r="2011" spans="1:29" ht="12.5">
      <c r="A2011" s="5">
        <f ca="1">IFERROR(__xludf.DUMMYFUNCTION("""COMPUTED_VALUE"""),77698)</f>
        <v>77698</v>
      </c>
      <c r="B2011" s="5"/>
      <c r="C2011" s="5" t="str">
        <f ca="1">IFERROR(__xludf.DUMMYFUNCTION("""COMPUTED_VALUE"""),"Bihor")</f>
        <v>Bihor</v>
      </c>
      <c r="D2011" s="13">
        <f ca="1">IFERROR(__xludf.DUMMYFUNCTION("""COMPUTED_VALUE"""),44066)</f>
        <v>44066</v>
      </c>
      <c r="E2011" s="5" t="str">
        <f ca="1">IFERROR(__xludf.DUMMYFUNCTION("""COMPUTED_VALUE"""),"Nu")</f>
        <v>Nu</v>
      </c>
      <c r="F2011" s="5"/>
      <c r="G2011" s="5"/>
      <c r="H2011" s="6"/>
      <c r="I2011" s="5"/>
      <c r="J2011" s="5"/>
      <c r="K2011" s="7" t="str">
        <f ca="1">IFERROR(__xludf.DUMMYFUNCTION("""COMPUTED_VALUE"""),"https://www.ebihoreanul.ro/stiri/a-fost-depasit-pragul-de-2000-de-cazuri-covid-19diagnosticate-in-bihor-158350.html")</f>
        <v>https://www.ebihoreanul.ro/stiri/a-fost-depasit-pragul-de-2000-de-cazuri-covid-19diagnosticate-in-bihor-158350.html</v>
      </c>
      <c r="L2011" s="5"/>
      <c r="M2011" s="5"/>
      <c r="N2011" s="5"/>
      <c r="O2011" s="5"/>
      <c r="P2011" s="5"/>
      <c r="Q2011" s="5"/>
      <c r="R2011" s="5" t="str">
        <f ca="1">IFERROR(__xludf.DUMMYFUNCTION("""COMPUTED_VALUE"""),"România")</f>
        <v>România</v>
      </c>
      <c r="S2011" s="5" t="str">
        <f ca="1">IFERROR(__xludf.DUMMYFUNCTION("""COMPUTED_VALUE"""),"Octavian")</f>
        <v>Octavian</v>
      </c>
      <c r="T2011" s="7" t="str">
        <f ca="1">IFERROR(__xludf.DUMMYFUNCTION("""COMPUTED_VALUE"""),"http://www.ms.ro/2020/08/23/buletin-informativ-23-08-2020")</f>
        <v>http://www.ms.ro/2020/08/23/buletin-informativ-23-08-2020</v>
      </c>
      <c r="U2011" s="5"/>
      <c r="V2011" s="5"/>
      <c r="W2011" s="5"/>
      <c r="X2011" s="5"/>
      <c r="Y2011" s="5"/>
      <c r="Z2011" s="5"/>
      <c r="AA2011" s="5"/>
      <c r="AB2011" s="5"/>
      <c r="AC2011" s="5"/>
    </row>
    <row r="2012" spans="1:29" ht="12.5">
      <c r="A2012" s="5">
        <f ca="1">IFERROR(__xludf.DUMMYFUNCTION("""COMPUTED_VALUE"""),77699)</f>
        <v>77699</v>
      </c>
      <c r="B2012" s="5"/>
      <c r="C2012" s="5" t="str">
        <f ca="1">IFERROR(__xludf.DUMMYFUNCTION("""COMPUTED_VALUE"""),"Bihor")</f>
        <v>Bihor</v>
      </c>
      <c r="D2012" s="13">
        <f ca="1">IFERROR(__xludf.DUMMYFUNCTION("""COMPUTED_VALUE"""),44066)</f>
        <v>44066</v>
      </c>
      <c r="E2012" s="5" t="str">
        <f ca="1">IFERROR(__xludf.DUMMYFUNCTION("""COMPUTED_VALUE"""),"Nu")</f>
        <v>Nu</v>
      </c>
      <c r="F2012" s="5"/>
      <c r="G2012" s="5"/>
      <c r="H2012" s="6"/>
      <c r="I2012" s="5"/>
      <c r="J2012" s="5"/>
      <c r="K2012" s="7" t="str">
        <f ca="1">IFERROR(__xludf.DUMMYFUNCTION("""COMPUTED_VALUE"""),"https://www.ebihoreanul.ro/stiri/a-fost-depasit-pragul-de-2000-de-cazuri-covid-19diagnosticate-in-bihor-158350.html")</f>
        <v>https://www.ebihoreanul.ro/stiri/a-fost-depasit-pragul-de-2000-de-cazuri-covid-19diagnosticate-in-bihor-158350.html</v>
      </c>
      <c r="L2012" s="5"/>
      <c r="M2012" s="5"/>
      <c r="N2012" s="5"/>
      <c r="O2012" s="5"/>
      <c r="P2012" s="5"/>
      <c r="Q2012" s="5"/>
      <c r="R2012" s="5" t="str">
        <f ca="1">IFERROR(__xludf.DUMMYFUNCTION("""COMPUTED_VALUE"""),"România")</f>
        <v>România</v>
      </c>
      <c r="S2012" s="5" t="str">
        <f ca="1">IFERROR(__xludf.DUMMYFUNCTION("""COMPUTED_VALUE"""),"Octavian")</f>
        <v>Octavian</v>
      </c>
      <c r="T2012" s="7" t="str">
        <f ca="1">IFERROR(__xludf.DUMMYFUNCTION("""COMPUTED_VALUE"""),"http://www.ms.ro/2020/08/23/buletin-informativ-23-08-2020")</f>
        <v>http://www.ms.ro/2020/08/23/buletin-informativ-23-08-2020</v>
      </c>
      <c r="U2012" s="5"/>
      <c r="V2012" s="5"/>
      <c r="W2012" s="5"/>
      <c r="X2012" s="5"/>
      <c r="Y2012" s="5"/>
      <c r="Z2012" s="5"/>
      <c r="AA2012" s="5"/>
      <c r="AB2012" s="5"/>
      <c r="AC2012" s="5"/>
    </row>
    <row r="2013" spans="1:29" ht="12.5">
      <c r="A2013" s="5">
        <f ca="1">IFERROR(__xludf.DUMMYFUNCTION("""COMPUTED_VALUE"""),77700)</f>
        <v>77700</v>
      </c>
      <c r="B2013" s="5"/>
      <c r="C2013" s="5" t="str">
        <f ca="1">IFERROR(__xludf.DUMMYFUNCTION("""COMPUTED_VALUE"""),"Bihor")</f>
        <v>Bihor</v>
      </c>
      <c r="D2013" s="13">
        <f ca="1">IFERROR(__xludf.DUMMYFUNCTION("""COMPUTED_VALUE"""),44066)</f>
        <v>44066</v>
      </c>
      <c r="E2013" s="5" t="str">
        <f ca="1">IFERROR(__xludf.DUMMYFUNCTION("""COMPUTED_VALUE"""),"Nu")</f>
        <v>Nu</v>
      </c>
      <c r="F2013" s="5"/>
      <c r="G2013" s="5"/>
      <c r="H2013" s="6"/>
      <c r="I2013" s="5"/>
      <c r="J2013" s="5"/>
      <c r="K2013" s="7" t="str">
        <f ca="1">IFERROR(__xludf.DUMMYFUNCTION("""COMPUTED_VALUE"""),"https://www.ebihoreanul.ro/stiri/a-fost-depasit-pragul-de-2000-de-cazuri-covid-19diagnosticate-in-bihor-158350.html")</f>
        <v>https://www.ebihoreanul.ro/stiri/a-fost-depasit-pragul-de-2000-de-cazuri-covid-19diagnosticate-in-bihor-158350.html</v>
      </c>
      <c r="L2013" s="5"/>
      <c r="M2013" s="5"/>
      <c r="N2013" s="5"/>
      <c r="O2013" s="5"/>
      <c r="P2013" s="5"/>
      <c r="Q2013" s="5"/>
      <c r="R2013" s="5" t="str">
        <f ca="1">IFERROR(__xludf.DUMMYFUNCTION("""COMPUTED_VALUE"""),"România")</f>
        <v>România</v>
      </c>
      <c r="S2013" s="5" t="str">
        <f ca="1">IFERROR(__xludf.DUMMYFUNCTION("""COMPUTED_VALUE"""),"Octavian")</f>
        <v>Octavian</v>
      </c>
      <c r="T2013" s="7" t="str">
        <f ca="1">IFERROR(__xludf.DUMMYFUNCTION("""COMPUTED_VALUE"""),"http://www.ms.ro/2020/08/23/buletin-informativ-23-08-2020")</f>
        <v>http://www.ms.ro/2020/08/23/buletin-informativ-23-08-2020</v>
      </c>
      <c r="U2013" s="5"/>
      <c r="V2013" s="5"/>
      <c r="W2013" s="5"/>
      <c r="X2013" s="5"/>
      <c r="Y2013" s="5"/>
      <c r="Z2013" s="5"/>
      <c r="AA2013" s="5"/>
      <c r="AB2013" s="5"/>
      <c r="AC2013" s="5"/>
    </row>
    <row r="2014" spans="1:29" ht="12.5">
      <c r="A2014" s="5">
        <f ca="1">IFERROR(__xludf.DUMMYFUNCTION("""COMPUTED_VALUE"""),77701)</f>
        <v>77701</v>
      </c>
      <c r="B2014" s="5"/>
      <c r="C2014" s="5" t="str">
        <f ca="1">IFERROR(__xludf.DUMMYFUNCTION("""COMPUTED_VALUE"""),"Bihor")</f>
        <v>Bihor</v>
      </c>
      <c r="D2014" s="13">
        <f ca="1">IFERROR(__xludf.DUMMYFUNCTION("""COMPUTED_VALUE"""),44066)</f>
        <v>44066</v>
      </c>
      <c r="E2014" s="5" t="str">
        <f ca="1">IFERROR(__xludf.DUMMYFUNCTION("""COMPUTED_VALUE"""),"Nu")</f>
        <v>Nu</v>
      </c>
      <c r="F2014" s="5"/>
      <c r="G2014" s="5"/>
      <c r="H2014" s="6"/>
      <c r="I2014" s="5"/>
      <c r="J2014" s="5"/>
      <c r="K2014" s="7" t="str">
        <f ca="1">IFERROR(__xludf.DUMMYFUNCTION("""COMPUTED_VALUE"""),"https://www.ebihoreanul.ro/stiri/a-fost-depasit-pragul-de-2000-de-cazuri-covid-19diagnosticate-in-bihor-158350.html")</f>
        <v>https://www.ebihoreanul.ro/stiri/a-fost-depasit-pragul-de-2000-de-cazuri-covid-19diagnosticate-in-bihor-158350.html</v>
      </c>
      <c r="L2014" s="5"/>
      <c r="M2014" s="5"/>
      <c r="N2014" s="5"/>
      <c r="O2014" s="5"/>
      <c r="P2014" s="5"/>
      <c r="Q2014" s="5"/>
      <c r="R2014" s="5" t="str">
        <f ca="1">IFERROR(__xludf.DUMMYFUNCTION("""COMPUTED_VALUE"""),"România")</f>
        <v>România</v>
      </c>
      <c r="S2014" s="5" t="str">
        <f ca="1">IFERROR(__xludf.DUMMYFUNCTION("""COMPUTED_VALUE"""),"Octavian")</f>
        <v>Octavian</v>
      </c>
      <c r="T2014" s="7" t="str">
        <f ca="1">IFERROR(__xludf.DUMMYFUNCTION("""COMPUTED_VALUE"""),"http://www.ms.ro/2020/08/23/buletin-informativ-23-08-2020")</f>
        <v>http://www.ms.ro/2020/08/23/buletin-informativ-23-08-2020</v>
      </c>
      <c r="U2014" s="5"/>
      <c r="V2014" s="5"/>
      <c r="W2014" s="5"/>
      <c r="X2014" s="5"/>
      <c r="Y2014" s="5"/>
      <c r="Z2014" s="5"/>
      <c r="AA2014" s="5"/>
      <c r="AB2014" s="5"/>
      <c r="AC2014" s="5"/>
    </row>
    <row r="2015" spans="1:29" ht="12.5">
      <c r="A2015" s="5">
        <f ca="1">IFERROR(__xludf.DUMMYFUNCTION("""COMPUTED_VALUE"""),77702)</f>
        <v>77702</v>
      </c>
      <c r="B2015" s="5"/>
      <c r="C2015" s="5" t="str">
        <f ca="1">IFERROR(__xludf.DUMMYFUNCTION("""COMPUTED_VALUE"""),"Bihor")</f>
        <v>Bihor</v>
      </c>
      <c r="D2015" s="13">
        <f ca="1">IFERROR(__xludf.DUMMYFUNCTION("""COMPUTED_VALUE"""),44066)</f>
        <v>44066</v>
      </c>
      <c r="E2015" s="5" t="str">
        <f ca="1">IFERROR(__xludf.DUMMYFUNCTION("""COMPUTED_VALUE"""),"Nu")</f>
        <v>Nu</v>
      </c>
      <c r="F2015" s="5"/>
      <c r="G2015" s="5"/>
      <c r="H2015" s="6"/>
      <c r="I2015" s="5"/>
      <c r="J2015" s="5"/>
      <c r="K2015" s="7" t="str">
        <f ca="1">IFERROR(__xludf.DUMMYFUNCTION("""COMPUTED_VALUE"""),"https://www.ebihoreanul.ro/stiri/a-fost-depasit-pragul-de-2000-de-cazuri-covid-19diagnosticate-in-bihor-158350.html")</f>
        <v>https://www.ebihoreanul.ro/stiri/a-fost-depasit-pragul-de-2000-de-cazuri-covid-19diagnosticate-in-bihor-158350.html</v>
      </c>
      <c r="L2015" s="5"/>
      <c r="M2015" s="5"/>
      <c r="N2015" s="5"/>
      <c r="O2015" s="5"/>
      <c r="P2015" s="5"/>
      <c r="Q2015" s="5"/>
      <c r="R2015" s="5" t="str">
        <f ca="1">IFERROR(__xludf.DUMMYFUNCTION("""COMPUTED_VALUE"""),"România")</f>
        <v>România</v>
      </c>
      <c r="S2015" s="5" t="str">
        <f ca="1">IFERROR(__xludf.DUMMYFUNCTION("""COMPUTED_VALUE"""),"Octavian")</f>
        <v>Octavian</v>
      </c>
      <c r="T2015" s="7" t="str">
        <f ca="1">IFERROR(__xludf.DUMMYFUNCTION("""COMPUTED_VALUE"""),"http://www.ms.ro/2020/08/23/buletin-informativ-23-08-2020")</f>
        <v>http://www.ms.ro/2020/08/23/buletin-informativ-23-08-2020</v>
      </c>
      <c r="U2015" s="5"/>
      <c r="V2015" s="5"/>
      <c r="W2015" s="5"/>
      <c r="X2015" s="5"/>
      <c r="Y2015" s="5"/>
      <c r="Z2015" s="5"/>
      <c r="AA2015" s="5"/>
      <c r="AB2015" s="5"/>
      <c r="AC2015" s="5"/>
    </row>
    <row r="2016" spans="1:29" ht="12.5">
      <c r="A2016" s="5">
        <f ca="1">IFERROR(__xludf.DUMMYFUNCTION("""COMPUTED_VALUE"""),77703)</f>
        <v>77703</v>
      </c>
      <c r="B2016" s="5"/>
      <c r="C2016" s="5" t="str">
        <f ca="1">IFERROR(__xludf.DUMMYFUNCTION("""COMPUTED_VALUE"""),"Bihor")</f>
        <v>Bihor</v>
      </c>
      <c r="D2016" s="13">
        <f ca="1">IFERROR(__xludf.DUMMYFUNCTION("""COMPUTED_VALUE"""),44066)</f>
        <v>44066</v>
      </c>
      <c r="E2016" s="5" t="str">
        <f ca="1">IFERROR(__xludf.DUMMYFUNCTION("""COMPUTED_VALUE"""),"Nu")</f>
        <v>Nu</v>
      </c>
      <c r="F2016" s="5"/>
      <c r="G2016" s="5"/>
      <c r="H2016" s="6"/>
      <c r="I2016" s="5"/>
      <c r="J2016" s="5"/>
      <c r="K2016" s="7" t="str">
        <f ca="1">IFERROR(__xludf.DUMMYFUNCTION("""COMPUTED_VALUE"""),"https://www.ebihoreanul.ro/stiri/a-fost-depasit-pragul-de-2000-de-cazuri-covid-19diagnosticate-in-bihor-158350.html")</f>
        <v>https://www.ebihoreanul.ro/stiri/a-fost-depasit-pragul-de-2000-de-cazuri-covid-19diagnosticate-in-bihor-158350.html</v>
      </c>
      <c r="L2016" s="5"/>
      <c r="M2016" s="5"/>
      <c r="N2016" s="5"/>
      <c r="O2016" s="5"/>
      <c r="P2016" s="5"/>
      <c r="Q2016" s="5"/>
      <c r="R2016" s="5" t="str">
        <f ca="1">IFERROR(__xludf.DUMMYFUNCTION("""COMPUTED_VALUE"""),"România")</f>
        <v>România</v>
      </c>
      <c r="S2016" s="5" t="str">
        <f ca="1">IFERROR(__xludf.DUMMYFUNCTION("""COMPUTED_VALUE"""),"Octavian")</f>
        <v>Octavian</v>
      </c>
      <c r="T2016" s="7" t="str">
        <f ca="1">IFERROR(__xludf.DUMMYFUNCTION("""COMPUTED_VALUE"""),"http://www.ms.ro/2020/08/23/buletin-informativ-23-08-2020")</f>
        <v>http://www.ms.ro/2020/08/23/buletin-informativ-23-08-2020</v>
      </c>
      <c r="U2016" s="5"/>
      <c r="V2016" s="5"/>
      <c r="W2016" s="5"/>
      <c r="X2016" s="5"/>
      <c r="Y2016" s="5"/>
      <c r="Z2016" s="5"/>
      <c r="AA2016" s="5"/>
      <c r="AB2016" s="5"/>
      <c r="AC2016" s="5"/>
    </row>
    <row r="2017" spans="1:29" ht="12.5">
      <c r="A2017" s="5">
        <f ca="1">IFERROR(__xludf.DUMMYFUNCTION("""COMPUTED_VALUE"""),77704)</f>
        <v>77704</v>
      </c>
      <c r="B2017" s="5"/>
      <c r="C2017" s="5" t="str">
        <f ca="1">IFERROR(__xludf.DUMMYFUNCTION("""COMPUTED_VALUE"""),"Bihor")</f>
        <v>Bihor</v>
      </c>
      <c r="D2017" s="13">
        <f ca="1">IFERROR(__xludf.DUMMYFUNCTION("""COMPUTED_VALUE"""),44066)</f>
        <v>44066</v>
      </c>
      <c r="E2017" s="5" t="str">
        <f ca="1">IFERROR(__xludf.DUMMYFUNCTION("""COMPUTED_VALUE"""),"Nu")</f>
        <v>Nu</v>
      </c>
      <c r="F2017" s="5"/>
      <c r="G2017" s="5"/>
      <c r="H2017" s="6"/>
      <c r="I2017" s="5"/>
      <c r="J2017" s="5"/>
      <c r="K2017" s="7" t="str">
        <f ca="1">IFERROR(__xludf.DUMMYFUNCTION("""COMPUTED_VALUE"""),"https://www.ebihoreanul.ro/stiri/a-fost-depasit-pragul-de-2000-de-cazuri-covid-19diagnosticate-in-bihor-158350.html")</f>
        <v>https://www.ebihoreanul.ro/stiri/a-fost-depasit-pragul-de-2000-de-cazuri-covid-19diagnosticate-in-bihor-158350.html</v>
      </c>
      <c r="L2017" s="5"/>
      <c r="M2017" s="5"/>
      <c r="N2017" s="5"/>
      <c r="O2017" s="5"/>
      <c r="P2017" s="5"/>
      <c r="Q2017" s="5"/>
      <c r="R2017" s="5" t="str">
        <f ca="1">IFERROR(__xludf.DUMMYFUNCTION("""COMPUTED_VALUE"""),"România")</f>
        <v>România</v>
      </c>
      <c r="S2017" s="5" t="str">
        <f ca="1">IFERROR(__xludf.DUMMYFUNCTION("""COMPUTED_VALUE"""),"Octavian")</f>
        <v>Octavian</v>
      </c>
      <c r="T2017" s="7" t="str">
        <f ca="1">IFERROR(__xludf.DUMMYFUNCTION("""COMPUTED_VALUE"""),"http://www.ms.ro/2020/08/23/buletin-informativ-23-08-2020")</f>
        <v>http://www.ms.ro/2020/08/23/buletin-informativ-23-08-2020</v>
      </c>
      <c r="U2017" s="5"/>
      <c r="V2017" s="5"/>
      <c r="W2017" s="5"/>
      <c r="X2017" s="5"/>
      <c r="Y2017" s="5"/>
      <c r="Z2017" s="5"/>
      <c r="AA2017" s="5"/>
      <c r="AB2017" s="5"/>
      <c r="AC2017" s="5"/>
    </row>
    <row r="2018" spans="1:29" ht="12.5">
      <c r="A2018" s="5">
        <f ca="1">IFERROR(__xludf.DUMMYFUNCTION("""COMPUTED_VALUE"""),77705)</f>
        <v>77705</v>
      </c>
      <c r="B2018" s="5"/>
      <c r="C2018" s="5" t="str">
        <f ca="1">IFERROR(__xludf.DUMMYFUNCTION("""COMPUTED_VALUE"""),"Bihor")</f>
        <v>Bihor</v>
      </c>
      <c r="D2018" s="13">
        <f ca="1">IFERROR(__xludf.DUMMYFUNCTION("""COMPUTED_VALUE"""),44066)</f>
        <v>44066</v>
      </c>
      <c r="E2018" s="5" t="str">
        <f ca="1">IFERROR(__xludf.DUMMYFUNCTION("""COMPUTED_VALUE"""),"Nu")</f>
        <v>Nu</v>
      </c>
      <c r="F2018" s="5"/>
      <c r="G2018" s="5"/>
      <c r="H2018" s="6"/>
      <c r="I2018" s="5"/>
      <c r="J2018" s="5"/>
      <c r="K2018" s="7" t="str">
        <f ca="1">IFERROR(__xludf.DUMMYFUNCTION("""COMPUTED_VALUE"""),"https://www.ebihoreanul.ro/stiri/a-fost-depasit-pragul-de-2000-de-cazuri-covid-19diagnosticate-in-bihor-158350.html")</f>
        <v>https://www.ebihoreanul.ro/stiri/a-fost-depasit-pragul-de-2000-de-cazuri-covid-19diagnosticate-in-bihor-158350.html</v>
      </c>
      <c r="L2018" s="5"/>
      <c r="M2018" s="5"/>
      <c r="N2018" s="5"/>
      <c r="O2018" s="5"/>
      <c r="P2018" s="5"/>
      <c r="Q2018" s="5"/>
      <c r="R2018" s="5" t="str">
        <f ca="1">IFERROR(__xludf.DUMMYFUNCTION("""COMPUTED_VALUE"""),"România")</f>
        <v>România</v>
      </c>
      <c r="S2018" s="5" t="str">
        <f ca="1">IFERROR(__xludf.DUMMYFUNCTION("""COMPUTED_VALUE"""),"Octavian")</f>
        <v>Octavian</v>
      </c>
      <c r="T2018" s="7" t="str">
        <f ca="1">IFERROR(__xludf.DUMMYFUNCTION("""COMPUTED_VALUE"""),"http://www.ms.ro/2020/08/23/buletin-informativ-23-08-2020")</f>
        <v>http://www.ms.ro/2020/08/23/buletin-informativ-23-08-2020</v>
      </c>
      <c r="U2018" s="5"/>
      <c r="V2018" s="5"/>
      <c r="W2018" s="5"/>
      <c r="X2018" s="5"/>
      <c r="Y2018" s="5"/>
      <c r="Z2018" s="5"/>
      <c r="AA2018" s="5"/>
      <c r="AB2018" s="5"/>
      <c r="AC2018" s="5"/>
    </row>
    <row r="2019" spans="1:29" ht="12.5">
      <c r="A2019" s="5">
        <f ca="1">IFERROR(__xludf.DUMMYFUNCTION("""COMPUTED_VALUE"""),77706)</f>
        <v>77706</v>
      </c>
      <c r="B2019" s="5"/>
      <c r="C2019" s="5" t="str">
        <f ca="1">IFERROR(__xludf.DUMMYFUNCTION("""COMPUTED_VALUE"""),"Bihor")</f>
        <v>Bihor</v>
      </c>
      <c r="D2019" s="13">
        <f ca="1">IFERROR(__xludf.DUMMYFUNCTION("""COMPUTED_VALUE"""),44066)</f>
        <v>44066</v>
      </c>
      <c r="E2019" s="5" t="str">
        <f ca="1">IFERROR(__xludf.DUMMYFUNCTION("""COMPUTED_VALUE"""),"Nu")</f>
        <v>Nu</v>
      </c>
      <c r="F2019" s="5"/>
      <c r="G2019" s="5"/>
      <c r="H2019" s="6"/>
      <c r="I2019" s="5"/>
      <c r="J2019" s="5"/>
      <c r="K2019" s="7" t="str">
        <f ca="1">IFERROR(__xludf.DUMMYFUNCTION("""COMPUTED_VALUE"""),"https://www.ebihoreanul.ro/stiri/a-fost-depasit-pragul-de-2000-de-cazuri-covid-19diagnosticate-in-bihor-158350.html")</f>
        <v>https://www.ebihoreanul.ro/stiri/a-fost-depasit-pragul-de-2000-de-cazuri-covid-19diagnosticate-in-bihor-158350.html</v>
      </c>
      <c r="L2019" s="5"/>
      <c r="M2019" s="5"/>
      <c r="N2019" s="5"/>
      <c r="O2019" s="5"/>
      <c r="P2019" s="5"/>
      <c r="Q2019" s="5"/>
      <c r="R2019" s="5" t="str">
        <f ca="1">IFERROR(__xludf.DUMMYFUNCTION("""COMPUTED_VALUE"""),"România")</f>
        <v>România</v>
      </c>
      <c r="S2019" s="5" t="str">
        <f ca="1">IFERROR(__xludf.DUMMYFUNCTION("""COMPUTED_VALUE"""),"Octavian")</f>
        <v>Octavian</v>
      </c>
      <c r="T2019" s="7" t="str">
        <f ca="1">IFERROR(__xludf.DUMMYFUNCTION("""COMPUTED_VALUE"""),"http://www.ms.ro/2020/08/23/buletin-informativ-23-08-2020")</f>
        <v>http://www.ms.ro/2020/08/23/buletin-informativ-23-08-2020</v>
      </c>
      <c r="U2019" s="5"/>
      <c r="V2019" s="5"/>
      <c r="W2019" s="5"/>
      <c r="X2019" s="5"/>
      <c r="Y2019" s="5"/>
      <c r="Z2019" s="5"/>
      <c r="AA2019" s="5"/>
      <c r="AB2019" s="5"/>
      <c r="AC2019" s="5"/>
    </row>
    <row r="2020" spans="1:29" ht="12.5">
      <c r="A2020" s="5">
        <f ca="1">IFERROR(__xludf.DUMMYFUNCTION("""COMPUTED_VALUE"""),78582)</f>
        <v>78582</v>
      </c>
      <c r="B2020" s="5"/>
      <c r="C2020" s="5" t="str">
        <f ca="1">IFERROR(__xludf.DUMMYFUNCTION("""COMPUTED_VALUE"""),"Bihor")</f>
        <v>Bihor</v>
      </c>
      <c r="D2020" s="13">
        <f ca="1">IFERROR(__xludf.DUMMYFUNCTION("""COMPUTED_VALUE"""),44067)</f>
        <v>44067</v>
      </c>
      <c r="E2020" s="5" t="str">
        <f ca="1">IFERROR(__xludf.DUMMYFUNCTION("""COMPUTED_VALUE"""),"Nu")</f>
        <v>Nu</v>
      </c>
      <c r="F2020" s="5"/>
      <c r="G2020" s="5"/>
      <c r="H2020" s="6"/>
      <c r="I2020" s="5"/>
      <c r="J2020" s="5"/>
      <c r="K2020" s="7" t="str">
        <f ca="1">IFERROR(__xludf.DUMMYFUNCTION("""COMPUTED_VALUE"""),"https://www.ebihoreanul.ro/stiri/inca-trei-decese-ale-unor-pacienti-infectati-cu-covid-19-in-bihor-cazuri-noi-de-imbolnavire-dar-si-multe-vindecari-158365.html")</f>
        <v>https://www.ebihoreanul.ro/stiri/inca-trei-decese-ale-unor-pacienti-infectati-cu-covid-19-in-bihor-cazuri-noi-de-imbolnavire-dar-si-multe-vindecari-158365.html</v>
      </c>
      <c r="L2020" s="5"/>
      <c r="M2020" s="5" t="str">
        <f ca="1">IFERROR(__xludf.DUMMYFUNCTION("""COMPUTED_VALUE"""),"Oradea")</f>
        <v>Oradea</v>
      </c>
      <c r="N2020" s="5"/>
      <c r="O2020" s="5"/>
      <c r="P2020" s="5" t="str">
        <f ca="1">IFERROR(__xludf.DUMMYFUNCTION("""COMPUTED_VALUE"""),"Centrul Oncologic din Oradea, pacient.")</f>
        <v>Centrul Oncologic din Oradea, pacient.</v>
      </c>
      <c r="Q2020" s="5" t="str">
        <f ca="1">IFERROR(__xludf.DUMMYFUNCTION("""COMPUTED_VALUE"""),"Medical")</f>
        <v>Medical</v>
      </c>
      <c r="R2020" s="5" t="str">
        <f ca="1">IFERROR(__xludf.DUMMYFUNCTION("""COMPUTED_VALUE"""),"România")</f>
        <v>România</v>
      </c>
      <c r="S2020" s="5" t="str">
        <f ca="1">IFERROR(__xludf.DUMMYFUNCTION("""COMPUTED_VALUE"""),"Octavian")</f>
        <v>Octavian</v>
      </c>
      <c r="T2020" s="7" t="str">
        <f ca="1">IFERROR(__xludf.DUMMYFUNCTION("""COMPUTED_VALUE"""),"http://www.ms.ro/2020/08/24/buletin-informativ-24-08-2020")</f>
        <v>http://www.ms.ro/2020/08/24/buletin-informativ-24-08-2020</v>
      </c>
      <c r="U2020" s="5"/>
      <c r="V2020" s="5"/>
      <c r="W2020" s="5"/>
      <c r="X2020" s="5"/>
      <c r="Y2020" s="5"/>
      <c r="Z2020" s="5"/>
      <c r="AA2020" s="5"/>
      <c r="AB2020" s="5"/>
      <c r="AC2020" s="5"/>
    </row>
    <row r="2021" spans="1:29" ht="12.5">
      <c r="A2021" s="5">
        <f ca="1">IFERROR(__xludf.DUMMYFUNCTION("""COMPUTED_VALUE"""),78583)</f>
        <v>78583</v>
      </c>
      <c r="B2021" s="5"/>
      <c r="C2021" s="5" t="str">
        <f ca="1">IFERROR(__xludf.DUMMYFUNCTION("""COMPUTED_VALUE"""),"Bihor")</f>
        <v>Bihor</v>
      </c>
      <c r="D2021" s="13">
        <f ca="1">IFERROR(__xludf.DUMMYFUNCTION("""COMPUTED_VALUE"""),44067)</f>
        <v>44067</v>
      </c>
      <c r="E2021" s="5" t="str">
        <f ca="1">IFERROR(__xludf.DUMMYFUNCTION("""COMPUTED_VALUE"""),"Nu")</f>
        <v>Nu</v>
      </c>
      <c r="F2021" s="5"/>
      <c r="G2021" s="5"/>
      <c r="H2021" s="6"/>
      <c r="I2021" s="5"/>
      <c r="J2021" s="5"/>
      <c r="K2021" s="7" t="str">
        <f ca="1">IFERROR(__xludf.DUMMYFUNCTION("""COMPUTED_VALUE"""),"https://www.ebihoreanul.ro/stiri/inca-trei-decese-ale-unor-pacienti-infectati-cu-covid-19-in-bihor-cazuri-noi-de-imbolnavire-dar-si-multe-vindecari-158365.html")</f>
        <v>https://www.ebihoreanul.ro/stiri/inca-trei-decese-ale-unor-pacienti-infectati-cu-covid-19-in-bihor-cazuri-noi-de-imbolnavire-dar-si-multe-vindecari-158365.html</v>
      </c>
      <c r="L2021" s="5"/>
      <c r="M2021" s="5" t="str">
        <f ca="1">IFERROR(__xludf.DUMMYFUNCTION("""COMPUTED_VALUE"""),"Oradea")</f>
        <v>Oradea</v>
      </c>
      <c r="N2021" s="5"/>
      <c r="O2021" s="5"/>
      <c r="P2021" s="5" t="str">
        <f ca="1">IFERROR(__xludf.DUMMYFUNCTION("""COMPUTED_VALUE"""),"Centrul Oncologic din Oradea, pacient.")</f>
        <v>Centrul Oncologic din Oradea, pacient.</v>
      </c>
      <c r="Q2021" s="5" t="str">
        <f ca="1">IFERROR(__xludf.DUMMYFUNCTION("""COMPUTED_VALUE"""),"Medical")</f>
        <v>Medical</v>
      </c>
      <c r="R2021" s="5" t="str">
        <f ca="1">IFERROR(__xludf.DUMMYFUNCTION("""COMPUTED_VALUE"""),"România")</f>
        <v>România</v>
      </c>
      <c r="S2021" s="5" t="str">
        <f ca="1">IFERROR(__xludf.DUMMYFUNCTION("""COMPUTED_VALUE"""),"Octavian")</f>
        <v>Octavian</v>
      </c>
      <c r="T2021" s="7" t="str">
        <f ca="1">IFERROR(__xludf.DUMMYFUNCTION("""COMPUTED_VALUE"""),"http://www.ms.ro/2020/08/24/buletin-informativ-24-08-2020")</f>
        <v>http://www.ms.ro/2020/08/24/buletin-informativ-24-08-2020</v>
      </c>
      <c r="U2021" s="5"/>
      <c r="V2021" s="5"/>
      <c r="W2021" s="5"/>
      <c r="X2021" s="5"/>
      <c r="Y2021" s="5"/>
      <c r="Z2021" s="5"/>
      <c r="AA2021" s="5"/>
      <c r="AB2021" s="5"/>
      <c r="AC2021" s="5"/>
    </row>
    <row r="2022" spans="1:29" ht="12.5">
      <c r="A2022" s="5">
        <f ca="1">IFERROR(__xludf.DUMMYFUNCTION("""COMPUTED_VALUE"""),78584)</f>
        <v>78584</v>
      </c>
      <c r="B2022" s="5"/>
      <c r="C2022" s="5" t="str">
        <f ca="1">IFERROR(__xludf.DUMMYFUNCTION("""COMPUTED_VALUE"""),"Bihor")</f>
        <v>Bihor</v>
      </c>
      <c r="D2022" s="13">
        <f ca="1">IFERROR(__xludf.DUMMYFUNCTION("""COMPUTED_VALUE"""),44067)</f>
        <v>44067</v>
      </c>
      <c r="E2022" s="5" t="str">
        <f ca="1">IFERROR(__xludf.DUMMYFUNCTION("""COMPUTED_VALUE"""),"Nu")</f>
        <v>Nu</v>
      </c>
      <c r="F2022" s="5"/>
      <c r="G2022" s="5"/>
      <c r="H2022" s="6"/>
      <c r="I2022" s="5"/>
      <c r="J2022" s="5"/>
      <c r="K2022" s="7" t="str">
        <f ca="1">IFERROR(__xludf.DUMMYFUNCTION("""COMPUTED_VALUE"""),"https://www.ebihoreanul.ro/stiri/inca-trei-decese-ale-unor-pacienti-infectati-cu-covid-19-in-bihor-cazuri-noi-de-imbolnavire-dar-si-multe-vindecari-158365.html")</f>
        <v>https://www.ebihoreanul.ro/stiri/inca-trei-decese-ale-unor-pacienti-infectati-cu-covid-19-in-bihor-cazuri-noi-de-imbolnavire-dar-si-multe-vindecari-158365.html</v>
      </c>
      <c r="L2022" s="5"/>
      <c r="M2022" s="5" t="str">
        <f ca="1">IFERROR(__xludf.DUMMYFUNCTION("""COMPUTED_VALUE"""),"Oradea")</f>
        <v>Oradea</v>
      </c>
      <c r="N2022" s="5"/>
      <c r="O2022" s="5"/>
      <c r="P2022" s="5" t="str">
        <f ca="1">IFERROR(__xludf.DUMMYFUNCTION("""COMPUTED_VALUE"""),"SJU Oradea, pacient.")</f>
        <v>SJU Oradea, pacient.</v>
      </c>
      <c r="Q2022" s="5" t="str">
        <f ca="1">IFERROR(__xludf.DUMMYFUNCTION("""COMPUTED_VALUE"""),"Medical")</f>
        <v>Medical</v>
      </c>
      <c r="R2022" s="5" t="str">
        <f ca="1">IFERROR(__xludf.DUMMYFUNCTION("""COMPUTED_VALUE"""),"România")</f>
        <v>România</v>
      </c>
      <c r="S2022" s="5" t="str">
        <f ca="1">IFERROR(__xludf.DUMMYFUNCTION("""COMPUTED_VALUE"""),"Octavian")</f>
        <v>Octavian</v>
      </c>
      <c r="T2022" s="7" t="str">
        <f ca="1">IFERROR(__xludf.DUMMYFUNCTION("""COMPUTED_VALUE"""),"http://www.ms.ro/2020/08/24/buletin-informativ-24-08-2020")</f>
        <v>http://www.ms.ro/2020/08/24/buletin-informativ-24-08-2020</v>
      </c>
      <c r="U2022" s="5"/>
      <c r="V2022" s="5"/>
      <c r="W2022" s="5"/>
      <c r="X2022" s="5"/>
      <c r="Y2022" s="5"/>
      <c r="Z2022" s="5"/>
      <c r="AA2022" s="5"/>
      <c r="AB2022" s="5"/>
      <c r="AC2022" s="5"/>
    </row>
    <row r="2023" spans="1:29" ht="12.5">
      <c r="A2023" s="5">
        <f ca="1">IFERROR(__xludf.DUMMYFUNCTION("""COMPUTED_VALUE"""),78585)</f>
        <v>78585</v>
      </c>
      <c r="B2023" s="5"/>
      <c r="C2023" s="5" t="str">
        <f ca="1">IFERROR(__xludf.DUMMYFUNCTION("""COMPUTED_VALUE"""),"Bihor")</f>
        <v>Bihor</v>
      </c>
      <c r="D2023" s="13">
        <f ca="1">IFERROR(__xludf.DUMMYFUNCTION("""COMPUTED_VALUE"""),44067)</f>
        <v>44067</v>
      </c>
      <c r="E2023" s="5" t="str">
        <f ca="1">IFERROR(__xludf.DUMMYFUNCTION("""COMPUTED_VALUE"""),"Nu")</f>
        <v>Nu</v>
      </c>
      <c r="F2023" s="5"/>
      <c r="G2023" s="5"/>
      <c r="H2023" s="6"/>
      <c r="I2023" s="5"/>
      <c r="J2023" s="5"/>
      <c r="K2023" s="7" t="str">
        <f ca="1">IFERROR(__xludf.DUMMYFUNCTION("""COMPUTED_VALUE"""),"https://www.ebihoreanul.ro/stiri/inca-trei-decese-ale-unor-pacienti-infectati-cu-covid-19-in-bihor-cazuri-noi-de-imbolnavire-dar-si-multe-vindecari-158365.html")</f>
        <v>https://www.ebihoreanul.ro/stiri/inca-trei-decese-ale-unor-pacienti-infectati-cu-covid-19-in-bihor-cazuri-noi-de-imbolnavire-dar-si-multe-vindecari-158365.html</v>
      </c>
      <c r="L2023" s="5"/>
      <c r="M2023" s="5" t="str">
        <f ca="1">IFERROR(__xludf.DUMMYFUNCTION("""COMPUTED_VALUE"""),"Oradea")</f>
        <v>Oradea</v>
      </c>
      <c r="N2023" s="5"/>
      <c r="O2023" s="5"/>
      <c r="P2023" s="5" t="str">
        <f ca="1">IFERROR(__xludf.DUMMYFUNCTION("""COMPUTED_VALUE"""),"SJU Oradea, pacient.")</f>
        <v>SJU Oradea, pacient.</v>
      </c>
      <c r="Q2023" s="5" t="str">
        <f ca="1">IFERROR(__xludf.DUMMYFUNCTION("""COMPUTED_VALUE"""),"Medical")</f>
        <v>Medical</v>
      </c>
      <c r="R2023" s="5" t="str">
        <f ca="1">IFERROR(__xludf.DUMMYFUNCTION("""COMPUTED_VALUE"""),"România")</f>
        <v>România</v>
      </c>
      <c r="S2023" s="5" t="str">
        <f ca="1">IFERROR(__xludf.DUMMYFUNCTION("""COMPUTED_VALUE"""),"Octavian")</f>
        <v>Octavian</v>
      </c>
      <c r="T2023" s="7" t="str">
        <f ca="1">IFERROR(__xludf.DUMMYFUNCTION("""COMPUTED_VALUE"""),"http://www.ms.ro/2020/08/24/buletin-informativ-24-08-2020")</f>
        <v>http://www.ms.ro/2020/08/24/buletin-informativ-24-08-2020</v>
      </c>
      <c r="U2023" s="5"/>
      <c r="V2023" s="5"/>
      <c r="W2023" s="5"/>
      <c r="X2023" s="5"/>
      <c r="Y2023" s="5"/>
      <c r="Z2023" s="5"/>
      <c r="AA2023" s="5"/>
      <c r="AB2023" s="5"/>
      <c r="AC2023" s="5"/>
    </row>
    <row r="2024" spans="1:29" ht="12.5">
      <c r="A2024" s="5">
        <f ca="1">IFERROR(__xludf.DUMMYFUNCTION("""COMPUTED_VALUE"""),78586)</f>
        <v>78586</v>
      </c>
      <c r="B2024" s="5"/>
      <c r="C2024" s="5" t="str">
        <f ca="1">IFERROR(__xludf.DUMMYFUNCTION("""COMPUTED_VALUE"""),"Bihor")</f>
        <v>Bihor</v>
      </c>
      <c r="D2024" s="13">
        <f ca="1">IFERROR(__xludf.DUMMYFUNCTION("""COMPUTED_VALUE"""),44067)</f>
        <v>44067</v>
      </c>
      <c r="E2024" s="5" t="str">
        <f ca="1">IFERROR(__xludf.DUMMYFUNCTION("""COMPUTED_VALUE"""),"Nu")</f>
        <v>Nu</v>
      </c>
      <c r="F2024" s="5"/>
      <c r="G2024" s="5"/>
      <c r="H2024" s="6"/>
      <c r="I2024" s="5"/>
      <c r="J2024" s="5"/>
      <c r="K2024" s="7" t="str">
        <f ca="1">IFERROR(__xludf.DUMMYFUNCTION("""COMPUTED_VALUE"""),"https://www.ebihoreanul.ro/stiri/inca-trei-decese-ale-unor-pacienti-infectati-cu-covid-19-in-bihor-cazuri-noi-de-imbolnavire-dar-si-multe-vindecari-158365.html")</f>
        <v>https://www.ebihoreanul.ro/stiri/inca-trei-decese-ale-unor-pacienti-infectati-cu-covid-19-in-bihor-cazuri-noi-de-imbolnavire-dar-si-multe-vindecari-158365.html</v>
      </c>
      <c r="L2024" s="5"/>
      <c r="M2024" s="5" t="str">
        <f ca="1">IFERROR(__xludf.DUMMYFUNCTION("""COMPUTED_VALUE"""),"Beiuș")</f>
        <v>Beiuș</v>
      </c>
      <c r="N2024" s="5"/>
      <c r="O2024" s="5"/>
      <c r="P2024" s="5" t="str">
        <f ca="1">IFERROR(__xludf.DUMMYFUNCTION("""COMPUTED_VALUE"""),"Spital Beiuș, pacient.")</f>
        <v>Spital Beiuș, pacient.</v>
      </c>
      <c r="Q2024" s="5" t="str">
        <f ca="1">IFERROR(__xludf.DUMMYFUNCTION("""COMPUTED_VALUE"""),"Medical")</f>
        <v>Medical</v>
      </c>
      <c r="R2024" s="5" t="str">
        <f ca="1">IFERROR(__xludf.DUMMYFUNCTION("""COMPUTED_VALUE"""),"România")</f>
        <v>România</v>
      </c>
      <c r="S2024" s="5" t="str">
        <f ca="1">IFERROR(__xludf.DUMMYFUNCTION("""COMPUTED_VALUE"""),"Octavian")</f>
        <v>Octavian</v>
      </c>
      <c r="T2024" s="7" t="str">
        <f ca="1">IFERROR(__xludf.DUMMYFUNCTION("""COMPUTED_VALUE"""),"http://www.ms.ro/2020/08/24/buletin-informativ-24-08-2020")</f>
        <v>http://www.ms.ro/2020/08/24/buletin-informativ-24-08-2020</v>
      </c>
      <c r="U2024" s="5"/>
      <c r="V2024" s="5"/>
      <c r="W2024" s="5"/>
      <c r="X2024" s="5"/>
      <c r="Y2024" s="5"/>
      <c r="Z2024" s="5"/>
      <c r="AA2024" s="5"/>
      <c r="AB2024" s="5"/>
      <c r="AC2024" s="5"/>
    </row>
    <row r="2025" spans="1:29" ht="12.5">
      <c r="A2025" s="5">
        <f ca="1">IFERROR(__xludf.DUMMYFUNCTION("""COMPUTED_VALUE"""),78587)</f>
        <v>78587</v>
      </c>
      <c r="B2025" s="5"/>
      <c r="C2025" s="5" t="str">
        <f ca="1">IFERROR(__xludf.DUMMYFUNCTION("""COMPUTED_VALUE"""),"Bihor")</f>
        <v>Bihor</v>
      </c>
      <c r="D2025" s="13">
        <f ca="1">IFERROR(__xludf.DUMMYFUNCTION("""COMPUTED_VALUE"""),44067)</f>
        <v>44067</v>
      </c>
      <c r="E2025" s="5" t="str">
        <f ca="1">IFERROR(__xludf.DUMMYFUNCTION("""COMPUTED_VALUE"""),"Nu")</f>
        <v>Nu</v>
      </c>
      <c r="F2025" s="5"/>
      <c r="G2025" s="5"/>
      <c r="H2025" s="6"/>
      <c r="I2025" s="5"/>
      <c r="J2025" s="5"/>
      <c r="K2025" s="7" t="str">
        <f ca="1">IFERROR(__xludf.DUMMYFUNCTION("""COMPUTED_VALUE"""),"https://www.ebihoreanul.ro/stiri/inca-trei-decese-ale-unor-pacienti-infectati-cu-covid-19-in-bihor-cazuri-noi-de-imbolnavire-dar-si-multe-vindecari-158365.html")</f>
        <v>https://www.ebihoreanul.ro/stiri/inca-trei-decese-ale-unor-pacienti-infectati-cu-covid-19-in-bihor-cazuri-noi-de-imbolnavire-dar-si-multe-vindecari-158365.html</v>
      </c>
      <c r="L2025" s="5"/>
      <c r="M2025" s="5" t="str">
        <f ca="1">IFERROR(__xludf.DUMMYFUNCTION("""COMPUTED_VALUE"""),"Beiuș")</f>
        <v>Beiuș</v>
      </c>
      <c r="N2025" s="5"/>
      <c r="O2025" s="5"/>
      <c r="P2025" s="5" t="str">
        <f ca="1">IFERROR(__xludf.DUMMYFUNCTION("""COMPUTED_VALUE"""),"Spital Beiuș, pacient.")</f>
        <v>Spital Beiuș, pacient.</v>
      </c>
      <c r="Q2025" s="5" t="str">
        <f ca="1">IFERROR(__xludf.DUMMYFUNCTION("""COMPUTED_VALUE"""),"Medical")</f>
        <v>Medical</v>
      </c>
      <c r="R2025" s="5" t="str">
        <f ca="1">IFERROR(__xludf.DUMMYFUNCTION("""COMPUTED_VALUE"""),"România")</f>
        <v>România</v>
      </c>
      <c r="S2025" s="5" t="str">
        <f ca="1">IFERROR(__xludf.DUMMYFUNCTION("""COMPUTED_VALUE"""),"Octavian")</f>
        <v>Octavian</v>
      </c>
      <c r="T2025" s="7" t="str">
        <f ca="1">IFERROR(__xludf.DUMMYFUNCTION("""COMPUTED_VALUE"""),"http://www.ms.ro/2020/08/24/buletin-informativ-24-08-2020")</f>
        <v>http://www.ms.ro/2020/08/24/buletin-informativ-24-08-2020</v>
      </c>
      <c r="U2025" s="5"/>
      <c r="V2025" s="5"/>
      <c r="W2025" s="5"/>
      <c r="X2025" s="5"/>
      <c r="Y2025" s="5"/>
      <c r="Z2025" s="5"/>
      <c r="AA2025" s="5"/>
      <c r="AB2025" s="5"/>
      <c r="AC2025" s="5"/>
    </row>
    <row r="2026" spans="1:29" ht="12.5">
      <c r="A2026" s="5">
        <f ca="1">IFERROR(__xludf.DUMMYFUNCTION("""COMPUTED_VALUE"""),78588)</f>
        <v>78588</v>
      </c>
      <c r="B2026" s="5"/>
      <c r="C2026" s="5" t="str">
        <f ca="1">IFERROR(__xludf.DUMMYFUNCTION("""COMPUTED_VALUE"""),"Bihor")</f>
        <v>Bihor</v>
      </c>
      <c r="D2026" s="13">
        <f ca="1">IFERROR(__xludf.DUMMYFUNCTION("""COMPUTED_VALUE"""),44067)</f>
        <v>44067</v>
      </c>
      <c r="E2026" s="5" t="str">
        <f ca="1">IFERROR(__xludf.DUMMYFUNCTION("""COMPUTED_VALUE"""),"Nu")</f>
        <v>Nu</v>
      </c>
      <c r="F2026" s="5"/>
      <c r="G2026" s="5"/>
      <c r="H2026" s="6"/>
      <c r="I2026" s="5"/>
      <c r="J2026" s="5"/>
      <c r="K2026" s="7" t="str">
        <f ca="1">IFERROR(__xludf.DUMMYFUNCTION("""COMPUTED_VALUE"""),"https://www.ebihoreanul.ro/stiri/inca-trei-decese-ale-unor-pacienti-infectati-cu-covid-19-in-bihor-cazuri-noi-de-imbolnavire-dar-si-multe-vindecari-158365.html")</f>
        <v>https://www.ebihoreanul.ro/stiri/inca-trei-decese-ale-unor-pacienti-infectati-cu-covid-19-in-bihor-cazuri-noi-de-imbolnavire-dar-si-multe-vindecari-158365.html</v>
      </c>
      <c r="L2026" s="5"/>
      <c r="M2026" s="5" t="str">
        <f ca="1">IFERROR(__xludf.DUMMYFUNCTION("""COMPUTED_VALUE"""),"Beiuș")</f>
        <v>Beiuș</v>
      </c>
      <c r="N2026" s="5"/>
      <c r="O2026" s="5"/>
      <c r="P2026" s="5" t="str">
        <f ca="1">IFERROR(__xludf.DUMMYFUNCTION("""COMPUTED_VALUE"""),"Spital Beiuș, pacient.")</f>
        <v>Spital Beiuș, pacient.</v>
      </c>
      <c r="Q2026" s="5" t="str">
        <f ca="1">IFERROR(__xludf.DUMMYFUNCTION("""COMPUTED_VALUE"""),"Medical")</f>
        <v>Medical</v>
      </c>
      <c r="R2026" s="5" t="str">
        <f ca="1">IFERROR(__xludf.DUMMYFUNCTION("""COMPUTED_VALUE"""),"România")</f>
        <v>România</v>
      </c>
      <c r="S2026" s="5" t="str">
        <f ca="1">IFERROR(__xludf.DUMMYFUNCTION("""COMPUTED_VALUE"""),"Octavian")</f>
        <v>Octavian</v>
      </c>
      <c r="T2026" s="7" t="str">
        <f ca="1">IFERROR(__xludf.DUMMYFUNCTION("""COMPUTED_VALUE"""),"http://www.ms.ro/2020/08/24/buletin-informativ-24-08-2020")</f>
        <v>http://www.ms.ro/2020/08/24/buletin-informativ-24-08-2020</v>
      </c>
      <c r="U2026" s="5"/>
      <c r="V2026" s="5"/>
      <c r="W2026" s="5"/>
      <c r="X2026" s="5"/>
      <c r="Y2026" s="5"/>
      <c r="Z2026" s="5"/>
      <c r="AA2026" s="5"/>
      <c r="AB2026" s="5"/>
      <c r="AC2026" s="5"/>
    </row>
    <row r="2027" spans="1:29" ht="12.5">
      <c r="A2027" s="5">
        <f ca="1">IFERROR(__xludf.DUMMYFUNCTION("""COMPUTED_VALUE"""),78589)</f>
        <v>78589</v>
      </c>
      <c r="B2027" s="5"/>
      <c r="C2027" s="5" t="str">
        <f ca="1">IFERROR(__xludf.DUMMYFUNCTION("""COMPUTED_VALUE"""),"Bihor")</f>
        <v>Bihor</v>
      </c>
      <c r="D2027" s="13">
        <f ca="1">IFERROR(__xludf.DUMMYFUNCTION("""COMPUTED_VALUE"""),44067)</f>
        <v>44067</v>
      </c>
      <c r="E2027" s="5" t="str">
        <f ca="1">IFERROR(__xludf.DUMMYFUNCTION("""COMPUTED_VALUE"""),"Nu")</f>
        <v>Nu</v>
      </c>
      <c r="F2027" s="5"/>
      <c r="G2027" s="5"/>
      <c r="H2027" s="6"/>
      <c r="I2027" s="5"/>
      <c r="J2027" s="5"/>
      <c r="K2027" s="7" t="str">
        <f ca="1">IFERROR(__xludf.DUMMYFUNCTION("""COMPUTED_VALUE"""),"https://www.ebihoreanul.ro/stiri/inca-trei-decese-ale-unor-pacienti-infectati-cu-covid-19-in-bihor-cazuri-noi-de-imbolnavire-dar-si-multe-vindecari-158365.html")</f>
        <v>https://www.ebihoreanul.ro/stiri/inca-trei-decese-ale-unor-pacienti-infectati-cu-covid-19-in-bihor-cazuri-noi-de-imbolnavire-dar-si-multe-vindecari-158365.html</v>
      </c>
      <c r="L2027" s="5"/>
      <c r="M2027" s="5" t="str">
        <f ca="1">IFERROR(__xludf.DUMMYFUNCTION("""COMPUTED_VALUE"""),"Beiuș")</f>
        <v>Beiuș</v>
      </c>
      <c r="N2027" s="5"/>
      <c r="O2027" s="5"/>
      <c r="P2027" s="5" t="str">
        <f ca="1">IFERROR(__xludf.DUMMYFUNCTION("""COMPUTED_VALUE"""),"Spital Beiuș, pacient.")</f>
        <v>Spital Beiuș, pacient.</v>
      </c>
      <c r="Q2027" s="5" t="str">
        <f ca="1">IFERROR(__xludf.DUMMYFUNCTION("""COMPUTED_VALUE"""),"Medical")</f>
        <v>Medical</v>
      </c>
      <c r="R2027" s="5" t="str">
        <f ca="1">IFERROR(__xludf.DUMMYFUNCTION("""COMPUTED_VALUE"""),"România")</f>
        <v>România</v>
      </c>
      <c r="S2027" s="5" t="str">
        <f ca="1">IFERROR(__xludf.DUMMYFUNCTION("""COMPUTED_VALUE"""),"Octavian")</f>
        <v>Octavian</v>
      </c>
      <c r="T2027" s="7" t="str">
        <f ca="1">IFERROR(__xludf.DUMMYFUNCTION("""COMPUTED_VALUE"""),"http://www.ms.ro/2020/08/24/buletin-informativ-24-08-2020")</f>
        <v>http://www.ms.ro/2020/08/24/buletin-informativ-24-08-2020</v>
      </c>
      <c r="U2027" s="5"/>
      <c r="V2027" s="5"/>
      <c r="W2027" s="5"/>
      <c r="X2027" s="5"/>
      <c r="Y2027" s="5"/>
      <c r="Z2027" s="5"/>
      <c r="AA2027" s="5"/>
      <c r="AB2027" s="5"/>
      <c r="AC2027" s="5"/>
    </row>
    <row r="2028" spans="1:29" ht="12.5">
      <c r="A2028" s="5">
        <f ca="1">IFERROR(__xludf.DUMMYFUNCTION("""COMPUTED_VALUE"""),78590)</f>
        <v>78590</v>
      </c>
      <c r="B2028" s="5"/>
      <c r="C2028" s="5" t="str">
        <f ca="1">IFERROR(__xludf.DUMMYFUNCTION("""COMPUTED_VALUE"""),"Bihor")</f>
        <v>Bihor</v>
      </c>
      <c r="D2028" s="13">
        <f ca="1">IFERROR(__xludf.DUMMYFUNCTION("""COMPUTED_VALUE"""),44067)</f>
        <v>44067</v>
      </c>
      <c r="E2028" s="5" t="str">
        <f ca="1">IFERROR(__xludf.DUMMYFUNCTION("""COMPUTED_VALUE"""),"Nu")</f>
        <v>Nu</v>
      </c>
      <c r="F2028" s="5"/>
      <c r="G2028" s="5"/>
      <c r="H2028" s="6"/>
      <c r="I2028" s="5"/>
      <c r="J2028" s="5"/>
      <c r="K2028" s="7" t="str">
        <f ca="1">IFERROR(__xludf.DUMMYFUNCTION("""COMPUTED_VALUE"""),"https://www.ebihoreanul.ro/stiri/inca-trei-decese-ale-unor-pacienti-infectati-cu-covid-19-in-bihor-cazuri-noi-de-imbolnavire-dar-si-multe-vindecari-158365.html")</f>
        <v>https://www.ebihoreanul.ro/stiri/inca-trei-decese-ale-unor-pacienti-infectati-cu-covid-19-in-bihor-cazuri-noi-de-imbolnavire-dar-si-multe-vindecari-158365.html</v>
      </c>
      <c r="L2028" s="5"/>
      <c r="M2028" s="5" t="str">
        <f ca="1">IFERROR(__xludf.DUMMYFUNCTION("""COMPUTED_VALUE"""),"Aleșd")</f>
        <v>Aleșd</v>
      </c>
      <c r="N2028" s="5"/>
      <c r="O2028" s="5"/>
      <c r="P2028" s="5" t="str">
        <f ca="1">IFERROR(__xludf.DUMMYFUNCTION("""COMPUTED_VALUE"""),"Spital Aleșd, pacient.")</f>
        <v>Spital Aleșd, pacient.</v>
      </c>
      <c r="Q2028" s="5" t="str">
        <f ca="1">IFERROR(__xludf.DUMMYFUNCTION("""COMPUTED_VALUE"""),"Medical")</f>
        <v>Medical</v>
      </c>
      <c r="R2028" s="5" t="str">
        <f ca="1">IFERROR(__xludf.DUMMYFUNCTION("""COMPUTED_VALUE"""),"România")</f>
        <v>România</v>
      </c>
      <c r="S2028" s="5" t="str">
        <f ca="1">IFERROR(__xludf.DUMMYFUNCTION("""COMPUTED_VALUE"""),"Octavian")</f>
        <v>Octavian</v>
      </c>
      <c r="T2028" s="7" t="str">
        <f ca="1">IFERROR(__xludf.DUMMYFUNCTION("""COMPUTED_VALUE"""),"http://www.ms.ro/2020/08/24/buletin-informativ-24-08-2020")</f>
        <v>http://www.ms.ro/2020/08/24/buletin-informativ-24-08-2020</v>
      </c>
      <c r="U2028" s="5"/>
      <c r="V2028" s="5"/>
      <c r="W2028" s="5"/>
      <c r="X2028" s="5"/>
      <c r="Y2028" s="5"/>
      <c r="Z2028" s="5"/>
      <c r="AA2028" s="5"/>
      <c r="AB2028" s="5"/>
      <c r="AC2028" s="5"/>
    </row>
    <row r="2029" spans="1:29" ht="12.5">
      <c r="A2029" s="5">
        <f ca="1">IFERROR(__xludf.DUMMYFUNCTION("""COMPUTED_VALUE"""),78591)</f>
        <v>78591</v>
      </c>
      <c r="B2029" s="5"/>
      <c r="C2029" s="5" t="str">
        <f ca="1">IFERROR(__xludf.DUMMYFUNCTION("""COMPUTED_VALUE"""),"Bihor")</f>
        <v>Bihor</v>
      </c>
      <c r="D2029" s="13">
        <f ca="1">IFERROR(__xludf.DUMMYFUNCTION("""COMPUTED_VALUE"""),44067)</f>
        <v>44067</v>
      </c>
      <c r="E2029" s="5" t="str">
        <f ca="1">IFERROR(__xludf.DUMMYFUNCTION("""COMPUTED_VALUE"""),"Nu")</f>
        <v>Nu</v>
      </c>
      <c r="F2029" s="5"/>
      <c r="G2029" s="5"/>
      <c r="H2029" s="6"/>
      <c r="I2029" s="5"/>
      <c r="J2029" s="5"/>
      <c r="K2029" s="7" t="str">
        <f ca="1">IFERROR(__xludf.DUMMYFUNCTION("""COMPUTED_VALUE"""),"https://www.ebihoreanul.ro/stiri/inca-trei-decese-ale-unor-pacienti-infectati-cu-covid-19-in-bihor-cazuri-noi-de-imbolnavire-dar-si-multe-vindecari-158365.html")</f>
        <v>https://www.ebihoreanul.ro/stiri/inca-trei-decese-ale-unor-pacienti-infectati-cu-covid-19-in-bihor-cazuri-noi-de-imbolnavire-dar-si-multe-vindecari-158365.html</v>
      </c>
      <c r="L2029" s="5"/>
      <c r="M2029" s="5" t="str">
        <f ca="1">IFERROR(__xludf.DUMMYFUNCTION("""COMPUTED_VALUE"""),"Salonta")</f>
        <v>Salonta</v>
      </c>
      <c r="N2029" s="5"/>
      <c r="O2029" s="5"/>
      <c r="P2029" s="5" t="str">
        <f ca="1">IFERROR(__xludf.DUMMYFUNCTION("""COMPUTED_VALUE"""),"Spital Salonta, pacient.")</f>
        <v>Spital Salonta, pacient.</v>
      </c>
      <c r="Q2029" s="5" t="str">
        <f ca="1">IFERROR(__xludf.DUMMYFUNCTION("""COMPUTED_VALUE"""),"Medical")</f>
        <v>Medical</v>
      </c>
      <c r="R2029" s="5" t="str">
        <f ca="1">IFERROR(__xludf.DUMMYFUNCTION("""COMPUTED_VALUE"""),"România")</f>
        <v>România</v>
      </c>
      <c r="S2029" s="5" t="str">
        <f ca="1">IFERROR(__xludf.DUMMYFUNCTION("""COMPUTED_VALUE"""),"Octavian")</f>
        <v>Octavian</v>
      </c>
      <c r="T2029" s="7" t="str">
        <f ca="1">IFERROR(__xludf.DUMMYFUNCTION("""COMPUTED_VALUE"""),"http://www.ms.ro/2020/08/24/buletin-informativ-24-08-2020")</f>
        <v>http://www.ms.ro/2020/08/24/buletin-informativ-24-08-2020</v>
      </c>
      <c r="U2029" s="5"/>
      <c r="V2029" s="5"/>
      <c r="W2029" s="5"/>
      <c r="X2029" s="5"/>
      <c r="Y2029" s="5"/>
      <c r="Z2029" s="5"/>
      <c r="AA2029" s="5"/>
      <c r="AB2029" s="5"/>
      <c r="AC2029" s="5"/>
    </row>
    <row r="2030" spans="1:29" ht="12.5">
      <c r="A2030" s="5">
        <f ca="1">IFERROR(__xludf.DUMMYFUNCTION("""COMPUTED_VALUE"""),78592)</f>
        <v>78592</v>
      </c>
      <c r="B2030" s="5"/>
      <c r="C2030" s="5" t="str">
        <f ca="1">IFERROR(__xludf.DUMMYFUNCTION("""COMPUTED_VALUE"""),"Bihor")</f>
        <v>Bihor</v>
      </c>
      <c r="D2030" s="13">
        <f ca="1">IFERROR(__xludf.DUMMYFUNCTION("""COMPUTED_VALUE"""),44067)</f>
        <v>44067</v>
      </c>
      <c r="E2030" s="5" t="str">
        <f ca="1">IFERROR(__xludf.DUMMYFUNCTION("""COMPUTED_VALUE"""),"Nu")</f>
        <v>Nu</v>
      </c>
      <c r="F2030" s="5"/>
      <c r="G2030" s="5"/>
      <c r="H2030" s="6"/>
      <c r="I2030" s="5"/>
      <c r="J2030" s="5"/>
      <c r="K2030" s="7" t="str">
        <f ca="1">IFERROR(__xludf.DUMMYFUNCTION("""COMPUTED_VALUE"""),"https://www.ebihoreanul.ro/stiri/inca-trei-decese-ale-unor-pacienti-infectati-cu-covid-19-in-bihor-cazuri-noi-de-imbolnavire-dar-si-multe-vindecari-158365.html")</f>
        <v>https://www.ebihoreanul.ro/stiri/inca-trei-decese-ale-unor-pacienti-infectati-cu-covid-19-in-bihor-cazuri-noi-de-imbolnavire-dar-si-multe-vindecari-158365.html</v>
      </c>
      <c r="L2030" s="5"/>
      <c r="M2030" s="5" t="str">
        <f ca="1">IFERROR(__xludf.DUMMYFUNCTION("""COMPUTED_VALUE"""),"Oradea")</f>
        <v>Oradea</v>
      </c>
      <c r="N2030" s="5"/>
      <c r="O2030" s="5"/>
      <c r="P2030" s="5" t="str">
        <f ca="1">IFERROR(__xludf.DUMMYFUNCTION("""COMPUTED_VALUE"""),"Soital Pelican, pacient.")</f>
        <v>Soital Pelican, pacient.</v>
      </c>
      <c r="Q2030" s="5" t="str">
        <f ca="1">IFERROR(__xludf.DUMMYFUNCTION("""COMPUTED_VALUE"""),"Medical")</f>
        <v>Medical</v>
      </c>
      <c r="R2030" s="5" t="str">
        <f ca="1">IFERROR(__xludf.DUMMYFUNCTION("""COMPUTED_VALUE"""),"România")</f>
        <v>România</v>
      </c>
      <c r="S2030" s="5" t="str">
        <f ca="1">IFERROR(__xludf.DUMMYFUNCTION("""COMPUTED_VALUE"""),"Octavian")</f>
        <v>Octavian</v>
      </c>
      <c r="T2030" s="7" t="str">
        <f ca="1">IFERROR(__xludf.DUMMYFUNCTION("""COMPUTED_VALUE"""),"http://www.ms.ro/2020/08/24/buletin-informativ-24-08-2020")</f>
        <v>http://www.ms.ro/2020/08/24/buletin-informativ-24-08-2020</v>
      </c>
      <c r="U2030" s="5"/>
      <c r="V2030" s="5"/>
      <c r="W2030" s="5"/>
      <c r="X2030" s="5"/>
      <c r="Y2030" s="5"/>
      <c r="Z2030" s="5"/>
      <c r="AA2030" s="5"/>
      <c r="AB2030" s="5"/>
      <c r="AC2030" s="5"/>
    </row>
    <row r="2031" spans="1:29" ht="12.5">
      <c r="A2031" s="5">
        <f ca="1">IFERROR(__xludf.DUMMYFUNCTION("""COMPUTED_VALUE"""),78593)</f>
        <v>78593</v>
      </c>
      <c r="B2031" s="5"/>
      <c r="C2031" s="5" t="str">
        <f ca="1">IFERROR(__xludf.DUMMYFUNCTION("""COMPUTED_VALUE"""),"Bihor")</f>
        <v>Bihor</v>
      </c>
      <c r="D2031" s="13">
        <f ca="1">IFERROR(__xludf.DUMMYFUNCTION("""COMPUTED_VALUE"""),44067)</f>
        <v>44067</v>
      </c>
      <c r="E2031" s="5" t="str">
        <f ca="1">IFERROR(__xludf.DUMMYFUNCTION("""COMPUTED_VALUE"""),"Nu")</f>
        <v>Nu</v>
      </c>
      <c r="F2031" s="5"/>
      <c r="G2031" s="5"/>
      <c r="H2031" s="6"/>
      <c r="I2031" s="5"/>
      <c r="J2031" s="5"/>
      <c r="K2031" s="7" t="str">
        <f ca="1">IFERROR(__xludf.DUMMYFUNCTION("""COMPUTED_VALUE"""),"https://www.ebihoreanul.ro/stiri/inca-trei-decese-ale-unor-pacienti-infectati-cu-covid-19-in-bihor-cazuri-noi-de-imbolnavire-dar-si-multe-vindecari-158365.html")</f>
        <v>https://www.ebihoreanul.ro/stiri/inca-trei-decese-ale-unor-pacienti-infectati-cu-covid-19-in-bihor-cazuri-noi-de-imbolnavire-dar-si-multe-vindecari-158365.html</v>
      </c>
      <c r="L2031" s="5"/>
      <c r="M2031" s="5" t="str">
        <f ca="1">IFERROR(__xludf.DUMMYFUNCTION("""COMPUTED_VALUE"""),"Husasău de Tinca")</f>
        <v>Husasău de Tinca</v>
      </c>
      <c r="N2031" s="5"/>
      <c r="O2031" s="5"/>
      <c r="P2031" s="5"/>
      <c r="Q2031" s="5"/>
      <c r="R2031" s="5" t="str">
        <f ca="1">IFERROR(__xludf.DUMMYFUNCTION("""COMPUTED_VALUE"""),"România")</f>
        <v>România</v>
      </c>
      <c r="S2031" s="5" t="str">
        <f ca="1">IFERROR(__xludf.DUMMYFUNCTION("""COMPUTED_VALUE"""),"Octavian")</f>
        <v>Octavian</v>
      </c>
      <c r="T2031" s="7" t="str">
        <f ca="1">IFERROR(__xludf.DUMMYFUNCTION("""COMPUTED_VALUE"""),"http://www.ms.ro/2020/08/24/buletin-informativ-24-08-2020")</f>
        <v>http://www.ms.ro/2020/08/24/buletin-informativ-24-08-2020</v>
      </c>
      <c r="U2031" s="5"/>
      <c r="V2031" s="5"/>
      <c r="W2031" s="5"/>
      <c r="X2031" s="5"/>
      <c r="Y2031" s="5"/>
      <c r="Z2031" s="5"/>
      <c r="AA2031" s="5"/>
      <c r="AB2031" s="5"/>
      <c r="AC2031" s="5"/>
    </row>
    <row r="2032" spans="1:29" ht="12.5">
      <c r="A2032" s="5">
        <f ca="1">IFERROR(__xludf.DUMMYFUNCTION("""COMPUTED_VALUE"""),78594)</f>
        <v>78594</v>
      </c>
      <c r="B2032" s="5"/>
      <c r="C2032" s="5" t="str">
        <f ca="1">IFERROR(__xludf.DUMMYFUNCTION("""COMPUTED_VALUE"""),"Bihor")</f>
        <v>Bihor</v>
      </c>
      <c r="D2032" s="13">
        <f ca="1">IFERROR(__xludf.DUMMYFUNCTION("""COMPUTED_VALUE"""),44067)</f>
        <v>44067</v>
      </c>
      <c r="E2032" s="5" t="str">
        <f ca="1">IFERROR(__xludf.DUMMYFUNCTION("""COMPUTED_VALUE"""),"Nu")</f>
        <v>Nu</v>
      </c>
      <c r="F2032" s="5"/>
      <c r="G2032" s="5"/>
      <c r="H2032" s="6"/>
      <c r="I2032" s="5"/>
      <c r="J2032" s="5"/>
      <c r="K2032" s="7" t="str">
        <f ca="1">IFERROR(__xludf.DUMMYFUNCTION("""COMPUTED_VALUE"""),"https://www.ebihoreanul.ro/stiri/inca-trei-decese-ale-unor-pacienti-infectati-cu-covid-19-in-bihor-cazuri-noi-de-imbolnavire-dar-si-multe-vindecari-158365.html")</f>
        <v>https://www.ebihoreanul.ro/stiri/inca-trei-decese-ale-unor-pacienti-infectati-cu-covid-19-in-bihor-cazuri-noi-de-imbolnavire-dar-si-multe-vindecari-158365.html</v>
      </c>
      <c r="L2032" s="5"/>
      <c r="M2032" s="5" t="str">
        <f ca="1">IFERROR(__xludf.DUMMYFUNCTION("""COMPUTED_VALUE"""),"Buntești")</f>
        <v>Buntești</v>
      </c>
      <c r="N2032" s="5"/>
      <c r="O2032" s="5"/>
      <c r="P2032" s="5"/>
      <c r="Q2032" s="5"/>
      <c r="R2032" s="5" t="str">
        <f ca="1">IFERROR(__xludf.DUMMYFUNCTION("""COMPUTED_VALUE"""),"România")</f>
        <v>România</v>
      </c>
      <c r="S2032" s="5" t="str">
        <f ca="1">IFERROR(__xludf.DUMMYFUNCTION("""COMPUTED_VALUE"""),"Octavian")</f>
        <v>Octavian</v>
      </c>
      <c r="T2032" s="7" t="str">
        <f ca="1">IFERROR(__xludf.DUMMYFUNCTION("""COMPUTED_VALUE"""),"http://www.ms.ro/2020/08/24/buletin-informativ-24-08-2020")</f>
        <v>http://www.ms.ro/2020/08/24/buletin-informativ-24-08-2020</v>
      </c>
      <c r="U2032" s="5"/>
      <c r="V2032" s="5"/>
      <c r="W2032" s="5"/>
      <c r="X2032" s="5"/>
      <c r="Y2032" s="5"/>
      <c r="Z2032" s="5"/>
      <c r="AA2032" s="5"/>
      <c r="AB2032" s="5"/>
      <c r="AC2032" s="5"/>
    </row>
    <row r="2033" spans="1:29" ht="12.5">
      <c r="A2033" s="5">
        <f ca="1">IFERROR(__xludf.DUMMYFUNCTION("""COMPUTED_VALUE"""),78595)</f>
        <v>78595</v>
      </c>
      <c r="B2033" s="5"/>
      <c r="C2033" s="5" t="str">
        <f ca="1">IFERROR(__xludf.DUMMYFUNCTION("""COMPUTED_VALUE"""),"Bihor")</f>
        <v>Bihor</v>
      </c>
      <c r="D2033" s="13">
        <f ca="1">IFERROR(__xludf.DUMMYFUNCTION("""COMPUTED_VALUE"""),44067)</f>
        <v>44067</v>
      </c>
      <c r="E2033" s="5" t="str">
        <f ca="1">IFERROR(__xludf.DUMMYFUNCTION("""COMPUTED_VALUE"""),"Nu")</f>
        <v>Nu</v>
      </c>
      <c r="F2033" s="5"/>
      <c r="G2033" s="5"/>
      <c r="H2033" s="6"/>
      <c r="I2033" s="5"/>
      <c r="J2033" s="5"/>
      <c r="K2033" s="7" t="str">
        <f ca="1">IFERROR(__xludf.DUMMYFUNCTION("""COMPUTED_VALUE"""),"https://www.ebihoreanul.ro/stiri/inca-trei-decese-ale-unor-pacienti-infectati-cu-covid-19-in-bihor-cazuri-noi-de-imbolnavire-dar-si-multe-vindecari-158365.html")</f>
        <v>https://www.ebihoreanul.ro/stiri/inca-trei-decese-ale-unor-pacienti-infectati-cu-covid-19-in-bihor-cazuri-noi-de-imbolnavire-dar-si-multe-vindecari-158365.html</v>
      </c>
      <c r="L2033" s="5"/>
      <c r="M2033" s="5" t="str">
        <f ca="1">IFERROR(__xludf.DUMMYFUNCTION("""COMPUTED_VALUE"""),"Câmapni")</f>
        <v>Câmapni</v>
      </c>
      <c r="N2033" s="5"/>
      <c r="O2033" s="5"/>
      <c r="P2033" s="5"/>
      <c r="Q2033" s="5"/>
      <c r="R2033" s="5" t="str">
        <f ca="1">IFERROR(__xludf.DUMMYFUNCTION("""COMPUTED_VALUE"""),"România")</f>
        <v>România</v>
      </c>
      <c r="S2033" s="5" t="str">
        <f ca="1">IFERROR(__xludf.DUMMYFUNCTION("""COMPUTED_VALUE"""),"Octavian")</f>
        <v>Octavian</v>
      </c>
      <c r="T2033" s="7" t="str">
        <f ca="1">IFERROR(__xludf.DUMMYFUNCTION("""COMPUTED_VALUE"""),"http://www.ms.ro/2020/08/24/buletin-informativ-24-08-2020")</f>
        <v>http://www.ms.ro/2020/08/24/buletin-informativ-24-08-2020</v>
      </c>
      <c r="U2033" s="5"/>
      <c r="V2033" s="5"/>
      <c r="W2033" s="5"/>
      <c r="X2033" s="5"/>
      <c r="Y2033" s="5"/>
      <c r="Z2033" s="5"/>
      <c r="AA2033" s="5"/>
      <c r="AB2033" s="5"/>
      <c r="AC2033" s="5"/>
    </row>
    <row r="2034" spans="1:29" ht="12.5">
      <c r="A2034" s="5">
        <f ca="1">IFERROR(__xludf.DUMMYFUNCTION("""COMPUTED_VALUE"""),78596)</f>
        <v>78596</v>
      </c>
      <c r="B2034" s="5"/>
      <c r="C2034" s="5" t="str">
        <f ca="1">IFERROR(__xludf.DUMMYFUNCTION("""COMPUTED_VALUE"""),"Bihor")</f>
        <v>Bihor</v>
      </c>
      <c r="D2034" s="13">
        <f ca="1">IFERROR(__xludf.DUMMYFUNCTION("""COMPUTED_VALUE"""),44067)</f>
        <v>44067</v>
      </c>
      <c r="E2034" s="5" t="str">
        <f ca="1">IFERROR(__xludf.DUMMYFUNCTION("""COMPUTED_VALUE"""),"Nu")</f>
        <v>Nu</v>
      </c>
      <c r="F2034" s="5"/>
      <c r="G2034" s="5"/>
      <c r="H2034" s="6"/>
      <c r="I2034" s="5"/>
      <c r="J2034" s="5"/>
      <c r="K2034" s="7" t="str">
        <f ca="1">IFERROR(__xludf.DUMMYFUNCTION("""COMPUTED_VALUE"""),"https://www.ebihoreanul.ro/stiri/inca-trei-decese-ale-unor-pacienti-infectati-cu-covid-19-in-bihor-cazuri-noi-de-imbolnavire-dar-si-multe-vindecari-158365.html")</f>
        <v>https://www.ebihoreanul.ro/stiri/inca-trei-decese-ale-unor-pacienti-infectati-cu-covid-19-in-bihor-cazuri-noi-de-imbolnavire-dar-si-multe-vindecari-158365.html</v>
      </c>
      <c r="L2034" s="5"/>
      <c r="M2034" s="5" t="str">
        <f ca="1">IFERROR(__xludf.DUMMYFUNCTION("""COMPUTED_VALUE"""),"Nojorid")</f>
        <v>Nojorid</v>
      </c>
      <c r="N2034" s="5"/>
      <c r="O2034" s="5"/>
      <c r="P2034" s="5"/>
      <c r="Q2034" s="5"/>
      <c r="R2034" s="5" t="str">
        <f ca="1">IFERROR(__xludf.DUMMYFUNCTION("""COMPUTED_VALUE"""),"România")</f>
        <v>România</v>
      </c>
      <c r="S2034" s="5" t="str">
        <f ca="1">IFERROR(__xludf.DUMMYFUNCTION("""COMPUTED_VALUE"""),"Octavian")</f>
        <v>Octavian</v>
      </c>
      <c r="T2034" s="7" t="str">
        <f ca="1">IFERROR(__xludf.DUMMYFUNCTION("""COMPUTED_VALUE"""),"http://www.ms.ro/2020/08/24/buletin-informativ-24-08-2020")</f>
        <v>http://www.ms.ro/2020/08/24/buletin-informativ-24-08-2020</v>
      </c>
      <c r="U2034" s="5"/>
      <c r="V2034" s="5"/>
      <c r="W2034" s="5"/>
      <c r="X2034" s="5"/>
      <c r="Y2034" s="5"/>
      <c r="Z2034" s="5"/>
      <c r="AA2034" s="5"/>
      <c r="AB2034" s="5"/>
      <c r="AC2034" s="5"/>
    </row>
    <row r="2035" spans="1:29" ht="12.5">
      <c r="A2035" s="5">
        <f ca="1">IFERROR(__xludf.DUMMYFUNCTION("""COMPUTED_VALUE"""),78597)</f>
        <v>78597</v>
      </c>
      <c r="B2035" s="5"/>
      <c r="C2035" s="5" t="str">
        <f ca="1">IFERROR(__xludf.DUMMYFUNCTION("""COMPUTED_VALUE"""),"Bihor")</f>
        <v>Bihor</v>
      </c>
      <c r="D2035" s="13">
        <f ca="1">IFERROR(__xludf.DUMMYFUNCTION("""COMPUTED_VALUE"""),44067)</f>
        <v>44067</v>
      </c>
      <c r="E2035" s="5" t="str">
        <f ca="1">IFERROR(__xludf.DUMMYFUNCTION("""COMPUTED_VALUE"""),"Nu")</f>
        <v>Nu</v>
      </c>
      <c r="F2035" s="5"/>
      <c r="G2035" s="5"/>
      <c r="H2035" s="6"/>
      <c r="I2035" s="5"/>
      <c r="J2035" s="5"/>
      <c r="K2035" s="7" t="str">
        <f ca="1">IFERROR(__xludf.DUMMYFUNCTION("""COMPUTED_VALUE"""),"https://www.ebihoreanul.ro/stiri/inca-trei-decese-ale-unor-pacienti-infectati-cu-covid-19-in-bihor-cazuri-noi-de-imbolnavire-dar-si-multe-vindecari-158365.html")</f>
        <v>https://www.ebihoreanul.ro/stiri/inca-trei-decese-ale-unor-pacienti-infectati-cu-covid-19-in-bihor-cazuri-noi-de-imbolnavire-dar-si-multe-vindecari-158365.html</v>
      </c>
      <c r="L2035" s="5"/>
      <c r="M2035" s="5" t="str">
        <f ca="1">IFERROR(__xludf.DUMMYFUNCTION("""COMPUTED_VALUE"""),"Oșorhei")</f>
        <v>Oșorhei</v>
      </c>
      <c r="N2035" s="5"/>
      <c r="O2035" s="5"/>
      <c r="P2035" s="5" t="str">
        <f ca="1">IFERROR(__xludf.DUMMYFUNCTION("""COMPUTED_VALUE"""),"Focar familial.")</f>
        <v>Focar familial.</v>
      </c>
      <c r="Q2035" s="5" t="str">
        <f ca="1">IFERROR(__xludf.DUMMYFUNCTION("""COMPUTED_VALUE"""),"Comunitar")</f>
        <v>Comunitar</v>
      </c>
      <c r="R2035" s="5" t="str">
        <f ca="1">IFERROR(__xludf.DUMMYFUNCTION("""COMPUTED_VALUE"""),"România")</f>
        <v>România</v>
      </c>
      <c r="S2035" s="5" t="str">
        <f ca="1">IFERROR(__xludf.DUMMYFUNCTION("""COMPUTED_VALUE"""),"Octavian")</f>
        <v>Octavian</v>
      </c>
      <c r="T2035" s="7" t="str">
        <f ca="1">IFERROR(__xludf.DUMMYFUNCTION("""COMPUTED_VALUE"""),"http://www.ms.ro/2020/08/24/buletin-informativ-24-08-2020")</f>
        <v>http://www.ms.ro/2020/08/24/buletin-informativ-24-08-2020</v>
      </c>
      <c r="U2035" s="5"/>
      <c r="V2035" s="5"/>
      <c r="W2035" s="5"/>
      <c r="X2035" s="5"/>
      <c r="Y2035" s="5"/>
      <c r="Z2035" s="5"/>
      <c r="AA2035" s="5"/>
      <c r="AB2035" s="5"/>
      <c r="AC2035" s="5"/>
    </row>
    <row r="2036" spans="1:29" ht="12.5">
      <c r="A2036" s="5">
        <f ca="1">IFERROR(__xludf.DUMMYFUNCTION("""COMPUTED_VALUE"""),78598)</f>
        <v>78598</v>
      </c>
      <c r="B2036" s="5">
        <f ca="1">IFERROR(__xludf.DUMMYFUNCTION("""COMPUTED_VALUE"""),78597)</f>
        <v>78597</v>
      </c>
      <c r="C2036" s="5" t="str">
        <f ca="1">IFERROR(__xludf.DUMMYFUNCTION("""COMPUTED_VALUE"""),"Bihor")</f>
        <v>Bihor</v>
      </c>
      <c r="D2036" s="13">
        <f ca="1">IFERROR(__xludf.DUMMYFUNCTION("""COMPUTED_VALUE"""),44067)</f>
        <v>44067</v>
      </c>
      <c r="E2036" s="5" t="str">
        <f ca="1">IFERROR(__xludf.DUMMYFUNCTION("""COMPUTED_VALUE"""),"Nu")</f>
        <v>Nu</v>
      </c>
      <c r="F2036" s="5"/>
      <c r="G2036" s="5"/>
      <c r="H2036" s="6"/>
      <c r="I2036" s="5"/>
      <c r="J2036" s="5"/>
      <c r="K2036" s="7" t="str">
        <f ca="1">IFERROR(__xludf.DUMMYFUNCTION("""COMPUTED_VALUE"""),"https://www.ebihoreanul.ro/stiri/inca-trei-decese-ale-unor-pacienti-infectati-cu-covid-19-in-bihor-cazuri-noi-de-imbolnavire-dar-si-multe-vindecari-158365.html")</f>
        <v>https://www.ebihoreanul.ro/stiri/inca-trei-decese-ale-unor-pacienti-infectati-cu-covid-19-in-bihor-cazuri-noi-de-imbolnavire-dar-si-multe-vindecari-158365.html</v>
      </c>
      <c r="L2036" s="5"/>
      <c r="M2036" s="5" t="str">
        <f ca="1">IFERROR(__xludf.DUMMYFUNCTION("""COMPUTED_VALUE"""),"Oșorhei")</f>
        <v>Oșorhei</v>
      </c>
      <c r="N2036" s="5"/>
      <c r="O2036" s="5"/>
      <c r="P2036" s="5" t="str">
        <f ca="1">IFERROR(__xludf.DUMMYFUNCTION("""COMPUTED_VALUE"""),"Focar familial.")</f>
        <v>Focar familial.</v>
      </c>
      <c r="Q2036" s="5" t="str">
        <f ca="1">IFERROR(__xludf.DUMMYFUNCTION("""COMPUTED_VALUE"""),"Comunitar")</f>
        <v>Comunitar</v>
      </c>
      <c r="R2036" s="5" t="str">
        <f ca="1">IFERROR(__xludf.DUMMYFUNCTION("""COMPUTED_VALUE"""),"România")</f>
        <v>România</v>
      </c>
      <c r="S2036" s="5" t="str">
        <f ca="1">IFERROR(__xludf.DUMMYFUNCTION("""COMPUTED_VALUE"""),"Octavian")</f>
        <v>Octavian</v>
      </c>
      <c r="T2036" s="7" t="str">
        <f ca="1">IFERROR(__xludf.DUMMYFUNCTION("""COMPUTED_VALUE"""),"http://www.ms.ro/2020/08/24/buletin-informativ-24-08-2020")</f>
        <v>http://www.ms.ro/2020/08/24/buletin-informativ-24-08-2020</v>
      </c>
      <c r="U2036" s="5"/>
      <c r="V2036" s="5"/>
      <c r="W2036" s="5"/>
      <c r="X2036" s="5"/>
      <c r="Y2036" s="5"/>
      <c r="Z2036" s="5"/>
      <c r="AA2036" s="5"/>
      <c r="AB2036" s="5"/>
      <c r="AC2036" s="5"/>
    </row>
    <row r="2037" spans="1:29" ht="12.5">
      <c r="A2037" s="5">
        <f ca="1">IFERROR(__xludf.DUMMYFUNCTION("""COMPUTED_VALUE"""),78599)</f>
        <v>78599</v>
      </c>
      <c r="B2037" s="5">
        <f ca="1">IFERROR(__xludf.DUMMYFUNCTION("""COMPUTED_VALUE"""),78597)</f>
        <v>78597</v>
      </c>
      <c r="C2037" s="5" t="str">
        <f ca="1">IFERROR(__xludf.DUMMYFUNCTION("""COMPUTED_VALUE"""),"Bihor")</f>
        <v>Bihor</v>
      </c>
      <c r="D2037" s="13">
        <f ca="1">IFERROR(__xludf.DUMMYFUNCTION("""COMPUTED_VALUE"""),44067)</f>
        <v>44067</v>
      </c>
      <c r="E2037" s="5" t="str">
        <f ca="1">IFERROR(__xludf.DUMMYFUNCTION("""COMPUTED_VALUE"""),"Nu")</f>
        <v>Nu</v>
      </c>
      <c r="F2037" s="5"/>
      <c r="G2037" s="5"/>
      <c r="H2037" s="6"/>
      <c r="I2037" s="5"/>
      <c r="J2037" s="5"/>
      <c r="K2037" s="7" t="str">
        <f ca="1">IFERROR(__xludf.DUMMYFUNCTION("""COMPUTED_VALUE"""),"https://www.ebihoreanul.ro/stiri/inca-trei-decese-ale-unor-pacienti-infectati-cu-covid-19-in-bihor-cazuri-noi-de-imbolnavire-dar-si-multe-vindecari-158365.html")</f>
        <v>https://www.ebihoreanul.ro/stiri/inca-trei-decese-ale-unor-pacienti-infectati-cu-covid-19-in-bihor-cazuri-noi-de-imbolnavire-dar-si-multe-vindecari-158365.html</v>
      </c>
      <c r="L2037" s="5"/>
      <c r="M2037" s="5" t="str">
        <f ca="1">IFERROR(__xludf.DUMMYFUNCTION("""COMPUTED_VALUE"""),"Oșorhei")</f>
        <v>Oșorhei</v>
      </c>
      <c r="N2037" s="5"/>
      <c r="O2037" s="5"/>
      <c r="P2037" s="5" t="str">
        <f ca="1">IFERROR(__xludf.DUMMYFUNCTION("""COMPUTED_VALUE"""),"Focar familial.")</f>
        <v>Focar familial.</v>
      </c>
      <c r="Q2037" s="5" t="str">
        <f ca="1">IFERROR(__xludf.DUMMYFUNCTION("""COMPUTED_VALUE"""),"Comunitar")</f>
        <v>Comunitar</v>
      </c>
      <c r="R2037" s="5" t="str">
        <f ca="1">IFERROR(__xludf.DUMMYFUNCTION("""COMPUTED_VALUE"""),"România")</f>
        <v>România</v>
      </c>
      <c r="S2037" s="5" t="str">
        <f ca="1">IFERROR(__xludf.DUMMYFUNCTION("""COMPUTED_VALUE"""),"Octavian")</f>
        <v>Octavian</v>
      </c>
      <c r="T2037" s="7" t="str">
        <f ca="1">IFERROR(__xludf.DUMMYFUNCTION("""COMPUTED_VALUE"""),"http://www.ms.ro/2020/08/24/buletin-informativ-24-08-2020")</f>
        <v>http://www.ms.ro/2020/08/24/buletin-informativ-24-08-2020</v>
      </c>
      <c r="U2037" s="5"/>
      <c r="V2037" s="5"/>
      <c r="W2037" s="5"/>
      <c r="X2037" s="5"/>
      <c r="Y2037" s="5"/>
      <c r="Z2037" s="5"/>
      <c r="AA2037" s="5"/>
      <c r="AB2037" s="5"/>
      <c r="AC2037" s="5"/>
    </row>
    <row r="2038" spans="1:29" ht="12.5">
      <c r="A2038" s="5">
        <f ca="1">IFERROR(__xludf.DUMMYFUNCTION("""COMPUTED_VALUE"""),78600)</f>
        <v>78600</v>
      </c>
      <c r="B2038" s="5">
        <f ca="1">IFERROR(__xludf.DUMMYFUNCTION("""COMPUTED_VALUE"""),78597)</f>
        <v>78597</v>
      </c>
      <c r="C2038" s="5" t="str">
        <f ca="1">IFERROR(__xludf.DUMMYFUNCTION("""COMPUTED_VALUE"""),"Bihor")</f>
        <v>Bihor</v>
      </c>
      <c r="D2038" s="13">
        <f ca="1">IFERROR(__xludf.DUMMYFUNCTION("""COMPUTED_VALUE"""),44067)</f>
        <v>44067</v>
      </c>
      <c r="E2038" s="5" t="str">
        <f ca="1">IFERROR(__xludf.DUMMYFUNCTION("""COMPUTED_VALUE"""),"Nu")</f>
        <v>Nu</v>
      </c>
      <c r="F2038" s="5"/>
      <c r="G2038" s="5"/>
      <c r="H2038" s="6"/>
      <c r="I2038" s="5"/>
      <c r="J2038" s="5"/>
      <c r="K2038" s="7" t="str">
        <f ca="1">IFERROR(__xludf.DUMMYFUNCTION("""COMPUTED_VALUE"""),"https://www.ebihoreanul.ro/stiri/inca-trei-decese-ale-unor-pacienti-infectati-cu-covid-19-in-bihor-cazuri-noi-de-imbolnavire-dar-si-multe-vindecari-158365.html")</f>
        <v>https://www.ebihoreanul.ro/stiri/inca-trei-decese-ale-unor-pacienti-infectati-cu-covid-19-in-bihor-cazuri-noi-de-imbolnavire-dar-si-multe-vindecari-158365.html</v>
      </c>
      <c r="L2038" s="5"/>
      <c r="M2038" s="5" t="str">
        <f ca="1">IFERROR(__xludf.DUMMYFUNCTION("""COMPUTED_VALUE"""),"Oșorhei")</f>
        <v>Oșorhei</v>
      </c>
      <c r="N2038" s="5"/>
      <c r="O2038" s="5"/>
      <c r="P2038" s="5" t="str">
        <f ca="1">IFERROR(__xludf.DUMMYFUNCTION("""COMPUTED_VALUE"""),"Focar familial.")</f>
        <v>Focar familial.</v>
      </c>
      <c r="Q2038" s="5" t="str">
        <f ca="1">IFERROR(__xludf.DUMMYFUNCTION("""COMPUTED_VALUE"""),"Comunitar")</f>
        <v>Comunitar</v>
      </c>
      <c r="R2038" s="5" t="str">
        <f ca="1">IFERROR(__xludf.DUMMYFUNCTION("""COMPUTED_VALUE"""),"România")</f>
        <v>România</v>
      </c>
      <c r="S2038" s="5" t="str">
        <f ca="1">IFERROR(__xludf.DUMMYFUNCTION("""COMPUTED_VALUE"""),"Octavian")</f>
        <v>Octavian</v>
      </c>
      <c r="T2038" s="7" t="str">
        <f ca="1">IFERROR(__xludf.DUMMYFUNCTION("""COMPUTED_VALUE"""),"http://www.ms.ro/2020/08/24/buletin-informativ-24-08-2020")</f>
        <v>http://www.ms.ro/2020/08/24/buletin-informativ-24-08-2020</v>
      </c>
      <c r="U2038" s="5"/>
      <c r="V2038" s="5"/>
      <c r="W2038" s="5"/>
      <c r="X2038" s="5"/>
      <c r="Y2038" s="5"/>
      <c r="Z2038" s="5"/>
      <c r="AA2038" s="5"/>
      <c r="AB2038" s="5"/>
      <c r="AC2038" s="5"/>
    </row>
    <row r="2039" spans="1:29" ht="12.5">
      <c r="A2039" s="5">
        <f ca="1">IFERROR(__xludf.DUMMYFUNCTION("""COMPUTED_VALUE"""),78601)</f>
        <v>78601</v>
      </c>
      <c r="B2039" s="5">
        <f ca="1">IFERROR(__xludf.DUMMYFUNCTION("""COMPUTED_VALUE"""),78597)</f>
        <v>78597</v>
      </c>
      <c r="C2039" s="5" t="str">
        <f ca="1">IFERROR(__xludf.DUMMYFUNCTION("""COMPUTED_VALUE"""),"Bihor")</f>
        <v>Bihor</v>
      </c>
      <c r="D2039" s="13">
        <f ca="1">IFERROR(__xludf.DUMMYFUNCTION("""COMPUTED_VALUE"""),44067)</f>
        <v>44067</v>
      </c>
      <c r="E2039" s="5" t="str">
        <f ca="1">IFERROR(__xludf.DUMMYFUNCTION("""COMPUTED_VALUE"""),"Nu")</f>
        <v>Nu</v>
      </c>
      <c r="F2039" s="5"/>
      <c r="G2039" s="5"/>
      <c r="H2039" s="6"/>
      <c r="I2039" s="5"/>
      <c r="J2039" s="5"/>
      <c r="K2039" s="7" t="str">
        <f ca="1">IFERROR(__xludf.DUMMYFUNCTION("""COMPUTED_VALUE"""),"https://www.ebihoreanul.ro/stiri/inca-trei-decese-ale-unor-pacienti-infectati-cu-covid-19-in-bihor-cazuri-noi-de-imbolnavire-dar-si-multe-vindecari-158365.html")</f>
        <v>https://www.ebihoreanul.ro/stiri/inca-trei-decese-ale-unor-pacienti-infectati-cu-covid-19-in-bihor-cazuri-noi-de-imbolnavire-dar-si-multe-vindecari-158365.html</v>
      </c>
      <c r="L2039" s="5"/>
      <c r="M2039" s="5" t="str">
        <f ca="1">IFERROR(__xludf.DUMMYFUNCTION("""COMPUTED_VALUE"""),"Oșorhei")</f>
        <v>Oșorhei</v>
      </c>
      <c r="N2039" s="5"/>
      <c r="O2039" s="5"/>
      <c r="P2039" s="5" t="str">
        <f ca="1">IFERROR(__xludf.DUMMYFUNCTION("""COMPUTED_VALUE"""),"Focar familial.")</f>
        <v>Focar familial.</v>
      </c>
      <c r="Q2039" s="5" t="str">
        <f ca="1">IFERROR(__xludf.DUMMYFUNCTION("""COMPUTED_VALUE"""),"Comunitar")</f>
        <v>Comunitar</v>
      </c>
      <c r="R2039" s="5" t="str">
        <f ca="1">IFERROR(__xludf.DUMMYFUNCTION("""COMPUTED_VALUE"""),"România")</f>
        <v>România</v>
      </c>
      <c r="S2039" s="5" t="str">
        <f ca="1">IFERROR(__xludf.DUMMYFUNCTION("""COMPUTED_VALUE"""),"Octavian")</f>
        <v>Octavian</v>
      </c>
      <c r="T2039" s="7" t="str">
        <f ca="1">IFERROR(__xludf.DUMMYFUNCTION("""COMPUTED_VALUE"""),"http://www.ms.ro/2020/08/24/buletin-informativ-24-08-2020")</f>
        <v>http://www.ms.ro/2020/08/24/buletin-informativ-24-08-2020</v>
      </c>
      <c r="U2039" s="5"/>
      <c r="V2039" s="5"/>
      <c r="W2039" s="5"/>
      <c r="X2039" s="5"/>
      <c r="Y2039" s="5"/>
      <c r="Z2039" s="5"/>
      <c r="AA2039" s="5"/>
      <c r="AB2039" s="5"/>
      <c r="AC2039" s="5"/>
    </row>
    <row r="2040" spans="1:29" ht="12.5">
      <c r="A2040" s="5">
        <f ca="1">IFERROR(__xludf.DUMMYFUNCTION("""COMPUTED_VALUE"""),78602)</f>
        <v>78602</v>
      </c>
      <c r="B2040" s="5">
        <f ca="1">IFERROR(__xludf.DUMMYFUNCTION("""COMPUTED_VALUE"""),78597)</f>
        <v>78597</v>
      </c>
      <c r="C2040" s="5" t="str">
        <f ca="1">IFERROR(__xludf.DUMMYFUNCTION("""COMPUTED_VALUE"""),"Bihor")</f>
        <v>Bihor</v>
      </c>
      <c r="D2040" s="13">
        <f ca="1">IFERROR(__xludf.DUMMYFUNCTION("""COMPUTED_VALUE"""),44067)</f>
        <v>44067</v>
      </c>
      <c r="E2040" s="5" t="str">
        <f ca="1">IFERROR(__xludf.DUMMYFUNCTION("""COMPUTED_VALUE"""),"Nu")</f>
        <v>Nu</v>
      </c>
      <c r="F2040" s="5"/>
      <c r="G2040" s="5"/>
      <c r="H2040" s="6"/>
      <c r="I2040" s="5"/>
      <c r="J2040" s="5"/>
      <c r="K2040" s="7" t="str">
        <f ca="1">IFERROR(__xludf.DUMMYFUNCTION("""COMPUTED_VALUE"""),"https://www.ebihoreanul.ro/stiri/inca-trei-decese-ale-unor-pacienti-infectati-cu-covid-19-in-bihor-cazuri-noi-de-imbolnavire-dar-si-multe-vindecari-158365.html")</f>
        <v>https://www.ebihoreanul.ro/stiri/inca-trei-decese-ale-unor-pacienti-infectati-cu-covid-19-in-bihor-cazuri-noi-de-imbolnavire-dar-si-multe-vindecari-158365.html</v>
      </c>
      <c r="L2040" s="5"/>
      <c r="M2040" s="5" t="str">
        <f ca="1">IFERROR(__xludf.DUMMYFUNCTION("""COMPUTED_VALUE"""),"Oșorhei")</f>
        <v>Oșorhei</v>
      </c>
      <c r="N2040" s="5"/>
      <c r="O2040" s="5"/>
      <c r="P2040" s="5" t="str">
        <f ca="1">IFERROR(__xludf.DUMMYFUNCTION("""COMPUTED_VALUE"""),"Focar familial.")</f>
        <v>Focar familial.</v>
      </c>
      <c r="Q2040" s="5" t="str">
        <f ca="1">IFERROR(__xludf.DUMMYFUNCTION("""COMPUTED_VALUE"""),"Comunitar")</f>
        <v>Comunitar</v>
      </c>
      <c r="R2040" s="5" t="str">
        <f ca="1">IFERROR(__xludf.DUMMYFUNCTION("""COMPUTED_VALUE"""),"România")</f>
        <v>România</v>
      </c>
      <c r="S2040" s="5" t="str">
        <f ca="1">IFERROR(__xludf.DUMMYFUNCTION("""COMPUTED_VALUE"""),"Octavian")</f>
        <v>Octavian</v>
      </c>
      <c r="T2040" s="7" t="str">
        <f ca="1">IFERROR(__xludf.DUMMYFUNCTION("""COMPUTED_VALUE"""),"http://www.ms.ro/2020/08/24/buletin-informativ-24-08-2020")</f>
        <v>http://www.ms.ro/2020/08/24/buletin-informativ-24-08-2020</v>
      </c>
      <c r="U2040" s="5"/>
      <c r="V2040" s="5"/>
      <c r="W2040" s="5"/>
      <c r="X2040" s="5"/>
      <c r="Y2040" s="5"/>
      <c r="Z2040" s="5"/>
      <c r="AA2040" s="5"/>
      <c r="AB2040" s="5"/>
      <c r="AC2040" s="5"/>
    </row>
    <row r="2041" spans="1:29" ht="12.5">
      <c r="A2041" s="5">
        <f ca="1">IFERROR(__xludf.DUMMYFUNCTION("""COMPUTED_VALUE"""),78603)</f>
        <v>78603</v>
      </c>
      <c r="B2041" s="5"/>
      <c r="C2041" s="5" t="str">
        <f ca="1">IFERROR(__xludf.DUMMYFUNCTION("""COMPUTED_VALUE"""),"Bihor")</f>
        <v>Bihor</v>
      </c>
      <c r="D2041" s="13">
        <f ca="1">IFERROR(__xludf.DUMMYFUNCTION("""COMPUTED_VALUE"""),44067)</f>
        <v>44067</v>
      </c>
      <c r="E2041" s="5" t="str">
        <f ca="1">IFERROR(__xludf.DUMMYFUNCTION("""COMPUTED_VALUE"""),"Nu")</f>
        <v>Nu</v>
      </c>
      <c r="F2041" s="5"/>
      <c r="G2041" s="5"/>
      <c r="H2041" s="6"/>
      <c r="I2041" s="5"/>
      <c r="J2041" s="5"/>
      <c r="K2041" s="7" t="str">
        <f ca="1">IFERROR(__xludf.DUMMYFUNCTION("""COMPUTED_VALUE"""),"https://www.ebihoreanul.ro/stiri/inca-trei-decese-ale-unor-pacienti-infectati-cu-covid-19-in-bihor-cazuri-noi-de-imbolnavire-dar-si-multe-vindecari-158365.html")</f>
        <v>https://www.ebihoreanul.ro/stiri/inca-trei-decese-ale-unor-pacienti-infectati-cu-covid-19-in-bihor-cazuri-noi-de-imbolnavire-dar-si-multe-vindecari-158365.html</v>
      </c>
      <c r="L2041" s="5"/>
      <c r="M2041" s="5"/>
      <c r="N2041" s="5"/>
      <c r="O2041" s="5"/>
      <c r="P2041" s="5"/>
      <c r="Q2041" s="5"/>
      <c r="R2041" s="5" t="str">
        <f ca="1">IFERROR(__xludf.DUMMYFUNCTION("""COMPUTED_VALUE"""),"România")</f>
        <v>România</v>
      </c>
      <c r="S2041" s="5" t="str">
        <f ca="1">IFERROR(__xludf.DUMMYFUNCTION("""COMPUTED_VALUE"""),"Octavian")</f>
        <v>Octavian</v>
      </c>
      <c r="T2041" s="7" t="str">
        <f ca="1">IFERROR(__xludf.DUMMYFUNCTION("""COMPUTED_VALUE"""),"http://www.ms.ro/2020/08/24/buletin-informativ-24-08-2020")</f>
        <v>http://www.ms.ro/2020/08/24/buletin-informativ-24-08-2020</v>
      </c>
      <c r="U2041" s="5"/>
      <c r="V2041" s="5"/>
      <c r="W2041" s="5"/>
      <c r="X2041" s="5"/>
      <c r="Y2041" s="5"/>
      <c r="Z2041" s="5"/>
      <c r="AA2041" s="5"/>
      <c r="AB2041" s="5"/>
      <c r="AC2041" s="5"/>
    </row>
    <row r="2042" spans="1:29" ht="12.5">
      <c r="A2042" s="5">
        <f ca="1">IFERROR(__xludf.DUMMYFUNCTION("""COMPUTED_VALUE"""),78604)</f>
        <v>78604</v>
      </c>
      <c r="B2042" s="5"/>
      <c r="C2042" s="5" t="str">
        <f ca="1">IFERROR(__xludf.DUMMYFUNCTION("""COMPUTED_VALUE"""),"Bihor")</f>
        <v>Bihor</v>
      </c>
      <c r="D2042" s="13">
        <f ca="1">IFERROR(__xludf.DUMMYFUNCTION("""COMPUTED_VALUE"""),44067)</f>
        <v>44067</v>
      </c>
      <c r="E2042" s="5" t="str">
        <f ca="1">IFERROR(__xludf.DUMMYFUNCTION("""COMPUTED_VALUE"""),"Nu")</f>
        <v>Nu</v>
      </c>
      <c r="F2042" s="5"/>
      <c r="G2042" s="5"/>
      <c r="H2042" s="6"/>
      <c r="I2042" s="5"/>
      <c r="J2042" s="5"/>
      <c r="K2042" s="7" t="str">
        <f ca="1">IFERROR(__xludf.DUMMYFUNCTION("""COMPUTED_VALUE"""),"https://www.ebihoreanul.ro/stiri/inca-trei-decese-ale-unor-pacienti-infectati-cu-covid-19-in-bihor-cazuri-noi-de-imbolnavire-dar-si-multe-vindecari-158365.html")</f>
        <v>https://www.ebihoreanul.ro/stiri/inca-trei-decese-ale-unor-pacienti-infectati-cu-covid-19-in-bihor-cazuri-noi-de-imbolnavire-dar-si-multe-vindecari-158365.html</v>
      </c>
      <c r="L2042" s="5"/>
      <c r="M2042" s="5"/>
      <c r="N2042" s="5"/>
      <c r="O2042" s="5"/>
      <c r="P2042" s="5"/>
      <c r="Q2042" s="5"/>
      <c r="R2042" s="5" t="str">
        <f ca="1">IFERROR(__xludf.DUMMYFUNCTION("""COMPUTED_VALUE"""),"România")</f>
        <v>România</v>
      </c>
      <c r="S2042" s="5" t="str">
        <f ca="1">IFERROR(__xludf.DUMMYFUNCTION("""COMPUTED_VALUE"""),"Octavian")</f>
        <v>Octavian</v>
      </c>
      <c r="T2042" s="7" t="str">
        <f ca="1">IFERROR(__xludf.DUMMYFUNCTION("""COMPUTED_VALUE"""),"http://www.ms.ro/2020/08/24/buletin-informativ-24-08-2020")</f>
        <v>http://www.ms.ro/2020/08/24/buletin-informativ-24-08-2020</v>
      </c>
      <c r="U2042" s="5"/>
      <c r="V2042" s="5"/>
      <c r="W2042" s="5"/>
      <c r="X2042" s="5"/>
      <c r="Y2042" s="5"/>
      <c r="Z2042" s="5"/>
      <c r="AA2042" s="5"/>
      <c r="AB2042" s="5"/>
      <c r="AC2042" s="5"/>
    </row>
    <row r="2043" spans="1:29" ht="12.5">
      <c r="A2043" s="5">
        <f ca="1">IFERROR(__xludf.DUMMYFUNCTION("""COMPUTED_VALUE"""),78605)</f>
        <v>78605</v>
      </c>
      <c r="B2043" s="5"/>
      <c r="C2043" s="5" t="str">
        <f ca="1">IFERROR(__xludf.DUMMYFUNCTION("""COMPUTED_VALUE"""),"Bihor")</f>
        <v>Bihor</v>
      </c>
      <c r="D2043" s="13">
        <f ca="1">IFERROR(__xludf.DUMMYFUNCTION("""COMPUTED_VALUE"""),44067)</f>
        <v>44067</v>
      </c>
      <c r="E2043" s="5" t="str">
        <f ca="1">IFERROR(__xludf.DUMMYFUNCTION("""COMPUTED_VALUE"""),"Nu")</f>
        <v>Nu</v>
      </c>
      <c r="F2043" s="5"/>
      <c r="G2043" s="5"/>
      <c r="H2043" s="6"/>
      <c r="I2043" s="5"/>
      <c r="J2043" s="5"/>
      <c r="K2043" s="7" t="str">
        <f ca="1">IFERROR(__xludf.DUMMYFUNCTION("""COMPUTED_VALUE"""),"https://www.ebihoreanul.ro/stiri/inca-trei-decese-ale-unor-pacienti-infectati-cu-covid-19-in-bihor-cazuri-noi-de-imbolnavire-dar-si-multe-vindecari-158365.html")</f>
        <v>https://www.ebihoreanul.ro/stiri/inca-trei-decese-ale-unor-pacienti-infectati-cu-covid-19-in-bihor-cazuri-noi-de-imbolnavire-dar-si-multe-vindecari-158365.html</v>
      </c>
      <c r="L2043" s="5"/>
      <c r="M2043" s="5"/>
      <c r="N2043" s="5"/>
      <c r="O2043" s="5"/>
      <c r="P2043" s="5"/>
      <c r="Q2043" s="5"/>
      <c r="R2043" s="5" t="str">
        <f ca="1">IFERROR(__xludf.DUMMYFUNCTION("""COMPUTED_VALUE"""),"România")</f>
        <v>România</v>
      </c>
      <c r="S2043" s="5" t="str">
        <f ca="1">IFERROR(__xludf.DUMMYFUNCTION("""COMPUTED_VALUE"""),"Octavian")</f>
        <v>Octavian</v>
      </c>
      <c r="T2043" s="7" t="str">
        <f ca="1">IFERROR(__xludf.DUMMYFUNCTION("""COMPUTED_VALUE"""),"http://www.ms.ro/2020/08/24/buletin-informativ-24-08-2020")</f>
        <v>http://www.ms.ro/2020/08/24/buletin-informativ-24-08-2020</v>
      </c>
      <c r="U2043" s="5"/>
      <c r="V2043" s="5"/>
      <c r="W2043" s="5"/>
      <c r="X2043" s="5"/>
      <c r="Y2043" s="5"/>
      <c r="Z2043" s="5"/>
      <c r="AA2043" s="5"/>
      <c r="AB2043" s="5"/>
      <c r="AC2043" s="5"/>
    </row>
    <row r="2044" spans="1:29" ht="12.5">
      <c r="A2044" s="5">
        <f ca="1">IFERROR(__xludf.DUMMYFUNCTION("""COMPUTED_VALUE"""),78606)</f>
        <v>78606</v>
      </c>
      <c r="B2044" s="5"/>
      <c r="C2044" s="5" t="str">
        <f ca="1">IFERROR(__xludf.DUMMYFUNCTION("""COMPUTED_VALUE"""),"Bihor")</f>
        <v>Bihor</v>
      </c>
      <c r="D2044" s="13">
        <f ca="1">IFERROR(__xludf.DUMMYFUNCTION("""COMPUTED_VALUE"""),44067)</f>
        <v>44067</v>
      </c>
      <c r="E2044" s="5" t="str">
        <f ca="1">IFERROR(__xludf.DUMMYFUNCTION("""COMPUTED_VALUE"""),"Nu")</f>
        <v>Nu</v>
      </c>
      <c r="F2044" s="5"/>
      <c r="G2044" s="5"/>
      <c r="H2044" s="6"/>
      <c r="I2044" s="5"/>
      <c r="J2044" s="5"/>
      <c r="K2044" s="7" t="str">
        <f ca="1">IFERROR(__xludf.DUMMYFUNCTION("""COMPUTED_VALUE"""),"https://www.ebihoreanul.ro/stiri/inca-trei-decese-ale-unor-pacienti-infectati-cu-covid-19-in-bihor-cazuri-noi-de-imbolnavire-dar-si-multe-vindecari-158365.html")</f>
        <v>https://www.ebihoreanul.ro/stiri/inca-trei-decese-ale-unor-pacienti-infectati-cu-covid-19-in-bihor-cazuri-noi-de-imbolnavire-dar-si-multe-vindecari-158365.html</v>
      </c>
      <c r="L2044" s="5"/>
      <c r="M2044" s="5"/>
      <c r="N2044" s="5"/>
      <c r="O2044" s="5"/>
      <c r="P2044" s="5"/>
      <c r="Q2044" s="5"/>
      <c r="R2044" s="5" t="str">
        <f ca="1">IFERROR(__xludf.DUMMYFUNCTION("""COMPUTED_VALUE"""),"România")</f>
        <v>România</v>
      </c>
      <c r="S2044" s="5" t="str">
        <f ca="1">IFERROR(__xludf.DUMMYFUNCTION("""COMPUTED_VALUE"""),"Octavian")</f>
        <v>Octavian</v>
      </c>
      <c r="T2044" s="7" t="str">
        <f ca="1">IFERROR(__xludf.DUMMYFUNCTION("""COMPUTED_VALUE"""),"http://www.ms.ro/2020/08/24/buletin-informativ-24-08-2020")</f>
        <v>http://www.ms.ro/2020/08/24/buletin-informativ-24-08-2020</v>
      </c>
      <c r="U2044" s="5"/>
      <c r="V2044" s="5"/>
      <c r="W2044" s="5"/>
      <c r="X2044" s="5"/>
      <c r="Y2044" s="5"/>
      <c r="Z2044" s="5"/>
      <c r="AA2044" s="5"/>
      <c r="AB2044" s="5"/>
      <c r="AC2044" s="5"/>
    </row>
    <row r="2045" spans="1:29" ht="12.5">
      <c r="A2045" s="5">
        <f ca="1">IFERROR(__xludf.DUMMYFUNCTION("""COMPUTED_VALUE"""),78607)</f>
        <v>78607</v>
      </c>
      <c r="B2045" s="5"/>
      <c r="C2045" s="5" t="str">
        <f ca="1">IFERROR(__xludf.DUMMYFUNCTION("""COMPUTED_VALUE"""),"Bihor")</f>
        <v>Bihor</v>
      </c>
      <c r="D2045" s="13">
        <f ca="1">IFERROR(__xludf.DUMMYFUNCTION("""COMPUTED_VALUE"""),44067)</f>
        <v>44067</v>
      </c>
      <c r="E2045" s="5" t="str">
        <f ca="1">IFERROR(__xludf.DUMMYFUNCTION("""COMPUTED_VALUE"""),"Nu")</f>
        <v>Nu</v>
      </c>
      <c r="F2045" s="5"/>
      <c r="G2045" s="5"/>
      <c r="H2045" s="6"/>
      <c r="I2045" s="5"/>
      <c r="J2045" s="5"/>
      <c r="K2045" s="7" t="str">
        <f ca="1">IFERROR(__xludf.DUMMYFUNCTION("""COMPUTED_VALUE"""),"https://www.ebihoreanul.ro/stiri/inca-trei-decese-ale-unor-pacienti-infectati-cu-covid-19-in-bihor-cazuri-noi-de-imbolnavire-dar-si-multe-vindecari-158365.html")</f>
        <v>https://www.ebihoreanul.ro/stiri/inca-trei-decese-ale-unor-pacienti-infectati-cu-covid-19-in-bihor-cazuri-noi-de-imbolnavire-dar-si-multe-vindecari-158365.html</v>
      </c>
      <c r="L2045" s="5"/>
      <c r="M2045" s="5"/>
      <c r="N2045" s="5"/>
      <c r="O2045" s="5"/>
      <c r="P2045" s="5"/>
      <c r="Q2045" s="5"/>
      <c r="R2045" s="5" t="str">
        <f ca="1">IFERROR(__xludf.DUMMYFUNCTION("""COMPUTED_VALUE"""),"România")</f>
        <v>România</v>
      </c>
      <c r="S2045" s="5" t="str">
        <f ca="1">IFERROR(__xludf.DUMMYFUNCTION("""COMPUTED_VALUE"""),"Octavian")</f>
        <v>Octavian</v>
      </c>
      <c r="T2045" s="7" t="str">
        <f ca="1">IFERROR(__xludf.DUMMYFUNCTION("""COMPUTED_VALUE"""),"http://www.ms.ro/2020/08/24/buletin-informativ-24-08-2020")</f>
        <v>http://www.ms.ro/2020/08/24/buletin-informativ-24-08-2020</v>
      </c>
      <c r="U2045" s="5"/>
      <c r="V2045" s="5"/>
      <c r="W2045" s="5"/>
      <c r="X2045" s="5"/>
      <c r="Y2045" s="5"/>
      <c r="Z2045" s="5"/>
      <c r="AA2045" s="5"/>
      <c r="AB2045" s="5"/>
      <c r="AC2045" s="5"/>
    </row>
    <row r="2046" spans="1:29" ht="12.5">
      <c r="A2046" s="5">
        <f ca="1">IFERROR(__xludf.DUMMYFUNCTION("""COMPUTED_VALUE"""),78608)</f>
        <v>78608</v>
      </c>
      <c r="B2046" s="5"/>
      <c r="C2046" s="5" t="str">
        <f ca="1">IFERROR(__xludf.DUMMYFUNCTION("""COMPUTED_VALUE"""),"Bihor")</f>
        <v>Bihor</v>
      </c>
      <c r="D2046" s="13">
        <f ca="1">IFERROR(__xludf.DUMMYFUNCTION("""COMPUTED_VALUE"""),44067)</f>
        <v>44067</v>
      </c>
      <c r="E2046" s="5" t="str">
        <f ca="1">IFERROR(__xludf.DUMMYFUNCTION("""COMPUTED_VALUE"""),"Nu")</f>
        <v>Nu</v>
      </c>
      <c r="F2046" s="5"/>
      <c r="G2046" s="5"/>
      <c r="H2046" s="6"/>
      <c r="I2046" s="5"/>
      <c r="J2046" s="5"/>
      <c r="K2046" s="7" t="str">
        <f ca="1">IFERROR(__xludf.DUMMYFUNCTION("""COMPUTED_VALUE"""),"https://www.ebihoreanul.ro/stiri/inca-trei-decese-ale-unor-pacienti-infectati-cu-covid-19-in-bihor-cazuri-noi-de-imbolnavire-dar-si-multe-vindecari-158365.html")</f>
        <v>https://www.ebihoreanul.ro/stiri/inca-trei-decese-ale-unor-pacienti-infectati-cu-covid-19-in-bihor-cazuri-noi-de-imbolnavire-dar-si-multe-vindecari-158365.html</v>
      </c>
      <c r="L2046" s="5"/>
      <c r="M2046" s="5"/>
      <c r="N2046" s="5"/>
      <c r="O2046" s="5"/>
      <c r="P2046" s="5"/>
      <c r="Q2046" s="5"/>
      <c r="R2046" s="5" t="str">
        <f ca="1">IFERROR(__xludf.DUMMYFUNCTION("""COMPUTED_VALUE"""),"România")</f>
        <v>România</v>
      </c>
      <c r="S2046" s="5" t="str">
        <f ca="1">IFERROR(__xludf.DUMMYFUNCTION("""COMPUTED_VALUE"""),"Octavian")</f>
        <v>Octavian</v>
      </c>
      <c r="T2046" s="7" t="str">
        <f ca="1">IFERROR(__xludf.DUMMYFUNCTION("""COMPUTED_VALUE"""),"http://www.ms.ro/2020/08/24/buletin-informativ-24-08-2020")</f>
        <v>http://www.ms.ro/2020/08/24/buletin-informativ-24-08-2020</v>
      </c>
      <c r="U2046" s="5"/>
      <c r="V2046" s="5"/>
      <c r="W2046" s="5"/>
      <c r="X2046" s="5"/>
      <c r="Y2046" s="5"/>
      <c r="Z2046" s="5"/>
      <c r="AA2046" s="5"/>
      <c r="AB2046" s="5"/>
      <c r="AC2046" s="5"/>
    </row>
    <row r="2047" spans="1:29" ht="12.5">
      <c r="A2047" s="5">
        <f ca="1">IFERROR(__xludf.DUMMYFUNCTION("""COMPUTED_VALUE"""),79437)</f>
        <v>79437</v>
      </c>
      <c r="B2047" s="5"/>
      <c r="C2047" s="5" t="str">
        <f ca="1">IFERROR(__xludf.DUMMYFUNCTION("""COMPUTED_VALUE"""),"Bihor")</f>
        <v>Bihor</v>
      </c>
      <c r="D2047" s="13">
        <f ca="1">IFERROR(__xludf.DUMMYFUNCTION("""COMPUTED_VALUE"""),44068)</f>
        <v>44068</v>
      </c>
      <c r="E2047" s="5" t="str">
        <f ca="1">IFERROR(__xludf.DUMMYFUNCTION("""COMPUTED_VALUE"""),"Nu")</f>
        <v>Nu</v>
      </c>
      <c r="F2047" s="5"/>
      <c r="G2047" s="5"/>
      <c r="H2047" s="6"/>
      <c r="I2047" s="5" t="str">
        <f ca="1">IFERROR(__xludf.DUMMYFUNCTION("""COMPUTED_VALUE"""),"Masculin")</f>
        <v>Masculin</v>
      </c>
      <c r="J2047" s="5"/>
      <c r="K2047" s="7" t="str">
        <f ca="1">IFERROR(__xludf.DUMMYFUNCTION("""COMPUTED_VALUE"""),"https://www.ebihoreanul.ro/stiri/record-de-decese-covid-in-romania-58-intr-o-singura-zi-in-bihor-au-murit-3-oameni-iar-alti-37-au-fost-diagnosticati-aproape-100-de-pacienti-vindecati-158383.html")</f>
        <v>https://www.ebihoreanul.ro/stiri/record-de-decese-covid-in-romania-58-intr-o-singura-zi-in-bihor-au-murit-3-oameni-iar-alti-37-au-fost-diagnosticati-aproape-100-de-pacienti-vindecati-158383.html</v>
      </c>
      <c r="L2047" s="5"/>
      <c r="M2047" s="5" t="str">
        <f ca="1">IFERROR(__xludf.DUMMYFUNCTION("""COMPUTED_VALUE"""),"Marghita")</f>
        <v>Marghita</v>
      </c>
      <c r="N2047" s="5"/>
      <c r="O2047" s="5"/>
      <c r="P2047" s="5" t="str">
        <f ca="1">IFERROR(__xludf.DUMMYFUNCTION("""COMPUTED_VALUE"""),"Spital Marghita, brancardier, testat pozitiv la revenirea din concediu.")</f>
        <v>Spital Marghita, brancardier, testat pozitiv la revenirea din concediu.</v>
      </c>
      <c r="Q2047" s="5" t="str">
        <f ca="1">IFERROR(__xludf.DUMMYFUNCTION("""COMPUTED_VALUE"""),"Medical")</f>
        <v>Medical</v>
      </c>
      <c r="R2047" s="5" t="str">
        <f ca="1">IFERROR(__xludf.DUMMYFUNCTION("""COMPUTED_VALUE"""),"România")</f>
        <v>România</v>
      </c>
      <c r="S2047" s="5" t="str">
        <f ca="1">IFERROR(__xludf.DUMMYFUNCTION("""COMPUTED_VALUE"""),"Octavian")</f>
        <v>Octavian</v>
      </c>
      <c r="T2047" s="7" t="str">
        <f ca="1">IFERROR(__xludf.DUMMYFUNCTION("""COMPUTED_VALUE"""),"http://www.ms.ro/2020/08/25/buletin-informativ-25-08-2020")</f>
        <v>http://www.ms.ro/2020/08/25/buletin-informativ-25-08-2020</v>
      </c>
      <c r="U2047" s="5"/>
      <c r="V2047" s="5"/>
      <c r="W2047" s="5"/>
      <c r="X2047" s="5"/>
      <c r="Y2047" s="5"/>
      <c r="Z2047" s="5"/>
      <c r="AA2047" s="5"/>
      <c r="AB2047" s="5"/>
      <c r="AC2047" s="5"/>
    </row>
    <row r="2048" spans="1:29" ht="12.5">
      <c r="A2048" s="5">
        <f ca="1">IFERROR(__xludf.DUMMYFUNCTION("""COMPUTED_VALUE"""),79438)</f>
        <v>79438</v>
      </c>
      <c r="B2048" s="5"/>
      <c r="C2048" s="5" t="str">
        <f ca="1">IFERROR(__xludf.DUMMYFUNCTION("""COMPUTED_VALUE"""),"Bihor")</f>
        <v>Bihor</v>
      </c>
      <c r="D2048" s="13">
        <f ca="1">IFERROR(__xludf.DUMMYFUNCTION("""COMPUTED_VALUE"""),44068)</f>
        <v>44068</v>
      </c>
      <c r="E2048" s="5" t="str">
        <f ca="1">IFERROR(__xludf.DUMMYFUNCTION("""COMPUTED_VALUE"""),"Nu")</f>
        <v>Nu</v>
      </c>
      <c r="F2048" s="5"/>
      <c r="G2048" s="5"/>
      <c r="H2048" s="6"/>
      <c r="I2048" s="5" t="str">
        <f ca="1">IFERROR(__xludf.DUMMYFUNCTION("""COMPUTED_VALUE"""),"Feminin")</f>
        <v>Feminin</v>
      </c>
      <c r="J2048" s="5"/>
      <c r="K2048" s="7" t="str">
        <f ca="1">IFERROR(__xludf.DUMMYFUNCTION("""COMPUTED_VALUE"""),"https://www.ebihoreanul.ro/stiri/record-de-decese-covid-in-romania-58-intr-o-singura-zi-in-bihor-au-murit-3-oameni-iar-alti-37-au-fost-diagnosticati-aproape-100-de-pacienti-vindecati-158383.html")</f>
        <v>https://www.ebihoreanul.ro/stiri/record-de-decese-covid-in-romania-58-intr-o-singura-zi-in-bihor-au-murit-3-oameni-iar-alti-37-au-fost-diagnosticati-aproape-100-de-pacienti-vindecati-158383.html</v>
      </c>
      <c r="L2048" s="5"/>
      <c r="M2048" s="5" t="str">
        <f ca="1">IFERROR(__xludf.DUMMYFUNCTION("""COMPUTED_VALUE"""),"Marghita")</f>
        <v>Marghita</v>
      </c>
      <c r="N2048" s="5"/>
      <c r="O2048" s="5"/>
      <c r="P2048" s="5" t="str">
        <f ca="1">IFERROR(__xludf.DUMMYFUNCTION("""COMPUTED_VALUE"""),"Spital Marghita, asistentă.")</f>
        <v>Spital Marghita, asistentă.</v>
      </c>
      <c r="Q2048" s="5" t="str">
        <f ca="1">IFERROR(__xludf.DUMMYFUNCTION("""COMPUTED_VALUE"""),"Medical")</f>
        <v>Medical</v>
      </c>
      <c r="R2048" s="5" t="str">
        <f ca="1">IFERROR(__xludf.DUMMYFUNCTION("""COMPUTED_VALUE"""),"România")</f>
        <v>România</v>
      </c>
      <c r="S2048" s="5" t="str">
        <f ca="1">IFERROR(__xludf.DUMMYFUNCTION("""COMPUTED_VALUE"""),"Octavian")</f>
        <v>Octavian</v>
      </c>
      <c r="T2048" s="7" t="str">
        <f ca="1">IFERROR(__xludf.DUMMYFUNCTION("""COMPUTED_VALUE"""),"http://www.ms.ro/2020/08/25/buletin-informativ-25-08-2020")</f>
        <v>http://www.ms.ro/2020/08/25/buletin-informativ-25-08-2020</v>
      </c>
      <c r="U2048" s="5"/>
      <c r="V2048" s="5"/>
      <c r="W2048" s="5"/>
      <c r="X2048" s="5"/>
      <c r="Y2048" s="5"/>
      <c r="Z2048" s="5"/>
      <c r="AA2048" s="5"/>
      <c r="AB2048" s="5"/>
      <c r="AC2048" s="5"/>
    </row>
    <row r="2049" spans="1:29" ht="12.5">
      <c r="A2049" s="5">
        <f ca="1">IFERROR(__xludf.DUMMYFUNCTION("""COMPUTED_VALUE"""),79439)</f>
        <v>79439</v>
      </c>
      <c r="B2049" s="5">
        <f ca="1">IFERROR(__xludf.DUMMYFUNCTION("""COMPUTED_VALUE"""),79438)</f>
        <v>79438</v>
      </c>
      <c r="C2049" s="5" t="str">
        <f ca="1">IFERROR(__xludf.DUMMYFUNCTION("""COMPUTED_VALUE"""),"Bihor")</f>
        <v>Bihor</v>
      </c>
      <c r="D2049" s="13">
        <f ca="1">IFERROR(__xludf.DUMMYFUNCTION("""COMPUTED_VALUE"""),44068)</f>
        <v>44068</v>
      </c>
      <c r="E2049" s="5" t="str">
        <f ca="1">IFERROR(__xludf.DUMMYFUNCTION("""COMPUTED_VALUE"""),"Nu")</f>
        <v>Nu</v>
      </c>
      <c r="F2049" s="5"/>
      <c r="G2049" s="5"/>
      <c r="H2049" s="6"/>
      <c r="I2049" s="5"/>
      <c r="J2049" s="5"/>
      <c r="K2049" s="7" t="str">
        <f ca="1">IFERROR(__xludf.DUMMYFUNCTION("""COMPUTED_VALUE"""),"https://www.ebihoreanul.ro/stiri/record-de-decese-covid-in-romania-58-intr-o-singura-zi-in-bihor-au-murit-3-oameni-iar-alti-37-au-fost-diagnosticati-aproape-100-de-pacienti-vindecati-158383.html")</f>
        <v>https://www.ebihoreanul.ro/stiri/record-de-decese-covid-in-romania-58-intr-o-singura-zi-in-bihor-au-murit-3-oameni-iar-alti-37-au-fost-diagnosticati-aproape-100-de-pacienti-vindecati-158383.html</v>
      </c>
      <c r="L2049" s="5"/>
      <c r="M2049" s="5" t="str">
        <f ca="1">IFERROR(__xludf.DUMMYFUNCTION("""COMPUTED_VALUE"""),"Marghita")</f>
        <v>Marghita</v>
      </c>
      <c r="N2049" s="5"/>
      <c r="O2049" s="5"/>
      <c r="P2049" s="5" t="str">
        <f ca="1">IFERROR(__xludf.DUMMYFUNCTION("""COMPUTED_VALUE"""),"Spital Marghita, pacient.")</f>
        <v>Spital Marghita, pacient.</v>
      </c>
      <c r="Q2049" s="5" t="str">
        <f ca="1">IFERROR(__xludf.DUMMYFUNCTION("""COMPUTED_VALUE"""),"Medical")</f>
        <v>Medical</v>
      </c>
      <c r="R2049" s="5" t="str">
        <f ca="1">IFERROR(__xludf.DUMMYFUNCTION("""COMPUTED_VALUE"""),"România")</f>
        <v>România</v>
      </c>
      <c r="S2049" s="5" t="str">
        <f ca="1">IFERROR(__xludf.DUMMYFUNCTION("""COMPUTED_VALUE"""),"Octavian")</f>
        <v>Octavian</v>
      </c>
      <c r="T2049" s="7" t="str">
        <f ca="1">IFERROR(__xludf.DUMMYFUNCTION("""COMPUTED_VALUE"""),"http://www.ms.ro/2020/08/25/buletin-informativ-25-08-2020")</f>
        <v>http://www.ms.ro/2020/08/25/buletin-informativ-25-08-2020</v>
      </c>
      <c r="U2049" s="5"/>
      <c r="V2049" s="5"/>
      <c r="W2049" s="5"/>
      <c r="X2049" s="5"/>
      <c r="Y2049" s="5"/>
      <c r="Z2049" s="5"/>
      <c r="AA2049" s="5"/>
      <c r="AB2049" s="5"/>
      <c r="AC2049" s="5"/>
    </row>
    <row r="2050" spans="1:29" ht="12.5">
      <c r="A2050" s="5">
        <f ca="1">IFERROR(__xludf.DUMMYFUNCTION("""COMPUTED_VALUE"""),79440)</f>
        <v>79440</v>
      </c>
      <c r="B2050" s="5">
        <f ca="1">IFERROR(__xludf.DUMMYFUNCTION("""COMPUTED_VALUE"""),79438)</f>
        <v>79438</v>
      </c>
      <c r="C2050" s="5" t="str">
        <f ca="1">IFERROR(__xludf.DUMMYFUNCTION("""COMPUTED_VALUE"""),"Bihor")</f>
        <v>Bihor</v>
      </c>
      <c r="D2050" s="13">
        <f ca="1">IFERROR(__xludf.DUMMYFUNCTION("""COMPUTED_VALUE"""),44068)</f>
        <v>44068</v>
      </c>
      <c r="E2050" s="5" t="str">
        <f ca="1">IFERROR(__xludf.DUMMYFUNCTION("""COMPUTED_VALUE"""),"Nu")</f>
        <v>Nu</v>
      </c>
      <c r="F2050" s="5"/>
      <c r="G2050" s="5"/>
      <c r="H2050" s="6"/>
      <c r="I2050" s="5"/>
      <c r="J2050" s="5"/>
      <c r="K2050" s="7" t="str">
        <f ca="1">IFERROR(__xludf.DUMMYFUNCTION("""COMPUTED_VALUE"""),"https://www.ebihoreanul.ro/stiri/record-de-decese-covid-in-romania-58-intr-o-singura-zi-in-bihor-au-murit-3-oameni-iar-alti-37-au-fost-diagnosticati-aproape-100-de-pacienti-vindecati-158383.html")</f>
        <v>https://www.ebihoreanul.ro/stiri/record-de-decese-covid-in-romania-58-intr-o-singura-zi-in-bihor-au-murit-3-oameni-iar-alti-37-au-fost-diagnosticati-aproape-100-de-pacienti-vindecati-158383.html</v>
      </c>
      <c r="L2050" s="5"/>
      <c r="M2050" s="5" t="str">
        <f ca="1">IFERROR(__xludf.DUMMYFUNCTION("""COMPUTED_VALUE"""),"Marghita")</f>
        <v>Marghita</v>
      </c>
      <c r="N2050" s="5"/>
      <c r="O2050" s="5"/>
      <c r="P2050" s="5" t="str">
        <f ca="1">IFERROR(__xludf.DUMMYFUNCTION("""COMPUTED_VALUE"""),"Spital Marghita, pacient.")</f>
        <v>Spital Marghita, pacient.</v>
      </c>
      <c r="Q2050" s="5" t="str">
        <f ca="1">IFERROR(__xludf.DUMMYFUNCTION("""COMPUTED_VALUE"""),"Medical")</f>
        <v>Medical</v>
      </c>
      <c r="R2050" s="5" t="str">
        <f ca="1">IFERROR(__xludf.DUMMYFUNCTION("""COMPUTED_VALUE"""),"România")</f>
        <v>România</v>
      </c>
      <c r="S2050" s="5" t="str">
        <f ca="1">IFERROR(__xludf.DUMMYFUNCTION("""COMPUTED_VALUE"""),"Octavian")</f>
        <v>Octavian</v>
      </c>
      <c r="T2050" s="7" t="str">
        <f ca="1">IFERROR(__xludf.DUMMYFUNCTION("""COMPUTED_VALUE"""),"http://www.ms.ro/2020/08/25/buletin-informativ-25-08-2020")</f>
        <v>http://www.ms.ro/2020/08/25/buletin-informativ-25-08-2020</v>
      </c>
      <c r="U2050" s="5"/>
      <c r="V2050" s="5"/>
      <c r="W2050" s="5"/>
      <c r="X2050" s="5"/>
      <c r="Y2050" s="5"/>
      <c r="Z2050" s="5"/>
      <c r="AA2050" s="5"/>
      <c r="AB2050" s="5"/>
      <c r="AC2050" s="5"/>
    </row>
    <row r="2051" spans="1:29" ht="12.5">
      <c r="A2051" s="5">
        <f ca="1">IFERROR(__xludf.DUMMYFUNCTION("""COMPUTED_VALUE"""),79441)</f>
        <v>79441</v>
      </c>
      <c r="B2051" s="5">
        <f ca="1">IFERROR(__xludf.DUMMYFUNCTION("""COMPUTED_VALUE"""),79438)</f>
        <v>79438</v>
      </c>
      <c r="C2051" s="5" t="str">
        <f ca="1">IFERROR(__xludf.DUMMYFUNCTION("""COMPUTED_VALUE"""),"Bihor")</f>
        <v>Bihor</v>
      </c>
      <c r="D2051" s="13">
        <f ca="1">IFERROR(__xludf.DUMMYFUNCTION("""COMPUTED_VALUE"""),44068)</f>
        <v>44068</v>
      </c>
      <c r="E2051" s="5" t="str">
        <f ca="1">IFERROR(__xludf.DUMMYFUNCTION("""COMPUTED_VALUE"""),"Nu")</f>
        <v>Nu</v>
      </c>
      <c r="F2051" s="5"/>
      <c r="G2051" s="5"/>
      <c r="H2051" s="6"/>
      <c r="I2051" s="5"/>
      <c r="J2051" s="5"/>
      <c r="K2051" s="7" t="str">
        <f ca="1">IFERROR(__xludf.DUMMYFUNCTION("""COMPUTED_VALUE"""),"https://www.ebihoreanul.ro/stiri/record-de-decese-covid-in-romania-58-intr-o-singura-zi-in-bihor-au-murit-3-oameni-iar-alti-37-au-fost-diagnosticati-aproape-100-de-pacienti-vindecati-158383.html")</f>
        <v>https://www.ebihoreanul.ro/stiri/record-de-decese-covid-in-romania-58-intr-o-singura-zi-in-bihor-au-murit-3-oameni-iar-alti-37-au-fost-diagnosticati-aproape-100-de-pacienti-vindecati-158383.html</v>
      </c>
      <c r="L2051" s="5"/>
      <c r="M2051" s="5" t="str">
        <f ca="1">IFERROR(__xludf.DUMMYFUNCTION("""COMPUTED_VALUE"""),"Marghita")</f>
        <v>Marghita</v>
      </c>
      <c r="N2051" s="5"/>
      <c r="O2051" s="5"/>
      <c r="P2051" s="5" t="str">
        <f ca="1">IFERROR(__xludf.DUMMYFUNCTION("""COMPUTED_VALUE"""),"Spital Marghita, pacient.")</f>
        <v>Spital Marghita, pacient.</v>
      </c>
      <c r="Q2051" s="5" t="str">
        <f ca="1">IFERROR(__xludf.DUMMYFUNCTION("""COMPUTED_VALUE"""),"Medical")</f>
        <v>Medical</v>
      </c>
      <c r="R2051" s="5" t="str">
        <f ca="1">IFERROR(__xludf.DUMMYFUNCTION("""COMPUTED_VALUE"""),"România")</f>
        <v>România</v>
      </c>
      <c r="S2051" s="5" t="str">
        <f ca="1">IFERROR(__xludf.DUMMYFUNCTION("""COMPUTED_VALUE"""),"Octavian")</f>
        <v>Octavian</v>
      </c>
      <c r="T2051" s="7" t="str">
        <f ca="1">IFERROR(__xludf.DUMMYFUNCTION("""COMPUTED_VALUE"""),"http://www.ms.ro/2020/08/25/buletin-informativ-25-08-2020")</f>
        <v>http://www.ms.ro/2020/08/25/buletin-informativ-25-08-2020</v>
      </c>
      <c r="U2051" s="5"/>
      <c r="V2051" s="5"/>
      <c r="W2051" s="5"/>
      <c r="X2051" s="5"/>
      <c r="Y2051" s="5"/>
      <c r="Z2051" s="5"/>
      <c r="AA2051" s="5"/>
      <c r="AB2051" s="5"/>
      <c r="AC2051" s="5"/>
    </row>
    <row r="2052" spans="1:29" ht="12.5">
      <c r="A2052" s="5">
        <f ca="1">IFERROR(__xludf.DUMMYFUNCTION("""COMPUTED_VALUE"""),79442)</f>
        <v>79442</v>
      </c>
      <c r="B2052" s="5">
        <f ca="1">IFERROR(__xludf.DUMMYFUNCTION("""COMPUTED_VALUE"""),79438)</f>
        <v>79438</v>
      </c>
      <c r="C2052" s="5" t="str">
        <f ca="1">IFERROR(__xludf.DUMMYFUNCTION("""COMPUTED_VALUE"""),"Bihor")</f>
        <v>Bihor</v>
      </c>
      <c r="D2052" s="13">
        <f ca="1">IFERROR(__xludf.DUMMYFUNCTION("""COMPUTED_VALUE"""),44068)</f>
        <v>44068</v>
      </c>
      <c r="E2052" s="5" t="str">
        <f ca="1">IFERROR(__xludf.DUMMYFUNCTION("""COMPUTED_VALUE"""),"Nu")</f>
        <v>Nu</v>
      </c>
      <c r="F2052" s="5"/>
      <c r="G2052" s="5"/>
      <c r="H2052" s="6"/>
      <c r="I2052" s="5"/>
      <c r="J2052" s="5"/>
      <c r="K2052" s="7" t="str">
        <f ca="1">IFERROR(__xludf.DUMMYFUNCTION("""COMPUTED_VALUE"""),"https://www.ebihoreanul.ro/stiri/record-de-decese-covid-in-romania-58-intr-o-singura-zi-in-bihor-au-murit-3-oameni-iar-alti-37-au-fost-diagnosticati-aproape-100-de-pacienti-vindecati-158383.html")</f>
        <v>https://www.ebihoreanul.ro/stiri/record-de-decese-covid-in-romania-58-intr-o-singura-zi-in-bihor-au-murit-3-oameni-iar-alti-37-au-fost-diagnosticati-aproape-100-de-pacienti-vindecati-158383.html</v>
      </c>
      <c r="L2052" s="5"/>
      <c r="M2052" s="5" t="str">
        <f ca="1">IFERROR(__xludf.DUMMYFUNCTION("""COMPUTED_VALUE"""),"Marghita")</f>
        <v>Marghita</v>
      </c>
      <c r="N2052" s="5"/>
      <c r="O2052" s="5"/>
      <c r="P2052" s="5" t="str">
        <f ca="1">IFERROR(__xludf.DUMMYFUNCTION("""COMPUTED_VALUE"""),"Spital Marghita, pacient.")</f>
        <v>Spital Marghita, pacient.</v>
      </c>
      <c r="Q2052" s="5" t="str">
        <f ca="1">IFERROR(__xludf.DUMMYFUNCTION("""COMPUTED_VALUE"""),"Medical")</f>
        <v>Medical</v>
      </c>
      <c r="R2052" s="5" t="str">
        <f ca="1">IFERROR(__xludf.DUMMYFUNCTION("""COMPUTED_VALUE"""),"România")</f>
        <v>România</v>
      </c>
      <c r="S2052" s="5" t="str">
        <f ca="1">IFERROR(__xludf.DUMMYFUNCTION("""COMPUTED_VALUE"""),"Octavian")</f>
        <v>Octavian</v>
      </c>
      <c r="T2052" s="7" t="str">
        <f ca="1">IFERROR(__xludf.DUMMYFUNCTION("""COMPUTED_VALUE"""),"http://www.ms.ro/2020/08/25/buletin-informativ-25-08-2020")</f>
        <v>http://www.ms.ro/2020/08/25/buletin-informativ-25-08-2020</v>
      </c>
      <c r="U2052" s="5"/>
      <c r="V2052" s="5"/>
      <c r="W2052" s="5"/>
      <c r="X2052" s="5"/>
      <c r="Y2052" s="5"/>
      <c r="Z2052" s="5"/>
      <c r="AA2052" s="5"/>
      <c r="AB2052" s="5"/>
      <c r="AC2052" s="5"/>
    </row>
    <row r="2053" spans="1:29" ht="12.5">
      <c r="A2053" s="5">
        <f ca="1">IFERROR(__xludf.DUMMYFUNCTION("""COMPUTED_VALUE"""),79443)</f>
        <v>79443</v>
      </c>
      <c r="B2053" s="5">
        <f ca="1">IFERROR(__xludf.DUMMYFUNCTION("""COMPUTED_VALUE"""),79438)</f>
        <v>79438</v>
      </c>
      <c r="C2053" s="5" t="str">
        <f ca="1">IFERROR(__xludf.DUMMYFUNCTION("""COMPUTED_VALUE"""),"Bihor")</f>
        <v>Bihor</v>
      </c>
      <c r="D2053" s="13">
        <f ca="1">IFERROR(__xludf.DUMMYFUNCTION("""COMPUTED_VALUE"""),44068)</f>
        <v>44068</v>
      </c>
      <c r="E2053" s="5" t="str">
        <f ca="1">IFERROR(__xludf.DUMMYFUNCTION("""COMPUTED_VALUE"""),"Nu")</f>
        <v>Nu</v>
      </c>
      <c r="F2053" s="5"/>
      <c r="G2053" s="5"/>
      <c r="H2053" s="6"/>
      <c r="I2053" s="5"/>
      <c r="J2053" s="5"/>
      <c r="K2053" s="7" t="str">
        <f ca="1">IFERROR(__xludf.DUMMYFUNCTION("""COMPUTED_VALUE"""),"https://www.ebihoreanul.ro/stiri/record-de-decese-covid-in-romania-58-intr-o-singura-zi-in-bihor-au-murit-3-oameni-iar-alti-37-au-fost-diagnosticati-aproape-100-de-pacienti-vindecati-158383.html")</f>
        <v>https://www.ebihoreanul.ro/stiri/record-de-decese-covid-in-romania-58-intr-o-singura-zi-in-bihor-au-murit-3-oameni-iar-alti-37-au-fost-diagnosticati-aproape-100-de-pacienti-vindecati-158383.html</v>
      </c>
      <c r="L2053" s="5"/>
      <c r="M2053" s="5" t="str">
        <f ca="1">IFERROR(__xludf.DUMMYFUNCTION("""COMPUTED_VALUE"""),"Marghita")</f>
        <v>Marghita</v>
      </c>
      <c r="N2053" s="5"/>
      <c r="O2053" s="5"/>
      <c r="P2053" s="5" t="str">
        <f ca="1">IFERROR(__xludf.DUMMYFUNCTION("""COMPUTED_VALUE"""),"Spital Marghita, pacient.")</f>
        <v>Spital Marghita, pacient.</v>
      </c>
      <c r="Q2053" s="5" t="str">
        <f ca="1">IFERROR(__xludf.DUMMYFUNCTION("""COMPUTED_VALUE"""),"Medical")</f>
        <v>Medical</v>
      </c>
      <c r="R2053" s="5" t="str">
        <f ca="1">IFERROR(__xludf.DUMMYFUNCTION("""COMPUTED_VALUE"""),"România")</f>
        <v>România</v>
      </c>
      <c r="S2053" s="5" t="str">
        <f ca="1">IFERROR(__xludf.DUMMYFUNCTION("""COMPUTED_VALUE"""),"Octavian")</f>
        <v>Octavian</v>
      </c>
      <c r="T2053" s="7" t="str">
        <f ca="1">IFERROR(__xludf.DUMMYFUNCTION("""COMPUTED_VALUE"""),"http://www.ms.ro/2020/08/25/buletin-informativ-25-08-2020")</f>
        <v>http://www.ms.ro/2020/08/25/buletin-informativ-25-08-2020</v>
      </c>
      <c r="U2053" s="5"/>
      <c r="V2053" s="5"/>
      <c r="W2053" s="5"/>
      <c r="X2053" s="5"/>
      <c r="Y2053" s="5"/>
      <c r="Z2053" s="5"/>
      <c r="AA2053" s="5"/>
      <c r="AB2053" s="5"/>
      <c r="AC2053" s="5"/>
    </row>
    <row r="2054" spans="1:29" ht="12.5">
      <c r="A2054" s="5">
        <f ca="1">IFERROR(__xludf.DUMMYFUNCTION("""COMPUTED_VALUE"""),79444)</f>
        <v>79444</v>
      </c>
      <c r="B2054" s="5">
        <f ca="1">IFERROR(__xludf.DUMMYFUNCTION("""COMPUTED_VALUE"""),79438)</f>
        <v>79438</v>
      </c>
      <c r="C2054" s="5" t="str">
        <f ca="1">IFERROR(__xludf.DUMMYFUNCTION("""COMPUTED_VALUE"""),"Bihor")</f>
        <v>Bihor</v>
      </c>
      <c r="D2054" s="13">
        <f ca="1">IFERROR(__xludf.DUMMYFUNCTION("""COMPUTED_VALUE"""),44068)</f>
        <v>44068</v>
      </c>
      <c r="E2054" s="5" t="str">
        <f ca="1">IFERROR(__xludf.DUMMYFUNCTION("""COMPUTED_VALUE"""),"Nu")</f>
        <v>Nu</v>
      </c>
      <c r="F2054" s="5"/>
      <c r="G2054" s="5"/>
      <c r="H2054" s="6"/>
      <c r="I2054" s="5"/>
      <c r="J2054" s="5"/>
      <c r="K2054" s="7" t="str">
        <f ca="1">IFERROR(__xludf.DUMMYFUNCTION("""COMPUTED_VALUE"""),"https://www.ebihoreanul.ro/stiri/record-de-decese-covid-in-romania-58-intr-o-singura-zi-in-bihor-au-murit-3-oameni-iar-alti-37-au-fost-diagnosticati-aproape-100-de-pacienti-vindecati-158383.html")</f>
        <v>https://www.ebihoreanul.ro/stiri/record-de-decese-covid-in-romania-58-intr-o-singura-zi-in-bihor-au-murit-3-oameni-iar-alti-37-au-fost-diagnosticati-aproape-100-de-pacienti-vindecati-158383.html</v>
      </c>
      <c r="L2054" s="5"/>
      <c r="M2054" s="5" t="str">
        <f ca="1">IFERROR(__xludf.DUMMYFUNCTION("""COMPUTED_VALUE"""),"Marghita")</f>
        <v>Marghita</v>
      </c>
      <c r="N2054" s="5"/>
      <c r="O2054" s="5"/>
      <c r="P2054" s="5" t="str">
        <f ca="1">IFERROR(__xludf.DUMMYFUNCTION("""COMPUTED_VALUE"""),"Spital Marghita, pacient.")</f>
        <v>Spital Marghita, pacient.</v>
      </c>
      <c r="Q2054" s="5" t="str">
        <f ca="1">IFERROR(__xludf.DUMMYFUNCTION("""COMPUTED_VALUE"""),"Medical")</f>
        <v>Medical</v>
      </c>
      <c r="R2054" s="5" t="str">
        <f ca="1">IFERROR(__xludf.DUMMYFUNCTION("""COMPUTED_VALUE"""),"România")</f>
        <v>România</v>
      </c>
      <c r="S2054" s="5" t="str">
        <f ca="1">IFERROR(__xludf.DUMMYFUNCTION("""COMPUTED_VALUE"""),"Octavian")</f>
        <v>Octavian</v>
      </c>
      <c r="T2054" s="7" t="str">
        <f ca="1">IFERROR(__xludf.DUMMYFUNCTION("""COMPUTED_VALUE"""),"http://www.ms.ro/2020/08/25/buletin-informativ-25-08-2020")</f>
        <v>http://www.ms.ro/2020/08/25/buletin-informativ-25-08-2020</v>
      </c>
      <c r="U2054" s="5"/>
      <c r="V2054" s="5"/>
      <c r="W2054" s="5"/>
      <c r="X2054" s="5"/>
      <c r="Y2054" s="5"/>
      <c r="Z2054" s="5"/>
      <c r="AA2054" s="5"/>
      <c r="AB2054" s="5"/>
      <c r="AC2054" s="5"/>
    </row>
    <row r="2055" spans="1:29" ht="12.5">
      <c r="A2055" s="5">
        <f ca="1">IFERROR(__xludf.DUMMYFUNCTION("""COMPUTED_VALUE"""),79445)</f>
        <v>79445</v>
      </c>
      <c r="B2055" s="5">
        <f ca="1">IFERROR(__xludf.DUMMYFUNCTION("""COMPUTED_VALUE"""),79438)</f>
        <v>79438</v>
      </c>
      <c r="C2055" s="5" t="str">
        <f ca="1">IFERROR(__xludf.DUMMYFUNCTION("""COMPUTED_VALUE"""),"Bihor")</f>
        <v>Bihor</v>
      </c>
      <c r="D2055" s="13">
        <f ca="1">IFERROR(__xludf.DUMMYFUNCTION("""COMPUTED_VALUE"""),44068)</f>
        <v>44068</v>
      </c>
      <c r="E2055" s="5" t="str">
        <f ca="1">IFERROR(__xludf.DUMMYFUNCTION("""COMPUTED_VALUE"""),"Nu")</f>
        <v>Nu</v>
      </c>
      <c r="F2055" s="5"/>
      <c r="G2055" s="5"/>
      <c r="H2055" s="6"/>
      <c r="I2055" s="5"/>
      <c r="J2055" s="5"/>
      <c r="K2055" s="7" t="str">
        <f ca="1">IFERROR(__xludf.DUMMYFUNCTION("""COMPUTED_VALUE"""),"https://www.ebihoreanul.ro/stiri/record-de-decese-covid-in-romania-58-intr-o-singura-zi-in-bihor-au-murit-3-oameni-iar-alti-37-au-fost-diagnosticati-aproape-100-de-pacienti-vindecati-158383.html")</f>
        <v>https://www.ebihoreanul.ro/stiri/record-de-decese-covid-in-romania-58-intr-o-singura-zi-in-bihor-au-murit-3-oameni-iar-alti-37-au-fost-diagnosticati-aproape-100-de-pacienti-vindecati-158383.html</v>
      </c>
      <c r="L2055" s="5"/>
      <c r="M2055" s="5" t="str">
        <f ca="1">IFERROR(__xludf.DUMMYFUNCTION("""COMPUTED_VALUE"""),"Marghita")</f>
        <v>Marghita</v>
      </c>
      <c r="N2055" s="5"/>
      <c r="O2055" s="5"/>
      <c r="P2055" s="5" t="str">
        <f ca="1">IFERROR(__xludf.DUMMYFUNCTION("""COMPUTED_VALUE"""),"Spital Marghita, pacient.")</f>
        <v>Spital Marghita, pacient.</v>
      </c>
      <c r="Q2055" s="5" t="str">
        <f ca="1">IFERROR(__xludf.DUMMYFUNCTION("""COMPUTED_VALUE"""),"Medical")</f>
        <v>Medical</v>
      </c>
      <c r="R2055" s="5" t="str">
        <f ca="1">IFERROR(__xludf.DUMMYFUNCTION("""COMPUTED_VALUE"""),"România")</f>
        <v>România</v>
      </c>
      <c r="S2055" s="5" t="str">
        <f ca="1">IFERROR(__xludf.DUMMYFUNCTION("""COMPUTED_VALUE"""),"Octavian")</f>
        <v>Octavian</v>
      </c>
      <c r="T2055" s="7" t="str">
        <f ca="1">IFERROR(__xludf.DUMMYFUNCTION("""COMPUTED_VALUE"""),"http://www.ms.ro/2020/08/25/buletin-informativ-25-08-2020")</f>
        <v>http://www.ms.ro/2020/08/25/buletin-informativ-25-08-2020</v>
      </c>
      <c r="U2055" s="5"/>
      <c r="V2055" s="5"/>
      <c r="W2055" s="5"/>
      <c r="X2055" s="5"/>
      <c r="Y2055" s="5"/>
      <c r="Z2055" s="5"/>
      <c r="AA2055" s="5"/>
      <c r="AB2055" s="5"/>
      <c r="AC2055" s="5"/>
    </row>
    <row r="2056" spans="1:29" ht="12.5">
      <c r="A2056" s="5">
        <f ca="1">IFERROR(__xludf.DUMMYFUNCTION("""COMPUTED_VALUE"""),79446)</f>
        <v>79446</v>
      </c>
      <c r="B2056" s="5">
        <f ca="1">IFERROR(__xludf.DUMMYFUNCTION("""COMPUTED_VALUE"""),79438)</f>
        <v>79438</v>
      </c>
      <c r="C2056" s="5" t="str">
        <f ca="1">IFERROR(__xludf.DUMMYFUNCTION("""COMPUTED_VALUE"""),"Bihor")</f>
        <v>Bihor</v>
      </c>
      <c r="D2056" s="13">
        <f ca="1">IFERROR(__xludf.DUMMYFUNCTION("""COMPUTED_VALUE"""),44068)</f>
        <v>44068</v>
      </c>
      <c r="E2056" s="5" t="str">
        <f ca="1">IFERROR(__xludf.DUMMYFUNCTION("""COMPUTED_VALUE"""),"Nu")</f>
        <v>Nu</v>
      </c>
      <c r="F2056" s="5"/>
      <c r="G2056" s="5"/>
      <c r="H2056" s="6"/>
      <c r="I2056" s="5"/>
      <c r="J2056" s="5"/>
      <c r="K2056" s="7" t="str">
        <f ca="1">IFERROR(__xludf.DUMMYFUNCTION("""COMPUTED_VALUE"""),"https://www.ebihoreanul.ro/stiri/record-de-decese-covid-in-romania-58-intr-o-singura-zi-in-bihor-au-murit-3-oameni-iar-alti-37-au-fost-diagnosticati-aproape-100-de-pacienti-vindecati-158383.html")</f>
        <v>https://www.ebihoreanul.ro/stiri/record-de-decese-covid-in-romania-58-intr-o-singura-zi-in-bihor-au-murit-3-oameni-iar-alti-37-au-fost-diagnosticati-aproape-100-de-pacienti-vindecati-158383.html</v>
      </c>
      <c r="L2056" s="5"/>
      <c r="M2056" s="5" t="str">
        <f ca="1">IFERROR(__xludf.DUMMYFUNCTION("""COMPUTED_VALUE"""),"Marghita")</f>
        <v>Marghita</v>
      </c>
      <c r="N2056" s="5"/>
      <c r="O2056" s="5"/>
      <c r="P2056" s="5" t="str">
        <f ca="1">IFERROR(__xludf.DUMMYFUNCTION("""COMPUTED_VALUE"""),"Spital Marghita, pacient.")</f>
        <v>Spital Marghita, pacient.</v>
      </c>
      <c r="Q2056" s="5" t="str">
        <f ca="1">IFERROR(__xludf.DUMMYFUNCTION("""COMPUTED_VALUE"""),"Medical")</f>
        <v>Medical</v>
      </c>
      <c r="R2056" s="5" t="str">
        <f ca="1">IFERROR(__xludf.DUMMYFUNCTION("""COMPUTED_VALUE"""),"România")</f>
        <v>România</v>
      </c>
      <c r="S2056" s="5" t="str">
        <f ca="1">IFERROR(__xludf.DUMMYFUNCTION("""COMPUTED_VALUE"""),"Octavian")</f>
        <v>Octavian</v>
      </c>
      <c r="T2056" s="7" t="str">
        <f ca="1">IFERROR(__xludf.DUMMYFUNCTION("""COMPUTED_VALUE"""),"http://www.ms.ro/2020/08/25/buletin-informativ-25-08-2020")</f>
        <v>http://www.ms.ro/2020/08/25/buletin-informativ-25-08-2020</v>
      </c>
      <c r="U2056" s="5"/>
      <c r="V2056" s="5"/>
      <c r="W2056" s="5"/>
      <c r="X2056" s="5"/>
      <c r="Y2056" s="5"/>
      <c r="Z2056" s="5"/>
      <c r="AA2056" s="5"/>
      <c r="AB2056" s="5"/>
      <c r="AC2056" s="5"/>
    </row>
    <row r="2057" spans="1:29" ht="12.5">
      <c r="A2057" s="5">
        <f ca="1">IFERROR(__xludf.DUMMYFUNCTION("""COMPUTED_VALUE"""),79447)</f>
        <v>79447</v>
      </c>
      <c r="B2057" s="5">
        <f ca="1">IFERROR(__xludf.DUMMYFUNCTION("""COMPUTED_VALUE"""),79438)</f>
        <v>79438</v>
      </c>
      <c r="C2057" s="5" t="str">
        <f ca="1">IFERROR(__xludf.DUMMYFUNCTION("""COMPUTED_VALUE"""),"Bihor")</f>
        <v>Bihor</v>
      </c>
      <c r="D2057" s="13">
        <f ca="1">IFERROR(__xludf.DUMMYFUNCTION("""COMPUTED_VALUE"""),44068)</f>
        <v>44068</v>
      </c>
      <c r="E2057" s="5" t="str">
        <f ca="1">IFERROR(__xludf.DUMMYFUNCTION("""COMPUTED_VALUE"""),"Nu")</f>
        <v>Nu</v>
      </c>
      <c r="F2057" s="5"/>
      <c r="G2057" s="5"/>
      <c r="H2057" s="6"/>
      <c r="I2057" s="5"/>
      <c r="J2057" s="5"/>
      <c r="K2057" s="7" t="str">
        <f ca="1">IFERROR(__xludf.DUMMYFUNCTION("""COMPUTED_VALUE"""),"https://www.ebihoreanul.ro/stiri/record-de-decese-covid-in-romania-58-intr-o-singura-zi-in-bihor-au-murit-3-oameni-iar-alti-37-au-fost-diagnosticati-aproape-100-de-pacienti-vindecati-158383.html")</f>
        <v>https://www.ebihoreanul.ro/stiri/record-de-decese-covid-in-romania-58-intr-o-singura-zi-in-bihor-au-murit-3-oameni-iar-alti-37-au-fost-diagnosticati-aproape-100-de-pacienti-vindecati-158383.html</v>
      </c>
      <c r="L2057" s="5"/>
      <c r="M2057" s="5" t="str">
        <f ca="1">IFERROR(__xludf.DUMMYFUNCTION("""COMPUTED_VALUE"""),"Marghita")</f>
        <v>Marghita</v>
      </c>
      <c r="N2057" s="5"/>
      <c r="O2057" s="5"/>
      <c r="P2057" s="5" t="str">
        <f ca="1">IFERROR(__xludf.DUMMYFUNCTION("""COMPUTED_VALUE"""),"Spital Marghita, pacient.")</f>
        <v>Spital Marghita, pacient.</v>
      </c>
      <c r="Q2057" s="5" t="str">
        <f ca="1">IFERROR(__xludf.DUMMYFUNCTION("""COMPUTED_VALUE"""),"Medical")</f>
        <v>Medical</v>
      </c>
      <c r="R2057" s="5" t="str">
        <f ca="1">IFERROR(__xludf.DUMMYFUNCTION("""COMPUTED_VALUE"""),"România")</f>
        <v>România</v>
      </c>
      <c r="S2057" s="5" t="str">
        <f ca="1">IFERROR(__xludf.DUMMYFUNCTION("""COMPUTED_VALUE"""),"Octavian")</f>
        <v>Octavian</v>
      </c>
      <c r="T2057" s="7" t="str">
        <f ca="1">IFERROR(__xludf.DUMMYFUNCTION("""COMPUTED_VALUE"""),"http://www.ms.ro/2020/08/25/buletin-informativ-25-08-2020")</f>
        <v>http://www.ms.ro/2020/08/25/buletin-informativ-25-08-2020</v>
      </c>
      <c r="U2057" s="5"/>
      <c r="V2057" s="5"/>
      <c r="W2057" s="5"/>
      <c r="X2057" s="5"/>
      <c r="Y2057" s="5"/>
      <c r="Z2057" s="5"/>
      <c r="AA2057" s="5"/>
      <c r="AB2057" s="5"/>
      <c r="AC2057" s="5"/>
    </row>
    <row r="2058" spans="1:29" ht="12.5">
      <c r="A2058" s="5">
        <f ca="1">IFERROR(__xludf.DUMMYFUNCTION("""COMPUTED_VALUE"""),79448)</f>
        <v>79448</v>
      </c>
      <c r="B2058" s="5"/>
      <c r="C2058" s="5" t="str">
        <f ca="1">IFERROR(__xludf.DUMMYFUNCTION("""COMPUTED_VALUE"""),"Bihor")</f>
        <v>Bihor</v>
      </c>
      <c r="D2058" s="13">
        <f ca="1">IFERROR(__xludf.DUMMYFUNCTION("""COMPUTED_VALUE"""),44068)</f>
        <v>44068</v>
      </c>
      <c r="E2058" s="5" t="str">
        <f ca="1">IFERROR(__xludf.DUMMYFUNCTION("""COMPUTED_VALUE"""),"Nu")</f>
        <v>Nu</v>
      </c>
      <c r="F2058" s="5"/>
      <c r="G2058" s="5"/>
      <c r="H2058" s="6"/>
      <c r="I2058" s="5"/>
      <c r="J2058" s="5"/>
      <c r="K2058" s="7" t="str">
        <f ca="1">IFERROR(__xludf.DUMMYFUNCTION("""COMPUTED_VALUE"""),"https://www.ebihoreanul.ro/stiri/record-de-decese-covid-in-romania-58-intr-o-singura-zi-in-bihor-au-murit-3-oameni-iar-alti-37-au-fost-diagnosticati-aproape-100-de-pacienti-vindecati-158383.html")</f>
        <v>https://www.ebihoreanul.ro/stiri/record-de-decese-covid-in-romania-58-intr-o-singura-zi-in-bihor-au-murit-3-oameni-iar-alti-37-au-fost-diagnosticati-aproape-100-de-pacienti-vindecati-158383.html</v>
      </c>
      <c r="L2058" s="5"/>
      <c r="M2058" s="5" t="str">
        <f ca="1">IFERROR(__xludf.DUMMYFUNCTION("""COMPUTED_VALUE"""),"Oradea")</f>
        <v>Oradea</v>
      </c>
      <c r="N2058" s="5"/>
      <c r="O2058" s="5"/>
      <c r="P2058" s="5" t="str">
        <f ca="1">IFERROR(__xludf.DUMMYFUNCTION("""COMPUTED_VALUE"""),"SJU Oradea, pacient.")</f>
        <v>SJU Oradea, pacient.</v>
      </c>
      <c r="Q2058" s="5" t="str">
        <f ca="1">IFERROR(__xludf.DUMMYFUNCTION("""COMPUTED_VALUE"""),"Medical")</f>
        <v>Medical</v>
      </c>
      <c r="R2058" s="5" t="str">
        <f ca="1">IFERROR(__xludf.DUMMYFUNCTION("""COMPUTED_VALUE"""),"România")</f>
        <v>România</v>
      </c>
      <c r="S2058" s="5" t="str">
        <f ca="1">IFERROR(__xludf.DUMMYFUNCTION("""COMPUTED_VALUE"""),"Octavian")</f>
        <v>Octavian</v>
      </c>
      <c r="T2058" s="7" t="str">
        <f ca="1">IFERROR(__xludf.DUMMYFUNCTION("""COMPUTED_VALUE"""),"http://www.ms.ro/2020/08/25/buletin-informativ-25-08-2020")</f>
        <v>http://www.ms.ro/2020/08/25/buletin-informativ-25-08-2020</v>
      </c>
      <c r="U2058" s="5"/>
      <c r="V2058" s="5"/>
      <c r="W2058" s="5"/>
      <c r="X2058" s="5"/>
      <c r="Y2058" s="5"/>
      <c r="Z2058" s="5"/>
      <c r="AA2058" s="5"/>
      <c r="AB2058" s="5"/>
      <c r="AC2058" s="5"/>
    </row>
    <row r="2059" spans="1:29" ht="12.5">
      <c r="A2059" s="5">
        <f ca="1">IFERROR(__xludf.DUMMYFUNCTION("""COMPUTED_VALUE"""),79449)</f>
        <v>79449</v>
      </c>
      <c r="B2059" s="5"/>
      <c r="C2059" s="5" t="str">
        <f ca="1">IFERROR(__xludf.DUMMYFUNCTION("""COMPUTED_VALUE"""),"Bihor")</f>
        <v>Bihor</v>
      </c>
      <c r="D2059" s="13">
        <f ca="1">IFERROR(__xludf.DUMMYFUNCTION("""COMPUTED_VALUE"""),44068)</f>
        <v>44068</v>
      </c>
      <c r="E2059" s="5" t="str">
        <f ca="1">IFERROR(__xludf.DUMMYFUNCTION("""COMPUTED_VALUE"""),"Nu")</f>
        <v>Nu</v>
      </c>
      <c r="F2059" s="5"/>
      <c r="G2059" s="5"/>
      <c r="H2059" s="6"/>
      <c r="I2059" s="5"/>
      <c r="J2059" s="5"/>
      <c r="K2059" s="7" t="str">
        <f ca="1">IFERROR(__xludf.DUMMYFUNCTION("""COMPUTED_VALUE"""),"https://www.ebihoreanul.ro/stiri/record-de-decese-covid-in-romania-58-intr-o-singura-zi-in-bihor-au-murit-3-oameni-iar-alti-37-au-fost-diagnosticati-aproape-100-de-pacienti-vindecati-158383.html")</f>
        <v>https://www.ebihoreanul.ro/stiri/record-de-decese-covid-in-romania-58-intr-o-singura-zi-in-bihor-au-murit-3-oameni-iar-alti-37-au-fost-diagnosticati-aproape-100-de-pacienti-vindecati-158383.html</v>
      </c>
      <c r="L2059" s="5"/>
      <c r="M2059" s="5" t="str">
        <f ca="1">IFERROR(__xludf.DUMMYFUNCTION("""COMPUTED_VALUE"""),"Oradea")</f>
        <v>Oradea</v>
      </c>
      <c r="N2059" s="5"/>
      <c r="O2059" s="5"/>
      <c r="P2059" s="5" t="str">
        <f ca="1">IFERROR(__xludf.DUMMYFUNCTION("""COMPUTED_VALUE"""),"SJU Oradea, pacient.")</f>
        <v>SJU Oradea, pacient.</v>
      </c>
      <c r="Q2059" s="5" t="str">
        <f ca="1">IFERROR(__xludf.DUMMYFUNCTION("""COMPUTED_VALUE"""),"Medical")</f>
        <v>Medical</v>
      </c>
      <c r="R2059" s="5" t="str">
        <f ca="1">IFERROR(__xludf.DUMMYFUNCTION("""COMPUTED_VALUE"""),"România")</f>
        <v>România</v>
      </c>
      <c r="S2059" s="5" t="str">
        <f ca="1">IFERROR(__xludf.DUMMYFUNCTION("""COMPUTED_VALUE"""),"Octavian")</f>
        <v>Octavian</v>
      </c>
      <c r="T2059" s="7" t="str">
        <f ca="1">IFERROR(__xludf.DUMMYFUNCTION("""COMPUTED_VALUE"""),"http://www.ms.ro/2020/08/25/buletin-informativ-25-08-2020")</f>
        <v>http://www.ms.ro/2020/08/25/buletin-informativ-25-08-2020</v>
      </c>
      <c r="U2059" s="5"/>
      <c r="V2059" s="5"/>
      <c r="W2059" s="5"/>
      <c r="X2059" s="5"/>
      <c r="Y2059" s="5"/>
      <c r="Z2059" s="5"/>
      <c r="AA2059" s="5"/>
      <c r="AB2059" s="5"/>
      <c r="AC2059" s="5"/>
    </row>
    <row r="2060" spans="1:29" ht="12.5">
      <c r="A2060" s="5">
        <f ca="1">IFERROR(__xludf.DUMMYFUNCTION("""COMPUTED_VALUE"""),79450)</f>
        <v>79450</v>
      </c>
      <c r="B2060" s="5"/>
      <c r="C2060" s="5" t="str">
        <f ca="1">IFERROR(__xludf.DUMMYFUNCTION("""COMPUTED_VALUE"""),"Bihor")</f>
        <v>Bihor</v>
      </c>
      <c r="D2060" s="13">
        <f ca="1">IFERROR(__xludf.DUMMYFUNCTION("""COMPUTED_VALUE"""),44068)</f>
        <v>44068</v>
      </c>
      <c r="E2060" s="5" t="str">
        <f ca="1">IFERROR(__xludf.DUMMYFUNCTION("""COMPUTED_VALUE"""),"Nu")</f>
        <v>Nu</v>
      </c>
      <c r="F2060" s="5"/>
      <c r="G2060" s="5"/>
      <c r="H2060" s="6"/>
      <c r="I2060" s="5"/>
      <c r="J2060" s="5"/>
      <c r="K2060" s="7" t="str">
        <f ca="1">IFERROR(__xludf.DUMMYFUNCTION("""COMPUTED_VALUE"""),"https://www.ebihoreanul.ro/stiri/record-de-decese-covid-in-romania-58-intr-o-singura-zi-in-bihor-au-murit-3-oameni-iar-alti-37-au-fost-diagnosticati-aproape-100-de-pacienti-vindecati-158383.html")</f>
        <v>https://www.ebihoreanul.ro/stiri/record-de-decese-covid-in-romania-58-intr-o-singura-zi-in-bihor-au-murit-3-oameni-iar-alti-37-au-fost-diagnosticati-aproape-100-de-pacienti-vindecati-158383.html</v>
      </c>
      <c r="L2060" s="5"/>
      <c r="M2060" s="5" t="str">
        <f ca="1">IFERROR(__xludf.DUMMYFUNCTION("""COMPUTED_VALUE"""),"Aleșd")</f>
        <v>Aleșd</v>
      </c>
      <c r="N2060" s="5"/>
      <c r="O2060" s="5"/>
      <c r="P2060" s="5" t="str">
        <f ca="1">IFERROR(__xludf.DUMMYFUNCTION("""COMPUTED_VALUE"""),"Spital Aleșd, pacient.")</f>
        <v>Spital Aleșd, pacient.</v>
      </c>
      <c r="Q2060" s="5" t="str">
        <f ca="1">IFERROR(__xludf.DUMMYFUNCTION("""COMPUTED_VALUE"""),"Medical")</f>
        <v>Medical</v>
      </c>
      <c r="R2060" s="5" t="str">
        <f ca="1">IFERROR(__xludf.DUMMYFUNCTION("""COMPUTED_VALUE"""),"România")</f>
        <v>România</v>
      </c>
      <c r="S2060" s="5" t="str">
        <f ca="1">IFERROR(__xludf.DUMMYFUNCTION("""COMPUTED_VALUE"""),"Octavian")</f>
        <v>Octavian</v>
      </c>
      <c r="T2060" s="7" t="str">
        <f ca="1">IFERROR(__xludf.DUMMYFUNCTION("""COMPUTED_VALUE"""),"http://www.ms.ro/2020/08/25/buletin-informativ-25-08-2020")</f>
        <v>http://www.ms.ro/2020/08/25/buletin-informativ-25-08-2020</v>
      </c>
      <c r="U2060" s="5"/>
      <c r="V2060" s="5"/>
      <c r="W2060" s="5"/>
      <c r="X2060" s="5"/>
      <c r="Y2060" s="5"/>
      <c r="Z2060" s="5"/>
      <c r="AA2060" s="5"/>
      <c r="AB2060" s="5"/>
      <c r="AC2060" s="5"/>
    </row>
    <row r="2061" spans="1:29" ht="12.5">
      <c r="A2061" s="5">
        <f ca="1">IFERROR(__xludf.DUMMYFUNCTION("""COMPUTED_VALUE"""),79451)</f>
        <v>79451</v>
      </c>
      <c r="B2061" s="5"/>
      <c r="C2061" s="5" t="str">
        <f ca="1">IFERROR(__xludf.DUMMYFUNCTION("""COMPUTED_VALUE"""),"Bihor")</f>
        <v>Bihor</v>
      </c>
      <c r="D2061" s="13">
        <f ca="1">IFERROR(__xludf.DUMMYFUNCTION("""COMPUTED_VALUE"""),44068)</f>
        <v>44068</v>
      </c>
      <c r="E2061" s="5" t="str">
        <f ca="1">IFERROR(__xludf.DUMMYFUNCTION("""COMPUTED_VALUE"""),"Nu")</f>
        <v>Nu</v>
      </c>
      <c r="F2061" s="5"/>
      <c r="G2061" s="5"/>
      <c r="H2061" s="6"/>
      <c r="I2061" s="5"/>
      <c r="J2061" s="5"/>
      <c r="K2061" s="7" t="str">
        <f ca="1">IFERROR(__xludf.DUMMYFUNCTION("""COMPUTED_VALUE"""),"https://www.ebihoreanul.ro/stiri/record-de-decese-covid-in-romania-58-intr-o-singura-zi-in-bihor-au-murit-3-oameni-iar-alti-37-au-fost-diagnosticati-aproape-100-de-pacienti-vindecati-158383.html")</f>
        <v>https://www.ebihoreanul.ro/stiri/record-de-decese-covid-in-romania-58-intr-o-singura-zi-in-bihor-au-murit-3-oameni-iar-alti-37-au-fost-diagnosticati-aproape-100-de-pacienti-vindecati-158383.html</v>
      </c>
      <c r="L2061" s="5"/>
      <c r="M2061" s="5" t="str">
        <f ca="1">IFERROR(__xludf.DUMMYFUNCTION("""COMPUTED_VALUE"""),"Oradea")</f>
        <v>Oradea</v>
      </c>
      <c r="N2061" s="5"/>
      <c r="O2061" s="5"/>
      <c r="P2061" s="5" t="str">
        <f ca="1">IFERROR(__xludf.DUMMYFUNCTION("""COMPUTED_VALUE"""),"Centrul Oncologic din Oradea, pacient.")</f>
        <v>Centrul Oncologic din Oradea, pacient.</v>
      </c>
      <c r="Q2061" s="5" t="str">
        <f ca="1">IFERROR(__xludf.DUMMYFUNCTION("""COMPUTED_VALUE"""),"Medical")</f>
        <v>Medical</v>
      </c>
      <c r="R2061" s="5" t="str">
        <f ca="1">IFERROR(__xludf.DUMMYFUNCTION("""COMPUTED_VALUE"""),"România")</f>
        <v>România</v>
      </c>
      <c r="S2061" s="5" t="str">
        <f ca="1">IFERROR(__xludf.DUMMYFUNCTION("""COMPUTED_VALUE"""),"Octavian")</f>
        <v>Octavian</v>
      </c>
      <c r="T2061" s="7" t="str">
        <f ca="1">IFERROR(__xludf.DUMMYFUNCTION("""COMPUTED_VALUE"""),"http://www.ms.ro/2020/08/25/buletin-informativ-25-08-2020")</f>
        <v>http://www.ms.ro/2020/08/25/buletin-informativ-25-08-2020</v>
      </c>
      <c r="U2061" s="5"/>
      <c r="V2061" s="5"/>
      <c r="W2061" s="5"/>
      <c r="X2061" s="5"/>
      <c r="Y2061" s="5"/>
      <c r="Z2061" s="5"/>
      <c r="AA2061" s="5"/>
      <c r="AB2061" s="5"/>
      <c r="AC2061" s="5"/>
    </row>
    <row r="2062" spans="1:29" ht="12.5">
      <c r="A2062" s="5">
        <f ca="1">IFERROR(__xludf.DUMMYFUNCTION("""COMPUTED_VALUE"""),79452)</f>
        <v>79452</v>
      </c>
      <c r="B2062" s="5"/>
      <c r="C2062" s="5" t="str">
        <f ca="1">IFERROR(__xludf.DUMMYFUNCTION("""COMPUTED_VALUE"""),"Bihor")</f>
        <v>Bihor</v>
      </c>
      <c r="D2062" s="13">
        <f ca="1">IFERROR(__xludf.DUMMYFUNCTION("""COMPUTED_VALUE"""),44068)</f>
        <v>44068</v>
      </c>
      <c r="E2062" s="5" t="str">
        <f ca="1">IFERROR(__xludf.DUMMYFUNCTION("""COMPUTED_VALUE"""),"Nu")</f>
        <v>Nu</v>
      </c>
      <c r="F2062" s="5"/>
      <c r="G2062" s="5"/>
      <c r="H2062" s="6"/>
      <c r="I2062" s="5"/>
      <c r="J2062" s="5"/>
      <c r="K2062" s="7" t="str">
        <f ca="1">IFERROR(__xludf.DUMMYFUNCTION("""COMPUTED_VALUE"""),"https://www.ebihoreanul.ro/stiri/record-de-decese-covid-in-romania-58-intr-o-singura-zi-in-bihor-au-murit-3-oameni-iar-alti-37-au-fost-diagnosticati-aproape-100-de-pacienti-vindecati-158383.html")</f>
        <v>https://www.ebihoreanul.ro/stiri/record-de-decese-covid-in-romania-58-intr-o-singura-zi-in-bihor-au-murit-3-oameni-iar-alti-37-au-fost-diagnosticati-aproape-100-de-pacienti-vindecati-158383.html</v>
      </c>
      <c r="L2062" s="5"/>
      <c r="M2062" s="5" t="str">
        <f ca="1">IFERROR(__xludf.DUMMYFUNCTION("""COMPUTED_VALUE"""),"Oradea")</f>
        <v>Oradea</v>
      </c>
      <c r="N2062" s="5"/>
      <c r="O2062" s="5"/>
      <c r="P2062" s="5" t="str">
        <f ca="1">IFERROR(__xludf.DUMMYFUNCTION("""COMPUTED_VALUE"""),"Spitalul Militar, pacient.")</f>
        <v>Spitalul Militar, pacient.</v>
      </c>
      <c r="Q2062" s="5" t="str">
        <f ca="1">IFERROR(__xludf.DUMMYFUNCTION("""COMPUTED_VALUE"""),"Medical")</f>
        <v>Medical</v>
      </c>
      <c r="R2062" s="5" t="str">
        <f ca="1">IFERROR(__xludf.DUMMYFUNCTION("""COMPUTED_VALUE"""),"România")</f>
        <v>România</v>
      </c>
      <c r="S2062" s="5" t="str">
        <f ca="1">IFERROR(__xludf.DUMMYFUNCTION("""COMPUTED_VALUE"""),"Octavian")</f>
        <v>Octavian</v>
      </c>
      <c r="T2062" s="7" t="str">
        <f ca="1">IFERROR(__xludf.DUMMYFUNCTION("""COMPUTED_VALUE"""),"http://www.ms.ro/2020/08/25/buletin-informativ-25-08-2020")</f>
        <v>http://www.ms.ro/2020/08/25/buletin-informativ-25-08-2020</v>
      </c>
      <c r="U2062" s="5"/>
      <c r="V2062" s="5"/>
      <c r="W2062" s="5"/>
      <c r="X2062" s="5"/>
      <c r="Y2062" s="5"/>
      <c r="Z2062" s="5"/>
      <c r="AA2062" s="5"/>
      <c r="AB2062" s="5"/>
      <c r="AC2062" s="5"/>
    </row>
    <row r="2063" spans="1:29" ht="12.5">
      <c r="A2063" s="5">
        <f ca="1">IFERROR(__xludf.DUMMYFUNCTION("""COMPUTED_VALUE"""),79453)</f>
        <v>79453</v>
      </c>
      <c r="B2063" s="5"/>
      <c r="C2063" s="5" t="str">
        <f ca="1">IFERROR(__xludf.DUMMYFUNCTION("""COMPUTED_VALUE"""),"Bihor")</f>
        <v>Bihor</v>
      </c>
      <c r="D2063" s="13">
        <f ca="1">IFERROR(__xludf.DUMMYFUNCTION("""COMPUTED_VALUE"""),44068)</f>
        <v>44068</v>
      </c>
      <c r="E2063" s="5" t="str">
        <f ca="1">IFERROR(__xludf.DUMMYFUNCTION("""COMPUTED_VALUE"""),"Nu")</f>
        <v>Nu</v>
      </c>
      <c r="F2063" s="5"/>
      <c r="G2063" s="5"/>
      <c r="H2063" s="6"/>
      <c r="I2063" s="5"/>
      <c r="J2063" s="5"/>
      <c r="K2063" s="7" t="str">
        <f ca="1">IFERROR(__xludf.DUMMYFUNCTION("""COMPUTED_VALUE"""),"https://www.ebihoreanul.ro/stiri/record-de-decese-covid-in-romania-58-intr-o-singura-zi-in-bihor-au-murit-3-oameni-iar-alti-37-au-fost-diagnosticati-aproape-100-de-pacienti-vindecati-158383.html")</f>
        <v>https://www.ebihoreanul.ro/stiri/record-de-decese-covid-in-romania-58-intr-o-singura-zi-in-bihor-au-murit-3-oameni-iar-alti-37-au-fost-diagnosticati-aproape-100-de-pacienti-vindecati-158383.html</v>
      </c>
      <c r="L2063" s="5"/>
      <c r="M2063" s="5" t="str">
        <f ca="1">IFERROR(__xludf.DUMMYFUNCTION("""COMPUTED_VALUE"""),"Dosig")</f>
        <v>Dosig</v>
      </c>
      <c r="N2063" s="5"/>
      <c r="O2063" s="5"/>
      <c r="P2063" s="5"/>
      <c r="Q2063" s="5"/>
      <c r="R2063" s="5" t="str">
        <f ca="1">IFERROR(__xludf.DUMMYFUNCTION("""COMPUTED_VALUE"""),"România")</f>
        <v>România</v>
      </c>
      <c r="S2063" s="5" t="str">
        <f ca="1">IFERROR(__xludf.DUMMYFUNCTION("""COMPUTED_VALUE"""),"Octavian")</f>
        <v>Octavian</v>
      </c>
      <c r="T2063" s="7" t="str">
        <f ca="1">IFERROR(__xludf.DUMMYFUNCTION("""COMPUTED_VALUE"""),"http://www.ms.ro/2020/08/25/buletin-informativ-25-08-2020")</f>
        <v>http://www.ms.ro/2020/08/25/buletin-informativ-25-08-2020</v>
      </c>
      <c r="U2063" s="5"/>
      <c r="V2063" s="5"/>
      <c r="W2063" s="5"/>
      <c r="X2063" s="5"/>
      <c r="Y2063" s="5"/>
      <c r="Z2063" s="5"/>
      <c r="AA2063" s="5"/>
      <c r="AB2063" s="5"/>
      <c r="AC2063" s="5"/>
    </row>
    <row r="2064" spans="1:29" ht="12.5">
      <c r="A2064" s="5">
        <f ca="1">IFERROR(__xludf.DUMMYFUNCTION("""COMPUTED_VALUE"""),79454)</f>
        <v>79454</v>
      </c>
      <c r="B2064" s="5"/>
      <c r="C2064" s="5" t="str">
        <f ca="1">IFERROR(__xludf.DUMMYFUNCTION("""COMPUTED_VALUE"""),"Bihor")</f>
        <v>Bihor</v>
      </c>
      <c r="D2064" s="13">
        <f ca="1">IFERROR(__xludf.DUMMYFUNCTION("""COMPUTED_VALUE"""),44068)</f>
        <v>44068</v>
      </c>
      <c r="E2064" s="5" t="str">
        <f ca="1">IFERROR(__xludf.DUMMYFUNCTION("""COMPUTED_VALUE"""),"Nu")</f>
        <v>Nu</v>
      </c>
      <c r="F2064" s="5"/>
      <c r="G2064" s="5"/>
      <c r="H2064" s="6"/>
      <c r="I2064" s="5"/>
      <c r="J2064" s="5"/>
      <c r="K2064" s="7" t="str">
        <f ca="1">IFERROR(__xludf.DUMMYFUNCTION("""COMPUTED_VALUE"""),"https://www.ebihoreanul.ro/stiri/record-de-decese-covid-in-romania-58-intr-o-singura-zi-in-bihor-au-murit-3-oameni-iar-alti-37-au-fost-diagnosticati-aproape-100-de-pacienti-vindecati-158383.html")</f>
        <v>https://www.ebihoreanul.ro/stiri/record-de-decese-covid-in-romania-58-intr-o-singura-zi-in-bihor-au-murit-3-oameni-iar-alti-37-au-fost-diagnosticati-aproape-100-de-pacienti-vindecati-158383.html</v>
      </c>
      <c r="L2064" s="5"/>
      <c r="M2064" s="5" t="str">
        <f ca="1">IFERROR(__xludf.DUMMYFUNCTION("""COMPUTED_VALUE"""),"Tăuteu")</f>
        <v>Tăuteu</v>
      </c>
      <c r="N2064" s="5"/>
      <c r="O2064" s="5"/>
      <c r="P2064" s="5"/>
      <c r="Q2064" s="5"/>
      <c r="R2064" s="5" t="str">
        <f ca="1">IFERROR(__xludf.DUMMYFUNCTION("""COMPUTED_VALUE"""),"România")</f>
        <v>România</v>
      </c>
      <c r="S2064" s="5" t="str">
        <f ca="1">IFERROR(__xludf.DUMMYFUNCTION("""COMPUTED_VALUE"""),"Octavian")</f>
        <v>Octavian</v>
      </c>
      <c r="T2064" s="7" t="str">
        <f ca="1">IFERROR(__xludf.DUMMYFUNCTION("""COMPUTED_VALUE"""),"http://www.ms.ro/2020/08/25/buletin-informativ-25-08-2020")</f>
        <v>http://www.ms.ro/2020/08/25/buletin-informativ-25-08-2020</v>
      </c>
      <c r="U2064" s="5"/>
      <c r="V2064" s="5"/>
      <c r="W2064" s="5"/>
      <c r="X2064" s="5"/>
      <c r="Y2064" s="5"/>
      <c r="Z2064" s="5"/>
      <c r="AA2064" s="5"/>
      <c r="AB2064" s="5"/>
      <c r="AC2064" s="5"/>
    </row>
    <row r="2065" spans="1:29" ht="12.5">
      <c r="A2065" s="5">
        <f ca="1">IFERROR(__xludf.DUMMYFUNCTION("""COMPUTED_VALUE"""),79455)</f>
        <v>79455</v>
      </c>
      <c r="B2065" s="5"/>
      <c r="C2065" s="5" t="str">
        <f ca="1">IFERROR(__xludf.DUMMYFUNCTION("""COMPUTED_VALUE"""),"Bihor")</f>
        <v>Bihor</v>
      </c>
      <c r="D2065" s="13">
        <f ca="1">IFERROR(__xludf.DUMMYFUNCTION("""COMPUTED_VALUE"""),44068)</f>
        <v>44068</v>
      </c>
      <c r="E2065" s="5" t="str">
        <f ca="1">IFERROR(__xludf.DUMMYFUNCTION("""COMPUTED_VALUE"""),"Nu")</f>
        <v>Nu</v>
      </c>
      <c r="F2065" s="5"/>
      <c r="G2065" s="5"/>
      <c r="H2065" s="6"/>
      <c r="I2065" s="5"/>
      <c r="J2065" s="5"/>
      <c r="K2065" s="7" t="str">
        <f ca="1">IFERROR(__xludf.DUMMYFUNCTION("""COMPUTED_VALUE"""),"https://www.ebihoreanul.ro/stiri/record-de-decese-covid-in-romania-58-intr-o-singura-zi-in-bihor-au-murit-3-oameni-iar-alti-37-au-fost-diagnosticati-aproape-100-de-pacienti-vindecati-158383.html")</f>
        <v>https://www.ebihoreanul.ro/stiri/record-de-decese-covid-in-romania-58-intr-o-singura-zi-in-bihor-au-murit-3-oameni-iar-alti-37-au-fost-diagnosticati-aproape-100-de-pacienti-vindecati-158383.html</v>
      </c>
      <c r="L2065" s="5"/>
      <c r="M2065" s="5" t="str">
        <f ca="1">IFERROR(__xludf.DUMMYFUNCTION("""COMPUTED_VALUE"""),"Tarcae")</f>
        <v>Tarcae</v>
      </c>
      <c r="N2065" s="5"/>
      <c r="O2065" s="5"/>
      <c r="P2065" s="5"/>
      <c r="Q2065" s="5"/>
      <c r="R2065" s="5" t="str">
        <f ca="1">IFERROR(__xludf.DUMMYFUNCTION("""COMPUTED_VALUE"""),"România")</f>
        <v>România</v>
      </c>
      <c r="S2065" s="5" t="str">
        <f ca="1">IFERROR(__xludf.DUMMYFUNCTION("""COMPUTED_VALUE"""),"Octavian")</f>
        <v>Octavian</v>
      </c>
      <c r="T2065" s="7" t="str">
        <f ca="1">IFERROR(__xludf.DUMMYFUNCTION("""COMPUTED_VALUE"""),"http://www.ms.ro/2020/08/25/buletin-informativ-25-08-2020")</f>
        <v>http://www.ms.ro/2020/08/25/buletin-informativ-25-08-2020</v>
      </c>
      <c r="U2065" s="5"/>
      <c r="V2065" s="5"/>
      <c r="W2065" s="5"/>
      <c r="X2065" s="5"/>
      <c r="Y2065" s="5"/>
      <c r="Z2065" s="5"/>
      <c r="AA2065" s="5"/>
      <c r="AB2065" s="5"/>
      <c r="AC2065" s="5"/>
    </row>
    <row r="2066" spans="1:29" ht="12.5">
      <c r="A2066" s="5">
        <f ca="1">IFERROR(__xludf.DUMMYFUNCTION("""COMPUTED_VALUE"""),79456)</f>
        <v>79456</v>
      </c>
      <c r="B2066" s="5"/>
      <c r="C2066" s="5" t="str">
        <f ca="1">IFERROR(__xludf.DUMMYFUNCTION("""COMPUTED_VALUE"""),"Bihor")</f>
        <v>Bihor</v>
      </c>
      <c r="D2066" s="13">
        <f ca="1">IFERROR(__xludf.DUMMYFUNCTION("""COMPUTED_VALUE"""),44068)</f>
        <v>44068</v>
      </c>
      <c r="E2066" s="5" t="str">
        <f ca="1">IFERROR(__xludf.DUMMYFUNCTION("""COMPUTED_VALUE"""),"Nu")</f>
        <v>Nu</v>
      </c>
      <c r="F2066" s="5"/>
      <c r="G2066" s="5"/>
      <c r="H2066" s="6"/>
      <c r="I2066" s="5"/>
      <c r="J2066" s="5"/>
      <c r="K2066" s="7" t="str">
        <f ca="1">IFERROR(__xludf.DUMMYFUNCTION("""COMPUTED_VALUE"""),"https://www.ebihoreanul.ro/stiri/record-de-decese-covid-in-romania-58-intr-o-singura-zi-in-bihor-au-murit-3-oameni-iar-alti-37-au-fost-diagnosticati-aproape-100-de-pacienti-vindecati-158383.html")</f>
        <v>https://www.ebihoreanul.ro/stiri/record-de-decese-covid-in-romania-58-intr-o-singura-zi-in-bihor-au-murit-3-oameni-iar-alti-37-au-fost-diagnosticati-aproape-100-de-pacienti-vindecati-158383.html</v>
      </c>
      <c r="L2066" s="5"/>
      <c r="M2066" s="5" t="str">
        <f ca="1">IFERROR(__xludf.DUMMYFUNCTION("""COMPUTED_VALUE"""),"Curtuișeni")</f>
        <v>Curtuișeni</v>
      </c>
      <c r="N2066" s="5"/>
      <c r="O2066" s="5"/>
      <c r="P2066" s="5"/>
      <c r="Q2066" s="5"/>
      <c r="R2066" s="5" t="str">
        <f ca="1">IFERROR(__xludf.DUMMYFUNCTION("""COMPUTED_VALUE"""),"România")</f>
        <v>România</v>
      </c>
      <c r="S2066" s="5" t="str">
        <f ca="1">IFERROR(__xludf.DUMMYFUNCTION("""COMPUTED_VALUE"""),"Octavian")</f>
        <v>Octavian</v>
      </c>
      <c r="T2066" s="7" t="str">
        <f ca="1">IFERROR(__xludf.DUMMYFUNCTION("""COMPUTED_VALUE"""),"http://www.ms.ro/2020/08/25/buletin-informativ-25-08-2020")</f>
        <v>http://www.ms.ro/2020/08/25/buletin-informativ-25-08-2020</v>
      </c>
      <c r="U2066" s="5"/>
      <c r="V2066" s="5"/>
      <c r="W2066" s="5"/>
      <c r="X2066" s="5"/>
      <c r="Y2066" s="5"/>
      <c r="Z2066" s="5"/>
      <c r="AA2066" s="5"/>
      <c r="AB2066" s="5"/>
      <c r="AC2066" s="5"/>
    </row>
    <row r="2067" spans="1:29" ht="12.5">
      <c r="A2067" s="5">
        <f ca="1">IFERROR(__xludf.DUMMYFUNCTION("""COMPUTED_VALUE"""),79457)</f>
        <v>79457</v>
      </c>
      <c r="B2067" s="5"/>
      <c r="C2067" s="5" t="str">
        <f ca="1">IFERROR(__xludf.DUMMYFUNCTION("""COMPUTED_VALUE"""),"Bihor")</f>
        <v>Bihor</v>
      </c>
      <c r="D2067" s="13">
        <f ca="1">IFERROR(__xludf.DUMMYFUNCTION("""COMPUTED_VALUE"""),44068)</f>
        <v>44068</v>
      </c>
      <c r="E2067" s="5" t="str">
        <f ca="1">IFERROR(__xludf.DUMMYFUNCTION("""COMPUTED_VALUE"""),"Nu")</f>
        <v>Nu</v>
      </c>
      <c r="F2067" s="5"/>
      <c r="G2067" s="5"/>
      <c r="H2067" s="6"/>
      <c r="I2067" s="5"/>
      <c r="J2067" s="5"/>
      <c r="K2067" s="7" t="str">
        <f ca="1">IFERROR(__xludf.DUMMYFUNCTION("""COMPUTED_VALUE"""),"https://www.ebihoreanul.ro/stiri/record-de-decese-covid-in-romania-58-intr-o-singura-zi-in-bihor-au-murit-3-oameni-iar-alti-37-au-fost-diagnosticati-aproape-100-de-pacienti-vindecati-158383.html")</f>
        <v>https://www.ebihoreanul.ro/stiri/record-de-decese-covid-in-romania-58-intr-o-singura-zi-in-bihor-au-murit-3-oameni-iar-alti-37-au-fost-diagnosticati-aproape-100-de-pacienti-vindecati-158383.html</v>
      </c>
      <c r="L2067" s="5"/>
      <c r="M2067" s="5" t="str">
        <f ca="1">IFERROR(__xludf.DUMMYFUNCTION("""COMPUTED_VALUE"""),"Suplacu de Barcău")</f>
        <v>Suplacu de Barcău</v>
      </c>
      <c r="N2067" s="5"/>
      <c r="O2067" s="5"/>
      <c r="P2067" s="5"/>
      <c r="Q2067" s="5"/>
      <c r="R2067" s="5" t="str">
        <f ca="1">IFERROR(__xludf.DUMMYFUNCTION("""COMPUTED_VALUE"""),"România")</f>
        <v>România</v>
      </c>
      <c r="S2067" s="5" t="str">
        <f ca="1">IFERROR(__xludf.DUMMYFUNCTION("""COMPUTED_VALUE"""),"Octavian")</f>
        <v>Octavian</v>
      </c>
      <c r="T2067" s="7" t="str">
        <f ca="1">IFERROR(__xludf.DUMMYFUNCTION("""COMPUTED_VALUE"""),"http://www.ms.ro/2020/08/25/buletin-informativ-25-08-2020")</f>
        <v>http://www.ms.ro/2020/08/25/buletin-informativ-25-08-2020</v>
      </c>
      <c r="U2067" s="5"/>
      <c r="V2067" s="5"/>
      <c r="W2067" s="5"/>
      <c r="X2067" s="5"/>
      <c r="Y2067" s="5"/>
      <c r="Z2067" s="5"/>
      <c r="AA2067" s="5"/>
      <c r="AB2067" s="5"/>
      <c r="AC2067" s="5"/>
    </row>
    <row r="2068" spans="1:29" ht="12.5">
      <c r="A2068" s="5">
        <f ca="1">IFERROR(__xludf.DUMMYFUNCTION("""COMPUTED_VALUE"""),79458)</f>
        <v>79458</v>
      </c>
      <c r="B2068" s="5"/>
      <c r="C2068" s="5" t="str">
        <f ca="1">IFERROR(__xludf.DUMMYFUNCTION("""COMPUTED_VALUE"""),"Bihor")</f>
        <v>Bihor</v>
      </c>
      <c r="D2068" s="13">
        <f ca="1">IFERROR(__xludf.DUMMYFUNCTION("""COMPUTED_VALUE"""),44068)</f>
        <v>44068</v>
      </c>
      <c r="E2068" s="5" t="str">
        <f ca="1">IFERROR(__xludf.DUMMYFUNCTION("""COMPUTED_VALUE"""),"Nu")</f>
        <v>Nu</v>
      </c>
      <c r="F2068" s="5"/>
      <c r="G2068" s="5"/>
      <c r="H2068" s="6"/>
      <c r="I2068" s="5"/>
      <c r="J2068" s="5"/>
      <c r="K2068" s="7" t="str">
        <f ca="1">IFERROR(__xludf.DUMMYFUNCTION("""COMPUTED_VALUE"""),"https://www.ebihoreanul.ro/stiri/record-de-decese-covid-in-romania-58-intr-o-singura-zi-in-bihor-au-murit-3-oameni-iar-alti-37-au-fost-diagnosticati-aproape-100-de-pacienti-vindecati-158383.html")</f>
        <v>https://www.ebihoreanul.ro/stiri/record-de-decese-covid-in-romania-58-intr-o-singura-zi-in-bihor-au-murit-3-oameni-iar-alti-37-au-fost-diagnosticati-aproape-100-de-pacienti-vindecati-158383.html</v>
      </c>
      <c r="L2068" s="5"/>
      <c r="M2068" s="5" t="str">
        <f ca="1">IFERROR(__xludf.DUMMYFUNCTION("""COMPUTED_VALUE"""),"Lugașu de Jos")</f>
        <v>Lugașu de Jos</v>
      </c>
      <c r="N2068" s="5"/>
      <c r="O2068" s="5"/>
      <c r="P2068" s="5"/>
      <c r="Q2068" s="5"/>
      <c r="R2068" s="5" t="str">
        <f ca="1">IFERROR(__xludf.DUMMYFUNCTION("""COMPUTED_VALUE"""),"România")</f>
        <v>România</v>
      </c>
      <c r="S2068" s="5" t="str">
        <f ca="1">IFERROR(__xludf.DUMMYFUNCTION("""COMPUTED_VALUE"""),"Octavian")</f>
        <v>Octavian</v>
      </c>
      <c r="T2068" s="7" t="str">
        <f ca="1">IFERROR(__xludf.DUMMYFUNCTION("""COMPUTED_VALUE"""),"http://www.ms.ro/2020/08/25/buletin-informativ-25-08-2020")</f>
        <v>http://www.ms.ro/2020/08/25/buletin-informativ-25-08-2020</v>
      </c>
      <c r="U2068" s="5"/>
      <c r="V2068" s="5"/>
      <c r="W2068" s="5"/>
      <c r="X2068" s="5"/>
      <c r="Y2068" s="5"/>
      <c r="Z2068" s="5"/>
      <c r="AA2068" s="5"/>
      <c r="AB2068" s="5"/>
      <c r="AC2068" s="5"/>
    </row>
    <row r="2069" spans="1:29" ht="12.5">
      <c r="A2069" s="5">
        <f ca="1">IFERROR(__xludf.DUMMYFUNCTION("""COMPUTED_VALUE"""),79459)</f>
        <v>79459</v>
      </c>
      <c r="B2069" s="5"/>
      <c r="C2069" s="5" t="str">
        <f ca="1">IFERROR(__xludf.DUMMYFUNCTION("""COMPUTED_VALUE"""),"Bihor")</f>
        <v>Bihor</v>
      </c>
      <c r="D2069" s="13">
        <f ca="1">IFERROR(__xludf.DUMMYFUNCTION("""COMPUTED_VALUE"""),44068)</f>
        <v>44068</v>
      </c>
      <c r="E2069" s="5" t="str">
        <f ca="1">IFERROR(__xludf.DUMMYFUNCTION("""COMPUTED_VALUE"""),"Nu")</f>
        <v>Nu</v>
      </c>
      <c r="F2069" s="5"/>
      <c r="G2069" s="5"/>
      <c r="H2069" s="6"/>
      <c r="I2069" s="5"/>
      <c r="J2069" s="5"/>
      <c r="K2069" s="7" t="str">
        <f ca="1">IFERROR(__xludf.DUMMYFUNCTION("""COMPUTED_VALUE"""),"https://www.ebihoreanul.ro/stiri/record-de-decese-covid-in-romania-58-intr-o-singura-zi-in-bihor-au-murit-3-oameni-iar-alti-37-au-fost-diagnosticati-aproape-100-de-pacienti-vindecati-158383.html")</f>
        <v>https://www.ebihoreanul.ro/stiri/record-de-decese-covid-in-romania-58-intr-o-singura-zi-in-bihor-au-murit-3-oameni-iar-alti-37-au-fost-diagnosticati-aproape-100-de-pacienti-vindecati-158383.html</v>
      </c>
      <c r="L2069" s="5"/>
      <c r="M2069" s="5" t="str">
        <f ca="1">IFERROR(__xludf.DUMMYFUNCTION("""COMPUTED_VALUE"""),"Oșorhei")</f>
        <v>Oșorhei</v>
      </c>
      <c r="N2069" s="5"/>
      <c r="O2069" s="5"/>
      <c r="P2069" s="5"/>
      <c r="Q2069" s="5"/>
      <c r="R2069" s="5" t="str">
        <f ca="1">IFERROR(__xludf.DUMMYFUNCTION("""COMPUTED_VALUE"""),"România")</f>
        <v>România</v>
      </c>
      <c r="S2069" s="5" t="str">
        <f ca="1">IFERROR(__xludf.DUMMYFUNCTION("""COMPUTED_VALUE"""),"Octavian")</f>
        <v>Octavian</v>
      </c>
      <c r="T2069" s="7" t="str">
        <f ca="1">IFERROR(__xludf.DUMMYFUNCTION("""COMPUTED_VALUE"""),"http://www.ms.ro/2020/08/25/buletin-informativ-25-08-2020")</f>
        <v>http://www.ms.ro/2020/08/25/buletin-informativ-25-08-2020</v>
      </c>
      <c r="U2069" s="5"/>
      <c r="V2069" s="5"/>
      <c r="W2069" s="5"/>
      <c r="X2069" s="5"/>
      <c r="Y2069" s="5"/>
      <c r="Z2069" s="5"/>
      <c r="AA2069" s="5"/>
      <c r="AB2069" s="5"/>
      <c r="AC2069" s="5"/>
    </row>
    <row r="2070" spans="1:29" ht="12.5">
      <c r="A2070" s="5">
        <f ca="1">IFERROR(__xludf.DUMMYFUNCTION("""COMPUTED_VALUE"""),79460)</f>
        <v>79460</v>
      </c>
      <c r="B2070" s="5"/>
      <c r="C2070" s="5" t="str">
        <f ca="1">IFERROR(__xludf.DUMMYFUNCTION("""COMPUTED_VALUE"""),"Bihor")</f>
        <v>Bihor</v>
      </c>
      <c r="D2070" s="13">
        <f ca="1">IFERROR(__xludf.DUMMYFUNCTION("""COMPUTED_VALUE"""),44068)</f>
        <v>44068</v>
      </c>
      <c r="E2070" s="5" t="str">
        <f ca="1">IFERROR(__xludf.DUMMYFUNCTION("""COMPUTED_VALUE"""),"Nu")</f>
        <v>Nu</v>
      </c>
      <c r="F2070" s="5"/>
      <c r="G2070" s="5"/>
      <c r="H2070" s="6"/>
      <c r="I2070" s="5"/>
      <c r="J2070" s="5"/>
      <c r="K2070" s="7" t="str">
        <f ca="1">IFERROR(__xludf.DUMMYFUNCTION("""COMPUTED_VALUE"""),"https://www.ebihoreanul.ro/stiri/record-de-decese-covid-in-romania-58-intr-o-singura-zi-in-bihor-au-murit-3-oameni-iar-alti-37-au-fost-diagnosticati-aproape-100-de-pacienti-vindecati-158383.html")</f>
        <v>https://www.ebihoreanul.ro/stiri/record-de-decese-covid-in-romania-58-intr-o-singura-zi-in-bihor-au-murit-3-oameni-iar-alti-37-au-fost-diagnosticati-aproape-100-de-pacienti-vindecati-158383.html</v>
      </c>
      <c r="L2070" s="5"/>
      <c r="M2070" s="5" t="str">
        <f ca="1">IFERROR(__xludf.DUMMYFUNCTION("""COMPUTED_VALUE"""),"Borod")</f>
        <v>Borod</v>
      </c>
      <c r="N2070" s="5"/>
      <c r="O2070" s="5"/>
      <c r="P2070" s="5"/>
      <c r="Q2070" s="5"/>
      <c r="R2070" s="5" t="str">
        <f ca="1">IFERROR(__xludf.DUMMYFUNCTION("""COMPUTED_VALUE"""),"România")</f>
        <v>România</v>
      </c>
      <c r="S2070" s="5" t="str">
        <f ca="1">IFERROR(__xludf.DUMMYFUNCTION("""COMPUTED_VALUE"""),"Octavian")</f>
        <v>Octavian</v>
      </c>
      <c r="T2070" s="7" t="str">
        <f ca="1">IFERROR(__xludf.DUMMYFUNCTION("""COMPUTED_VALUE"""),"http://www.ms.ro/2020/08/25/buletin-informativ-25-08-2020")</f>
        <v>http://www.ms.ro/2020/08/25/buletin-informativ-25-08-2020</v>
      </c>
      <c r="U2070" s="5"/>
      <c r="V2070" s="5"/>
      <c r="W2070" s="5"/>
      <c r="X2070" s="5"/>
      <c r="Y2070" s="5"/>
      <c r="Z2070" s="5"/>
      <c r="AA2070" s="5"/>
      <c r="AB2070" s="5"/>
      <c r="AC2070" s="5"/>
    </row>
    <row r="2071" spans="1:29" ht="12.5">
      <c r="A2071" s="5">
        <f ca="1">IFERROR(__xludf.DUMMYFUNCTION("""COMPUTED_VALUE"""),79461)</f>
        <v>79461</v>
      </c>
      <c r="B2071" s="5"/>
      <c r="C2071" s="5" t="str">
        <f ca="1">IFERROR(__xludf.DUMMYFUNCTION("""COMPUTED_VALUE"""),"Bihor")</f>
        <v>Bihor</v>
      </c>
      <c r="D2071" s="13">
        <f ca="1">IFERROR(__xludf.DUMMYFUNCTION("""COMPUTED_VALUE"""),44068)</f>
        <v>44068</v>
      </c>
      <c r="E2071" s="5" t="str">
        <f ca="1">IFERROR(__xludf.DUMMYFUNCTION("""COMPUTED_VALUE"""),"Nu")</f>
        <v>Nu</v>
      </c>
      <c r="F2071" s="5"/>
      <c r="G2071" s="5"/>
      <c r="H2071" s="6"/>
      <c r="I2071" s="5"/>
      <c r="J2071" s="5"/>
      <c r="K2071" s="7" t="str">
        <f ca="1">IFERROR(__xludf.DUMMYFUNCTION("""COMPUTED_VALUE"""),"https://www.ebihoreanul.ro/stiri/record-de-decese-covid-in-romania-58-intr-o-singura-zi-in-bihor-au-murit-3-oameni-iar-alti-37-au-fost-diagnosticati-aproape-100-de-pacienti-vindecati-158383.html")</f>
        <v>https://www.ebihoreanul.ro/stiri/record-de-decese-covid-in-romania-58-intr-o-singura-zi-in-bihor-au-murit-3-oameni-iar-alti-37-au-fost-diagnosticati-aproape-100-de-pacienti-vindecati-158383.html</v>
      </c>
      <c r="L2071" s="5"/>
      <c r="M2071" s="5" t="str">
        <f ca="1">IFERROR(__xludf.DUMMYFUNCTION("""COMPUTED_VALUE"""),"Hidișelu de Sus")</f>
        <v>Hidișelu de Sus</v>
      </c>
      <c r="N2071" s="5"/>
      <c r="O2071" s="5"/>
      <c r="P2071" s="5"/>
      <c r="Q2071" s="5"/>
      <c r="R2071" s="5" t="str">
        <f ca="1">IFERROR(__xludf.DUMMYFUNCTION("""COMPUTED_VALUE"""),"România")</f>
        <v>România</v>
      </c>
      <c r="S2071" s="5" t="str">
        <f ca="1">IFERROR(__xludf.DUMMYFUNCTION("""COMPUTED_VALUE"""),"Octavian")</f>
        <v>Octavian</v>
      </c>
      <c r="T2071" s="7" t="str">
        <f ca="1">IFERROR(__xludf.DUMMYFUNCTION("""COMPUTED_VALUE"""),"http://www.ms.ro/2020/08/25/buletin-informativ-25-08-2020")</f>
        <v>http://www.ms.ro/2020/08/25/buletin-informativ-25-08-2020</v>
      </c>
      <c r="U2071" s="5"/>
      <c r="V2071" s="5"/>
      <c r="W2071" s="5"/>
      <c r="X2071" s="5"/>
      <c r="Y2071" s="5"/>
      <c r="Z2071" s="5"/>
      <c r="AA2071" s="5"/>
      <c r="AB2071" s="5"/>
      <c r="AC2071" s="5"/>
    </row>
    <row r="2072" spans="1:29" ht="12.5">
      <c r="A2072" s="5">
        <f ca="1">IFERROR(__xludf.DUMMYFUNCTION("""COMPUTED_VALUE"""),79462)</f>
        <v>79462</v>
      </c>
      <c r="B2072" s="5"/>
      <c r="C2072" s="5" t="str">
        <f ca="1">IFERROR(__xludf.DUMMYFUNCTION("""COMPUTED_VALUE"""),"Bihor")</f>
        <v>Bihor</v>
      </c>
      <c r="D2072" s="13">
        <f ca="1">IFERROR(__xludf.DUMMYFUNCTION("""COMPUTED_VALUE"""),44068)</f>
        <v>44068</v>
      </c>
      <c r="E2072" s="5" t="str">
        <f ca="1">IFERROR(__xludf.DUMMYFUNCTION("""COMPUTED_VALUE"""),"Nu")</f>
        <v>Nu</v>
      </c>
      <c r="F2072" s="5"/>
      <c r="G2072" s="5"/>
      <c r="H2072" s="6"/>
      <c r="I2072" s="5"/>
      <c r="J2072" s="5"/>
      <c r="K2072" s="7" t="str">
        <f ca="1">IFERROR(__xludf.DUMMYFUNCTION("""COMPUTED_VALUE"""),"https://www.ebihoreanul.ro/stiri/record-de-decese-covid-in-romania-58-intr-o-singura-zi-in-bihor-au-murit-3-oameni-iar-alti-37-au-fost-diagnosticati-aproape-100-de-pacienti-vindecati-158383.html")</f>
        <v>https://www.ebihoreanul.ro/stiri/record-de-decese-covid-in-romania-58-intr-o-singura-zi-in-bihor-au-murit-3-oameni-iar-alti-37-au-fost-diagnosticati-aproape-100-de-pacienti-vindecati-158383.html</v>
      </c>
      <c r="L2072" s="5"/>
      <c r="M2072" s="5" t="str">
        <f ca="1">IFERROR(__xludf.DUMMYFUNCTION("""COMPUTED_VALUE"""),"Nohorid")</f>
        <v>Nohorid</v>
      </c>
      <c r="N2072" s="5"/>
      <c r="O2072" s="5"/>
      <c r="P2072" s="5"/>
      <c r="Q2072" s="5"/>
      <c r="R2072" s="5" t="str">
        <f ca="1">IFERROR(__xludf.DUMMYFUNCTION("""COMPUTED_VALUE"""),"România")</f>
        <v>România</v>
      </c>
      <c r="S2072" s="5" t="str">
        <f ca="1">IFERROR(__xludf.DUMMYFUNCTION("""COMPUTED_VALUE"""),"Octavian")</f>
        <v>Octavian</v>
      </c>
      <c r="T2072" s="7" t="str">
        <f ca="1">IFERROR(__xludf.DUMMYFUNCTION("""COMPUTED_VALUE"""),"http://www.ms.ro/2020/08/25/buletin-informativ-25-08-2020")</f>
        <v>http://www.ms.ro/2020/08/25/buletin-informativ-25-08-2020</v>
      </c>
      <c r="U2072" s="5"/>
      <c r="V2072" s="5"/>
      <c r="W2072" s="5"/>
      <c r="X2072" s="5"/>
      <c r="Y2072" s="5"/>
      <c r="Z2072" s="5"/>
      <c r="AA2072" s="5"/>
      <c r="AB2072" s="5"/>
      <c r="AC2072" s="5"/>
    </row>
    <row r="2073" spans="1:29" ht="12.5">
      <c r="A2073" s="5">
        <f ca="1">IFERROR(__xludf.DUMMYFUNCTION("""COMPUTED_VALUE"""),79463)</f>
        <v>79463</v>
      </c>
      <c r="B2073" s="5"/>
      <c r="C2073" s="5" t="str">
        <f ca="1">IFERROR(__xludf.DUMMYFUNCTION("""COMPUTED_VALUE"""),"Bihor")</f>
        <v>Bihor</v>
      </c>
      <c r="D2073" s="13">
        <f ca="1">IFERROR(__xludf.DUMMYFUNCTION("""COMPUTED_VALUE"""),44068)</f>
        <v>44068</v>
      </c>
      <c r="E2073" s="5" t="str">
        <f ca="1">IFERROR(__xludf.DUMMYFUNCTION("""COMPUTED_VALUE"""),"Nu")</f>
        <v>Nu</v>
      </c>
      <c r="F2073" s="5"/>
      <c r="G2073" s="5"/>
      <c r="H2073" s="6"/>
      <c r="I2073" s="5"/>
      <c r="J2073" s="5"/>
      <c r="K2073" s="7" t="str">
        <f ca="1">IFERROR(__xludf.DUMMYFUNCTION("""COMPUTED_VALUE"""),"https://www.ebihoreanul.ro/stiri/record-de-decese-covid-in-romania-58-intr-o-singura-zi-in-bihor-au-murit-3-oameni-iar-alti-37-au-fost-diagnosticati-aproape-100-de-pacienti-vindecati-158383.html")</f>
        <v>https://www.ebihoreanul.ro/stiri/record-de-decese-covid-in-romania-58-intr-o-singura-zi-in-bihor-au-murit-3-oameni-iar-alti-37-au-fost-diagnosticati-aproape-100-de-pacienti-vindecati-158383.html</v>
      </c>
      <c r="L2073" s="5"/>
      <c r="M2073" s="5" t="str">
        <f ca="1">IFERROR(__xludf.DUMMYFUNCTION("""COMPUTED_VALUE"""),"Sânmartin")</f>
        <v>Sânmartin</v>
      </c>
      <c r="N2073" s="5"/>
      <c r="O2073" s="5"/>
      <c r="P2073" s="5"/>
      <c r="Q2073" s="5"/>
      <c r="R2073" s="5" t="str">
        <f ca="1">IFERROR(__xludf.DUMMYFUNCTION("""COMPUTED_VALUE"""),"România")</f>
        <v>România</v>
      </c>
      <c r="S2073" s="5" t="str">
        <f ca="1">IFERROR(__xludf.DUMMYFUNCTION("""COMPUTED_VALUE"""),"Octavian")</f>
        <v>Octavian</v>
      </c>
      <c r="T2073" s="7" t="str">
        <f ca="1">IFERROR(__xludf.DUMMYFUNCTION("""COMPUTED_VALUE"""),"http://www.ms.ro/2020/08/25/buletin-informativ-25-08-2020")</f>
        <v>http://www.ms.ro/2020/08/25/buletin-informativ-25-08-2020</v>
      </c>
      <c r="U2073" s="5"/>
      <c r="V2073" s="5"/>
      <c r="W2073" s="5"/>
      <c r="X2073" s="5"/>
      <c r="Y2073" s="5"/>
      <c r="Z2073" s="5"/>
      <c r="AA2073" s="5"/>
      <c r="AB2073" s="5"/>
      <c r="AC2073" s="5"/>
    </row>
    <row r="2074" spans="1:29" ht="12.5">
      <c r="A2074" s="5">
        <f ca="1">IFERROR(__xludf.DUMMYFUNCTION("""COMPUTED_VALUE"""),79464)</f>
        <v>79464</v>
      </c>
      <c r="B2074" s="5"/>
      <c r="C2074" s="5" t="str">
        <f ca="1">IFERROR(__xludf.DUMMYFUNCTION("""COMPUTED_VALUE"""),"Bihor")</f>
        <v>Bihor</v>
      </c>
      <c r="D2074" s="13">
        <f ca="1">IFERROR(__xludf.DUMMYFUNCTION("""COMPUTED_VALUE"""),44068)</f>
        <v>44068</v>
      </c>
      <c r="E2074" s="5" t="str">
        <f ca="1">IFERROR(__xludf.DUMMYFUNCTION("""COMPUTED_VALUE"""),"Nu")</f>
        <v>Nu</v>
      </c>
      <c r="F2074" s="5"/>
      <c r="G2074" s="5"/>
      <c r="H2074" s="6"/>
      <c r="I2074" s="5"/>
      <c r="J2074" s="5"/>
      <c r="K2074" s="7" t="str">
        <f ca="1">IFERROR(__xludf.DUMMYFUNCTION("""COMPUTED_VALUE"""),"https://www.ebihoreanul.ro/stiri/record-de-decese-covid-in-romania-58-intr-o-singura-zi-in-bihor-au-murit-3-oameni-iar-alti-37-au-fost-diagnosticati-aproape-100-de-pacienti-vindecati-158383.html")</f>
        <v>https://www.ebihoreanul.ro/stiri/record-de-decese-covid-in-romania-58-intr-o-singura-zi-in-bihor-au-murit-3-oameni-iar-alti-37-au-fost-diagnosticati-aproape-100-de-pacienti-vindecati-158383.html</v>
      </c>
      <c r="L2074" s="5"/>
      <c r="M2074" s="5"/>
      <c r="N2074" s="5"/>
      <c r="O2074" s="5"/>
      <c r="P2074" s="5"/>
      <c r="Q2074" s="5"/>
      <c r="R2074" s="5" t="str">
        <f ca="1">IFERROR(__xludf.DUMMYFUNCTION("""COMPUTED_VALUE"""),"România")</f>
        <v>România</v>
      </c>
      <c r="S2074" s="5" t="str">
        <f ca="1">IFERROR(__xludf.DUMMYFUNCTION("""COMPUTED_VALUE"""),"Octavian")</f>
        <v>Octavian</v>
      </c>
      <c r="T2074" s="7" t="str">
        <f ca="1">IFERROR(__xludf.DUMMYFUNCTION("""COMPUTED_VALUE"""),"http://www.ms.ro/2020/08/25/buletin-informativ-25-08-2020")</f>
        <v>http://www.ms.ro/2020/08/25/buletin-informativ-25-08-2020</v>
      </c>
      <c r="U2074" s="5"/>
      <c r="V2074" s="5"/>
      <c r="W2074" s="5"/>
      <c r="X2074" s="5"/>
      <c r="Y2074" s="5"/>
      <c r="Z2074" s="5"/>
      <c r="AA2074" s="5"/>
      <c r="AB2074" s="5"/>
      <c r="AC2074" s="5"/>
    </row>
    <row r="2075" spans="1:29" ht="12.5">
      <c r="A2075" s="5">
        <f ca="1">IFERROR(__xludf.DUMMYFUNCTION("""COMPUTED_VALUE"""),79465)</f>
        <v>79465</v>
      </c>
      <c r="B2075" s="5"/>
      <c r="C2075" s="5" t="str">
        <f ca="1">IFERROR(__xludf.DUMMYFUNCTION("""COMPUTED_VALUE"""),"Bihor")</f>
        <v>Bihor</v>
      </c>
      <c r="D2075" s="13">
        <f ca="1">IFERROR(__xludf.DUMMYFUNCTION("""COMPUTED_VALUE"""),44068)</f>
        <v>44068</v>
      </c>
      <c r="E2075" s="5" t="str">
        <f ca="1">IFERROR(__xludf.DUMMYFUNCTION("""COMPUTED_VALUE"""),"Nu")</f>
        <v>Nu</v>
      </c>
      <c r="F2075" s="5"/>
      <c r="G2075" s="5"/>
      <c r="H2075" s="6"/>
      <c r="I2075" s="5"/>
      <c r="J2075" s="5"/>
      <c r="K2075" s="7" t="str">
        <f ca="1">IFERROR(__xludf.DUMMYFUNCTION("""COMPUTED_VALUE"""),"https://www.ebihoreanul.ro/stiri/record-de-decese-covid-in-romania-58-intr-o-singura-zi-in-bihor-au-murit-3-oameni-iar-alti-37-au-fost-diagnosticati-aproape-100-de-pacienti-vindecati-158383.html")</f>
        <v>https://www.ebihoreanul.ro/stiri/record-de-decese-covid-in-romania-58-intr-o-singura-zi-in-bihor-au-murit-3-oameni-iar-alti-37-au-fost-diagnosticati-aproape-100-de-pacienti-vindecati-158383.html</v>
      </c>
      <c r="L2075" s="5"/>
      <c r="M2075" s="5"/>
      <c r="N2075" s="5"/>
      <c r="O2075" s="5"/>
      <c r="P2075" s="5"/>
      <c r="Q2075" s="5"/>
      <c r="R2075" s="5" t="str">
        <f ca="1">IFERROR(__xludf.DUMMYFUNCTION("""COMPUTED_VALUE"""),"România")</f>
        <v>România</v>
      </c>
      <c r="S2075" s="5" t="str">
        <f ca="1">IFERROR(__xludf.DUMMYFUNCTION("""COMPUTED_VALUE"""),"Octavian")</f>
        <v>Octavian</v>
      </c>
      <c r="T2075" s="7" t="str">
        <f ca="1">IFERROR(__xludf.DUMMYFUNCTION("""COMPUTED_VALUE"""),"http://www.ms.ro/2020/08/25/buletin-informativ-25-08-2020")</f>
        <v>http://www.ms.ro/2020/08/25/buletin-informativ-25-08-2020</v>
      </c>
      <c r="U2075" s="5"/>
      <c r="V2075" s="5"/>
      <c r="W2075" s="5"/>
      <c r="X2075" s="5"/>
      <c r="Y2075" s="5"/>
      <c r="Z2075" s="5"/>
      <c r="AA2075" s="5"/>
      <c r="AB2075" s="5"/>
      <c r="AC2075" s="5"/>
    </row>
    <row r="2076" spans="1:29" ht="12.5">
      <c r="A2076" s="5">
        <f ca="1">IFERROR(__xludf.DUMMYFUNCTION("""COMPUTED_VALUE"""),79466)</f>
        <v>79466</v>
      </c>
      <c r="B2076" s="5"/>
      <c r="C2076" s="5" t="str">
        <f ca="1">IFERROR(__xludf.DUMMYFUNCTION("""COMPUTED_VALUE"""),"Bihor")</f>
        <v>Bihor</v>
      </c>
      <c r="D2076" s="13">
        <f ca="1">IFERROR(__xludf.DUMMYFUNCTION("""COMPUTED_VALUE"""),44068)</f>
        <v>44068</v>
      </c>
      <c r="E2076" s="5" t="str">
        <f ca="1">IFERROR(__xludf.DUMMYFUNCTION("""COMPUTED_VALUE"""),"Nu")</f>
        <v>Nu</v>
      </c>
      <c r="F2076" s="5"/>
      <c r="G2076" s="5"/>
      <c r="H2076" s="6"/>
      <c r="I2076" s="5"/>
      <c r="J2076" s="5"/>
      <c r="K2076" s="7" t="str">
        <f ca="1">IFERROR(__xludf.DUMMYFUNCTION("""COMPUTED_VALUE"""),"https://www.ebihoreanul.ro/stiri/record-de-decese-covid-in-romania-58-intr-o-singura-zi-in-bihor-au-murit-3-oameni-iar-alti-37-au-fost-diagnosticati-aproape-100-de-pacienti-vindecati-158383.html")</f>
        <v>https://www.ebihoreanul.ro/stiri/record-de-decese-covid-in-romania-58-intr-o-singura-zi-in-bihor-au-murit-3-oameni-iar-alti-37-au-fost-diagnosticati-aproape-100-de-pacienti-vindecati-158383.html</v>
      </c>
      <c r="L2076" s="5"/>
      <c r="M2076" s="5"/>
      <c r="N2076" s="5"/>
      <c r="O2076" s="5"/>
      <c r="P2076" s="5"/>
      <c r="Q2076" s="5"/>
      <c r="R2076" s="5" t="str">
        <f ca="1">IFERROR(__xludf.DUMMYFUNCTION("""COMPUTED_VALUE"""),"România")</f>
        <v>România</v>
      </c>
      <c r="S2076" s="5" t="str">
        <f ca="1">IFERROR(__xludf.DUMMYFUNCTION("""COMPUTED_VALUE"""),"Octavian")</f>
        <v>Octavian</v>
      </c>
      <c r="T2076" s="7" t="str">
        <f ca="1">IFERROR(__xludf.DUMMYFUNCTION("""COMPUTED_VALUE"""),"http://www.ms.ro/2020/08/25/buletin-informativ-25-08-2020")</f>
        <v>http://www.ms.ro/2020/08/25/buletin-informativ-25-08-2020</v>
      </c>
      <c r="U2076" s="5"/>
      <c r="V2076" s="5"/>
      <c r="W2076" s="5"/>
      <c r="X2076" s="5"/>
      <c r="Y2076" s="5"/>
      <c r="Z2076" s="5"/>
      <c r="AA2076" s="5"/>
      <c r="AB2076" s="5"/>
      <c r="AC2076" s="5"/>
    </row>
    <row r="2077" spans="1:29" ht="12.5">
      <c r="A2077" s="5">
        <f ca="1">IFERROR(__xludf.DUMMYFUNCTION("""COMPUTED_VALUE"""),79467)</f>
        <v>79467</v>
      </c>
      <c r="B2077" s="5"/>
      <c r="C2077" s="5" t="str">
        <f ca="1">IFERROR(__xludf.DUMMYFUNCTION("""COMPUTED_VALUE"""),"Bihor")</f>
        <v>Bihor</v>
      </c>
      <c r="D2077" s="13">
        <f ca="1">IFERROR(__xludf.DUMMYFUNCTION("""COMPUTED_VALUE"""),44068)</f>
        <v>44068</v>
      </c>
      <c r="E2077" s="5" t="str">
        <f ca="1">IFERROR(__xludf.DUMMYFUNCTION("""COMPUTED_VALUE"""),"Nu")</f>
        <v>Nu</v>
      </c>
      <c r="F2077" s="5"/>
      <c r="G2077" s="5"/>
      <c r="H2077" s="6"/>
      <c r="I2077" s="5"/>
      <c r="J2077" s="5"/>
      <c r="K2077" s="7" t="str">
        <f ca="1">IFERROR(__xludf.DUMMYFUNCTION("""COMPUTED_VALUE"""),"https://www.ebihoreanul.ro/stiri/record-de-decese-covid-in-romania-58-intr-o-singura-zi-in-bihor-au-murit-3-oameni-iar-alti-37-au-fost-diagnosticati-aproape-100-de-pacienti-vindecati-158383.html")</f>
        <v>https://www.ebihoreanul.ro/stiri/record-de-decese-covid-in-romania-58-intr-o-singura-zi-in-bihor-au-murit-3-oameni-iar-alti-37-au-fost-diagnosticati-aproape-100-de-pacienti-vindecati-158383.html</v>
      </c>
      <c r="L2077" s="5"/>
      <c r="M2077" s="5"/>
      <c r="N2077" s="5"/>
      <c r="O2077" s="5"/>
      <c r="P2077" s="5"/>
      <c r="Q2077" s="5"/>
      <c r="R2077" s="5" t="str">
        <f ca="1">IFERROR(__xludf.DUMMYFUNCTION("""COMPUTED_VALUE"""),"România")</f>
        <v>România</v>
      </c>
      <c r="S2077" s="5" t="str">
        <f ca="1">IFERROR(__xludf.DUMMYFUNCTION("""COMPUTED_VALUE"""),"Octavian")</f>
        <v>Octavian</v>
      </c>
      <c r="T2077" s="7" t="str">
        <f ca="1">IFERROR(__xludf.DUMMYFUNCTION("""COMPUTED_VALUE"""),"http://www.ms.ro/2020/08/25/buletin-informativ-25-08-2020")</f>
        <v>http://www.ms.ro/2020/08/25/buletin-informativ-25-08-2020</v>
      </c>
      <c r="U2077" s="5"/>
      <c r="V2077" s="5"/>
      <c r="W2077" s="5"/>
      <c r="X2077" s="5"/>
      <c r="Y2077" s="5"/>
      <c r="Z2077" s="5"/>
      <c r="AA2077" s="5"/>
      <c r="AB2077" s="5"/>
      <c r="AC2077" s="5"/>
    </row>
    <row r="2078" spans="1:29" ht="12.5">
      <c r="A2078" s="5">
        <f ca="1">IFERROR(__xludf.DUMMYFUNCTION("""COMPUTED_VALUE"""),79468)</f>
        <v>79468</v>
      </c>
      <c r="B2078" s="5"/>
      <c r="C2078" s="5" t="str">
        <f ca="1">IFERROR(__xludf.DUMMYFUNCTION("""COMPUTED_VALUE"""),"Bihor")</f>
        <v>Bihor</v>
      </c>
      <c r="D2078" s="13">
        <f ca="1">IFERROR(__xludf.DUMMYFUNCTION("""COMPUTED_VALUE"""),44068)</f>
        <v>44068</v>
      </c>
      <c r="E2078" s="5" t="str">
        <f ca="1">IFERROR(__xludf.DUMMYFUNCTION("""COMPUTED_VALUE"""),"Nu")</f>
        <v>Nu</v>
      </c>
      <c r="F2078" s="5"/>
      <c r="G2078" s="5"/>
      <c r="H2078" s="6"/>
      <c r="I2078" s="5"/>
      <c r="J2078" s="5"/>
      <c r="K2078" s="7" t="str">
        <f ca="1">IFERROR(__xludf.DUMMYFUNCTION("""COMPUTED_VALUE"""),"https://www.ebihoreanul.ro/stiri/record-de-decese-covid-in-romania-58-intr-o-singura-zi-in-bihor-au-murit-3-oameni-iar-alti-37-au-fost-diagnosticati-aproape-100-de-pacienti-vindecati-158383.html")</f>
        <v>https://www.ebihoreanul.ro/stiri/record-de-decese-covid-in-romania-58-intr-o-singura-zi-in-bihor-au-murit-3-oameni-iar-alti-37-au-fost-diagnosticati-aproape-100-de-pacienti-vindecati-158383.html</v>
      </c>
      <c r="L2078" s="5"/>
      <c r="M2078" s="5"/>
      <c r="N2078" s="5"/>
      <c r="O2078" s="5"/>
      <c r="P2078" s="5"/>
      <c r="Q2078" s="5"/>
      <c r="R2078" s="5" t="str">
        <f ca="1">IFERROR(__xludf.DUMMYFUNCTION("""COMPUTED_VALUE"""),"România")</f>
        <v>România</v>
      </c>
      <c r="S2078" s="5" t="str">
        <f ca="1">IFERROR(__xludf.DUMMYFUNCTION("""COMPUTED_VALUE"""),"Octavian")</f>
        <v>Octavian</v>
      </c>
      <c r="T2078" s="7" t="str">
        <f ca="1">IFERROR(__xludf.DUMMYFUNCTION("""COMPUTED_VALUE"""),"http://www.ms.ro/2020/08/25/buletin-informativ-25-08-2020")</f>
        <v>http://www.ms.ro/2020/08/25/buletin-informativ-25-08-2020</v>
      </c>
      <c r="U2078" s="5"/>
      <c r="V2078" s="5"/>
      <c r="W2078" s="5"/>
      <c r="X2078" s="5"/>
      <c r="Y2078" s="5"/>
      <c r="Z2078" s="5"/>
      <c r="AA2078" s="5"/>
      <c r="AB2078" s="5"/>
      <c r="AC2078" s="5"/>
    </row>
    <row r="2079" spans="1:29" ht="12.5">
      <c r="A2079" s="5">
        <f ca="1">IFERROR(__xludf.DUMMYFUNCTION("""COMPUTED_VALUE"""),79469)</f>
        <v>79469</v>
      </c>
      <c r="B2079" s="5"/>
      <c r="C2079" s="5" t="str">
        <f ca="1">IFERROR(__xludf.DUMMYFUNCTION("""COMPUTED_VALUE"""),"Bihor")</f>
        <v>Bihor</v>
      </c>
      <c r="D2079" s="13">
        <f ca="1">IFERROR(__xludf.DUMMYFUNCTION("""COMPUTED_VALUE"""),44068)</f>
        <v>44068</v>
      </c>
      <c r="E2079" s="5" t="str">
        <f ca="1">IFERROR(__xludf.DUMMYFUNCTION("""COMPUTED_VALUE"""),"Nu")</f>
        <v>Nu</v>
      </c>
      <c r="F2079" s="5"/>
      <c r="G2079" s="5"/>
      <c r="H2079" s="6"/>
      <c r="I2079" s="5"/>
      <c r="J2079" s="5"/>
      <c r="K2079" s="7" t="str">
        <f ca="1">IFERROR(__xludf.DUMMYFUNCTION("""COMPUTED_VALUE"""),"https://www.ebihoreanul.ro/stiri/record-de-decese-covid-in-romania-58-intr-o-singura-zi-in-bihor-au-murit-3-oameni-iar-alti-37-au-fost-diagnosticati-aproape-100-de-pacienti-vindecati-158383.html")</f>
        <v>https://www.ebihoreanul.ro/stiri/record-de-decese-covid-in-romania-58-intr-o-singura-zi-in-bihor-au-murit-3-oameni-iar-alti-37-au-fost-diagnosticati-aproape-100-de-pacienti-vindecati-158383.html</v>
      </c>
      <c r="L2079" s="5"/>
      <c r="M2079" s="5"/>
      <c r="N2079" s="5"/>
      <c r="O2079" s="5"/>
      <c r="P2079" s="5"/>
      <c r="Q2079" s="5"/>
      <c r="R2079" s="5" t="str">
        <f ca="1">IFERROR(__xludf.DUMMYFUNCTION("""COMPUTED_VALUE"""),"România")</f>
        <v>România</v>
      </c>
      <c r="S2079" s="5" t="str">
        <f ca="1">IFERROR(__xludf.DUMMYFUNCTION("""COMPUTED_VALUE"""),"Octavian")</f>
        <v>Octavian</v>
      </c>
      <c r="T2079" s="7" t="str">
        <f ca="1">IFERROR(__xludf.DUMMYFUNCTION("""COMPUTED_VALUE"""),"http://www.ms.ro/2020/08/25/buletin-informativ-25-08-2020")</f>
        <v>http://www.ms.ro/2020/08/25/buletin-informativ-25-08-2020</v>
      </c>
      <c r="U2079" s="5"/>
      <c r="V2079" s="5"/>
      <c r="W2079" s="5"/>
      <c r="X2079" s="5"/>
      <c r="Y2079" s="5"/>
      <c r="Z2079" s="5"/>
      <c r="AA2079" s="5"/>
      <c r="AB2079" s="5"/>
      <c r="AC2079" s="5"/>
    </row>
    <row r="2080" spans="1:29" ht="12.5">
      <c r="A2080" s="5">
        <f ca="1">IFERROR(__xludf.DUMMYFUNCTION("""COMPUTED_VALUE"""),79470)</f>
        <v>79470</v>
      </c>
      <c r="B2080" s="5"/>
      <c r="C2080" s="5" t="str">
        <f ca="1">IFERROR(__xludf.DUMMYFUNCTION("""COMPUTED_VALUE"""),"Bihor")</f>
        <v>Bihor</v>
      </c>
      <c r="D2080" s="13">
        <f ca="1">IFERROR(__xludf.DUMMYFUNCTION("""COMPUTED_VALUE"""),44068)</f>
        <v>44068</v>
      </c>
      <c r="E2080" s="5" t="str">
        <f ca="1">IFERROR(__xludf.DUMMYFUNCTION("""COMPUTED_VALUE"""),"Nu")</f>
        <v>Nu</v>
      </c>
      <c r="F2080" s="5"/>
      <c r="G2080" s="5"/>
      <c r="H2080" s="6"/>
      <c r="I2080" s="5"/>
      <c r="J2080" s="5"/>
      <c r="K2080" s="7" t="str">
        <f ca="1">IFERROR(__xludf.DUMMYFUNCTION("""COMPUTED_VALUE"""),"https://www.ebihoreanul.ro/stiri/record-de-decese-covid-in-romania-58-intr-o-singura-zi-in-bihor-au-murit-3-oameni-iar-alti-37-au-fost-diagnosticati-aproape-100-de-pacienti-vindecati-158383.html")</f>
        <v>https://www.ebihoreanul.ro/stiri/record-de-decese-covid-in-romania-58-intr-o-singura-zi-in-bihor-au-murit-3-oameni-iar-alti-37-au-fost-diagnosticati-aproape-100-de-pacienti-vindecati-158383.html</v>
      </c>
      <c r="L2080" s="5"/>
      <c r="M2080" s="5"/>
      <c r="N2080" s="5"/>
      <c r="O2080" s="5"/>
      <c r="P2080" s="5"/>
      <c r="Q2080" s="5"/>
      <c r="R2080" s="5" t="str">
        <f ca="1">IFERROR(__xludf.DUMMYFUNCTION("""COMPUTED_VALUE"""),"România")</f>
        <v>România</v>
      </c>
      <c r="S2080" s="5" t="str">
        <f ca="1">IFERROR(__xludf.DUMMYFUNCTION("""COMPUTED_VALUE"""),"Octavian")</f>
        <v>Octavian</v>
      </c>
      <c r="T2080" s="7" t="str">
        <f ca="1">IFERROR(__xludf.DUMMYFUNCTION("""COMPUTED_VALUE"""),"http://www.ms.ro/2020/08/25/buletin-informativ-25-08-2020")</f>
        <v>http://www.ms.ro/2020/08/25/buletin-informativ-25-08-2020</v>
      </c>
      <c r="U2080" s="5"/>
      <c r="V2080" s="5"/>
      <c r="W2080" s="5"/>
      <c r="X2080" s="5"/>
      <c r="Y2080" s="5"/>
      <c r="Z2080" s="5"/>
      <c r="AA2080" s="5"/>
      <c r="AB2080" s="5"/>
      <c r="AC2080" s="5"/>
    </row>
    <row r="2081" spans="1:29" ht="12.5">
      <c r="A2081" s="5">
        <f ca="1">IFERROR(__xludf.DUMMYFUNCTION("""COMPUTED_VALUE"""),79471)</f>
        <v>79471</v>
      </c>
      <c r="B2081" s="5"/>
      <c r="C2081" s="5" t="str">
        <f ca="1">IFERROR(__xludf.DUMMYFUNCTION("""COMPUTED_VALUE"""),"Bihor")</f>
        <v>Bihor</v>
      </c>
      <c r="D2081" s="13">
        <f ca="1">IFERROR(__xludf.DUMMYFUNCTION("""COMPUTED_VALUE"""),44068)</f>
        <v>44068</v>
      </c>
      <c r="E2081" s="5" t="str">
        <f ca="1">IFERROR(__xludf.DUMMYFUNCTION("""COMPUTED_VALUE"""),"Nu")</f>
        <v>Nu</v>
      </c>
      <c r="F2081" s="5"/>
      <c r="G2081" s="5"/>
      <c r="H2081" s="6"/>
      <c r="I2081" s="5"/>
      <c r="J2081" s="5"/>
      <c r="K2081" s="7" t="str">
        <f ca="1">IFERROR(__xludf.DUMMYFUNCTION("""COMPUTED_VALUE"""),"https://www.ebihoreanul.ro/stiri/record-de-decese-covid-in-romania-58-intr-o-singura-zi-in-bihor-au-murit-3-oameni-iar-alti-37-au-fost-diagnosticati-aproape-100-de-pacienti-vindecati-158383.html")</f>
        <v>https://www.ebihoreanul.ro/stiri/record-de-decese-covid-in-romania-58-intr-o-singura-zi-in-bihor-au-murit-3-oameni-iar-alti-37-au-fost-diagnosticati-aproape-100-de-pacienti-vindecati-158383.html</v>
      </c>
      <c r="L2081" s="5"/>
      <c r="M2081" s="5"/>
      <c r="N2081" s="5"/>
      <c r="O2081" s="5"/>
      <c r="P2081" s="5"/>
      <c r="Q2081" s="5"/>
      <c r="R2081" s="5" t="str">
        <f ca="1">IFERROR(__xludf.DUMMYFUNCTION("""COMPUTED_VALUE"""),"România")</f>
        <v>România</v>
      </c>
      <c r="S2081" s="5" t="str">
        <f ca="1">IFERROR(__xludf.DUMMYFUNCTION("""COMPUTED_VALUE"""),"Octavian")</f>
        <v>Octavian</v>
      </c>
      <c r="T2081" s="7" t="str">
        <f ca="1">IFERROR(__xludf.DUMMYFUNCTION("""COMPUTED_VALUE"""),"http://www.ms.ro/2020/08/25/buletin-informativ-25-08-2020")</f>
        <v>http://www.ms.ro/2020/08/25/buletin-informativ-25-08-2020</v>
      </c>
      <c r="U2081" s="5"/>
      <c r="V2081" s="5"/>
      <c r="W2081" s="5"/>
      <c r="X2081" s="5"/>
      <c r="Y2081" s="5"/>
      <c r="Z2081" s="5"/>
      <c r="AA2081" s="5"/>
      <c r="AB2081" s="5"/>
      <c r="AC2081" s="5"/>
    </row>
    <row r="2082" spans="1:29" ht="12.5">
      <c r="A2082" s="5">
        <f ca="1">IFERROR(__xludf.DUMMYFUNCTION("""COMPUTED_VALUE"""),79472)</f>
        <v>79472</v>
      </c>
      <c r="B2082" s="5"/>
      <c r="C2082" s="5" t="str">
        <f ca="1">IFERROR(__xludf.DUMMYFUNCTION("""COMPUTED_VALUE"""),"Bihor")</f>
        <v>Bihor</v>
      </c>
      <c r="D2082" s="13">
        <f ca="1">IFERROR(__xludf.DUMMYFUNCTION("""COMPUTED_VALUE"""),44068)</f>
        <v>44068</v>
      </c>
      <c r="E2082" s="5" t="str">
        <f ca="1">IFERROR(__xludf.DUMMYFUNCTION("""COMPUTED_VALUE"""),"Nu")</f>
        <v>Nu</v>
      </c>
      <c r="F2082" s="5"/>
      <c r="G2082" s="5"/>
      <c r="H2082" s="6"/>
      <c r="I2082" s="5"/>
      <c r="J2082" s="5"/>
      <c r="K2082" s="7" t="str">
        <f ca="1">IFERROR(__xludf.DUMMYFUNCTION("""COMPUTED_VALUE"""),"https://www.ebihoreanul.ro/stiri/record-de-decese-covid-in-romania-58-intr-o-singura-zi-in-bihor-au-murit-3-oameni-iar-alti-37-au-fost-diagnosticati-aproape-100-de-pacienti-vindecati-158383.html")</f>
        <v>https://www.ebihoreanul.ro/stiri/record-de-decese-covid-in-romania-58-intr-o-singura-zi-in-bihor-au-murit-3-oameni-iar-alti-37-au-fost-diagnosticati-aproape-100-de-pacienti-vindecati-158383.html</v>
      </c>
      <c r="L2082" s="5"/>
      <c r="M2082" s="5"/>
      <c r="N2082" s="5"/>
      <c r="O2082" s="5"/>
      <c r="P2082" s="5"/>
      <c r="Q2082" s="5"/>
      <c r="R2082" s="5" t="str">
        <f ca="1">IFERROR(__xludf.DUMMYFUNCTION("""COMPUTED_VALUE"""),"România")</f>
        <v>România</v>
      </c>
      <c r="S2082" s="5" t="str">
        <f ca="1">IFERROR(__xludf.DUMMYFUNCTION("""COMPUTED_VALUE"""),"Octavian")</f>
        <v>Octavian</v>
      </c>
      <c r="T2082" s="7" t="str">
        <f ca="1">IFERROR(__xludf.DUMMYFUNCTION("""COMPUTED_VALUE"""),"http://www.ms.ro/2020/08/25/buletin-informativ-25-08-2020")</f>
        <v>http://www.ms.ro/2020/08/25/buletin-informativ-25-08-2020</v>
      </c>
      <c r="U2082" s="5"/>
      <c r="V2082" s="5"/>
      <c r="W2082" s="5"/>
      <c r="X2082" s="5"/>
      <c r="Y2082" s="5"/>
      <c r="Z2082" s="5"/>
      <c r="AA2082" s="5"/>
      <c r="AB2082" s="5"/>
      <c r="AC2082" s="5"/>
    </row>
    <row r="2083" spans="1:29" ht="12.5">
      <c r="A2083" s="5">
        <f ca="1">IFERROR(__xludf.DUMMYFUNCTION("""COMPUTED_VALUE"""),79473)</f>
        <v>79473</v>
      </c>
      <c r="B2083" s="5"/>
      <c r="C2083" s="5" t="str">
        <f ca="1">IFERROR(__xludf.DUMMYFUNCTION("""COMPUTED_VALUE"""),"Bihor")</f>
        <v>Bihor</v>
      </c>
      <c r="D2083" s="13">
        <f ca="1">IFERROR(__xludf.DUMMYFUNCTION("""COMPUTED_VALUE"""),44068)</f>
        <v>44068</v>
      </c>
      <c r="E2083" s="5" t="str">
        <f ca="1">IFERROR(__xludf.DUMMYFUNCTION("""COMPUTED_VALUE"""),"Nu")</f>
        <v>Nu</v>
      </c>
      <c r="F2083" s="5"/>
      <c r="G2083" s="5"/>
      <c r="H2083" s="6"/>
      <c r="I2083" s="5"/>
      <c r="J2083" s="5"/>
      <c r="K2083" s="7" t="str">
        <f ca="1">IFERROR(__xludf.DUMMYFUNCTION("""COMPUTED_VALUE"""),"https://www.ebihoreanul.ro/stiri/record-de-decese-covid-in-romania-58-intr-o-singura-zi-in-bihor-au-murit-3-oameni-iar-alti-37-au-fost-diagnosticati-aproape-100-de-pacienti-vindecati-158383.html")</f>
        <v>https://www.ebihoreanul.ro/stiri/record-de-decese-covid-in-romania-58-intr-o-singura-zi-in-bihor-au-murit-3-oameni-iar-alti-37-au-fost-diagnosticati-aproape-100-de-pacienti-vindecati-158383.html</v>
      </c>
      <c r="L2083" s="5"/>
      <c r="M2083" s="5"/>
      <c r="N2083" s="5"/>
      <c r="O2083" s="5"/>
      <c r="P2083" s="5"/>
      <c r="Q2083" s="5"/>
      <c r="R2083" s="5" t="str">
        <f ca="1">IFERROR(__xludf.DUMMYFUNCTION("""COMPUTED_VALUE"""),"România")</f>
        <v>România</v>
      </c>
      <c r="S2083" s="5" t="str">
        <f ca="1">IFERROR(__xludf.DUMMYFUNCTION("""COMPUTED_VALUE"""),"Octavian")</f>
        <v>Octavian</v>
      </c>
      <c r="T2083" s="7" t="str">
        <f ca="1">IFERROR(__xludf.DUMMYFUNCTION("""COMPUTED_VALUE"""),"http://www.ms.ro/2020/08/25/buletin-informativ-25-08-2020")</f>
        <v>http://www.ms.ro/2020/08/25/buletin-informativ-25-08-2020</v>
      </c>
      <c r="U2083" s="5"/>
      <c r="V2083" s="5"/>
      <c r="W2083" s="5"/>
      <c r="X2083" s="5"/>
      <c r="Y2083" s="5"/>
      <c r="Z2083" s="5"/>
      <c r="AA2083" s="5"/>
      <c r="AB2083" s="5"/>
      <c r="AC2083" s="5"/>
    </row>
    <row r="2084" spans="1:29" ht="12.5">
      <c r="A2084" s="5">
        <f ca="1">IFERROR(__xludf.DUMMYFUNCTION("""COMPUTED_VALUE"""),80521)</f>
        <v>80521</v>
      </c>
      <c r="B2084" s="5"/>
      <c r="C2084" s="5" t="str">
        <f ca="1">IFERROR(__xludf.DUMMYFUNCTION("""COMPUTED_VALUE"""),"Bihor")</f>
        <v>Bihor</v>
      </c>
      <c r="D2084" s="13">
        <f ca="1">IFERROR(__xludf.DUMMYFUNCTION("""COMPUTED_VALUE"""),44069)</f>
        <v>44069</v>
      </c>
      <c r="E2084" s="5" t="str">
        <f ca="1">IFERROR(__xludf.DUMMYFUNCTION("""COMPUTED_VALUE"""),"Nu")</f>
        <v>Nu</v>
      </c>
      <c r="F2084" s="5"/>
      <c r="G2084" s="5"/>
      <c r="H2084" s="6"/>
      <c r="I2084" s="5"/>
      <c r="J2084" s="5"/>
      <c r="K2084" s="7" t="str">
        <f ca="1">IFERROR(__xludf.DUMMYFUNCTION("""COMPUTED_VALUE"""),"https://www.ebihoreanul.ro/stiri/28-de-noi-imbolnaviri-cu-covid-19-in-bihor-inclusiv-in-randul-personalului-upu-smurd-158401.html")</f>
        <v>https://www.ebihoreanul.ro/stiri/28-de-noi-imbolnaviri-cu-covid-19-in-bihor-inclusiv-in-randul-personalului-upu-smurd-158401.html</v>
      </c>
      <c r="L2084" s="5"/>
      <c r="M2084" s="5" t="str">
        <f ca="1">IFERROR(__xludf.DUMMYFUNCTION("""COMPUTED_VALUE"""),"Oradea")</f>
        <v>Oradea</v>
      </c>
      <c r="N2084" s="5"/>
      <c r="O2084" s="5"/>
      <c r="P2084" s="5" t="str">
        <f ca="1">IFERROR(__xludf.DUMMYFUNCTION("""COMPUTED_VALUE"""),"UPU-SMURD, angajat.")</f>
        <v>UPU-SMURD, angajat.</v>
      </c>
      <c r="Q2084" s="5" t="str">
        <f ca="1">IFERROR(__xludf.DUMMYFUNCTION("""COMPUTED_VALUE"""),"Medical")</f>
        <v>Medical</v>
      </c>
      <c r="R2084" s="5" t="str">
        <f ca="1">IFERROR(__xludf.DUMMYFUNCTION("""COMPUTED_VALUE"""),"România")</f>
        <v>România</v>
      </c>
      <c r="S2084" s="5" t="str">
        <f ca="1">IFERROR(__xludf.DUMMYFUNCTION("""COMPUTED_VALUE"""),"Octavian")</f>
        <v>Octavian</v>
      </c>
      <c r="T2084" s="7" t="str">
        <f ca="1">IFERROR(__xludf.DUMMYFUNCTION("""COMPUTED_VALUE"""),"http://www.ms.ro/2020/08/26/buletin-informativ-26-08-2020")</f>
        <v>http://www.ms.ro/2020/08/26/buletin-informativ-26-08-2020</v>
      </c>
      <c r="U2084" s="5"/>
      <c r="V2084" s="5"/>
      <c r="W2084" s="5"/>
      <c r="X2084" s="5"/>
      <c r="Y2084" s="5"/>
      <c r="Z2084" s="5"/>
      <c r="AA2084" s="5"/>
      <c r="AB2084" s="5"/>
      <c r="AC2084" s="5"/>
    </row>
    <row r="2085" spans="1:29" ht="12.5">
      <c r="A2085" s="5">
        <f ca="1">IFERROR(__xludf.DUMMYFUNCTION("""COMPUTED_VALUE"""),80522)</f>
        <v>80522</v>
      </c>
      <c r="B2085" s="5">
        <f ca="1">IFERROR(__xludf.DUMMYFUNCTION("""COMPUTED_VALUE"""),80521)</f>
        <v>80521</v>
      </c>
      <c r="C2085" s="5" t="str">
        <f ca="1">IFERROR(__xludf.DUMMYFUNCTION("""COMPUTED_VALUE"""),"Bihor")</f>
        <v>Bihor</v>
      </c>
      <c r="D2085" s="13">
        <f ca="1">IFERROR(__xludf.DUMMYFUNCTION("""COMPUTED_VALUE"""),44069)</f>
        <v>44069</v>
      </c>
      <c r="E2085" s="5" t="str">
        <f ca="1">IFERROR(__xludf.DUMMYFUNCTION("""COMPUTED_VALUE"""),"Nu")</f>
        <v>Nu</v>
      </c>
      <c r="F2085" s="5"/>
      <c r="G2085" s="5"/>
      <c r="H2085" s="6"/>
      <c r="I2085" s="5"/>
      <c r="J2085" s="5"/>
      <c r="K2085" s="7" t="str">
        <f ca="1">IFERROR(__xludf.DUMMYFUNCTION("""COMPUTED_VALUE"""),"https://www.ebihoreanul.ro/stiri/28-de-noi-imbolnaviri-cu-covid-19-in-bihor-inclusiv-in-randul-personalului-upu-smurd-158401.html")</f>
        <v>https://www.ebihoreanul.ro/stiri/28-de-noi-imbolnaviri-cu-covid-19-in-bihor-inclusiv-in-randul-personalului-upu-smurd-158401.html</v>
      </c>
      <c r="L2085" s="5"/>
      <c r="M2085" s="5" t="str">
        <f ca="1">IFERROR(__xludf.DUMMYFUNCTION("""COMPUTED_VALUE"""),"Oradea")</f>
        <v>Oradea</v>
      </c>
      <c r="N2085" s="5"/>
      <c r="O2085" s="5"/>
      <c r="P2085" s="5" t="str">
        <f ca="1">IFERROR(__xludf.DUMMYFUNCTION("""COMPUTED_VALUE"""),"UPU-SMURD, angajat.")</f>
        <v>UPU-SMURD, angajat.</v>
      </c>
      <c r="Q2085" s="5" t="str">
        <f ca="1">IFERROR(__xludf.DUMMYFUNCTION("""COMPUTED_VALUE"""),"Medical")</f>
        <v>Medical</v>
      </c>
      <c r="R2085" s="5" t="str">
        <f ca="1">IFERROR(__xludf.DUMMYFUNCTION("""COMPUTED_VALUE"""),"România")</f>
        <v>România</v>
      </c>
      <c r="S2085" s="5" t="str">
        <f ca="1">IFERROR(__xludf.DUMMYFUNCTION("""COMPUTED_VALUE"""),"Octavian")</f>
        <v>Octavian</v>
      </c>
      <c r="T2085" s="7" t="str">
        <f ca="1">IFERROR(__xludf.DUMMYFUNCTION("""COMPUTED_VALUE"""),"http://www.ms.ro/2020/08/26/buletin-informativ-26-08-2020")</f>
        <v>http://www.ms.ro/2020/08/26/buletin-informativ-26-08-2020</v>
      </c>
      <c r="U2085" s="5"/>
      <c r="V2085" s="5"/>
      <c r="W2085" s="5"/>
      <c r="X2085" s="5"/>
      <c r="Y2085" s="5"/>
      <c r="Z2085" s="5"/>
      <c r="AA2085" s="5"/>
      <c r="AB2085" s="5"/>
      <c r="AC2085" s="5"/>
    </row>
    <row r="2086" spans="1:29" ht="12.5">
      <c r="A2086" s="5">
        <f ca="1">IFERROR(__xludf.DUMMYFUNCTION("""COMPUTED_VALUE"""),80523)</f>
        <v>80523</v>
      </c>
      <c r="B2086" s="5">
        <f ca="1">IFERROR(__xludf.DUMMYFUNCTION("""COMPUTED_VALUE"""),80521)</f>
        <v>80521</v>
      </c>
      <c r="C2086" s="5" t="str">
        <f ca="1">IFERROR(__xludf.DUMMYFUNCTION("""COMPUTED_VALUE"""),"Bihor")</f>
        <v>Bihor</v>
      </c>
      <c r="D2086" s="13">
        <f ca="1">IFERROR(__xludf.DUMMYFUNCTION("""COMPUTED_VALUE"""),44069)</f>
        <v>44069</v>
      </c>
      <c r="E2086" s="5" t="str">
        <f ca="1">IFERROR(__xludf.DUMMYFUNCTION("""COMPUTED_VALUE"""),"Nu")</f>
        <v>Nu</v>
      </c>
      <c r="F2086" s="5"/>
      <c r="G2086" s="5"/>
      <c r="H2086" s="6"/>
      <c r="I2086" s="5"/>
      <c r="J2086" s="5"/>
      <c r="K2086" s="7" t="str">
        <f ca="1">IFERROR(__xludf.DUMMYFUNCTION("""COMPUTED_VALUE"""),"https://www.ebihoreanul.ro/stiri/28-de-noi-imbolnaviri-cu-covid-19-in-bihor-inclusiv-in-randul-personalului-upu-smurd-158401.html")</f>
        <v>https://www.ebihoreanul.ro/stiri/28-de-noi-imbolnaviri-cu-covid-19-in-bihor-inclusiv-in-randul-personalului-upu-smurd-158401.html</v>
      </c>
      <c r="L2086" s="5"/>
      <c r="M2086" s="5" t="str">
        <f ca="1">IFERROR(__xludf.DUMMYFUNCTION("""COMPUTED_VALUE"""),"Oradea")</f>
        <v>Oradea</v>
      </c>
      <c r="N2086" s="5"/>
      <c r="O2086" s="5"/>
      <c r="P2086" s="5" t="str">
        <f ca="1">IFERROR(__xludf.DUMMYFUNCTION("""COMPUTED_VALUE"""),"UPU-SMURD, angajat.")</f>
        <v>UPU-SMURD, angajat.</v>
      </c>
      <c r="Q2086" s="5" t="str">
        <f ca="1">IFERROR(__xludf.DUMMYFUNCTION("""COMPUTED_VALUE"""),"Medical")</f>
        <v>Medical</v>
      </c>
      <c r="R2086" s="5" t="str">
        <f ca="1">IFERROR(__xludf.DUMMYFUNCTION("""COMPUTED_VALUE"""),"România")</f>
        <v>România</v>
      </c>
      <c r="S2086" s="5" t="str">
        <f ca="1">IFERROR(__xludf.DUMMYFUNCTION("""COMPUTED_VALUE"""),"Octavian")</f>
        <v>Octavian</v>
      </c>
      <c r="T2086" s="7" t="str">
        <f ca="1">IFERROR(__xludf.DUMMYFUNCTION("""COMPUTED_VALUE"""),"http://www.ms.ro/2020/08/26/buletin-informativ-26-08-2020")</f>
        <v>http://www.ms.ro/2020/08/26/buletin-informativ-26-08-2020</v>
      </c>
      <c r="U2086" s="5"/>
      <c r="V2086" s="5"/>
      <c r="W2086" s="5"/>
      <c r="X2086" s="5"/>
      <c r="Y2086" s="5"/>
      <c r="Z2086" s="5"/>
      <c r="AA2086" s="5"/>
      <c r="AB2086" s="5"/>
      <c r="AC2086" s="5"/>
    </row>
    <row r="2087" spans="1:29" ht="12.5">
      <c r="A2087" s="5">
        <f ca="1">IFERROR(__xludf.DUMMYFUNCTION("""COMPUTED_VALUE"""),80524)</f>
        <v>80524</v>
      </c>
      <c r="B2087" s="5"/>
      <c r="C2087" s="5" t="str">
        <f ca="1">IFERROR(__xludf.DUMMYFUNCTION("""COMPUTED_VALUE"""),"Bihor")</f>
        <v>Bihor</v>
      </c>
      <c r="D2087" s="13">
        <f ca="1">IFERROR(__xludf.DUMMYFUNCTION("""COMPUTED_VALUE"""),44069)</f>
        <v>44069</v>
      </c>
      <c r="E2087" s="5" t="str">
        <f ca="1">IFERROR(__xludf.DUMMYFUNCTION("""COMPUTED_VALUE"""),"Nu")</f>
        <v>Nu</v>
      </c>
      <c r="F2087" s="5"/>
      <c r="G2087" s="5"/>
      <c r="H2087" s="6"/>
      <c r="I2087" s="5"/>
      <c r="J2087" s="5"/>
      <c r="K2087" s="7" t="str">
        <f ca="1">IFERROR(__xludf.DUMMYFUNCTION("""COMPUTED_VALUE"""),"https://www.ebihoreanul.ro/stiri/28-de-noi-imbolnaviri-cu-covid-19-in-bihor-inclusiv-in-randul-personalului-upu-smurd-158401.html")</f>
        <v>https://www.ebihoreanul.ro/stiri/28-de-noi-imbolnaviri-cu-covid-19-in-bihor-inclusiv-in-randul-personalului-upu-smurd-158401.html</v>
      </c>
      <c r="L2087" s="5"/>
      <c r="M2087" s="5" t="str">
        <f ca="1">IFERROR(__xludf.DUMMYFUNCTION("""COMPUTED_VALUE"""),"Oradea")</f>
        <v>Oradea</v>
      </c>
      <c r="N2087" s="5"/>
      <c r="O2087" s="5"/>
      <c r="P2087" s="5" t="str">
        <f ca="1">IFERROR(__xludf.DUMMYFUNCTION("""COMPUTED_VALUE"""),"SM Oradea, dependent de dializă.")</f>
        <v>SM Oradea, dependent de dializă.</v>
      </c>
      <c r="Q2087" s="5" t="str">
        <f ca="1">IFERROR(__xludf.DUMMYFUNCTION("""COMPUTED_VALUE"""),"Medical")</f>
        <v>Medical</v>
      </c>
      <c r="R2087" s="5" t="str">
        <f ca="1">IFERROR(__xludf.DUMMYFUNCTION("""COMPUTED_VALUE"""),"România")</f>
        <v>România</v>
      </c>
      <c r="S2087" s="5" t="str">
        <f ca="1">IFERROR(__xludf.DUMMYFUNCTION("""COMPUTED_VALUE"""),"Octavian")</f>
        <v>Octavian</v>
      </c>
      <c r="T2087" s="7" t="str">
        <f ca="1">IFERROR(__xludf.DUMMYFUNCTION("""COMPUTED_VALUE"""),"http://www.ms.ro/2020/08/26/buletin-informativ-26-08-2020")</f>
        <v>http://www.ms.ro/2020/08/26/buletin-informativ-26-08-2020</v>
      </c>
      <c r="U2087" s="5"/>
      <c r="V2087" s="5"/>
      <c r="W2087" s="5"/>
      <c r="X2087" s="5"/>
      <c r="Y2087" s="5"/>
      <c r="Z2087" s="5"/>
      <c r="AA2087" s="5"/>
      <c r="AB2087" s="5"/>
      <c r="AC2087" s="5"/>
    </row>
    <row r="2088" spans="1:29" ht="12.5">
      <c r="A2088" s="5">
        <f ca="1">IFERROR(__xludf.DUMMYFUNCTION("""COMPUTED_VALUE"""),80525)</f>
        <v>80525</v>
      </c>
      <c r="B2088" s="5">
        <f ca="1">IFERROR(__xludf.DUMMYFUNCTION("""COMPUTED_VALUE"""),80524)</f>
        <v>80524</v>
      </c>
      <c r="C2088" s="5" t="str">
        <f ca="1">IFERROR(__xludf.DUMMYFUNCTION("""COMPUTED_VALUE"""),"Bihor")</f>
        <v>Bihor</v>
      </c>
      <c r="D2088" s="13">
        <f ca="1">IFERROR(__xludf.DUMMYFUNCTION("""COMPUTED_VALUE"""),44069)</f>
        <v>44069</v>
      </c>
      <c r="E2088" s="5" t="str">
        <f ca="1">IFERROR(__xludf.DUMMYFUNCTION("""COMPUTED_VALUE"""),"Nu")</f>
        <v>Nu</v>
      </c>
      <c r="F2088" s="5"/>
      <c r="G2088" s="5"/>
      <c r="H2088" s="6"/>
      <c r="I2088" s="5"/>
      <c r="J2088" s="5"/>
      <c r="K2088" s="7" t="str">
        <f ca="1">IFERROR(__xludf.DUMMYFUNCTION("""COMPUTED_VALUE"""),"https://www.ebihoreanul.ro/stiri/28-de-noi-imbolnaviri-cu-covid-19-in-bihor-inclusiv-in-randul-personalului-upu-smurd-158401.html")</f>
        <v>https://www.ebihoreanul.ro/stiri/28-de-noi-imbolnaviri-cu-covid-19-in-bihor-inclusiv-in-randul-personalului-upu-smurd-158401.html</v>
      </c>
      <c r="L2088" s="5"/>
      <c r="M2088" s="5" t="str">
        <f ca="1">IFERROR(__xludf.DUMMYFUNCTION("""COMPUTED_VALUE"""),"Oradea")</f>
        <v>Oradea</v>
      </c>
      <c r="N2088" s="5"/>
      <c r="O2088" s="5"/>
      <c r="P2088" s="5" t="str">
        <f ca="1">IFERROR(__xludf.DUMMYFUNCTION("""COMPUTED_VALUE"""),"SM Oradea, dependent de dializă.")</f>
        <v>SM Oradea, dependent de dializă.</v>
      </c>
      <c r="Q2088" s="5" t="str">
        <f ca="1">IFERROR(__xludf.DUMMYFUNCTION("""COMPUTED_VALUE"""),"Medical")</f>
        <v>Medical</v>
      </c>
      <c r="R2088" s="5" t="str">
        <f ca="1">IFERROR(__xludf.DUMMYFUNCTION("""COMPUTED_VALUE"""),"România")</f>
        <v>România</v>
      </c>
      <c r="S2088" s="5" t="str">
        <f ca="1">IFERROR(__xludf.DUMMYFUNCTION("""COMPUTED_VALUE"""),"Octavian")</f>
        <v>Octavian</v>
      </c>
      <c r="T2088" s="7" t="str">
        <f ca="1">IFERROR(__xludf.DUMMYFUNCTION("""COMPUTED_VALUE"""),"http://www.ms.ro/2020/08/26/buletin-informativ-26-08-2020")</f>
        <v>http://www.ms.ro/2020/08/26/buletin-informativ-26-08-2020</v>
      </c>
      <c r="U2088" s="5"/>
      <c r="V2088" s="5"/>
      <c r="W2088" s="5"/>
      <c r="X2088" s="5"/>
      <c r="Y2088" s="5"/>
      <c r="Z2088" s="5"/>
      <c r="AA2088" s="5"/>
      <c r="AB2088" s="5"/>
      <c r="AC2088" s="5"/>
    </row>
    <row r="2089" spans="1:29" ht="12.5">
      <c r="A2089" s="5">
        <f ca="1">IFERROR(__xludf.DUMMYFUNCTION("""COMPUTED_VALUE"""),80526)</f>
        <v>80526</v>
      </c>
      <c r="B2089" s="5">
        <f ca="1">IFERROR(__xludf.DUMMYFUNCTION("""COMPUTED_VALUE"""),80524)</f>
        <v>80524</v>
      </c>
      <c r="C2089" s="5" t="str">
        <f ca="1">IFERROR(__xludf.DUMMYFUNCTION("""COMPUTED_VALUE"""),"Bihor")</f>
        <v>Bihor</v>
      </c>
      <c r="D2089" s="13">
        <f ca="1">IFERROR(__xludf.DUMMYFUNCTION("""COMPUTED_VALUE"""),44069)</f>
        <v>44069</v>
      </c>
      <c r="E2089" s="5" t="str">
        <f ca="1">IFERROR(__xludf.DUMMYFUNCTION("""COMPUTED_VALUE"""),"Nu")</f>
        <v>Nu</v>
      </c>
      <c r="F2089" s="5"/>
      <c r="G2089" s="5"/>
      <c r="H2089" s="6"/>
      <c r="I2089" s="5"/>
      <c r="J2089" s="5"/>
      <c r="K2089" s="7" t="str">
        <f ca="1">IFERROR(__xludf.DUMMYFUNCTION("""COMPUTED_VALUE"""),"https://www.ebihoreanul.ro/stiri/28-de-noi-imbolnaviri-cu-covid-19-in-bihor-inclusiv-in-randul-personalului-upu-smurd-158401.html")</f>
        <v>https://www.ebihoreanul.ro/stiri/28-de-noi-imbolnaviri-cu-covid-19-in-bihor-inclusiv-in-randul-personalului-upu-smurd-158401.html</v>
      </c>
      <c r="L2089" s="5"/>
      <c r="M2089" s="5" t="str">
        <f ca="1">IFERROR(__xludf.DUMMYFUNCTION("""COMPUTED_VALUE"""),"Oradea")</f>
        <v>Oradea</v>
      </c>
      <c r="N2089" s="5"/>
      <c r="O2089" s="5"/>
      <c r="P2089" s="5" t="str">
        <f ca="1">IFERROR(__xludf.DUMMYFUNCTION("""COMPUTED_VALUE"""),"SM Oradea, dependent de dializă.")</f>
        <v>SM Oradea, dependent de dializă.</v>
      </c>
      <c r="Q2089" s="5" t="str">
        <f ca="1">IFERROR(__xludf.DUMMYFUNCTION("""COMPUTED_VALUE"""),"Medical")</f>
        <v>Medical</v>
      </c>
      <c r="R2089" s="5" t="str">
        <f ca="1">IFERROR(__xludf.DUMMYFUNCTION("""COMPUTED_VALUE"""),"România")</f>
        <v>România</v>
      </c>
      <c r="S2089" s="5" t="str">
        <f ca="1">IFERROR(__xludf.DUMMYFUNCTION("""COMPUTED_VALUE"""),"Octavian")</f>
        <v>Octavian</v>
      </c>
      <c r="T2089" s="7" t="str">
        <f ca="1">IFERROR(__xludf.DUMMYFUNCTION("""COMPUTED_VALUE"""),"http://www.ms.ro/2020/08/26/buletin-informativ-26-08-2020")</f>
        <v>http://www.ms.ro/2020/08/26/buletin-informativ-26-08-2020</v>
      </c>
      <c r="U2089" s="5"/>
      <c r="V2089" s="5"/>
      <c r="W2089" s="5"/>
      <c r="X2089" s="5"/>
      <c r="Y2089" s="5"/>
      <c r="Z2089" s="5"/>
      <c r="AA2089" s="5"/>
      <c r="AB2089" s="5"/>
      <c r="AC2089" s="5"/>
    </row>
    <row r="2090" spans="1:29" ht="12.5">
      <c r="A2090" s="5">
        <f ca="1">IFERROR(__xludf.DUMMYFUNCTION("""COMPUTED_VALUE"""),80527)</f>
        <v>80527</v>
      </c>
      <c r="B2090" s="5">
        <f ca="1">IFERROR(__xludf.DUMMYFUNCTION("""COMPUTED_VALUE"""),80524)</f>
        <v>80524</v>
      </c>
      <c r="C2090" s="5" t="str">
        <f ca="1">IFERROR(__xludf.DUMMYFUNCTION("""COMPUTED_VALUE"""),"Bihor")</f>
        <v>Bihor</v>
      </c>
      <c r="D2090" s="13">
        <f ca="1">IFERROR(__xludf.DUMMYFUNCTION("""COMPUTED_VALUE"""),44069)</f>
        <v>44069</v>
      </c>
      <c r="E2090" s="5" t="str">
        <f ca="1">IFERROR(__xludf.DUMMYFUNCTION("""COMPUTED_VALUE"""),"Nu")</f>
        <v>Nu</v>
      </c>
      <c r="F2090" s="5"/>
      <c r="G2090" s="5"/>
      <c r="H2090" s="6"/>
      <c r="I2090" s="5"/>
      <c r="J2090" s="5"/>
      <c r="K2090" s="7" t="str">
        <f ca="1">IFERROR(__xludf.DUMMYFUNCTION("""COMPUTED_VALUE"""),"https://www.ebihoreanul.ro/stiri/28-de-noi-imbolnaviri-cu-covid-19-in-bihor-inclusiv-in-randul-personalului-upu-smurd-158401.html")</f>
        <v>https://www.ebihoreanul.ro/stiri/28-de-noi-imbolnaviri-cu-covid-19-in-bihor-inclusiv-in-randul-personalului-upu-smurd-158401.html</v>
      </c>
      <c r="L2090" s="5"/>
      <c r="M2090" s="5" t="str">
        <f ca="1">IFERROR(__xludf.DUMMYFUNCTION("""COMPUTED_VALUE"""),"Oradea")</f>
        <v>Oradea</v>
      </c>
      <c r="N2090" s="5"/>
      <c r="O2090" s="5"/>
      <c r="P2090" s="5" t="str">
        <f ca="1">IFERROR(__xludf.DUMMYFUNCTION("""COMPUTED_VALUE"""),"SM Oradea, dependent de dializă.")</f>
        <v>SM Oradea, dependent de dializă.</v>
      </c>
      <c r="Q2090" s="5" t="str">
        <f ca="1">IFERROR(__xludf.DUMMYFUNCTION("""COMPUTED_VALUE"""),"Medical")</f>
        <v>Medical</v>
      </c>
      <c r="R2090" s="5" t="str">
        <f ca="1">IFERROR(__xludf.DUMMYFUNCTION("""COMPUTED_VALUE"""),"România")</f>
        <v>România</v>
      </c>
      <c r="S2090" s="5" t="str">
        <f ca="1">IFERROR(__xludf.DUMMYFUNCTION("""COMPUTED_VALUE"""),"Octavian")</f>
        <v>Octavian</v>
      </c>
      <c r="T2090" s="7" t="str">
        <f ca="1">IFERROR(__xludf.DUMMYFUNCTION("""COMPUTED_VALUE"""),"http://www.ms.ro/2020/08/26/buletin-informativ-26-08-2020")</f>
        <v>http://www.ms.ro/2020/08/26/buletin-informativ-26-08-2020</v>
      </c>
      <c r="U2090" s="5"/>
      <c r="V2090" s="5"/>
      <c r="W2090" s="5"/>
      <c r="X2090" s="5"/>
      <c r="Y2090" s="5"/>
      <c r="Z2090" s="5"/>
      <c r="AA2090" s="5"/>
      <c r="AB2090" s="5"/>
      <c r="AC2090" s="5"/>
    </row>
    <row r="2091" spans="1:29" ht="12.5">
      <c r="A2091" s="5">
        <f ca="1">IFERROR(__xludf.DUMMYFUNCTION("""COMPUTED_VALUE"""),80528)</f>
        <v>80528</v>
      </c>
      <c r="B2091" s="5">
        <f ca="1">IFERROR(__xludf.DUMMYFUNCTION("""COMPUTED_VALUE"""),80524)</f>
        <v>80524</v>
      </c>
      <c r="C2091" s="5" t="str">
        <f ca="1">IFERROR(__xludf.DUMMYFUNCTION("""COMPUTED_VALUE"""),"Bihor")</f>
        <v>Bihor</v>
      </c>
      <c r="D2091" s="13">
        <f ca="1">IFERROR(__xludf.DUMMYFUNCTION("""COMPUTED_VALUE"""),44069)</f>
        <v>44069</v>
      </c>
      <c r="E2091" s="5" t="str">
        <f ca="1">IFERROR(__xludf.DUMMYFUNCTION("""COMPUTED_VALUE"""),"Nu")</f>
        <v>Nu</v>
      </c>
      <c r="F2091" s="5"/>
      <c r="G2091" s="5"/>
      <c r="H2091" s="6"/>
      <c r="I2091" s="5"/>
      <c r="J2091" s="5"/>
      <c r="K2091" s="7" t="str">
        <f ca="1">IFERROR(__xludf.DUMMYFUNCTION("""COMPUTED_VALUE"""),"https://www.ebihoreanul.ro/stiri/28-de-noi-imbolnaviri-cu-covid-19-in-bihor-inclusiv-in-randul-personalului-upu-smurd-158401.html")</f>
        <v>https://www.ebihoreanul.ro/stiri/28-de-noi-imbolnaviri-cu-covid-19-in-bihor-inclusiv-in-randul-personalului-upu-smurd-158401.html</v>
      </c>
      <c r="L2091" s="5"/>
      <c r="M2091" s="5" t="str">
        <f ca="1">IFERROR(__xludf.DUMMYFUNCTION("""COMPUTED_VALUE"""),"Oradea")</f>
        <v>Oradea</v>
      </c>
      <c r="N2091" s="5"/>
      <c r="O2091" s="5"/>
      <c r="P2091" s="5" t="str">
        <f ca="1">IFERROR(__xludf.DUMMYFUNCTION("""COMPUTED_VALUE"""),"SM Oradea, dependent de dializă.")</f>
        <v>SM Oradea, dependent de dializă.</v>
      </c>
      <c r="Q2091" s="5" t="str">
        <f ca="1">IFERROR(__xludf.DUMMYFUNCTION("""COMPUTED_VALUE"""),"Medical")</f>
        <v>Medical</v>
      </c>
      <c r="R2091" s="5" t="str">
        <f ca="1">IFERROR(__xludf.DUMMYFUNCTION("""COMPUTED_VALUE"""),"România")</f>
        <v>România</v>
      </c>
      <c r="S2091" s="5" t="str">
        <f ca="1">IFERROR(__xludf.DUMMYFUNCTION("""COMPUTED_VALUE"""),"Octavian")</f>
        <v>Octavian</v>
      </c>
      <c r="T2091" s="7" t="str">
        <f ca="1">IFERROR(__xludf.DUMMYFUNCTION("""COMPUTED_VALUE"""),"http://www.ms.ro/2020/08/26/buletin-informativ-26-08-2020")</f>
        <v>http://www.ms.ro/2020/08/26/buletin-informativ-26-08-2020</v>
      </c>
      <c r="U2091" s="5"/>
      <c r="V2091" s="5"/>
      <c r="W2091" s="5"/>
      <c r="X2091" s="5"/>
      <c r="Y2091" s="5"/>
      <c r="Z2091" s="5"/>
      <c r="AA2091" s="5"/>
      <c r="AB2091" s="5"/>
      <c r="AC2091" s="5"/>
    </row>
    <row r="2092" spans="1:29" ht="12.5">
      <c r="A2092" s="5">
        <f ca="1">IFERROR(__xludf.DUMMYFUNCTION("""COMPUTED_VALUE"""),80529)</f>
        <v>80529</v>
      </c>
      <c r="B2092" s="5">
        <f ca="1">IFERROR(__xludf.DUMMYFUNCTION("""COMPUTED_VALUE"""),80524)</f>
        <v>80524</v>
      </c>
      <c r="C2092" s="5" t="str">
        <f ca="1">IFERROR(__xludf.DUMMYFUNCTION("""COMPUTED_VALUE"""),"Bihor")</f>
        <v>Bihor</v>
      </c>
      <c r="D2092" s="13">
        <f ca="1">IFERROR(__xludf.DUMMYFUNCTION("""COMPUTED_VALUE"""),44069)</f>
        <v>44069</v>
      </c>
      <c r="E2092" s="5" t="str">
        <f ca="1">IFERROR(__xludf.DUMMYFUNCTION("""COMPUTED_VALUE"""),"Nu")</f>
        <v>Nu</v>
      </c>
      <c r="F2092" s="5"/>
      <c r="G2092" s="5"/>
      <c r="H2092" s="6"/>
      <c r="I2092" s="5"/>
      <c r="J2092" s="5"/>
      <c r="K2092" s="7" t="str">
        <f ca="1">IFERROR(__xludf.DUMMYFUNCTION("""COMPUTED_VALUE"""),"https://www.ebihoreanul.ro/stiri/28-de-noi-imbolnaviri-cu-covid-19-in-bihor-inclusiv-in-randul-personalului-upu-smurd-158401.html")</f>
        <v>https://www.ebihoreanul.ro/stiri/28-de-noi-imbolnaviri-cu-covid-19-in-bihor-inclusiv-in-randul-personalului-upu-smurd-158401.html</v>
      </c>
      <c r="L2092" s="5"/>
      <c r="M2092" s="5" t="str">
        <f ca="1">IFERROR(__xludf.DUMMYFUNCTION("""COMPUTED_VALUE"""),"Oradea")</f>
        <v>Oradea</v>
      </c>
      <c r="N2092" s="5"/>
      <c r="O2092" s="5"/>
      <c r="P2092" s="5" t="str">
        <f ca="1">IFERROR(__xludf.DUMMYFUNCTION("""COMPUTED_VALUE"""),"SM Oradea, dependent de dializă.")</f>
        <v>SM Oradea, dependent de dializă.</v>
      </c>
      <c r="Q2092" s="5" t="str">
        <f ca="1">IFERROR(__xludf.DUMMYFUNCTION("""COMPUTED_VALUE"""),"Medical")</f>
        <v>Medical</v>
      </c>
      <c r="R2092" s="5" t="str">
        <f ca="1">IFERROR(__xludf.DUMMYFUNCTION("""COMPUTED_VALUE"""),"România")</f>
        <v>România</v>
      </c>
      <c r="S2092" s="5" t="str">
        <f ca="1">IFERROR(__xludf.DUMMYFUNCTION("""COMPUTED_VALUE"""),"Octavian")</f>
        <v>Octavian</v>
      </c>
      <c r="T2092" s="7" t="str">
        <f ca="1">IFERROR(__xludf.DUMMYFUNCTION("""COMPUTED_VALUE"""),"http://www.ms.ro/2020/08/26/buletin-informativ-26-08-2020")</f>
        <v>http://www.ms.ro/2020/08/26/buletin-informativ-26-08-2020</v>
      </c>
      <c r="U2092" s="5"/>
      <c r="V2092" s="5"/>
      <c r="W2092" s="5"/>
      <c r="X2092" s="5"/>
      <c r="Y2092" s="5"/>
      <c r="Z2092" s="5"/>
      <c r="AA2092" s="5"/>
      <c r="AB2092" s="5"/>
      <c r="AC2092" s="5"/>
    </row>
    <row r="2093" spans="1:29" ht="12.5">
      <c r="A2093" s="5">
        <f ca="1">IFERROR(__xludf.DUMMYFUNCTION("""COMPUTED_VALUE"""),80530)</f>
        <v>80530</v>
      </c>
      <c r="B2093" s="5"/>
      <c r="C2093" s="5" t="str">
        <f ca="1">IFERROR(__xludf.DUMMYFUNCTION("""COMPUTED_VALUE"""),"Bihor")</f>
        <v>Bihor</v>
      </c>
      <c r="D2093" s="13">
        <f ca="1">IFERROR(__xludf.DUMMYFUNCTION("""COMPUTED_VALUE"""),44069)</f>
        <v>44069</v>
      </c>
      <c r="E2093" s="5" t="str">
        <f ca="1">IFERROR(__xludf.DUMMYFUNCTION("""COMPUTED_VALUE"""),"Nu")</f>
        <v>Nu</v>
      </c>
      <c r="F2093" s="5"/>
      <c r="G2093" s="5"/>
      <c r="H2093" s="6"/>
      <c r="I2093" s="5"/>
      <c r="J2093" s="5"/>
      <c r="K2093" s="7" t="str">
        <f ca="1">IFERROR(__xludf.DUMMYFUNCTION("""COMPUTED_VALUE"""),"https://www.ebihoreanul.ro/stiri/28-de-noi-imbolnaviri-cu-covid-19-in-bihor-inclusiv-in-randul-personalului-upu-smurd-158401.html")</f>
        <v>https://www.ebihoreanul.ro/stiri/28-de-noi-imbolnaviri-cu-covid-19-in-bihor-inclusiv-in-randul-personalului-upu-smurd-158401.html</v>
      </c>
      <c r="L2093" s="5"/>
      <c r="M2093" s="5" t="str">
        <f ca="1">IFERROR(__xludf.DUMMYFUNCTION("""COMPUTED_VALUE"""),"Oradea")</f>
        <v>Oradea</v>
      </c>
      <c r="N2093" s="5"/>
      <c r="O2093" s="5"/>
      <c r="P2093" s="5" t="str">
        <f ca="1">IFERROR(__xludf.DUMMYFUNCTION("""COMPUTED_VALUE"""),"SJU Oradea, pacient.")</f>
        <v>SJU Oradea, pacient.</v>
      </c>
      <c r="Q2093" s="5" t="str">
        <f ca="1">IFERROR(__xludf.DUMMYFUNCTION("""COMPUTED_VALUE"""),"Medical")</f>
        <v>Medical</v>
      </c>
      <c r="R2093" s="5" t="str">
        <f ca="1">IFERROR(__xludf.DUMMYFUNCTION("""COMPUTED_VALUE"""),"România")</f>
        <v>România</v>
      </c>
      <c r="S2093" s="5" t="str">
        <f ca="1">IFERROR(__xludf.DUMMYFUNCTION("""COMPUTED_VALUE"""),"Octavian")</f>
        <v>Octavian</v>
      </c>
      <c r="T2093" s="7" t="str">
        <f ca="1">IFERROR(__xludf.DUMMYFUNCTION("""COMPUTED_VALUE"""),"http://www.ms.ro/2020/08/26/buletin-informativ-26-08-2020")</f>
        <v>http://www.ms.ro/2020/08/26/buletin-informativ-26-08-2020</v>
      </c>
      <c r="U2093" s="5"/>
      <c r="V2093" s="5"/>
      <c r="W2093" s="5"/>
      <c r="X2093" s="5"/>
      <c r="Y2093" s="5"/>
      <c r="Z2093" s="5"/>
      <c r="AA2093" s="5"/>
      <c r="AB2093" s="5"/>
      <c r="AC2093" s="5"/>
    </row>
    <row r="2094" spans="1:29" ht="12.5">
      <c r="A2094" s="5">
        <f ca="1">IFERROR(__xludf.DUMMYFUNCTION("""COMPUTED_VALUE"""),80531)</f>
        <v>80531</v>
      </c>
      <c r="B2094" s="5">
        <f ca="1">IFERROR(__xludf.DUMMYFUNCTION("""COMPUTED_VALUE"""),80530)</f>
        <v>80530</v>
      </c>
      <c r="C2094" s="5" t="str">
        <f ca="1">IFERROR(__xludf.DUMMYFUNCTION("""COMPUTED_VALUE"""),"Bihor")</f>
        <v>Bihor</v>
      </c>
      <c r="D2094" s="13">
        <f ca="1">IFERROR(__xludf.DUMMYFUNCTION("""COMPUTED_VALUE"""),44069)</f>
        <v>44069</v>
      </c>
      <c r="E2094" s="5" t="str">
        <f ca="1">IFERROR(__xludf.DUMMYFUNCTION("""COMPUTED_VALUE"""),"Nu")</f>
        <v>Nu</v>
      </c>
      <c r="F2094" s="5"/>
      <c r="G2094" s="5"/>
      <c r="H2094" s="6"/>
      <c r="I2094" s="5"/>
      <c r="J2094" s="5"/>
      <c r="K2094" s="7" t="str">
        <f ca="1">IFERROR(__xludf.DUMMYFUNCTION("""COMPUTED_VALUE"""),"https://www.ebihoreanul.ro/stiri/28-de-noi-imbolnaviri-cu-covid-19-in-bihor-inclusiv-in-randul-personalului-upu-smurd-158401.html")</f>
        <v>https://www.ebihoreanul.ro/stiri/28-de-noi-imbolnaviri-cu-covid-19-in-bihor-inclusiv-in-randul-personalului-upu-smurd-158401.html</v>
      </c>
      <c r="L2094" s="5"/>
      <c r="M2094" s="5" t="str">
        <f ca="1">IFERROR(__xludf.DUMMYFUNCTION("""COMPUTED_VALUE"""),"Oradea")</f>
        <v>Oradea</v>
      </c>
      <c r="N2094" s="5"/>
      <c r="O2094" s="5"/>
      <c r="P2094" s="5" t="str">
        <f ca="1">IFERROR(__xludf.DUMMYFUNCTION("""COMPUTED_VALUE"""),"SJU Oradea, pacient.")</f>
        <v>SJU Oradea, pacient.</v>
      </c>
      <c r="Q2094" s="5" t="str">
        <f ca="1">IFERROR(__xludf.DUMMYFUNCTION("""COMPUTED_VALUE"""),"Medical")</f>
        <v>Medical</v>
      </c>
      <c r="R2094" s="5" t="str">
        <f ca="1">IFERROR(__xludf.DUMMYFUNCTION("""COMPUTED_VALUE"""),"România")</f>
        <v>România</v>
      </c>
      <c r="S2094" s="5" t="str">
        <f ca="1">IFERROR(__xludf.DUMMYFUNCTION("""COMPUTED_VALUE"""),"Octavian")</f>
        <v>Octavian</v>
      </c>
      <c r="T2094" s="7" t="str">
        <f ca="1">IFERROR(__xludf.DUMMYFUNCTION("""COMPUTED_VALUE"""),"http://www.ms.ro/2020/08/26/buletin-informativ-26-08-2020")</f>
        <v>http://www.ms.ro/2020/08/26/buletin-informativ-26-08-2020</v>
      </c>
      <c r="U2094" s="5"/>
      <c r="V2094" s="5"/>
      <c r="W2094" s="5"/>
      <c r="X2094" s="5"/>
      <c r="Y2094" s="5"/>
      <c r="Z2094" s="5"/>
      <c r="AA2094" s="5"/>
      <c r="AB2094" s="5"/>
      <c r="AC2094" s="5"/>
    </row>
    <row r="2095" spans="1:29" ht="12.5">
      <c r="A2095" s="5">
        <f ca="1">IFERROR(__xludf.DUMMYFUNCTION("""COMPUTED_VALUE"""),80532)</f>
        <v>80532</v>
      </c>
      <c r="B2095" s="5">
        <f ca="1">IFERROR(__xludf.DUMMYFUNCTION("""COMPUTED_VALUE"""),80530)</f>
        <v>80530</v>
      </c>
      <c r="C2095" s="5" t="str">
        <f ca="1">IFERROR(__xludf.DUMMYFUNCTION("""COMPUTED_VALUE"""),"Bihor")</f>
        <v>Bihor</v>
      </c>
      <c r="D2095" s="13">
        <f ca="1">IFERROR(__xludf.DUMMYFUNCTION("""COMPUTED_VALUE"""),44069)</f>
        <v>44069</v>
      </c>
      <c r="E2095" s="5" t="str">
        <f ca="1">IFERROR(__xludf.DUMMYFUNCTION("""COMPUTED_VALUE"""),"Nu")</f>
        <v>Nu</v>
      </c>
      <c r="F2095" s="5"/>
      <c r="G2095" s="5"/>
      <c r="H2095" s="6"/>
      <c r="I2095" s="5"/>
      <c r="J2095" s="5"/>
      <c r="K2095" s="7" t="str">
        <f ca="1">IFERROR(__xludf.DUMMYFUNCTION("""COMPUTED_VALUE"""),"https://www.ebihoreanul.ro/stiri/28-de-noi-imbolnaviri-cu-covid-19-in-bihor-inclusiv-in-randul-personalului-upu-smurd-158401.html")</f>
        <v>https://www.ebihoreanul.ro/stiri/28-de-noi-imbolnaviri-cu-covid-19-in-bihor-inclusiv-in-randul-personalului-upu-smurd-158401.html</v>
      </c>
      <c r="L2095" s="5"/>
      <c r="M2095" s="5" t="str">
        <f ca="1">IFERROR(__xludf.DUMMYFUNCTION("""COMPUTED_VALUE"""),"Oradea")</f>
        <v>Oradea</v>
      </c>
      <c r="N2095" s="5"/>
      <c r="O2095" s="5"/>
      <c r="P2095" s="5" t="str">
        <f ca="1">IFERROR(__xludf.DUMMYFUNCTION("""COMPUTED_VALUE"""),"SJU Oradea, pacient.")</f>
        <v>SJU Oradea, pacient.</v>
      </c>
      <c r="Q2095" s="5" t="str">
        <f ca="1">IFERROR(__xludf.DUMMYFUNCTION("""COMPUTED_VALUE"""),"Medical")</f>
        <v>Medical</v>
      </c>
      <c r="R2095" s="5" t="str">
        <f ca="1">IFERROR(__xludf.DUMMYFUNCTION("""COMPUTED_VALUE"""),"România")</f>
        <v>România</v>
      </c>
      <c r="S2095" s="5" t="str">
        <f ca="1">IFERROR(__xludf.DUMMYFUNCTION("""COMPUTED_VALUE"""),"Octavian")</f>
        <v>Octavian</v>
      </c>
      <c r="T2095" s="7" t="str">
        <f ca="1">IFERROR(__xludf.DUMMYFUNCTION("""COMPUTED_VALUE"""),"http://www.ms.ro/2020/08/26/buletin-informativ-26-08-2020")</f>
        <v>http://www.ms.ro/2020/08/26/buletin-informativ-26-08-2020</v>
      </c>
      <c r="U2095" s="5"/>
      <c r="V2095" s="5"/>
      <c r="W2095" s="5"/>
      <c r="X2095" s="5"/>
      <c r="Y2095" s="5"/>
      <c r="Z2095" s="5"/>
      <c r="AA2095" s="5"/>
      <c r="AB2095" s="5"/>
      <c r="AC2095" s="5"/>
    </row>
    <row r="2096" spans="1:29" ht="12.5">
      <c r="A2096" s="5">
        <f ca="1">IFERROR(__xludf.DUMMYFUNCTION("""COMPUTED_VALUE"""),80533)</f>
        <v>80533</v>
      </c>
      <c r="B2096" s="5"/>
      <c r="C2096" s="5" t="str">
        <f ca="1">IFERROR(__xludf.DUMMYFUNCTION("""COMPUTED_VALUE"""),"Bihor")</f>
        <v>Bihor</v>
      </c>
      <c r="D2096" s="13">
        <f ca="1">IFERROR(__xludf.DUMMYFUNCTION("""COMPUTED_VALUE"""),44069)</f>
        <v>44069</v>
      </c>
      <c r="E2096" s="5" t="str">
        <f ca="1">IFERROR(__xludf.DUMMYFUNCTION("""COMPUTED_VALUE"""),"Nu")</f>
        <v>Nu</v>
      </c>
      <c r="F2096" s="5"/>
      <c r="G2096" s="5"/>
      <c r="H2096" s="6"/>
      <c r="I2096" s="5"/>
      <c r="J2096" s="5"/>
      <c r="K2096" s="7" t="str">
        <f ca="1">IFERROR(__xludf.DUMMYFUNCTION("""COMPUTED_VALUE"""),"https://www.ebihoreanul.ro/stiri/28-de-noi-imbolnaviri-cu-covid-19-in-bihor-inclusiv-in-randul-personalului-upu-smurd-158401.html")</f>
        <v>https://www.ebihoreanul.ro/stiri/28-de-noi-imbolnaviri-cu-covid-19-in-bihor-inclusiv-in-randul-personalului-upu-smurd-158401.html</v>
      </c>
      <c r="L2096" s="5"/>
      <c r="M2096" s="5" t="str">
        <f ca="1">IFERROR(__xludf.DUMMYFUNCTION("""COMPUTED_VALUE"""),"Oradea")</f>
        <v>Oradea</v>
      </c>
      <c r="N2096" s="5"/>
      <c r="O2096" s="5"/>
      <c r="P2096" s="5" t="str">
        <f ca="1">IFERROR(__xludf.DUMMYFUNCTION("""COMPUTED_VALUE"""),"Spitalul Militar, pacient.")</f>
        <v>Spitalul Militar, pacient.</v>
      </c>
      <c r="Q2096" s="5" t="str">
        <f ca="1">IFERROR(__xludf.DUMMYFUNCTION("""COMPUTED_VALUE"""),"Medical")</f>
        <v>Medical</v>
      </c>
      <c r="R2096" s="5" t="str">
        <f ca="1">IFERROR(__xludf.DUMMYFUNCTION("""COMPUTED_VALUE"""),"România")</f>
        <v>România</v>
      </c>
      <c r="S2096" s="5" t="str">
        <f ca="1">IFERROR(__xludf.DUMMYFUNCTION("""COMPUTED_VALUE"""),"Octavian")</f>
        <v>Octavian</v>
      </c>
      <c r="T2096" s="7" t="str">
        <f ca="1">IFERROR(__xludf.DUMMYFUNCTION("""COMPUTED_VALUE"""),"http://www.ms.ro/2020/08/26/buletin-informativ-26-08-2020")</f>
        <v>http://www.ms.ro/2020/08/26/buletin-informativ-26-08-2020</v>
      </c>
      <c r="U2096" s="5"/>
      <c r="V2096" s="5"/>
      <c r="W2096" s="5"/>
      <c r="X2096" s="5"/>
      <c r="Y2096" s="5"/>
      <c r="Z2096" s="5"/>
      <c r="AA2096" s="5"/>
      <c r="AB2096" s="5"/>
      <c r="AC2096" s="5"/>
    </row>
    <row r="2097" spans="1:29" ht="12.5">
      <c r="A2097" s="5">
        <f ca="1">IFERROR(__xludf.DUMMYFUNCTION("""COMPUTED_VALUE"""),80534)</f>
        <v>80534</v>
      </c>
      <c r="B2097" s="5">
        <f ca="1">IFERROR(__xludf.DUMMYFUNCTION("""COMPUTED_VALUE"""),80533)</f>
        <v>80533</v>
      </c>
      <c r="C2097" s="5" t="str">
        <f ca="1">IFERROR(__xludf.DUMMYFUNCTION("""COMPUTED_VALUE"""),"Bihor")</f>
        <v>Bihor</v>
      </c>
      <c r="D2097" s="13">
        <f ca="1">IFERROR(__xludf.DUMMYFUNCTION("""COMPUTED_VALUE"""),44069)</f>
        <v>44069</v>
      </c>
      <c r="E2097" s="5" t="str">
        <f ca="1">IFERROR(__xludf.DUMMYFUNCTION("""COMPUTED_VALUE"""),"Nu")</f>
        <v>Nu</v>
      </c>
      <c r="F2097" s="5"/>
      <c r="G2097" s="5"/>
      <c r="H2097" s="6"/>
      <c r="I2097" s="5"/>
      <c r="J2097" s="5"/>
      <c r="K2097" s="7" t="str">
        <f ca="1">IFERROR(__xludf.DUMMYFUNCTION("""COMPUTED_VALUE"""),"https://www.ebihoreanul.ro/stiri/28-de-noi-imbolnaviri-cu-covid-19-in-bihor-inclusiv-in-randul-personalului-upu-smurd-158401.html")</f>
        <v>https://www.ebihoreanul.ro/stiri/28-de-noi-imbolnaviri-cu-covid-19-in-bihor-inclusiv-in-randul-personalului-upu-smurd-158401.html</v>
      </c>
      <c r="L2097" s="5"/>
      <c r="M2097" s="5" t="str">
        <f ca="1">IFERROR(__xludf.DUMMYFUNCTION("""COMPUTED_VALUE"""),"Oradea")</f>
        <v>Oradea</v>
      </c>
      <c r="N2097" s="5"/>
      <c r="O2097" s="5"/>
      <c r="P2097" s="5" t="str">
        <f ca="1">IFERROR(__xludf.DUMMYFUNCTION("""COMPUTED_VALUE"""),"Spitalul Militar, pacient.")</f>
        <v>Spitalul Militar, pacient.</v>
      </c>
      <c r="Q2097" s="5" t="str">
        <f ca="1">IFERROR(__xludf.DUMMYFUNCTION("""COMPUTED_VALUE"""),"Medical")</f>
        <v>Medical</v>
      </c>
      <c r="R2097" s="5" t="str">
        <f ca="1">IFERROR(__xludf.DUMMYFUNCTION("""COMPUTED_VALUE"""),"România")</f>
        <v>România</v>
      </c>
      <c r="S2097" s="5" t="str">
        <f ca="1">IFERROR(__xludf.DUMMYFUNCTION("""COMPUTED_VALUE"""),"Octavian")</f>
        <v>Octavian</v>
      </c>
      <c r="T2097" s="7" t="str">
        <f ca="1">IFERROR(__xludf.DUMMYFUNCTION("""COMPUTED_VALUE"""),"http://www.ms.ro/2020/08/26/buletin-informativ-26-08-2020")</f>
        <v>http://www.ms.ro/2020/08/26/buletin-informativ-26-08-2020</v>
      </c>
      <c r="U2097" s="5"/>
      <c r="V2097" s="5"/>
      <c r="W2097" s="5"/>
      <c r="X2097" s="5"/>
      <c r="Y2097" s="5"/>
      <c r="Z2097" s="5"/>
      <c r="AA2097" s="5"/>
      <c r="AB2097" s="5"/>
      <c r="AC2097" s="5"/>
    </row>
    <row r="2098" spans="1:29" ht="12.5">
      <c r="A2098" s="5">
        <f ca="1">IFERROR(__xludf.DUMMYFUNCTION("""COMPUTED_VALUE"""),80535)</f>
        <v>80535</v>
      </c>
      <c r="B2098" s="5"/>
      <c r="C2098" s="5" t="str">
        <f ca="1">IFERROR(__xludf.DUMMYFUNCTION("""COMPUTED_VALUE"""),"Bihor")</f>
        <v>Bihor</v>
      </c>
      <c r="D2098" s="13">
        <f ca="1">IFERROR(__xludf.DUMMYFUNCTION("""COMPUTED_VALUE"""),44069)</f>
        <v>44069</v>
      </c>
      <c r="E2098" s="5" t="str">
        <f ca="1">IFERROR(__xludf.DUMMYFUNCTION("""COMPUTED_VALUE"""),"Nu")</f>
        <v>Nu</v>
      </c>
      <c r="F2098" s="5"/>
      <c r="G2098" s="5"/>
      <c r="H2098" s="6"/>
      <c r="I2098" s="5"/>
      <c r="J2098" s="5"/>
      <c r="K2098" s="7" t="str">
        <f ca="1">IFERROR(__xludf.DUMMYFUNCTION("""COMPUTED_VALUE"""),"https://www.ebihoreanul.ro/stiri/28-de-noi-imbolnaviri-cu-covid-19-in-bihor-inclusiv-in-randul-personalului-upu-smurd-158401.html")</f>
        <v>https://www.ebihoreanul.ro/stiri/28-de-noi-imbolnaviri-cu-covid-19-in-bihor-inclusiv-in-randul-personalului-upu-smurd-158401.html</v>
      </c>
      <c r="L2098" s="5"/>
      <c r="M2098" s="5" t="str">
        <f ca="1">IFERROR(__xludf.DUMMYFUNCTION("""COMPUTED_VALUE"""),"Salonta")</f>
        <v>Salonta</v>
      </c>
      <c r="N2098" s="5"/>
      <c r="O2098" s="5"/>
      <c r="P2098" s="5" t="str">
        <f ca="1">IFERROR(__xludf.DUMMYFUNCTION("""COMPUTED_VALUE"""),"Spital Salonta, pacient.")</f>
        <v>Spital Salonta, pacient.</v>
      </c>
      <c r="Q2098" s="5" t="str">
        <f ca="1">IFERROR(__xludf.DUMMYFUNCTION("""COMPUTED_VALUE"""),"Medical")</f>
        <v>Medical</v>
      </c>
      <c r="R2098" s="5" t="str">
        <f ca="1">IFERROR(__xludf.DUMMYFUNCTION("""COMPUTED_VALUE"""),"România")</f>
        <v>România</v>
      </c>
      <c r="S2098" s="5" t="str">
        <f ca="1">IFERROR(__xludf.DUMMYFUNCTION("""COMPUTED_VALUE"""),"Octavian")</f>
        <v>Octavian</v>
      </c>
      <c r="T2098" s="7" t="str">
        <f ca="1">IFERROR(__xludf.DUMMYFUNCTION("""COMPUTED_VALUE"""),"http://www.ms.ro/2020/08/26/buletin-informativ-26-08-2020")</f>
        <v>http://www.ms.ro/2020/08/26/buletin-informativ-26-08-2020</v>
      </c>
      <c r="U2098" s="5"/>
      <c r="V2098" s="5"/>
      <c r="W2098" s="5"/>
      <c r="X2098" s="5"/>
      <c r="Y2098" s="5"/>
      <c r="Z2098" s="5"/>
      <c r="AA2098" s="5"/>
      <c r="AB2098" s="5"/>
      <c r="AC2098" s="5"/>
    </row>
    <row r="2099" spans="1:29" ht="12.5">
      <c r="A2099" s="5">
        <f ca="1">IFERROR(__xludf.DUMMYFUNCTION("""COMPUTED_VALUE"""),80536)</f>
        <v>80536</v>
      </c>
      <c r="B2099" s="5"/>
      <c r="C2099" s="5" t="str">
        <f ca="1">IFERROR(__xludf.DUMMYFUNCTION("""COMPUTED_VALUE"""),"Bihor")</f>
        <v>Bihor</v>
      </c>
      <c r="D2099" s="13">
        <f ca="1">IFERROR(__xludf.DUMMYFUNCTION("""COMPUTED_VALUE"""),44069)</f>
        <v>44069</v>
      </c>
      <c r="E2099" s="5" t="str">
        <f ca="1">IFERROR(__xludf.DUMMYFUNCTION("""COMPUTED_VALUE"""),"Nu")</f>
        <v>Nu</v>
      </c>
      <c r="F2099" s="5"/>
      <c r="G2099" s="5"/>
      <c r="H2099" s="6"/>
      <c r="I2099" s="5"/>
      <c r="J2099" s="5"/>
      <c r="K2099" s="7" t="str">
        <f ca="1">IFERROR(__xludf.DUMMYFUNCTION("""COMPUTED_VALUE"""),"https://www.ebihoreanul.ro/stiri/28-de-noi-imbolnaviri-cu-covid-19-in-bihor-inclusiv-in-randul-personalului-upu-smurd-158401.html")</f>
        <v>https://www.ebihoreanul.ro/stiri/28-de-noi-imbolnaviri-cu-covid-19-in-bihor-inclusiv-in-randul-personalului-upu-smurd-158401.html</v>
      </c>
      <c r="L2099" s="5"/>
      <c r="M2099" s="5" t="str">
        <f ca="1">IFERROR(__xludf.DUMMYFUNCTION("""COMPUTED_VALUE"""),"Ciumeghiu")</f>
        <v>Ciumeghiu</v>
      </c>
      <c r="N2099" s="5"/>
      <c r="O2099" s="5"/>
      <c r="P2099" s="5"/>
      <c r="Q2099" s="5"/>
      <c r="R2099" s="5" t="str">
        <f ca="1">IFERROR(__xludf.DUMMYFUNCTION("""COMPUTED_VALUE"""),"România")</f>
        <v>România</v>
      </c>
      <c r="S2099" s="5" t="str">
        <f ca="1">IFERROR(__xludf.DUMMYFUNCTION("""COMPUTED_VALUE"""),"Octavian")</f>
        <v>Octavian</v>
      </c>
      <c r="T2099" s="7" t="str">
        <f ca="1">IFERROR(__xludf.DUMMYFUNCTION("""COMPUTED_VALUE"""),"http://www.ms.ro/2020/08/26/buletin-informativ-26-08-2020")</f>
        <v>http://www.ms.ro/2020/08/26/buletin-informativ-26-08-2020</v>
      </c>
      <c r="U2099" s="5"/>
      <c r="V2099" s="5"/>
      <c r="W2099" s="5"/>
      <c r="X2099" s="5"/>
      <c r="Y2099" s="5"/>
      <c r="Z2099" s="5"/>
      <c r="AA2099" s="5"/>
      <c r="AB2099" s="5"/>
      <c r="AC2099" s="5"/>
    </row>
    <row r="2100" spans="1:29" ht="12.5">
      <c r="A2100" s="5">
        <f ca="1">IFERROR(__xludf.DUMMYFUNCTION("""COMPUTED_VALUE"""),80537)</f>
        <v>80537</v>
      </c>
      <c r="B2100" s="5"/>
      <c r="C2100" s="5" t="str">
        <f ca="1">IFERROR(__xludf.DUMMYFUNCTION("""COMPUTED_VALUE"""),"Bihor")</f>
        <v>Bihor</v>
      </c>
      <c r="D2100" s="13">
        <f ca="1">IFERROR(__xludf.DUMMYFUNCTION("""COMPUTED_VALUE"""),44069)</f>
        <v>44069</v>
      </c>
      <c r="E2100" s="5" t="str">
        <f ca="1">IFERROR(__xludf.DUMMYFUNCTION("""COMPUTED_VALUE"""),"Nu")</f>
        <v>Nu</v>
      </c>
      <c r="F2100" s="5"/>
      <c r="G2100" s="5"/>
      <c r="H2100" s="6"/>
      <c r="I2100" s="5"/>
      <c r="J2100" s="5"/>
      <c r="K2100" s="7" t="str">
        <f ca="1">IFERROR(__xludf.DUMMYFUNCTION("""COMPUTED_VALUE"""),"https://www.ebihoreanul.ro/stiri/28-de-noi-imbolnaviri-cu-covid-19-in-bihor-inclusiv-in-randul-personalului-upu-smurd-158401.html")</f>
        <v>https://www.ebihoreanul.ro/stiri/28-de-noi-imbolnaviri-cu-covid-19-in-bihor-inclusiv-in-randul-personalului-upu-smurd-158401.html</v>
      </c>
      <c r="L2100" s="5"/>
      <c r="M2100" s="5" t="str">
        <f ca="1">IFERROR(__xludf.DUMMYFUNCTION("""COMPUTED_VALUE"""),"Sânnicolau Român")</f>
        <v>Sânnicolau Român</v>
      </c>
      <c r="N2100" s="5"/>
      <c r="O2100" s="5"/>
      <c r="P2100" s="5"/>
      <c r="Q2100" s="5"/>
      <c r="R2100" s="5" t="str">
        <f ca="1">IFERROR(__xludf.DUMMYFUNCTION("""COMPUTED_VALUE"""),"România")</f>
        <v>România</v>
      </c>
      <c r="S2100" s="5" t="str">
        <f ca="1">IFERROR(__xludf.DUMMYFUNCTION("""COMPUTED_VALUE"""),"Octavian")</f>
        <v>Octavian</v>
      </c>
      <c r="T2100" s="7" t="str">
        <f ca="1">IFERROR(__xludf.DUMMYFUNCTION("""COMPUTED_VALUE"""),"http://www.ms.ro/2020/08/26/buletin-informativ-26-08-2020")</f>
        <v>http://www.ms.ro/2020/08/26/buletin-informativ-26-08-2020</v>
      </c>
      <c r="U2100" s="5"/>
      <c r="V2100" s="5"/>
      <c r="W2100" s="5"/>
      <c r="X2100" s="5"/>
      <c r="Y2100" s="5"/>
      <c r="Z2100" s="5"/>
      <c r="AA2100" s="5"/>
      <c r="AB2100" s="5"/>
      <c r="AC2100" s="5"/>
    </row>
    <row r="2101" spans="1:29" ht="12.5">
      <c r="A2101" s="5">
        <f ca="1">IFERROR(__xludf.DUMMYFUNCTION("""COMPUTED_VALUE"""),80538)</f>
        <v>80538</v>
      </c>
      <c r="B2101" s="5"/>
      <c r="C2101" s="5" t="str">
        <f ca="1">IFERROR(__xludf.DUMMYFUNCTION("""COMPUTED_VALUE"""),"Bihor")</f>
        <v>Bihor</v>
      </c>
      <c r="D2101" s="13">
        <f ca="1">IFERROR(__xludf.DUMMYFUNCTION("""COMPUTED_VALUE"""),44069)</f>
        <v>44069</v>
      </c>
      <c r="E2101" s="5" t="str">
        <f ca="1">IFERROR(__xludf.DUMMYFUNCTION("""COMPUTED_VALUE"""),"Nu")</f>
        <v>Nu</v>
      </c>
      <c r="F2101" s="5"/>
      <c r="G2101" s="5"/>
      <c r="H2101" s="6"/>
      <c r="I2101" s="5"/>
      <c r="J2101" s="5"/>
      <c r="K2101" s="7" t="str">
        <f ca="1">IFERROR(__xludf.DUMMYFUNCTION("""COMPUTED_VALUE"""),"https://www.ebihoreanul.ro/stiri/28-de-noi-imbolnaviri-cu-covid-19-in-bihor-inclusiv-in-randul-personalului-upu-smurd-158401.html")</f>
        <v>https://www.ebihoreanul.ro/stiri/28-de-noi-imbolnaviri-cu-covid-19-in-bihor-inclusiv-in-randul-personalului-upu-smurd-158401.html</v>
      </c>
      <c r="L2101" s="5"/>
      <c r="M2101" s="5" t="str">
        <f ca="1">IFERROR(__xludf.DUMMYFUNCTION("""COMPUTED_VALUE"""),"Țețchea")</f>
        <v>Țețchea</v>
      </c>
      <c r="N2101" s="5"/>
      <c r="O2101" s="5"/>
      <c r="P2101" s="5"/>
      <c r="Q2101" s="5"/>
      <c r="R2101" s="5" t="str">
        <f ca="1">IFERROR(__xludf.DUMMYFUNCTION("""COMPUTED_VALUE"""),"România")</f>
        <v>România</v>
      </c>
      <c r="S2101" s="5" t="str">
        <f ca="1">IFERROR(__xludf.DUMMYFUNCTION("""COMPUTED_VALUE"""),"Octavian")</f>
        <v>Octavian</v>
      </c>
      <c r="T2101" s="7" t="str">
        <f ca="1">IFERROR(__xludf.DUMMYFUNCTION("""COMPUTED_VALUE"""),"http://www.ms.ro/2020/08/26/buletin-informativ-26-08-2020")</f>
        <v>http://www.ms.ro/2020/08/26/buletin-informativ-26-08-2020</v>
      </c>
      <c r="U2101" s="5"/>
      <c r="V2101" s="5"/>
      <c r="W2101" s="5"/>
      <c r="X2101" s="5"/>
      <c r="Y2101" s="5"/>
      <c r="Z2101" s="5"/>
      <c r="AA2101" s="5"/>
      <c r="AB2101" s="5"/>
      <c r="AC2101" s="5"/>
    </row>
    <row r="2102" spans="1:29" ht="12.5">
      <c r="A2102" s="5">
        <f ca="1">IFERROR(__xludf.DUMMYFUNCTION("""COMPUTED_VALUE"""),80539)</f>
        <v>80539</v>
      </c>
      <c r="B2102" s="5"/>
      <c r="C2102" s="5" t="str">
        <f ca="1">IFERROR(__xludf.DUMMYFUNCTION("""COMPUTED_VALUE"""),"Bihor")</f>
        <v>Bihor</v>
      </c>
      <c r="D2102" s="13">
        <f ca="1">IFERROR(__xludf.DUMMYFUNCTION("""COMPUTED_VALUE"""),44069)</f>
        <v>44069</v>
      </c>
      <c r="E2102" s="5" t="str">
        <f ca="1">IFERROR(__xludf.DUMMYFUNCTION("""COMPUTED_VALUE"""),"Nu")</f>
        <v>Nu</v>
      </c>
      <c r="F2102" s="5"/>
      <c r="G2102" s="5"/>
      <c r="H2102" s="6"/>
      <c r="I2102" s="5"/>
      <c r="J2102" s="5"/>
      <c r="K2102" s="7" t="str">
        <f ca="1">IFERROR(__xludf.DUMMYFUNCTION("""COMPUTED_VALUE"""),"https://www.ebihoreanul.ro/stiri/28-de-noi-imbolnaviri-cu-covid-19-in-bihor-inclusiv-in-randul-personalului-upu-smurd-158401.html")</f>
        <v>https://www.ebihoreanul.ro/stiri/28-de-noi-imbolnaviri-cu-covid-19-in-bihor-inclusiv-in-randul-personalului-upu-smurd-158401.html</v>
      </c>
      <c r="L2102" s="5"/>
      <c r="M2102" s="5" t="str">
        <f ca="1">IFERROR(__xludf.DUMMYFUNCTION("""COMPUTED_VALUE"""),"Avram Iancu")</f>
        <v>Avram Iancu</v>
      </c>
      <c r="N2102" s="5"/>
      <c r="O2102" s="5"/>
      <c r="P2102" s="5"/>
      <c r="Q2102" s="5"/>
      <c r="R2102" s="5" t="str">
        <f ca="1">IFERROR(__xludf.DUMMYFUNCTION("""COMPUTED_VALUE"""),"România")</f>
        <v>România</v>
      </c>
      <c r="S2102" s="5" t="str">
        <f ca="1">IFERROR(__xludf.DUMMYFUNCTION("""COMPUTED_VALUE"""),"Octavian")</f>
        <v>Octavian</v>
      </c>
      <c r="T2102" s="7" t="str">
        <f ca="1">IFERROR(__xludf.DUMMYFUNCTION("""COMPUTED_VALUE"""),"http://www.ms.ro/2020/08/26/buletin-informativ-26-08-2020")</f>
        <v>http://www.ms.ro/2020/08/26/buletin-informativ-26-08-2020</v>
      </c>
      <c r="U2102" s="5"/>
      <c r="V2102" s="5"/>
      <c r="W2102" s="5"/>
      <c r="X2102" s="5"/>
      <c r="Y2102" s="5"/>
      <c r="Z2102" s="5"/>
      <c r="AA2102" s="5"/>
      <c r="AB2102" s="5"/>
      <c r="AC2102" s="5"/>
    </row>
    <row r="2103" spans="1:29" ht="12.5">
      <c r="A2103" s="5">
        <f ca="1">IFERROR(__xludf.DUMMYFUNCTION("""COMPUTED_VALUE"""),80540)</f>
        <v>80540</v>
      </c>
      <c r="B2103" s="5"/>
      <c r="C2103" s="5" t="str">
        <f ca="1">IFERROR(__xludf.DUMMYFUNCTION("""COMPUTED_VALUE"""),"Bihor")</f>
        <v>Bihor</v>
      </c>
      <c r="D2103" s="13">
        <f ca="1">IFERROR(__xludf.DUMMYFUNCTION("""COMPUTED_VALUE"""),44069)</f>
        <v>44069</v>
      </c>
      <c r="E2103" s="5" t="str">
        <f ca="1">IFERROR(__xludf.DUMMYFUNCTION("""COMPUTED_VALUE"""),"Nu")</f>
        <v>Nu</v>
      </c>
      <c r="F2103" s="5"/>
      <c r="G2103" s="5"/>
      <c r="H2103" s="6"/>
      <c r="I2103" s="5"/>
      <c r="J2103" s="5"/>
      <c r="K2103" s="7" t="str">
        <f ca="1">IFERROR(__xludf.DUMMYFUNCTION("""COMPUTED_VALUE"""),"https://www.ebihoreanul.ro/stiri/28-de-noi-imbolnaviri-cu-covid-19-in-bihor-inclusiv-in-randul-personalului-upu-smurd-158401.html")</f>
        <v>https://www.ebihoreanul.ro/stiri/28-de-noi-imbolnaviri-cu-covid-19-in-bihor-inclusiv-in-randul-personalului-upu-smurd-158401.html</v>
      </c>
      <c r="L2103" s="5"/>
      <c r="M2103" s="5" t="str">
        <f ca="1">IFERROR(__xludf.DUMMYFUNCTION("""COMPUTED_VALUE"""),"Hidișelu de Sus")</f>
        <v>Hidișelu de Sus</v>
      </c>
      <c r="N2103" s="5"/>
      <c r="O2103" s="5"/>
      <c r="P2103" s="5"/>
      <c r="Q2103" s="5"/>
      <c r="R2103" s="5" t="str">
        <f ca="1">IFERROR(__xludf.DUMMYFUNCTION("""COMPUTED_VALUE"""),"România")</f>
        <v>România</v>
      </c>
      <c r="S2103" s="5" t="str">
        <f ca="1">IFERROR(__xludf.DUMMYFUNCTION("""COMPUTED_VALUE"""),"Octavian")</f>
        <v>Octavian</v>
      </c>
      <c r="T2103" s="7" t="str">
        <f ca="1">IFERROR(__xludf.DUMMYFUNCTION("""COMPUTED_VALUE"""),"http://www.ms.ro/2020/08/26/buletin-informativ-26-08-2020")</f>
        <v>http://www.ms.ro/2020/08/26/buletin-informativ-26-08-2020</v>
      </c>
      <c r="U2103" s="5"/>
      <c r="V2103" s="5"/>
      <c r="W2103" s="5"/>
      <c r="X2103" s="5"/>
      <c r="Y2103" s="5"/>
      <c r="Z2103" s="5"/>
      <c r="AA2103" s="5"/>
      <c r="AB2103" s="5"/>
      <c r="AC2103" s="5"/>
    </row>
    <row r="2104" spans="1:29" ht="12.5">
      <c r="A2104" s="5">
        <f ca="1">IFERROR(__xludf.DUMMYFUNCTION("""COMPUTED_VALUE"""),80541)</f>
        <v>80541</v>
      </c>
      <c r="B2104" s="5"/>
      <c r="C2104" s="5" t="str">
        <f ca="1">IFERROR(__xludf.DUMMYFUNCTION("""COMPUTED_VALUE"""),"Bihor")</f>
        <v>Bihor</v>
      </c>
      <c r="D2104" s="13">
        <f ca="1">IFERROR(__xludf.DUMMYFUNCTION("""COMPUTED_VALUE"""),44069)</f>
        <v>44069</v>
      </c>
      <c r="E2104" s="5" t="str">
        <f ca="1">IFERROR(__xludf.DUMMYFUNCTION("""COMPUTED_VALUE"""),"Nu")</f>
        <v>Nu</v>
      </c>
      <c r="F2104" s="5"/>
      <c r="G2104" s="5"/>
      <c r="H2104" s="6"/>
      <c r="I2104" s="5"/>
      <c r="J2104" s="5"/>
      <c r="K2104" s="7" t="str">
        <f ca="1">IFERROR(__xludf.DUMMYFUNCTION("""COMPUTED_VALUE"""),"https://www.ebihoreanul.ro/stiri/28-de-noi-imbolnaviri-cu-covid-19-in-bihor-inclusiv-in-randul-personalului-upu-smurd-158401.html")</f>
        <v>https://www.ebihoreanul.ro/stiri/28-de-noi-imbolnaviri-cu-covid-19-in-bihor-inclusiv-in-randul-personalului-upu-smurd-158401.html</v>
      </c>
      <c r="L2104" s="5"/>
      <c r="M2104" s="5" t="str">
        <f ca="1">IFERROR(__xludf.DUMMYFUNCTION("""COMPUTED_VALUE"""),"Vârciorog")</f>
        <v>Vârciorog</v>
      </c>
      <c r="N2104" s="5"/>
      <c r="O2104" s="5"/>
      <c r="P2104" s="5"/>
      <c r="Q2104" s="5"/>
      <c r="R2104" s="5" t="str">
        <f ca="1">IFERROR(__xludf.DUMMYFUNCTION("""COMPUTED_VALUE"""),"România")</f>
        <v>România</v>
      </c>
      <c r="S2104" s="5" t="str">
        <f ca="1">IFERROR(__xludf.DUMMYFUNCTION("""COMPUTED_VALUE"""),"Octavian")</f>
        <v>Octavian</v>
      </c>
      <c r="T2104" s="7" t="str">
        <f ca="1">IFERROR(__xludf.DUMMYFUNCTION("""COMPUTED_VALUE"""),"http://www.ms.ro/2020/08/26/buletin-informativ-26-08-2020")</f>
        <v>http://www.ms.ro/2020/08/26/buletin-informativ-26-08-2020</v>
      </c>
      <c r="U2104" s="5"/>
      <c r="V2104" s="5"/>
      <c r="W2104" s="5"/>
      <c r="X2104" s="5"/>
      <c r="Y2104" s="5"/>
      <c r="Z2104" s="5"/>
      <c r="AA2104" s="5"/>
      <c r="AB2104" s="5"/>
      <c r="AC2104" s="5"/>
    </row>
    <row r="2105" spans="1:29" ht="12.5">
      <c r="A2105" s="5">
        <f ca="1">IFERROR(__xludf.DUMMYFUNCTION("""COMPUTED_VALUE"""),80542)</f>
        <v>80542</v>
      </c>
      <c r="B2105" s="5"/>
      <c r="C2105" s="5" t="str">
        <f ca="1">IFERROR(__xludf.DUMMYFUNCTION("""COMPUTED_VALUE"""),"Bihor")</f>
        <v>Bihor</v>
      </c>
      <c r="D2105" s="13">
        <f ca="1">IFERROR(__xludf.DUMMYFUNCTION("""COMPUTED_VALUE"""),44069)</f>
        <v>44069</v>
      </c>
      <c r="E2105" s="5" t="str">
        <f ca="1">IFERROR(__xludf.DUMMYFUNCTION("""COMPUTED_VALUE"""),"Nu")</f>
        <v>Nu</v>
      </c>
      <c r="F2105" s="5"/>
      <c r="G2105" s="5"/>
      <c r="H2105" s="6"/>
      <c r="I2105" s="5"/>
      <c r="J2105" s="5"/>
      <c r="K2105" s="7" t="str">
        <f ca="1">IFERROR(__xludf.DUMMYFUNCTION("""COMPUTED_VALUE"""),"https://www.ebihoreanul.ro/stiri/28-de-noi-imbolnaviri-cu-covid-19-in-bihor-inclusiv-in-randul-personalului-upu-smurd-158401.html")</f>
        <v>https://www.ebihoreanul.ro/stiri/28-de-noi-imbolnaviri-cu-covid-19-in-bihor-inclusiv-in-randul-personalului-upu-smurd-158401.html</v>
      </c>
      <c r="L2105" s="5"/>
      <c r="M2105" s="5" t="str">
        <f ca="1">IFERROR(__xludf.DUMMYFUNCTION("""COMPUTED_VALUE"""),"Tăuteu")</f>
        <v>Tăuteu</v>
      </c>
      <c r="N2105" s="5"/>
      <c r="O2105" s="5"/>
      <c r="P2105" s="5"/>
      <c r="Q2105" s="5"/>
      <c r="R2105" s="5" t="str">
        <f ca="1">IFERROR(__xludf.DUMMYFUNCTION("""COMPUTED_VALUE"""),"România")</f>
        <v>România</v>
      </c>
      <c r="S2105" s="5" t="str">
        <f ca="1">IFERROR(__xludf.DUMMYFUNCTION("""COMPUTED_VALUE"""),"Octavian")</f>
        <v>Octavian</v>
      </c>
      <c r="T2105" s="7" t="str">
        <f ca="1">IFERROR(__xludf.DUMMYFUNCTION("""COMPUTED_VALUE"""),"http://www.ms.ro/2020/08/26/buletin-informativ-26-08-2020")</f>
        <v>http://www.ms.ro/2020/08/26/buletin-informativ-26-08-2020</v>
      </c>
      <c r="U2105" s="5"/>
      <c r="V2105" s="5"/>
      <c r="W2105" s="5"/>
      <c r="X2105" s="5"/>
      <c r="Y2105" s="5"/>
      <c r="Z2105" s="5"/>
      <c r="AA2105" s="5"/>
      <c r="AB2105" s="5"/>
      <c r="AC2105" s="5"/>
    </row>
    <row r="2106" spans="1:29" ht="12.5">
      <c r="A2106" s="5">
        <f ca="1">IFERROR(__xludf.DUMMYFUNCTION("""COMPUTED_VALUE"""),80543)</f>
        <v>80543</v>
      </c>
      <c r="B2106" s="5"/>
      <c r="C2106" s="5" t="str">
        <f ca="1">IFERROR(__xludf.DUMMYFUNCTION("""COMPUTED_VALUE"""),"Bihor")</f>
        <v>Bihor</v>
      </c>
      <c r="D2106" s="13">
        <f ca="1">IFERROR(__xludf.DUMMYFUNCTION("""COMPUTED_VALUE"""),44069)</f>
        <v>44069</v>
      </c>
      <c r="E2106" s="5" t="str">
        <f ca="1">IFERROR(__xludf.DUMMYFUNCTION("""COMPUTED_VALUE"""),"Nu")</f>
        <v>Nu</v>
      </c>
      <c r="F2106" s="5"/>
      <c r="G2106" s="5"/>
      <c r="H2106" s="6"/>
      <c r="I2106" s="5"/>
      <c r="J2106" s="5"/>
      <c r="K2106" s="7" t="str">
        <f ca="1">IFERROR(__xludf.DUMMYFUNCTION("""COMPUTED_VALUE"""),"https://www.ebihoreanul.ro/stiri/28-de-noi-imbolnaviri-cu-covid-19-in-bihor-inclusiv-in-randul-personalului-upu-smurd-158401.html")</f>
        <v>https://www.ebihoreanul.ro/stiri/28-de-noi-imbolnaviri-cu-covid-19-in-bihor-inclusiv-in-randul-personalului-upu-smurd-158401.html</v>
      </c>
      <c r="L2106" s="5"/>
      <c r="M2106" s="5" t="str">
        <f ca="1">IFERROR(__xludf.DUMMYFUNCTION("""COMPUTED_VALUE"""),"Surplacu de Barcău")</f>
        <v>Surplacu de Barcău</v>
      </c>
      <c r="N2106" s="5"/>
      <c r="O2106" s="5"/>
      <c r="P2106" s="5"/>
      <c r="Q2106" s="5"/>
      <c r="R2106" s="5" t="str">
        <f ca="1">IFERROR(__xludf.DUMMYFUNCTION("""COMPUTED_VALUE"""),"România")</f>
        <v>România</v>
      </c>
      <c r="S2106" s="5" t="str">
        <f ca="1">IFERROR(__xludf.DUMMYFUNCTION("""COMPUTED_VALUE"""),"Octavian")</f>
        <v>Octavian</v>
      </c>
      <c r="T2106" s="7" t="str">
        <f ca="1">IFERROR(__xludf.DUMMYFUNCTION("""COMPUTED_VALUE"""),"http://www.ms.ro/2020/08/26/buletin-informativ-26-08-2020")</f>
        <v>http://www.ms.ro/2020/08/26/buletin-informativ-26-08-2020</v>
      </c>
      <c r="U2106" s="5"/>
      <c r="V2106" s="5"/>
      <c r="W2106" s="5"/>
      <c r="X2106" s="5"/>
      <c r="Y2106" s="5"/>
      <c r="Z2106" s="5"/>
      <c r="AA2106" s="5"/>
      <c r="AB2106" s="5"/>
      <c r="AC2106" s="5"/>
    </row>
    <row r="2107" spans="1:29" ht="12.5">
      <c r="A2107" s="5">
        <f ca="1">IFERROR(__xludf.DUMMYFUNCTION("""COMPUTED_VALUE"""),80544)</f>
        <v>80544</v>
      </c>
      <c r="B2107" s="5"/>
      <c r="C2107" s="5" t="str">
        <f ca="1">IFERROR(__xludf.DUMMYFUNCTION("""COMPUTED_VALUE"""),"Bihor")</f>
        <v>Bihor</v>
      </c>
      <c r="D2107" s="13">
        <f ca="1">IFERROR(__xludf.DUMMYFUNCTION("""COMPUTED_VALUE"""),44069)</f>
        <v>44069</v>
      </c>
      <c r="E2107" s="5" t="str">
        <f ca="1">IFERROR(__xludf.DUMMYFUNCTION("""COMPUTED_VALUE"""),"Nu")</f>
        <v>Nu</v>
      </c>
      <c r="F2107" s="5"/>
      <c r="G2107" s="5"/>
      <c r="H2107" s="6"/>
      <c r="I2107" s="5"/>
      <c r="J2107" s="5"/>
      <c r="K2107" s="7" t="str">
        <f ca="1">IFERROR(__xludf.DUMMYFUNCTION("""COMPUTED_VALUE"""),"https://www.ebihoreanul.ro/stiri/28-de-noi-imbolnaviri-cu-covid-19-in-bihor-inclusiv-in-randul-personalului-upu-smurd-158401.html")</f>
        <v>https://www.ebihoreanul.ro/stiri/28-de-noi-imbolnaviri-cu-covid-19-in-bihor-inclusiv-in-randul-personalului-upu-smurd-158401.html</v>
      </c>
      <c r="L2107" s="5"/>
      <c r="M2107" s="5" t="str">
        <f ca="1">IFERROR(__xludf.DUMMYFUNCTION("""COMPUTED_VALUE"""),"Măgești")</f>
        <v>Măgești</v>
      </c>
      <c r="N2107" s="5"/>
      <c r="O2107" s="5"/>
      <c r="P2107" s="5"/>
      <c r="Q2107" s="5"/>
      <c r="R2107" s="5" t="str">
        <f ca="1">IFERROR(__xludf.DUMMYFUNCTION("""COMPUTED_VALUE"""),"România")</f>
        <v>România</v>
      </c>
      <c r="S2107" s="5" t="str">
        <f ca="1">IFERROR(__xludf.DUMMYFUNCTION("""COMPUTED_VALUE"""),"Octavian")</f>
        <v>Octavian</v>
      </c>
      <c r="T2107" s="7" t="str">
        <f ca="1">IFERROR(__xludf.DUMMYFUNCTION("""COMPUTED_VALUE"""),"http://www.ms.ro/2020/08/26/buletin-informativ-26-08-2020")</f>
        <v>http://www.ms.ro/2020/08/26/buletin-informativ-26-08-2020</v>
      </c>
      <c r="U2107" s="5"/>
      <c r="V2107" s="5"/>
      <c r="W2107" s="5"/>
      <c r="X2107" s="5"/>
      <c r="Y2107" s="5"/>
      <c r="Z2107" s="5"/>
      <c r="AA2107" s="5"/>
      <c r="AB2107" s="5"/>
      <c r="AC2107" s="5"/>
    </row>
    <row r="2108" spans="1:29" ht="12.5">
      <c r="A2108" s="5">
        <f ca="1">IFERROR(__xludf.DUMMYFUNCTION("""COMPUTED_VALUE"""),80545)</f>
        <v>80545</v>
      </c>
      <c r="B2108" s="5"/>
      <c r="C2108" s="5" t="str">
        <f ca="1">IFERROR(__xludf.DUMMYFUNCTION("""COMPUTED_VALUE"""),"Bihor")</f>
        <v>Bihor</v>
      </c>
      <c r="D2108" s="13">
        <f ca="1">IFERROR(__xludf.DUMMYFUNCTION("""COMPUTED_VALUE"""),44069)</f>
        <v>44069</v>
      </c>
      <c r="E2108" s="5" t="str">
        <f ca="1">IFERROR(__xludf.DUMMYFUNCTION("""COMPUTED_VALUE"""),"Nu")</f>
        <v>Nu</v>
      </c>
      <c r="F2108" s="5"/>
      <c r="G2108" s="5"/>
      <c r="H2108" s="6"/>
      <c r="I2108" s="5"/>
      <c r="J2108" s="5"/>
      <c r="K2108" s="7" t="str">
        <f ca="1">IFERROR(__xludf.DUMMYFUNCTION("""COMPUTED_VALUE"""),"https://www.ebihoreanul.ro/stiri/28-de-noi-imbolnaviri-cu-covid-19-in-bihor-inclusiv-in-randul-personalului-upu-smurd-158401.html")</f>
        <v>https://www.ebihoreanul.ro/stiri/28-de-noi-imbolnaviri-cu-covid-19-in-bihor-inclusiv-in-randul-personalului-upu-smurd-158401.html</v>
      </c>
      <c r="L2108" s="5"/>
      <c r="M2108" s="5"/>
      <c r="N2108" s="5"/>
      <c r="O2108" s="5"/>
      <c r="P2108" s="5"/>
      <c r="Q2108" s="5"/>
      <c r="R2108" s="5" t="str">
        <f ca="1">IFERROR(__xludf.DUMMYFUNCTION("""COMPUTED_VALUE"""),"România")</f>
        <v>România</v>
      </c>
      <c r="S2108" s="5" t="str">
        <f ca="1">IFERROR(__xludf.DUMMYFUNCTION("""COMPUTED_VALUE"""),"Octavian")</f>
        <v>Octavian</v>
      </c>
      <c r="T2108" s="7" t="str">
        <f ca="1">IFERROR(__xludf.DUMMYFUNCTION("""COMPUTED_VALUE"""),"http://www.ms.ro/2020/08/26/buletin-informativ-26-08-2020")</f>
        <v>http://www.ms.ro/2020/08/26/buletin-informativ-26-08-2020</v>
      </c>
      <c r="U2108" s="5"/>
      <c r="V2108" s="5"/>
      <c r="W2108" s="5"/>
      <c r="X2108" s="5"/>
      <c r="Y2108" s="5"/>
      <c r="Z2108" s="5"/>
      <c r="AA2108" s="5"/>
      <c r="AB2108" s="5"/>
      <c r="AC2108" s="5"/>
    </row>
    <row r="2109" spans="1:29" ht="12.5">
      <c r="A2109" s="5">
        <f ca="1">IFERROR(__xludf.DUMMYFUNCTION("""COMPUTED_VALUE"""),80546)</f>
        <v>80546</v>
      </c>
      <c r="B2109" s="5"/>
      <c r="C2109" s="5" t="str">
        <f ca="1">IFERROR(__xludf.DUMMYFUNCTION("""COMPUTED_VALUE"""),"Bihor")</f>
        <v>Bihor</v>
      </c>
      <c r="D2109" s="13">
        <f ca="1">IFERROR(__xludf.DUMMYFUNCTION("""COMPUTED_VALUE"""),44069)</f>
        <v>44069</v>
      </c>
      <c r="E2109" s="5" t="str">
        <f ca="1">IFERROR(__xludf.DUMMYFUNCTION("""COMPUTED_VALUE"""),"Nu")</f>
        <v>Nu</v>
      </c>
      <c r="F2109" s="5"/>
      <c r="G2109" s="5"/>
      <c r="H2109" s="6"/>
      <c r="I2109" s="5"/>
      <c r="J2109" s="5"/>
      <c r="K2109" s="7" t="str">
        <f ca="1">IFERROR(__xludf.DUMMYFUNCTION("""COMPUTED_VALUE"""),"https://www.ebihoreanul.ro/stiri/28-de-noi-imbolnaviri-cu-covid-19-in-bihor-inclusiv-in-randul-personalului-upu-smurd-158401.html")</f>
        <v>https://www.ebihoreanul.ro/stiri/28-de-noi-imbolnaviri-cu-covid-19-in-bihor-inclusiv-in-randul-personalului-upu-smurd-158401.html</v>
      </c>
      <c r="L2109" s="5"/>
      <c r="M2109" s="5"/>
      <c r="N2109" s="5"/>
      <c r="O2109" s="5"/>
      <c r="P2109" s="5"/>
      <c r="Q2109" s="5"/>
      <c r="R2109" s="5" t="str">
        <f ca="1">IFERROR(__xludf.DUMMYFUNCTION("""COMPUTED_VALUE"""),"România")</f>
        <v>România</v>
      </c>
      <c r="S2109" s="5" t="str">
        <f ca="1">IFERROR(__xludf.DUMMYFUNCTION("""COMPUTED_VALUE"""),"Octavian")</f>
        <v>Octavian</v>
      </c>
      <c r="T2109" s="7" t="str">
        <f ca="1">IFERROR(__xludf.DUMMYFUNCTION("""COMPUTED_VALUE"""),"http://www.ms.ro/2020/08/26/buletin-informativ-26-08-2020")</f>
        <v>http://www.ms.ro/2020/08/26/buletin-informativ-26-08-2020</v>
      </c>
      <c r="U2109" s="5"/>
      <c r="V2109" s="5"/>
      <c r="W2109" s="5"/>
      <c r="X2109" s="5"/>
      <c r="Y2109" s="5"/>
      <c r="Z2109" s="5"/>
      <c r="AA2109" s="5"/>
      <c r="AB2109" s="5"/>
      <c r="AC2109" s="5"/>
    </row>
    <row r="2110" spans="1:29" ht="12.5">
      <c r="A2110" s="5">
        <f ca="1">IFERROR(__xludf.DUMMYFUNCTION("""COMPUTED_VALUE"""),80547)</f>
        <v>80547</v>
      </c>
      <c r="B2110" s="5"/>
      <c r="C2110" s="5" t="str">
        <f ca="1">IFERROR(__xludf.DUMMYFUNCTION("""COMPUTED_VALUE"""),"Bihor")</f>
        <v>Bihor</v>
      </c>
      <c r="D2110" s="13">
        <f ca="1">IFERROR(__xludf.DUMMYFUNCTION("""COMPUTED_VALUE"""),44069)</f>
        <v>44069</v>
      </c>
      <c r="E2110" s="5" t="str">
        <f ca="1">IFERROR(__xludf.DUMMYFUNCTION("""COMPUTED_VALUE"""),"Nu")</f>
        <v>Nu</v>
      </c>
      <c r="F2110" s="5"/>
      <c r="G2110" s="5"/>
      <c r="H2110" s="6"/>
      <c r="I2110" s="5"/>
      <c r="J2110" s="5"/>
      <c r="K2110" s="7" t="str">
        <f ca="1">IFERROR(__xludf.DUMMYFUNCTION("""COMPUTED_VALUE"""),"https://www.ebihoreanul.ro/stiri/28-de-noi-imbolnaviri-cu-covid-19-in-bihor-inclusiv-in-randul-personalului-upu-smurd-158401.html")</f>
        <v>https://www.ebihoreanul.ro/stiri/28-de-noi-imbolnaviri-cu-covid-19-in-bihor-inclusiv-in-randul-personalului-upu-smurd-158401.html</v>
      </c>
      <c r="L2110" s="5"/>
      <c r="M2110" s="5"/>
      <c r="N2110" s="5"/>
      <c r="O2110" s="5"/>
      <c r="P2110" s="5"/>
      <c r="Q2110" s="5"/>
      <c r="R2110" s="5" t="str">
        <f ca="1">IFERROR(__xludf.DUMMYFUNCTION("""COMPUTED_VALUE"""),"România")</f>
        <v>România</v>
      </c>
      <c r="S2110" s="5" t="str">
        <f ca="1">IFERROR(__xludf.DUMMYFUNCTION("""COMPUTED_VALUE"""),"Octavian")</f>
        <v>Octavian</v>
      </c>
      <c r="T2110" s="7" t="str">
        <f ca="1">IFERROR(__xludf.DUMMYFUNCTION("""COMPUTED_VALUE"""),"http://www.ms.ro/2020/08/26/buletin-informativ-26-08-2020")</f>
        <v>http://www.ms.ro/2020/08/26/buletin-informativ-26-08-2020</v>
      </c>
      <c r="U2110" s="5"/>
      <c r="V2110" s="5"/>
      <c r="W2110" s="5"/>
      <c r="X2110" s="5"/>
      <c r="Y2110" s="5"/>
      <c r="Z2110" s="5"/>
      <c r="AA2110" s="5"/>
      <c r="AB2110" s="5"/>
      <c r="AC2110" s="5"/>
    </row>
    <row r="2111" spans="1:29" ht="12.5">
      <c r="A2111" s="5">
        <f ca="1">IFERROR(__xludf.DUMMYFUNCTION("""COMPUTED_VALUE"""),80548)</f>
        <v>80548</v>
      </c>
      <c r="B2111" s="5"/>
      <c r="C2111" s="5" t="str">
        <f ca="1">IFERROR(__xludf.DUMMYFUNCTION("""COMPUTED_VALUE"""),"Bihor")</f>
        <v>Bihor</v>
      </c>
      <c r="D2111" s="13">
        <f ca="1">IFERROR(__xludf.DUMMYFUNCTION("""COMPUTED_VALUE"""),44069)</f>
        <v>44069</v>
      </c>
      <c r="E2111" s="5" t="str">
        <f ca="1">IFERROR(__xludf.DUMMYFUNCTION("""COMPUTED_VALUE"""),"Nu")</f>
        <v>Nu</v>
      </c>
      <c r="F2111" s="5"/>
      <c r="G2111" s="5"/>
      <c r="H2111" s="6"/>
      <c r="I2111" s="5"/>
      <c r="J2111" s="5"/>
      <c r="K2111" s="7" t="str">
        <f ca="1">IFERROR(__xludf.DUMMYFUNCTION("""COMPUTED_VALUE"""),"https://www.ebihoreanul.ro/stiri/28-de-noi-imbolnaviri-cu-covid-19-in-bihor-inclusiv-in-randul-personalului-upu-smurd-158401.html")</f>
        <v>https://www.ebihoreanul.ro/stiri/28-de-noi-imbolnaviri-cu-covid-19-in-bihor-inclusiv-in-randul-personalului-upu-smurd-158401.html</v>
      </c>
      <c r="L2111" s="5"/>
      <c r="M2111" s="5"/>
      <c r="N2111" s="5"/>
      <c r="O2111" s="5"/>
      <c r="P2111" s="5"/>
      <c r="Q2111" s="5"/>
      <c r="R2111" s="5" t="str">
        <f ca="1">IFERROR(__xludf.DUMMYFUNCTION("""COMPUTED_VALUE"""),"România")</f>
        <v>România</v>
      </c>
      <c r="S2111" s="5" t="str">
        <f ca="1">IFERROR(__xludf.DUMMYFUNCTION("""COMPUTED_VALUE"""),"Octavian")</f>
        <v>Octavian</v>
      </c>
      <c r="T2111" s="7" t="str">
        <f ca="1">IFERROR(__xludf.DUMMYFUNCTION("""COMPUTED_VALUE"""),"http://www.ms.ro/2020/08/26/buletin-informativ-26-08-2020")</f>
        <v>http://www.ms.ro/2020/08/26/buletin-informativ-26-08-2020</v>
      </c>
      <c r="U2111" s="5"/>
      <c r="V2111" s="5"/>
      <c r="W2111" s="5"/>
      <c r="X2111" s="5"/>
      <c r="Y2111" s="5"/>
      <c r="Z2111" s="5"/>
      <c r="AA2111" s="5"/>
      <c r="AB2111" s="5"/>
      <c r="AC2111" s="5"/>
    </row>
    <row r="2112" spans="1:29" ht="12.5">
      <c r="A2112" s="5"/>
      <c r="B2112" s="5"/>
      <c r="C2112" s="5"/>
      <c r="D2112" s="13"/>
      <c r="E2112" s="5"/>
      <c r="F2112" s="5"/>
      <c r="G2112" s="5"/>
      <c r="H2112" s="6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  <c r="Z2112" s="5"/>
      <c r="AA2112" s="5"/>
      <c r="AB2112" s="5"/>
      <c r="AC2112" s="5"/>
    </row>
    <row r="2113" spans="1:29" ht="12.5">
      <c r="A2113" s="5"/>
      <c r="B2113" s="5"/>
      <c r="C2113" s="5"/>
      <c r="D2113" s="13"/>
      <c r="E2113" s="5"/>
      <c r="F2113" s="5"/>
      <c r="G2113" s="5"/>
      <c r="H2113" s="6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  <c r="Z2113" s="5"/>
      <c r="AA2113" s="5"/>
      <c r="AB2113" s="5"/>
      <c r="AC2113" s="5"/>
    </row>
    <row r="2114" spans="1:29" ht="12.5">
      <c r="A2114" s="5"/>
      <c r="B2114" s="5"/>
      <c r="C2114" s="5"/>
      <c r="D2114" s="13"/>
      <c r="E2114" s="5"/>
      <c r="F2114" s="5"/>
      <c r="G2114" s="5"/>
      <c r="H2114" s="6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  <c r="Z2114" s="5"/>
      <c r="AA2114" s="5"/>
      <c r="AB2114" s="5"/>
      <c r="AC2114" s="5"/>
    </row>
    <row r="2115" spans="1:29" ht="12.5">
      <c r="A2115" s="5"/>
      <c r="B2115" s="5"/>
      <c r="C2115" s="5"/>
      <c r="D2115" s="13"/>
      <c r="E2115" s="5"/>
      <c r="F2115" s="5"/>
      <c r="G2115" s="5"/>
      <c r="H2115" s="6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  <c r="Z2115" s="5"/>
      <c r="AA2115" s="5"/>
      <c r="AB2115" s="5"/>
      <c r="AC2115" s="5"/>
    </row>
    <row r="2116" spans="1:29" ht="12.5">
      <c r="A2116" s="5"/>
      <c r="B2116" s="5"/>
      <c r="C2116" s="5"/>
      <c r="D2116" s="13"/>
      <c r="E2116" s="5"/>
      <c r="F2116" s="5"/>
      <c r="G2116" s="5"/>
      <c r="H2116" s="6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  <c r="Z2116" s="5"/>
      <c r="AA2116" s="5"/>
      <c r="AB2116" s="5"/>
      <c r="AC2116" s="5"/>
    </row>
  </sheetData>
  <hyperlinks>
    <hyperlink ref="K2" r:id="rId1" display="https://www.biziday.ro/situatia-infectiilor-cu-coronavirus-din-romania/" xr:uid="{00000000-0004-0000-0000-000000000000}"/>
    <hyperlink ref="K3" r:id="rId2" display="https://www.ebihoreanul.ro/stiri/ultima-or-31-1/dsp-bihor-confirma-a-doua-bolnava-de-coronavirus-din-bihor-este-o-femeie-de-53-de-ani-care-s-a-intors-din-italiasi-se-afla-in-carantina-155255.html" xr:uid="{00000000-0004-0000-0000-000001000000}"/>
    <hyperlink ref="T3" r:id="rId3" display="http://www.ms.ro/2020/03/18/buletin-informativ-18-03-2020-ora-1000/" xr:uid="{00000000-0004-0000-0000-000002000000}"/>
    <hyperlink ref="K4" r:id="rId4" display="https://www.ebihoreanul.ro/stiri/ultima-or-31-1/inca-trei-diagnosticati-cu-coronavirus-in-bihor-familia-primei-oradence-infectate-este-sanatoasa-155330.html" xr:uid="{00000000-0004-0000-0000-000003000000}"/>
    <hyperlink ref="T4" r:id="rId5" display="http://www.ms.ro/2020/03/20/buletin-informativ-20-03-2020/" xr:uid="{00000000-0004-0000-0000-000004000000}"/>
    <hyperlink ref="K5" r:id="rId6" display="https://www.ebihoreanul.ro/stiri/ultima-or-31-1/inca-trei-diagnosticati-cu-coronavirus-in-bihor-familia-primei-oradence-infectate-este-sanatoasa-155330.html" xr:uid="{00000000-0004-0000-0000-000005000000}"/>
    <hyperlink ref="T5" r:id="rId7" display="http://www.ms.ro/2020/03/20/buletin-informativ-20-03-2020/" xr:uid="{00000000-0004-0000-0000-000006000000}"/>
    <hyperlink ref="K6" r:id="rId8" display="https://www.ebihoreanul.ro/stiri/ultima-or-31-1/inca-trei-diagnosticati-cu-coronavirus-in-bihor-familia-primei-oradence-infectate-este-sanatoasa-155330.html" xr:uid="{00000000-0004-0000-0000-000007000000}"/>
    <hyperlink ref="T6" r:id="rId9" display="http://www.ms.ro/2020/03/20/buletin-informativ-20-03-2020/" xr:uid="{00000000-0004-0000-0000-000008000000}"/>
    <hyperlink ref="K7" r:id="rId10" display="https://www.ebihoreanul.ro/stiri/ultima-or-31-1/surse-inca-trei-bihoreni-diagnosticati-cu-coronavirus-primele-cazuri-care-provin-din-autoizolare-155513.html" xr:uid="{00000000-0004-0000-0000-000009000000}"/>
    <hyperlink ref="T7" r:id="rId11" display="http://www.ms.ro/2020/03/28/buletin-informativ-28-03-2020/" xr:uid="{00000000-0004-0000-0000-00000A000000}"/>
    <hyperlink ref="K8" r:id="rId12" display="https://www.ebihoreanul.ro/stiri/ultima-or-31-1/surse-inca-trei-bihoreni-diagnosticati-cu-coronavirus-primele-cazuri-care-provin-din-autoizolare-155513.html" xr:uid="{00000000-0004-0000-0000-00000B000000}"/>
    <hyperlink ref="T8" r:id="rId13" display="http://www.ms.ro/2020/03/28/buletin-informativ-28-03-2020/" xr:uid="{00000000-0004-0000-0000-00000C000000}"/>
    <hyperlink ref="K9" r:id="rId14" display="https://www.ebihoreanul.ro/stiri/ultima-or-31-1/surse-inca-trei-bihoreni-diagnosticati-cu-coronavirus-primele-cazuri-care-provin-din-autoizolare-155513.html" xr:uid="{00000000-0004-0000-0000-00000D000000}"/>
    <hyperlink ref="T9" r:id="rId15" display="http://www.ms.ro/2020/03/28/buletin-informativ-28-03-2020/" xr:uid="{00000000-0004-0000-0000-00000E000000}"/>
    <hyperlink ref="K10" r:id="rId16" display="https://www.hotnews.ro/stiri-coronavirus-23759368-coronavirus-romania-28-martie.htm" xr:uid="{00000000-0004-0000-0000-00000F000000}"/>
    <hyperlink ref="L10" r:id="rId17" display="http://www.ms.ro/2020/04/06/deces-152-156/" xr:uid="{00000000-0004-0000-0000-000010000000}"/>
    <hyperlink ref="T10" r:id="rId18" display="http://www.ms.ro/2020/03/28/buletin-informativ-28-03-2020/" xr:uid="{00000000-0004-0000-0000-000011000000}"/>
    <hyperlink ref="T11" r:id="rId19" display="http://www.ms.ro/2020/03/29/buletin-informativ-29-03-2020/" xr:uid="{00000000-0004-0000-0000-000012000000}"/>
    <hyperlink ref="K12" r:id="rId20" display="https://www.g4media.ro/breaking-2460-de-cazuri-de-coronavirus-confirmate-in-romania-din-care-215-in-ultimele-24-de-ore-85-de-oameni-au-murit.html" xr:uid="{00000000-0004-0000-0000-000013000000}"/>
    <hyperlink ref="L12" r:id="rId21" display="http://www.ms.ro/2020/04/16/decese-373-387/" xr:uid="{00000000-0004-0000-0000-000014000000}"/>
    <hyperlink ref="K13" r:id="rId22" display="https://www.g4media.ro/breaking-2460-de-cazuri-de-coronavirus-confirmate-in-romania-din-care-215-in-ultimele-24-de-ore-85-de-oameni-au-murit.html" xr:uid="{00000000-0004-0000-0000-000015000000}"/>
    <hyperlink ref="L13" r:id="rId23" display="https://stirioficiale.ro/informatii/informare-de-presa-6-aprilie-2020-ora-3-24pm" xr:uid="{00000000-0004-0000-0000-000016000000}"/>
    <hyperlink ref="K14" r:id="rId24" display="https://stirioficiale.ro/informatii/buletin-de-presa-2-aprilie-2020-ora-13-01" xr:uid="{00000000-0004-0000-0000-000017000000}"/>
    <hyperlink ref="L14" r:id="rId25" display="http://www.ms.ro/2020/04/16/decese-373-387/" xr:uid="{00000000-0004-0000-0000-000018000000}"/>
    <hyperlink ref="T14" r:id="rId26" display="http://www.ms.ro/2020/04/02/buletin-informativ-02-04-2020/" xr:uid="{00000000-0004-0000-0000-000019000000}"/>
    <hyperlink ref="K15" r:id="rId27" display="https://stirioficiale.ro/informatii/buletin-de-presa-2-aprilie-2020-ora-13-01" xr:uid="{00000000-0004-0000-0000-00001A000000}"/>
    <hyperlink ref="L15" r:id="rId28" display="https://stirioficiale.ro/informatii/informare-de-presa-4-mai-2020-ora-10-00am" xr:uid="{00000000-0004-0000-0000-00001B000000}"/>
    <hyperlink ref="T15" r:id="rId29" display="http://www.ms.ro/2020/04/02/buletin-informativ-02-04-2020/" xr:uid="{00000000-0004-0000-0000-00001C000000}"/>
    <hyperlink ref="K16" r:id="rId30" display="https://stirioficiale.ro/informatii/buletin-de-presa-2-aprilie-2020-ora-13-01" xr:uid="{00000000-0004-0000-0000-00001D000000}"/>
    <hyperlink ref="T16" r:id="rId31" display="http://www.ms.ro/2020/04/02/buletin-informativ-02-04-2020/" xr:uid="{00000000-0004-0000-0000-00001E000000}"/>
    <hyperlink ref="K17" r:id="rId32" display="https://stirioficiale.ro/informatii/buletin-de-presa-2-aprilie-2020-ora-13-01" xr:uid="{00000000-0004-0000-0000-00001F000000}"/>
    <hyperlink ref="T17" r:id="rId33" display="http://www.ms.ro/2020/04/02/buletin-informativ-02-04-2020/" xr:uid="{00000000-0004-0000-0000-000020000000}"/>
    <hyperlink ref="K18" r:id="rId34" display="https://stirioficiale.ro/informatii/buletin-de-presa-2-aprilie-2020-ora-13-01" xr:uid="{00000000-0004-0000-0000-000021000000}"/>
    <hyperlink ref="T18" r:id="rId35" display="http://www.ms.ro/2020/04/02/buletin-informativ-02-04-2020/" xr:uid="{00000000-0004-0000-0000-000022000000}"/>
    <hyperlink ref="K19" r:id="rId36" display="https://stirioficiale.ro/informatii/buletin-de-presa-2-aprilie-2020-ora-13-01" xr:uid="{00000000-0004-0000-0000-000023000000}"/>
    <hyperlink ref="T19" r:id="rId37" display="http://www.ms.ro/2020/04/02/buletin-informativ-02-04-2020/" xr:uid="{00000000-0004-0000-0000-000024000000}"/>
    <hyperlink ref="K20" r:id="rId38" display="https://stirioficiale.ro/informatii/buletin-de-presa-2-aprilie-2020-ora-13-01" xr:uid="{00000000-0004-0000-0000-000025000000}"/>
    <hyperlink ref="T20" r:id="rId39" display="http://www.ms.ro/2020/04/02/buletin-informativ-02-04-2020/" xr:uid="{00000000-0004-0000-0000-000026000000}"/>
    <hyperlink ref="K21" r:id="rId40" display="https://stirioficiale.ro/informatii/buletin-de-presa-3-aprilie-2020-ora-13-00" xr:uid="{00000000-0004-0000-0000-000027000000}"/>
    <hyperlink ref="T21" r:id="rId41" display="http://www.ms.ro/2020/04/03/buletin-informativ-03-04-2020/" xr:uid="{00000000-0004-0000-0000-000028000000}"/>
    <hyperlink ref="K22" r:id="rId42" display="https://stirioficiale.ro/informatii/buletin-de-presa-3-aprilie-2020-ora-13-00" xr:uid="{00000000-0004-0000-0000-000029000000}"/>
    <hyperlink ref="T22" r:id="rId43" display="http://www.ms.ro/2020/04/03/buletin-informativ-03-04-2020/" xr:uid="{00000000-0004-0000-0000-00002A000000}"/>
    <hyperlink ref="K23" r:id="rId44" display="https://stirioficiale.ro/informatii/buletin-de-presa-3-aprilie-2020-ora-13-00" xr:uid="{00000000-0004-0000-0000-00002B000000}"/>
    <hyperlink ref="T23" r:id="rId45" display="http://www.ms.ro/2020/04/03/buletin-informativ-03-04-2020/" xr:uid="{00000000-0004-0000-0000-00002C000000}"/>
    <hyperlink ref="K24" r:id="rId46" display="https://stirioficiale.ro/informatii/buletin-de-presa-3-aprilie-2020-ora-13-00" xr:uid="{00000000-0004-0000-0000-00002D000000}"/>
    <hyperlink ref="T24" r:id="rId47" display="http://www.ms.ro/2020/04/03/buletin-informativ-03-04-2020/" xr:uid="{00000000-0004-0000-0000-00002E000000}"/>
    <hyperlink ref="K25" r:id="rId48" display="https://stirioficiale.ro/informatii/buletin-de-presa-3-aprilie-2020-ora-13-00" xr:uid="{00000000-0004-0000-0000-00002F000000}"/>
    <hyperlink ref="T25" r:id="rId49" display="http://www.ms.ro/2020/04/03/buletin-informativ-03-04-2020/" xr:uid="{00000000-0004-0000-0000-000030000000}"/>
    <hyperlink ref="K26" r:id="rId50" display="https://stirioficiale.ro/informatii/buletin-de-presa-4-aprilie-2020-ora-13-24" xr:uid="{00000000-0004-0000-0000-000031000000}"/>
    <hyperlink ref="T26" r:id="rId51" display="http://www.ms.ro/2020/04/04/buletin-informativ-05-04-2020/" xr:uid="{00000000-0004-0000-0000-000032000000}"/>
    <hyperlink ref="K27" r:id="rId52" display="https://stirioficiale.ro/informatii/buletin-de-presa-4-aprilie-2020-ora-13-25" xr:uid="{00000000-0004-0000-0000-000033000000}"/>
    <hyperlink ref="T27" r:id="rId53" display="http://www.ms.ro/2020/04/04/buletin-informativ-05-04-2020/" xr:uid="{00000000-0004-0000-0000-000034000000}"/>
    <hyperlink ref="K28" r:id="rId54" display="https://stirioficiale.ro/informatii/buletin-de-presa-6-aprilie-2020-ora-13-00" xr:uid="{00000000-0004-0000-0000-000035000000}"/>
    <hyperlink ref="T28" r:id="rId55" display="https://stirioficiale.ro/informatii/buletin-de-presa-6-aprilie-2020-ora-13-00" xr:uid="{00000000-0004-0000-0000-000036000000}"/>
    <hyperlink ref="K29" r:id="rId56" display="https://stirioficiale.ro/informatii/buletin-de-presa-6-aprilie-2020-ora-13-00" xr:uid="{00000000-0004-0000-0000-000037000000}"/>
    <hyperlink ref="T29" r:id="rId57" display="https://stirioficiale.ro/informatii/buletin-de-presa-6-aprilie-2020-ora-13-00" xr:uid="{00000000-0004-0000-0000-000038000000}"/>
    <hyperlink ref="K30" r:id="rId58" display="https://stirioficiale.ro/informatii/buletin-de-presa-6-aprilie-2020-ora-13-00" xr:uid="{00000000-0004-0000-0000-000039000000}"/>
    <hyperlink ref="T30" r:id="rId59" display="https://stirioficiale.ro/informatii/buletin-de-presa-6-aprilie-2020-ora-13-00" xr:uid="{00000000-0004-0000-0000-00003A000000}"/>
    <hyperlink ref="K31" r:id="rId60" display="https://stirioficiale.ro/informatii/buletin-de-presa-6-aprilie-2020-ora-13-00" xr:uid="{00000000-0004-0000-0000-00003B000000}"/>
    <hyperlink ref="T31" r:id="rId61" display="https://stirioficiale.ro/informatii/buletin-de-presa-6-aprilie-2020-ora-13-00" xr:uid="{00000000-0004-0000-0000-00003C000000}"/>
    <hyperlink ref="K32" r:id="rId62" display="https://stirioficiale.ro/informatii/buletin-de-presa-6-aprilie-2020-ora-13-00" xr:uid="{00000000-0004-0000-0000-00003D000000}"/>
    <hyperlink ref="T32" r:id="rId63" display="https://stirioficiale.ro/informatii/buletin-de-presa-6-aprilie-2020-ora-13-00" xr:uid="{00000000-0004-0000-0000-00003E000000}"/>
    <hyperlink ref="K33" r:id="rId64" display="https://stirioficiale.ro/informatii/buletin-de-presa-6-aprilie-2020-ora-13-00" xr:uid="{00000000-0004-0000-0000-00003F000000}"/>
    <hyperlink ref="L33" r:id="rId65" display="https://stirioficiale.ro/informatii/informare-de-presa-30-aprilie-2020-ora-18-08" xr:uid="{00000000-0004-0000-0000-000040000000}"/>
    <hyperlink ref="T33" r:id="rId66" display="https://stirioficiale.ro/informatii/buletin-de-presa-6-aprilie-2020-ora-13-00" xr:uid="{00000000-0004-0000-0000-000041000000}"/>
    <hyperlink ref="K34" r:id="rId67" display="https://stirioficiale.ro/informatii/buletin-de-presa-7-aprilie-2020-ora-13-32" xr:uid="{00000000-0004-0000-0000-000042000000}"/>
    <hyperlink ref="T34" r:id="rId68" display="http://www.ms.ro/2020/04/07/buletin-informativ-07-04-2020/" xr:uid="{00000000-0004-0000-0000-000043000000}"/>
    <hyperlink ref="K35" r:id="rId69" display="https://stirioficiale.ro/informatii/buletin-de-presa-7-aprilie-2020-ora-13-33" xr:uid="{00000000-0004-0000-0000-000044000000}"/>
    <hyperlink ref="T35" r:id="rId70" display="http://www.ms.ro/2020/04/07/buletin-informativ-07-04-2020/" xr:uid="{00000000-0004-0000-0000-000045000000}"/>
    <hyperlink ref="K36" r:id="rId71" display="https://stirioficiale.ro/informatii/buletin-de-presa-7-aprilie-2020-ora-13-34" xr:uid="{00000000-0004-0000-0000-000046000000}"/>
    <hyperlink ref="T36" r:id="rId72" display="http://www.ms.ro/2020/04/07/buletin-informativ-07-04-2020/" xr:uid="{00000000-0004-0000-0000-000047000000}"/>
    <hyperlink ref="K37" r:id="rId73" display="https://stirioficiale.ro/informatii/buletin-de-presa-8-aprilie-2020-ora-13-39" xr:uid="{00000000-0004-0000-0000-000048000000}"/>
    <hyperlink ref="L37" r:id="rId74" display="http://www.ms.ro/2020/04/16/decese-373-387/" xr:uid="{00000000-0004-0000-0000-000049000000}"/>
    <hyperlink ref="K38" r:id="rId75" display="https://stirioficiale.ro/informatii/buletin-de-presa-8-aprilie-2020-ora-13-40" xr:uid="{00000000-0004-0000-0000-00004A000000}"/>
    <hyperlink ref="K39" r:id="rId76" display="https://stirioficiale.ro/informatii/buletin-de-presa-8-aprilie-2020-ora-13-41" xr:uid="{00000000-0004-0000-0000-00004B000000}"/>
    <hyperlink ref="K40" r:id="rId77" display="https://stirioficiale.ro/informatii/buletin-de-presa-9-aprilie-2020-ora-13-00" xr:uid="{00000000-0004-0000-0000-00004C000000}"/>
    <hyperlink ref="L40" r:id="rId78" display="http://www.ms.ro/2020/04/10/decese-258-265/" xr:uid="{00000000-0004-0000-0000-00004D000000}"/>
    <hyperlink ref="T40" r:id="rId79" display="http://www.ms.ro/2020/04/09/buletin-informativ-09-04-2020/" xr:uid="{00000000-0004-0000-0000-00004E000000}"/>
    <hyperlink ref="K41" r:id="rId80" display="https://stirioficiale.ro/informatii/buletin-de-presa-9-aprilie-2020-ora-13-00" xr:uid="{00000000-0004-0000-0000-00004F000000}"/>
    <hyperlink ref="T41" r:id="rId81" display="http://www.ms.ro/2020/04/09/buletin-informativ-09-04-2020/" xr:uid="{00000000-0004-0000-0000-000050000000}"/>
    <hyperlink ref="K42" r:id="rId82" display="https://stirioficiale.ro/informatii/buletin-de-presa-9-aprilie-2020-ora-13-00" xr:uid="{00000000-0004-0000-0000-000051000000}"/>
    <hyperlink ref="T42" r:id="rId83" display="http://www.ms.ro/2020/04/09/buletin-informativ-09-04-2020/" xr:uid="{00000000-0004-0000-0000-000052000000}"/>
    <hyperlink ref="K43" r:id="rId84" display="https://stirioficiale.ro/informatii/buletin-de-presa-9-aprilie-2020-ora-13-00" xr:uid="{00000000-0004-0000-0000-000053000000}"/>
    <hyperlink ref="T43" r:id="rId85" display="http://www.ms.ro/2020/04/09/buletin-informativ-09-04-2020/" xr:uid="{00000000-0004-0000-0000-000054000000}"/>
    <hyperlink ref="K44" r:id="rId86" display="https://stirioficiale.ro/informatii/buletin-de-presa-9-aprilie-2020-ora-13-00" xr:uid="{00000000-0004-0000-0000-000055000000}"/>
    <hyperlink ref="T44" r:id="rId87" display="http://www.ms.ro/2020/04/09/buletin-informativ-09-04-2020/" xr:uid="{00000000-0004-0000-0000-000056000000}"/>
    <hyperlink ref="K45" r:id="rId88" display="https://stirioficiale.ro/informatii/buletin-de-presa-9-aprilie-2020-ora-13-00" xr:uid="{00000000-0004-0000-0000-000057000000}"/>
    <hyperlink ref="T45" r:id="rId89" display="http://www.ms.ro/2020/04/09/buletin-informativ-09-04-2020/" xr:uid="{00000000-0004-0000-0000-000058000000}"/>
    <hyperlink ref="K46" r:id="rId90" display="https://stirioficiale.ro/informatii/buletin-de-presa-9-aprilie-2020-ora-13-00" xr:uid="{00000000-0004-0000-0000-000059000000}"/>
    <hyperlink ref="T46" r:id="rId91" display="http://www.ms.ro/2020/04/09/buletin-informativ-09-04-2020/" xr:uid="{00000000-0004-0000-0000-00005A000000}"/>
    <hyperlink ref="K47" r:id="rId92" display="https://stirioficiale.ro/informatii/buletin-de-presa-9-aprilie-2020-ora-13-00" xr:uid="{00000000-0004-0000-0000-00005B000000}"/>
    <hyperlink ref="T47" r:id="rId93" display="http://www.ms.ro/2020/04/09/buletin-informativ-09-04-2020/" xr:uid="{00000000-0004-0000-0000-00005C000000}"/>
    <hyperlink ref="K48" r:id="rId94" display="https://stirioficiale.ro/informatii/buletin-de-presa-10-aprilie-2020-ora-13-49" xr:uid="{00000000-0004-0000-0000-00005D000000}"/>
    <hyperlink ref="L48" r:id="rId95" display="http://www.ms.ro/2020/04/22/decese-508-512/" xr:uid="{00000000-0004-0000-0000-00005E000000}"/>
    <hyperlink ref="T48" r:id="rId96" display="http://www.ms.ro/2020/04/10/buletin-informativ-10-04-2020/" xr:uid="{00000000-0004-0000-0000-00005F000000}"/>
    <hyperlink ref="K49" r:id="rId97" display="https://stirioficiale.ro/informatii/buletin-de-presa-10-aprilie-2020-ora-13-50" xr:uid="{00000000-0004-0000-0000-000060000000}"/>
    <hyperlink ref="L49" r:id="rId98" display="https://stirioficiale.ro/informatii/informare-de-presa-24-aprilie-2020-ora-11-13am" xr:uid="{00000000-0004-0000-0000-000061000000}"/>
    <hyperlink ref="T49" r:id="rId99" display="http://www.ms.ro/2020/04/10/buletin-informativ-10-04-2020/" xr:uid="{00000000-0004-0000-0000-000062000000}"/>
    <hyperlink ref="K50" r:id="rId100" display="https://stirioficiale.ro/informatii/buletin-de-presa-10-aprilie-2020-ora-13-51" xr:uid="{00000000-0004-0000-0000-000063000000}"/>
    <hyperlink ref="L50" r:id="rId101" display="http://www.ms.ro/2020/05/02/decese-756-771/" xr:uid="{00000000-0004-0000-0000-000064000000}"/>
    <hyperlink ref="T50" r:id="rId102" display="http://www.ms.ro/2020/04/10/buletin-informativ-10-04-2020/" xr:uid="{00000000-0004-0000-0000-000065000000}"/>
    <hyperlink ref="K51" r:id="rId103" display="https://stirioficiale.ro/informatii/buletin-de-presa-10-aprilie-2020-ora-13-52" xr:uid="{00000000-0004-0000-0000-000066000000}"/>
    <hyperlink ref="T51" r:id="rId104" display="http://www.ms.ro/2020/04/10/buletin-informativ-10-04-2020/" xr:uid="{00000000-0004-0000-0000-000067000000}"/>
    <hyperlink ref="K52" r:id="rId105" display="https://stirioficiale.ro/informatii/buletin-de-presa-11-aprilie-2020-ora-13-60" xr:uid="{00000000-0004-0000-0000-000068000000}"/>
    <hyperlink ref="L52" r:id="rId106" display="http://www.ms.ro/2020/05/06/decese-855-858/" xr:uid="{00000000-0004-0000-0000-000069000000}"/>
    <hyperlink ref="T52" r:id="rId107" display="http://www.ms.ro/2020/04/11/buletin-informativ-11-04-2020/" xr:uid="{00000000-0004-0000-0000-00006A000000}"/>
    <hyperlink ref="K53" r:id="rId108" display="https://stirioficiale.ro/informatii/buletin-de-presa-11-aprilie-2020-ora-13-61" xr:uid="{00000000-0004-0000-0000-00006B000000}"/>
    <hyperlink ref="T53" r:id="rId109" display="http://www.ms.ro/2020/04/11/buletin-informativ-11-04-2020/" xr:uid="{00000000-0004-0000-0000-00006C000000}"/>
    <hyperlink ref="K54" r:id="rId110" display="https://stirioficiale.ro/informatii/buletin-de-presa-11-aprilie-2020-ora-13-62" xr:uid="{00000000-0004-0000-0000-00006D000000}"/>
    <hyperlink ref="T54" r:id="rId111" display="http://www.ms.ro/2020/04/11/buletin-informativ-11-04-2020/" xr:uid="{00000000-0004-0000-0000-00006E000000}"/>
    <hyperlink ref="K55" r:id="rId112" display="https://stirioficiale.ro/informatii/buletin-de-presa-11-aprilie-2020-ora-13-63" xr:uid="{00000000-0004-0000-0000-00006F000000}"/>
    <hyperlink ref="T55" r:id="rId113" display="http://www.ms.ro/2020/04/11/buletin-informativ-11-04-2020/" xr:uid="{00000000-0004-0000-0000-000070000000}"/>
    <hyperlink ref="K56" r:id="rId114" display="https://stirioficiale.ro/informatii/buletin-de-presa-11-aprilie-2020-ora-13-64" xr:uid="{00000000-0004-0000-0000-000071000000}"/>
    <hyperlink ref="T56" r:id="rId115" display="http://www.ms.ro/2020/04/11/buletin-informativ-11-04-2020/" xr:uid="{00000000-0004-0000-0000-000072000000}"/>
    <hyperlink ref="K57" r:id="rId116" display="https://stirioficiale.ro/informatii/buletin-de-presa-11-aprilie-2020-ora-13-65" xr:uid="{00000000-0004-0000-0000-000073000000}"/>
    <hyperlink ref="T57" r:id="rId117" display="http://www.ms.ro/2020/04/11/buletin-informativ-11-04-2020/" xr:uid="{00000000-0004-0000-0000-000074000000}"/>
    <hyperlink ref="K58" r:id="rId118" display="https://stirioficiale.ro/informatii/buletin-de-presa-11-aprilie-2020-ora-13-66" xr:uid="{00000000-0004-0000-0000-000075000000}"/>
    <hyperlink ref="T58" r:id="rId119" display="http://www.ms.ro/2020/04/11/buletin-informativ-11-04-2020/" xr:uid="{00000000-0004-0000-0000-000076000000}"/>
    <hyperlink ref="K59" r:id="rId120" display="https://stirioficiale.ro/informatii/buletin-de-presa-11-aprilie-2020-ora-13-67" xr:uid="{00000000-0004-0000-0000-000077000000}"/>
    <hyperlink ref="T59" r:id="rId121" display="http://www.ms.ro/2020/04/11/buletin-informativ-11-04-2020/" xr:uid="{00000000-0004-0000-0000-000078000000}"/>
    <hyperlink ref="K60" r:id="rId122" display="https://stirioficiale.ro/informatii/buletin-de-presa-11-aprilie-2020-ora-13-68" xr:uid="{00000000-0004-0000-0000-000079000000}"/>
    <hyperlink ref="T60" r:id="rId123" display="http://www.ms.ro/2020/04/11/buletin-informativ-11-04-2020/" xr:uid="{00000000-0004-0000-0000-00007A000000}"/>
    <hyperlink ref="K61" r:id="rId124" display="https://stirioficiale.ro/informatii/buletin-de-presa-11-aprilie-2020-ora-13-69" xr:uid="{00000000-0004-0000-0000-00007B000000}"/>
    <hyperlink ref="T61" r:id="rId125" display="http://www.ms.ro/2020/04/11/buletin-informativ-11-04-2020/" xr:uid="{00000000-0004-0000-0000-00007C000000}"/>
    <hyperlink ref="K62" r:id="rId126" display="https://stirioficiale.ro/informatii/buletin-de-presa-11-aprilie-2020-ora-13-70" xr:uid="{00000000-0004-0000-0000-00007D000000}"/>
    <hyperlink ref="T62" r:id="rId127" display="http://www.ms.ro/2020/04/11/buletin-informativ-11-04-2020/" xr:uid="{00000000-0004-0000-0000-00007E000000}"/>
    <hyperlink ref="K63" r:id="rId128" display="https://stirioficiale.ro/informatii/buletin-de-presa-11-aprilie-2020-ora-13-71" xr:uid="{00000000-0004-0000-0000-00007F000000}"/>
    <hyperlink ref="T63" r:id="rId129" display="http://www.ms.ro/2020/04/11/buletin-informativ-11-04-2020/" xr:uid="{00000000-0004-0000-0000-000080000000}"/>
    <hyperlink ref="K64" r:id="rId130" display="https://stirioficiale.ro/informatii/buletin-de-presa-11-aprilie-2020-ora-13-72" xr:uid="{00000000-0004-0000-0000-000081000000}"/>
    <hyperlink ref="T64" r:id="rId131" display="http://www.ms.ro/2020/04/11/buletin-informativ-11-04-2020/" xr:uid="{00000000-0004-0000-0000-000082000000}"/>
    <hyperlink ref="K65" r:id="rId132" display="https://stirioficiale.ro/informatii/buletin-de-presa-13-aprilie-2020-ora-13-28" xr:uid="{00000000-0004-0000-0000-000083000000}"/>
    <hyperlink ref="T65" r:id="rId133" display="http://www.ms.ro/2020/04/13/buletin-informativ-13-04-2020/" xr:uid="{00000000-0004-0000-0000-000084000000}"/>
    <hyperlink ref="K66" r:id="rId134" display="https://stirioficiale.ro/informatii/buletin-de-presa-13-aprilie-2020-ora-13-29" xr:uid="{00000000-0004-0000-0000-000085000000}"/>
    <hyperlink ref="T66" r:id="rId135" display="http://www.ms.ro/2020/04/13/buletin-informativ-13-04-2020/" xr:uid="{00000000-0004-0000-0000-000086000000}"/>
    <hyperlink ref="K67" r:id="rId136" display="https://stirioficiale.ro/informatii/buletin-de-presa-13-aprilie-2020-ora-13-30" xr:uid="{00000000-0004-0000-0000-000087000000}"/>
    <hyperlink ref="T67" r:id="rId137" display="http://www.ms.ro/2020/04/13/buletin-informativ-13-04-2020/" xr:uid="{00000000-0004-0000-0000-000088000000}"/>
    <hyperlink ref="K68" r:id="rId138" display="https://stirioficiale.ro/informatii/buletin-de-presa-13-aprilie-2020-ora-13-31" xr:uid="{00000000-0004-0000-0000-000089000000}"/>
    <hyperlink ref="T68" r:id="rId139" display="http://www.ms.ro/2020/04/13/buletin-informativ-13-04-2020/" xr:uid="{00000000-0004-0000-0000-00008A000000}"/>
    <hyperlink ref="K69" r:id="rId140" display="https://stirioficiale.ro/informatii/buletin-de-presa-13-aprilie-2020-ora-13-32" xr:uid="{00000000-0004-0000-0000-00008B000000}"/>
    <hyperlink ref="T69" r:id="rId141" display="http://www.ms.ro/2020/04/13/buletin-informativ-13-04-2020/" xr:uid="{00000000-0004-0000-0000-00008C000000}"/>
    <hyperlink ref="K70" r:id="rId142" display="https://stirioficiale.ro/informatii/buletin-de-presa-13-aprilie-2020-ora-13-33" xr:uid="{00000000-0004-0000-0000-00008D000000}"/>
    <hyperlink ref="T70" r:id="rId143" display="http://www.ms.ro/2020/04/13/buletin-informativ-13-04-2020/" xr:uid="{00000000-0004-0000-0000-00008E000000}"/>
    <hyperlink ref="K71" r:id="rId144" display="https://stirioficiale.ro/informatii/buletin-de-presa-13-aprilie-2020-ora-13-34" xr:uid="{00000000-0004-0000-0000-00008F000000}"/>
    <hyperlink ref="T71" r:id="rId145" display="http://www.ms.ro/2020/04/13/buletin-informativ-13-04-2020/" xr:uid="{00000000-0004-0000-0000-000090000000}"/>
    <hyperlink ref="K72" r:id="rId146" display="https://stirioficiale.ro/informatii/buletin-de-presa-13-aprilie-2020-ora-13-35" xr:uid="{00000000-0004-0000-0000-000091000000}"/>
    <hyperlink ref="T72" r:id="rId147" display="http://www.ms.ro/2020/04/13/buletin-informativ-13-04-2020/" xr:uid="{00000000-0004-0000-0000-000092000000}"/>
    <hyperlink ref="K73" r:id="rId148" display="https://stirioficiale.ro/informatii/buletin-de-presa-13-aprilie-2020-ora-13-36" xr:uid="{00000000-0004-0000-0000-000093000000}"/>
    <hyperlink ref="T73" r:id="rId149" display="http://www.ms.ro/2020/04/13/buletin-informativ-13-04-2020/" xr:uid="{00000000-0004-0000-0000-000094000000}"/>
    <hyperlink ref="K74" r:id="rId150" display="https://stirioficiale.ro/informatii/buletin-de-presa-13-aprilie-2020-ora-13-37" xr:uid="{00000000-0004-0000-0000-000095000000}"/>
    <hyperlink ref="T74" r:id="rId151" display="http://www.ms.ro/2020/04/13/buletin-informativ-13-04-2020/" xr:uid="{00000000-0004-0000-0000-000096000000}"/>
    <hyperlink ref="K75" r:id="rId152" display="https://stirioficiale.ro/informatii/buletin-de-presa-13-aprilie-2020-ora-13-38" xr:uid="{00000000-0004-0000-0000-000097000000}"/>
    <hyperlink ref="T75" r:id="rId153" display="http://www.ms.ro/2020/04/13/buletin-informativ-13-04-2020/" xr:uid="{00000000-0004-0000-0000-000098000000}"/>
    <hyperlink ref="K76" r:id="rId154" display="https://stirioficiale.ro/informatii/buletin-de-presa-13-aprilie-2020-ora-13-39" xr:uid="{00000000-0004-0000-0000-000099000000}"/>
    <hyperlink ref="T76" r:id="rId155" display="http://www.ms.ro/2020/04/13/buletin-informativ-13-04-2020/" xr:uid="{00000000-0004-0000-0000-00009A000000}"/>
    <hyperlink ref="K77" r:id="rId156" display="https://stirioficiale.ro/informatii/buletin-de-presa-13-aprilie-2020-ora-13-40" xr:uid="{00000000-0004-0000-0000-00009B000000}"/>
    <hyperlink ref="T77" r:id="rId157" display="http://www.ms.ro/2020/04/13/buletin-informativ-13-04-2020/" xr:uid="{00000000-0004-0000-0000-00009C000000}"/>
    <hyperlink ref="K78" r:id="rId158" display="https://stirioficiale.ro/informatii/buletin-de-presa-13-aprilie-2020-ora-13-41" xr:uid="{00000000-0004-0000-0000-00009D000000}"/>
    <hyperlink ref="T78" r:id="rId159" display="http://www.ms.ro/2020/04/13/buletin-informativ-13-04-2020/" xr:uid="{00000000-0004-0000-0000-00009E000000}"/>
    <hyperlink ref="K79" r:id="rId160" display="https://stirioficiale.ro/informatii/buletin-de-presa-13-aprilie-2020-ora-13-42" xr:uid="{00000000-0004-0000-0000-00009F000000}"/>
    <hyperlink ref="T79" r:id="rId161" display="http://www.ms.ro/2020/04/13/buletin-informativ-13-04-2020/" xr:uid="{00000000-0004-0000-0000-0000A0000000}"/>
    <hyperlink ref="K80" r:id="rId162" display="https://stirioficiale.ro/informatii/buletin-de-presa-13-aprilie-2020-ora-13-43" xr:uid="{00000000-0004-0000-0000-0000A1000000}"/>
    <hyperlink ref="T80" r:id="rId163" display="http://www.ms.ro/2020/04/13/buletin-informativ-13-04-2020/" xr:uid="{00000000-0004-0000-0000-0000A2000000}"/>
    <hyperlink ref="K81" r:id="rId164" display="https://stirioficiale.ro/informatii/buletin-de-presa-13-aprilie-2020-ora-13-44" xr:uid="{00000000-0004-0000-0000-0000A3000000}"/>
    <hyperlink ref="T81" r:id="rId165" display="http://www.ms.ro/2020/04/13/buletin-informativ-13-04-2020/" xr:uid="{00000000-0004-0000-0000-0000A4000000}"/>
    <hyperlink ref="K82" r:id="rId166" display="https://stirioficiale.ro/informatii/buletin-de-presa-13-aprilie-2020-ora-13-45" xr:uid="{00000000-0004-0000-0000-0000A5000000}"/>
    <hyperlink ref="T82" r:id="rId167" display="http://www.ms.ro/2020/04/13/buletin-informativ-13-04-2020/" xr:uid="{00000000-0004-0000-0000-0000A6000000}"/>
    <hyperlink ref="K83" r:id="rId168" display="https://stirioficiale.ro/informatii/buletin-de-presa-13-aprilie-2020-ora-13-46" xr:uid="{00000000-0004-0000-0000-0000A7000000}"/>
    <hyperlink ref="T83" r:id="rId169" display="http://www.ms.ro/2020/04/13/buletin-informativ-13-04-2020/" xr:uid="{00000000-0004-0000-0000-0000A8000000}"/>
    <hyperlink ref="K84" r:id="rId170" display="https://stirioficiale.ro/informatii/buletin-de-presa-13-aprilie-2020-ora-13-47" xr:uid="{00000000-0004-0000-0000-0000A9000000}"/>
    <hyperlink ref="T84" r:id="rId171" display="http://www.ms.ro/2020/04/13/buletin-informativ-13-04-2020/" xr:uid="{00000000-0004-0000-0000-0000AA000000}"/>
    <hyperlink ref="K85" r:id="rId172" display="https://stirioficiale.ro/informatii/buletin-de-presa-13-aprilie-2020-ora-13-48" xr:uid="{00000000-0004-0000-0000-0000AB000000}"/>
    <hyperlink ref="T85" r:id="rId173" display="http://www.ms.ro/2020/04/13/buletin-informativ-13-04-2020/" xr:uid="{00000000-0004-0000-0000-0000AC000000}"/>
    <hyperlink ref="K86" r:id="rId174" display="https://stirioficiale.ro/informatii/buletin-de-presa-13-aprilie-2020-ora-13-49" xr:uid="{00000000-0004-0000-0000-0000AD000000}"/>
    <hyperlink ref="T86" r:id="rId175" display="http://www.ms.ro/2020/04/13/buletin-informativ-13-04-2020/" xr:uid="{00000000-0004-0000-0000-0000AE000000}"/>
    <hyperlink ref="K87" r:id="rId176" display="https://stirioficiale.ro/informatii/buletin-de-presa-13-aprilie-2020-ora-13-50" xr:uid="{00000000-0004-0000-0000-0000AF000000}"/>
    <hyperlink ref="T87" r:id="rId177" display="http://www.ms.ro/2020/04/13/buletin-informativ-13-04-2020/" xr:uid="{00000000-0004-0000-0000-0000B0000000}"/>
    <hyperlink ref="K88" r:id="rId178" display="https://stirioficiale.ro/informatii/buletin-de-presa-13-aprilie-2020-ora-13-51" xr:uid="{00000000-0004-0000-0000-0000B1000000}"/>
    <hyperlink ref="T88" r:id="rId179" display="http://www.ms.ro/2020/04/13/buletin-informativ-13-04-2020/" xr:uid="{00000000-0004-0000-0000-0000B2000000}"/>
    <hyperlink ref="K89" r:id="rId180" display="https://stirioficiale.ro/informatii/buletin-de-presa-13-aprilie-2020-ora-13-52" xr:uid="{00000000-0004-0000-0000-0000B3000000}"/>
    <hyperlink ref="T89" r:id="rId181" display="http://www.ms.ro/2020/04/13/buletin-informativ-13-04-2020/" xr:uid="{00000000-0004-0000-0000-0000B4000000}"/>
    <hyperlink ref="K90" r:id="rId182" display="https://stirioficiale.ro/informatii/buletin-de-presa-13-aprilie-2020-ora-13-53" xr:uid="{00000000-0004-0000-0000-0000B5000000}"/>
    <hyperlink ref="T90" r:id="rId183" display="http://www.ms.ro/2020/04/13/buletin-informativ-13-04-2020/" xr:uid="{00000000-0004-0000-0000-0000B6000000}"/>
    <hyperlink ref="K91" r:id="rId184" display="https://stirioficiale.ro/informatii/buletin-de-presa-13-aprilie-2020-ora-13-54" xr:uid="{00000000-0004-0000-0000-0000B7000000}"/>
    <hyperlink ref="T91" r:id="rId185" display="http://www.ms.ro/2020/04/13/buletin-informativ-13-04-2020/" xr:uid="{00000000-0004-0000-0000-0000B8000000}"/>
    <hyperlink ref="K92" r:id="rId186" display="https://stirioficiale.ro/informatii/buletin-de-presa-13-aprilie-2020-ora-13-55" xr:uid="{00000000-0004-0000-0000-0000B9000000}"/>
    <hyperlink ref="T92" r:id="rId187" display="http://www.ms.ro/2020/04/13/buletin-informativ-13-04-2020/" xr:uid="{00000000-0004-0000-0000-0000BA000000}"/>
    <hyperlink ref="K93" r:id="rId188" display="https://stirioficiale.ro/informatii/buletin-de-presa-13-aprilie-2020-ora-13-56" xr:uid="{00000000-0004-0000-0000-0000BB000000}"/>
    <hyperlink ref="T93" r:id="rId189" display="http://www.ms.ro/2020/04/13/buletin-informativ-13-04-2020/" xr:uid="{00000000-0004-0000-0000-0000BC000000}"/>
    <hyperlink ref="K94" r:id="rId190" display="https://stirioficiale.ro/informatii/buletin-de-presa-13-aprilie-2020-ora-13-57" xr:uid="{00000000-0004-0000-0000-0000BD000000}"/>
    <hyperlink ref="T94" r:id="rId191" display="http://www.ms.ro/2020/04/13/buletin-informativ-13-04-2020/" xr:uid="{00000000-0004-0000-0000-0000BE000000}"/>
    <hyperlink ref="K95" r:id="rId192" display="https://stirioficiale.ro/informatii/buletin-de-presa-13-aprilie-2020-ora-13-58" xr:uid="{00000000-0004-0000-0000-0000BF000000}"/>
    <hyperlink ref="T95" r:id="rId193" display="http://www.ms.ro/2020/04/13/buletin-informativ-13-04-2020/" xr:uid="{00000000-0004-0000-0000-0000C0000000}"/>
    <hyperlink ref="K96" r:id="rId194" display="https://stirioficiale.ro/informatii/buletin-de-presa-13-aprilie-2020-ora-13-59" xr:uid="{00000000-0004-0000-0000-0000C1000000}"/>
    <hyperlink ref="T96" r:id="rId195" display="http://www.ms.ro/2020/04/13/buletin-informativ-13-04-2020/" xr:uid="{00000000-0004-0000-0000-0000C2000000}"/>
    <hyperlink ref="K97" r:id="rId196" display="https://stirioficiale.ro/informatii/buletin-de-presa-13-aprilie-2020-ora-13-60" xr:uid="{00000000-0004-0000-0000-0000C3000000}"/>
    <hyperlink ref="T97" r:id="rId197" display="http://www.ms.ro/2020/04/13/buletin-informativ-13-04-2020/" xr:uid="{00000000-0004-0000-0000-0000C4000000}"/>
    <hyperlink ref="K98" r:id="rId198" display="https://stirioficiale.ro/informatii/buletin-de-presa-13-aprilie-2020-ora-13-61" xr:uid="{00000000-0004-0000-0000-0000C5000000}"/>
    <hyperlink ref="T98" r:id="rId199" display="http://www.ms.ro/2020/04/13/buletin-informativ-13-04-2020/" xr:uid="{00000000-0004-0000-0000-0000C6000000}"/>
    <hyperlink ref="K99" r:id="rId200" display="https://stirioficiale.ro/informatii/buletin-de-presa-13-aprilie-2020-ora-13-62" xr:uid="{00000000-0004-0000-0000-0000C7000000}"/>
    <hyperlink ref="T99" r:id="rId201" display="http://www.ms.ro/2020/04/13/buletin-informativ-13-04-2020/" xr:uid="{00000000-0004-0000-0000-0000C8000000}"/>
    <hyperlink ref="K100" r:id="rId202" display="https://stirioficiale.ro/informatii/buletin-de-presa-13-aprilie-2020-ora-13-63" xr:uid="{00000000-0004-0000-0000-0000C9000000}"/>
    <hyperlink ref="T100" r:id="rId203" display="http://www.ms.ro/2020/04/13/buletin-informativ-13-04-2020/" xr:uid="{00000000-0004-0000-0000-0000CA000000}"/>
    <hyperlink ref="K101" r:id="rId204" display="https://stirioficiale.ro/informatii/buletin-de-presa-13-aprilie-2020-ora-13-64" xr:uid="{00000000-0004-0000-0000-0000CB000000}"/>
    <hyperlink ref="T101" r:id="rId205" display="http://www.ms.ro/2020/04/13/buletin-informativ-13-04-2020/" xr:uid="{00000000-0004-0000-0000-0000CC000000}"/>
    <hyperlink ref="K102" r:id="rId206" display="https://stirioficiale.ro/informatii/buletin-de-presa-13-aprilie-2020-ora-13-65" xr:uid="{00000000-0004-0000-0000-0000CD000000}"/>
    <hyperlink ref="T102" r:id="rId207" display="http://www.ms.ro/2020/04/13/buletin-informativ-13-04-2020/" xr:uid="{00000000-0004-0000-0000-0000CE000000}"/>
    <hyperlink ref="K103" r:id="rId208" display="https://stirioficiale.ro/informatii/buletin-de-presa-13-aprilie-2020-ora-13-66" xr:uid="{00000000-0004-0000-0000-0000CF000000}"/>
    <hyperlink ref="T103" r:id="rId209" display="http://www.ms.ro/2020/04/13/buletin-informativ-13-04-2020/" xr:uid="{00000000-0004-0000-0000-0000D0000000}"/>
    <hyperlink ref="K104" r:id="rId210" display="https://stirioficiale.ro/informatii/buletin-de-presa-13-aprilie-2020-ora-13-67" xr:uid="{00000000-0004-0000-0000-0000D1000000}"/>
    <hyperlink ref="T104" r:id="rId211" display="http://www.ms.ro/2020/04/13/buletin-informativ-13-04-2020/" xr:uid="{00000000-0004-0000-0000-0000D2000000}"/>
    <hyperlink ref="K105" r:id="rId212" display="https://stirioficiale.ro/informatii/buletin-de-presa-13-aprilie-2020-ora-13-68" xr:uid="{00000000-0004-0000-0000-0000D3000000}"/>
    <hyperlink ref="T105" r:id="rId213" display="http://www.ms.ro/2020/04/13/buletin-informativ-13-04-2020/" xr:uid="{00000000-0004-0000-0000-0000D4000000}"/>
    <hyperlink ref="K106" r:id="rId214" display="https://stirioficiale.ro/informatii/buletin-de-presa-13-aprilie-2020-ora-13-69" xr:uid="{00000000-0004-0000-0000-0000D5000000}"/>
    <hyperlink ref="T106" r:id="rId215" display="http://www.ms.ro/2020/04/13/buletin-informativ-13-04-2020/" xr:uid="{00000000-0004-0000-0000-0000D6000000}"/>
    <hyperlink ref="K107" r:id="rId216" display="https://stirioficiale.ro/informatii/buletin-de-presa-13-aprilie-2020-ora-13-70" xr:uid="{00000000-0004-0000-0000-0000D7000000}"/>
    <hyperlink ref="T107" r:id="rId217" display="http://www.ms.ro/2020/04/13/buletin-informativ-13-04-2020/" xr:uid="{00000000-0004-0000-0000-0000D8000000}"/>
    <hyperlink ref="K108" r:id="rId218" display="https://stirioficiale.ro/informatii/buletin-de-presa-13-aprilie-2020-ora-13-71" xr:uid="{00000000-0004-0000-0000-0000D9000000}"/>
    <hyperlink ref="T108" r:id="rId219" display="http://www.ms.ro/2020/04/13/buletin-informativ-13-04-2020/" xr:uid="{00000000-0004-0000-0000-0000DA000000}"/>
    <hyperlink ref="K109" r:id="rId220" display="https://stirioficiale.ro/informatii/buletin-de-presa-13-aprilie-2020-ora-13-72" xr:uid="{00000000-0004-0000-0000-0000DB000000}"/>
    <hyperlink ref="T109" r:id="rId221" display="http://www.ms.ro/2020/04/13/buletin-informativ-13-04-2020/" xr:uid="{00000000-0004-0000-0000-0000DC000000}"/>
    <hyperlink ref="K110" r:id="rId222" display="https://stirioficiale.ro/informatii/buletin-de-presa-13-aprilie-2020-ora-13-73" xr:uid="{00000000-0004-0000-0000-0000DD000000}"/>
    <hyperlink ref="T110" r:id="rId223" display="http://www.ms.ro/2020/04/13/buletin-informativ-13-04-2020/" xr:uid="{00000000-0004-0000-0000-0000DE000000}"/>
    <hyperlink ref="K111" r:id="rId224" display="https://stirioficiale.ro/informatii/buletin-de-presa-13-aprilie-2020-ora-13-74" xr:uid="{00000000-0004-0000-0000-0000DF000000}"/>
    <hyperlink ref="T111" r:id="rId225" display="http://www.ms.ro/2020/04/13/buletin-informativ-13-04-2020/" xr:uid="{00000000-0004-0000-0000-0000E0000000}"/>
    <hyperlink ref="K112" r:id="rId226" display="https://stirioficiale.ro/informatii/buletin-de-presa-13-aprilie-2020-ora-13-75" xr:uid="{00000000-0004-0000-0000-0000E1000000}"/>
    <hyperlink ref="T112" r:id="rId227" display="http://www.ms.ro/2020/04/13/buletin-informativ-13-04-2020/" xr:uid="{00000000-0004-0000-0000-0000E2000000}"/>
    <hyperlink ref="K113" r:id="rId228" display="https://stirioficiale.ro/informatii/buletin-de-presa-13-aprilie-2020-ora-13-76" xr:uid="{00000000-0004-0000-0000-0000E3000000}"/>
    <hyperlink ref="T113" r:id="rId229" display="http://www.ms.ro/2020/04/13/buletin-informativ-13-04-2020/" xr:uid="{00000000-0004-0000-0000-0000E4000000}"/>
    <hyperlink ref="K114" r:id="rId230" display="https://stirioficiale.ro/informatii/buletin-de-presa-13-aprilie-2020-ora-13-77" xr:uid="{00000000-0004-0000-0000-0000E5000000}"/>
    <hyperlink ref="T114" r:id="rId231" display="http://www.ms.ro/2020/04/13/buletin-informativ-13-04-2020/" xr:uid="{00000000-0004-0000-0000-0000E6000000}"/>
    <hyperlink ref="K115" r:id="rId232" display="https://stirioficiale.ro/informatii/buletin-de-presa-13-aprilie-2020-ora-13-78" xr:uid="{00000000-0004-0000-0000-0000E7000000}"/>
    <hyperlink ref="T115" r:id="rId233" display="http://www.ms.ro/2020/04/13/buletin-informativ-13-04-2020/" xr:uid="{00000000-0004-0000-0000-0000E8000000}"/>
    <hyperlink ref="K116" r:id="rId234" display="https://stirioficiale.ro/informatii/buletin-de-presa-13-aprilie-2020-ora-13-79" xr:uid="{00000000-0004-0000-0000-0000E9000000}"/>
    <hyperlink ref="T116" r:id="rId235" display="http://www.ms.ro/2020/04/13/buletin-informativ-13-04-2020/" xr:uid="{00000000-0004-0000-0000-0000EA000000}"/>
    <hyperlink ref="K117" r:id="rId236" display="https://stirioficiale.ro/informatii/buletin-de-presa-13-aprilie-2020-ora-13-80" xr:uid="{00000000-0004-0000-0000-0000EB000000}"/>
    <hyperlink ref="T117" r:id="rId237" display="http://www.ms.ro/2020/04/13/buletin-informativ-13-04-2020/" xr:uid="{00000000-0004-0000-0000-0000EC000000}"/>
    <hyperlink ref="K118" r:id="rId238" display="https://stirioficiale.ro/informatii/buletin-de-presa-13-aprilie-2020-ora-13-81" xr:uid="{00000000-0004-0000-0000-0000ED000000}"/>
    <hyperlink ref="T118" r:id="rId239" display="http://www.ms.ro/2020/04/13/buletin-informativ-13-04-2020/" xr:uid="{00000000-0004-0000-0000-0000EE000000}"/>
    <hyperlink ref="K119" r:id="rId240" display="https://stirioficiale.ro/informatii/buletin-de-presa-13-aprilie-2020-ora-13-82" xr:uid="{00000000-0004-0000-0000-0000EF000000}"/>
    <hyperlink ref="T119" r:id="rId241" display="http://www.ms.ro/2020/04/13/buletin-informativ-13-04-2020/" xr:uid="{00000000-0004-0000-0000-0000F0000000}"/>
    <hyperlink ref="K120" r:id="rId242" display="https://stirioficiale.ro/informatii/buletin-de-presa-13-aprilie-2020-ora-13-83" xr:uid="{00000000-0004-0000-0000-0000F1000000}"/>
    <hyperlink ref="T120" r:id="rId243" display="http://www.ms.ro/2020/04/13/buletin-informativ-13-04-2020/" xr:uid="{00000000-0004-0000-0000-0000F2000000}"/>
    <hyperlink ref="K121" r:id="rId244" display="https://stirioficiale.ro/informatii/buletin-de-presa-13-aprilie-2020-ora-13-84" xr:uid="{00000000-0004-0000-0000-0000F3000000}"/>
    <hyperlink ref="T121" r:id="rId245" display="http://www.ms.ro/2020/04/13/buletin-informativ-13-04-2020/" xr:uid="{00000000-0004-0000-0000-0000F4000000}"/>
    <hyperlink ref="K122" r:id="rId246" display="https://stirioficiale.ro/informatii/buletin-de-presa-13-aprilie-2020-ora-13-85" xr:uid="{00000000-0004-0000-0000-0000F5000000}"/>
    <hyperlink ref="T122" r:id="rId247" display="http://www.ms.ro/2020/04/13/buletin-informativ-13-04-2020/" xr:uid="{00000000-0004-0000-0000-0000F6000000}"/>
    <hyperlink ref="K123" r:id="rId248" display="https://stirioficiale.ro/informatii/buletin-de-presa-13-aprilie-2020-ora-13-86" xr:uid="{00000000-0004-0000-0000-0000F7000000}"/>
    <hyperlink ref="T123" r:id="rId249" display="http://www.ms.ro/2020/04/13/buletin-informativ-13-04-2020/" xr:uid="{00000000-0004-0000-0000-0000F8000000}"/>
    <hyperlink ref="K124" r:id="rId250" display="https://stirioficiale.ro/informatii/buletin-de-presa-13-aprilie-2020-ora-13-87" xr:uid="{00000000-0004-0000-0000-0000F9000000}"/>
    <hyperlink ref="T124" r:id="rId251" display="http://www.ms.ro/2020/04/13/buletin-informativ-13-04-2020/" xr:uid="{00000000-0004-0000-0000-0000FA000000}"/>
    <hyperlink ref="K125" r:id="rId252" display="https://stirioficiale.ro/informatii/buletin-de-presa-13-aprilie-2020-ora-13-88" xr:uid="{00000000-0004-0000-0000-0000FB000000}"/>
    <hyperlink ref="T125" r:id="rId253" display="http://www.ms.ro/2020/04/13/buletin-informativ-13-04-2020/" xr:uid="{00000000-0004-0000-0000-0000FC000000}"/>
    <hyperlink ref="K126" r:id="rId254" display="https://stirioficiale.ro/informatii/buletin-de-presa-13-aprilie-2020-ora-13-89" xr:uid="{00000000-0004-0000-0000-0000FD000000}"/>
    <hyperlink ref="T126" r:id="rId255" display="http://www.ms.ro/2020/04/13/buletin-informativ-13-04-2020/" xr:uid="{00000000-0004-0000-0000-0000FE000000}"/>
    <hyperlink ref="K127" r:id="rId256" display="https://stirioficiale.ro/informatii/buletin-de-presa-13-aprilie-2020-ora-13-90" xr:uid="{00000000-0004-0000-0000-0000FF000000}"/>
    <hyperlink ref="T127" r:id="rId257" display="http://www.ms.ro/2020/04/13/buletin-informativ-13-04-2020/" xr:uid="{00000000-0004-0000-0000-000000010000}"/>
    <hyperlink ref="K128" r:id="rId258" display="https://stirioficiale.ro/informatii/buletin-de-presa-13-aprilie-2020-ora-13-91" xr:uid="{00000000-0004-0000-0000-000001010000}"/>
    <hyperlink ref="T128" r:id="rId259" display="http://www.ms.ro/2020/04/13/buletin-informativ-13-04-2020/" xr:uid="{00000000-0004-0000-0000-000002010000}"/>
    <hyperlink ref="K129" r:id="rId260" display="https://stirioficiale.ro/informatii/buletin-de-presa-13-aprilie-2020-ora-13-92" xr:uid="{00000000-0004-0000-0000-000003010000}"/>
    <hyperlink ref="T129" r:id="rId261" display="http://www.ms.ro/2020/04/13/buletin-informativ-13-04-2020/" xr:uid="{00000000-0004-0000-0000-000004010000}"/>
    <hyperlink ref="K130" r:id="rId262" display="https://stirioficiale.ro/informatii/buletin-de-presa-13-aprilie-2020-ora-13-93" xr:uid="{00000000-0004-0000-0000-000005010000}"/>
    <hyperlink ref="T130" r:id="rId263" display="http://www.ms.ro/2020/04/13/buletin-informativ-13-04-2020/" xr:uid="{00000000-0004-0000-0000-000006010000}"/>
    <hyperlink ref="K131" r:id="rId264" display="https://stirioficiale.ro/informatii/buletin-de-presa-13-aprilie-2020-ora-13-94" xr:uid="{00000000-0004-0000-0000-000007010000}"/>
    <hyperlink ref="T131" r:id="rId265" display="http://www.ms.ro/2020/04/13/buletin-informativ-13-04-2020/" xr:uid="{00000000-0004-0000-0000-000008010000}"/>
    <hyperlink ref="K132" r:id="rId266" display="https://stirioficiale.ro/informatii/buletin-de-presa-13-aprilie-2020-ora-13-95" xr:uid="{00000000-0004-0000-0000-000009010000}"/>
    <hyperlink ref="T132" r:id="rId267" display="http://www.ms.ro/2020/04/13/buletin-informativ-13-04-2020/" xr:uid="{00000000-0004-0000-0000-00000A010000}"/>
    <hyperlink ref="K133" r:id="rId268" display="https://stirioficiale.ro/informatii/buletin-de-presa-13-aprilie-2020-ora-13-96" xr:uid="{00000000-0004-0000-0000-00000B010000}"/>
    <hyperlink ref="T133" r:id="rId269" display="http://www.ms.ro/2020/04/13/buletin-informativ-13-04-2020/" xr:uid="{00000000-0004-0000-0000-00000C010000}"/>
    <hyperlink ref="K134" r:id="rId270" display="https://stirioficiale.ro/informatii/buletin-de-presa-13-aprilie-2020-ora-13-97" xr:uid="{00000000-0004-0000-0000-00000D010000}"/>
    <hyperlink ref="T134" r:id="rId271" display="http://www.ms.ro/2020/04/13/buletin-informativ-13-04-2020/" xr:uid="{00000000-0004-0000-0000-00000E010000}"/>
    <hyperlink ref="K135" r:id="rId272" display="https://stirioficiale.ro/informatii/buletin-de-presa-13-aprilie-2020-ora-13-98" xr:uid="{00000000-0004-0000-0000-00000F010000}"/>
    <hyperlink ref="T135" r:id="rId273" display="http://www.ms.ro/2020/04/13/buletin-informativ-13-04-2020/" xr:uid="{00000000-0004-0000-0000-000010010000}"/>
    <hyperlink ref="K136" r:id="rId274" display="https://stirioficiale.ro/informatii/buletin-de-presa-13-aprilie-2020-ora-13-99" xr:uid="{00000000-0004-0000-0000-000011010000}"/>
    <hyperlink ref="T136" r:id="rId275" display="http://www.ms.ro/2020/04/13/buletin-informativ-13-04-2020/" xr:uid="{00000000-0004-0000-0000-000012010000}"/>
    <hyperlink ref="K137" r:id="rId276" display="https://stirioficiale.ro/informatii/buletin-de-presa-13-aprilie-2020-ora-13-100" xr:uid="{00000000-0004-0000-0000-000013010000}"/>
    <hyperlink ref="T137" r:id="rId277" display="http://www.ms.ro/2020/04/13/buletin-informativ-13-04-2020/" xr:uid="{00000000-0004-0000-0000-000014010000}"/>
    <hyperlink ref="K138" r:id="rId278" display="https://stirioficiale.ro/informatii/buletin-de-presa-13-aprilie-2020-ora-13-101" xr:uid="{00000000-0004-0000-0000-000015010000}"/>
    <hyperlink ref="T138" r:id="rId279" display="http://www.ms.ro/2020/04/13/buletin-informativ-13-04-2020/" xr:uid="{00000000-0004-0000-0000-000016010000}"/>
    <hyperlink ref="K139" r:id="rId280" display="https://stirioficiale.ro/informatii/buletin-de-presa-13-aprilie-2020-ora-13-102" xr:uid="{00000000-0004-0000-0000-000017010000}"/>
    <hyperlink ref="T139" r:id="rId281" display="http://www.ms.ro/2020/04/13/buletin-informativ-13-04-2020/" xr:uid="{00000000-0004-0000-0000-000018010000}"/>
    <hyperlink ref="K140" r:id="rId282" display="https://stirioficiale.ro/informatii/buletin-de-presa-13-aprilie-2020-ora-13-103" xr:uid="{00000000-0004-0000-0000-000019010000}"/>
    <hyperlink ref="T140" r:id="rId283" display="http://www.ms.ro/2020/04/13/buletin-informativ-13-04-2020/" xr:uid="{00000000-0004-0000-0000-00001A010000}"/>
    <hyperlink ref="K141" r:id="rId284" display="https://stirioficiale.ro/informatii/buletin-de-presa-13-aprilie-2020-ora-13-104" xr:uid="{00000000-0004-0000-0000-00001B010000}"/>
    <hyperlink ref="T141" r:id="rId285" display="http://www.ms.ro/2020/04/13/buletin-informativ-13-04-2020/" xr:uid="{00000000-0004-0000-0000-00001C010000}"/>
    <hyperlink ref="K142" r:id="rId286" display="https://stirioficiale.ro/informatii/buletin-de-presa-13-aprilie-2020-ora-13-105" xr:uid="{00000000-0004-0000-0000-00001D010000}"/>
    <hyperlink ref="T142" r:id="rId287" display="http://www.ms.ro/2020/04/13/buletin-informativ-13-04-2020/" xr:uid="{00000000-0004-0000-0000-00001E010000}"/>
    <hyperlink ref="K143" r:id="rId288" display="https://stirioficiale.ro/informatii/buletin-de-presa-13-aprilie-2020-ora-13-106" xr:uid="{00000000-0004-0000-0000-00001F010000}"/>
    <hyperlink ref="T143" r:id="rId289" display="http://www.ms.ro/2020/04/13/buletin-informativ-13-04-2020/" xr:uid="{00000000-0004-0000-0000-000020010000}"/>
    <hyperlink ref="K144" r:id="rId290" display="https://stirioficiale.ro/informatii/buletin-de-presa-13-aprilie-2020-ora-13-107" xr:uid="{00000000-0004-0000-0000-000021010000}"/>
    <hyperlink ref="T144" r:id="rId291" display="http://www.ms.ro/2020/04/13/buletin-informativ-13-04-2020/" xr:uid="{00000000-0004-0000-0000-000022010000}"/>
    <hyperlink ref="K145" r:id="rId292" display="https://stirioficiale.ro/informatii/buletin-de-presa-13-aprilie-2020-ora-13-108" xr:uid="{00000000-0004-0000-0000-000023010000}"/>
    <hyperlink ref="T145" r:id="rId293" display="http://www.ms.ro/2020/04/13/buletin-informativ-13-04-2020/" xr:uid="{00000000-0004-0000-0000-000024010000}"/>
    <hyperlink ref="K146" r:id="rId294" display="https://stirioficiale.ro/informatii/buletin-de-presa-13-aprilie-2020-ora-13-109" xr:uid="{00000000-0004-0000-0000-000025010000}"/>
    <hyperlink ref="T146" r:id="rId295" display="http://www.ms.ro/2020/04/13/buletin-informativ-13-04-2020/" xr:uid="{00000000-0004-0000-0000-000026010000}"/>
    <hyperlink ref="K147" r:id="rId296" display="https://stirioficiale.ro/informatii/buletin-de-presa-13-aprilie-2020-ora-13-110" xr:uid="{00000000-0004-0000-0000-000027010000}"/>
    <hyperlink ref="T147" r:id="rId297" display="http://www.ms.ro/2020/04/13/buletin-informativ-13-04-2020/" xr:uid="{00000000-0004-0000-0000-000028010000}"/>
    <hyperlink ref="K148" r:id="rId298" display="https://stirioficiale.ro/informatii/buletin-de-presa-13-aprilie-2020-ora-13-111" xr:uid="{00000000-0004-0000-0000-000029010000}"/>
    <hyperlink ref="T148" r:id="rId299" display="http://www.ms.ro/2020/04/13/buletin-informativ-13-04-2020/" xr:uid="{00000000-0004-0000-0000-00002A010000}"/>
    <hyperlink ref="K149" r:id="rId300" display="https://stirioficiale.ro/informatii/buletin-de-presa-13-aprilie-2020-ora-13-112" xr:uid="{00000000-0004-0000-0000-00002B010000}"/>
    <hyperlink ref="T149" r:id="rId301" display="http://www.ms.ro/2020/04/13/buletin-informativ-13-04-2020/" xr:uid="{00000000-0004-0000-0000-00002C010000}"/>
    <hyperlink ref="K150" r:id="rId302" display="https://stirioficiale.ro/informatii/buletin-de-presa-13-aprilie-2020-ora-13-113" xr:uid="{00000000-0004-0000-0000-00002D010000}"/>
    <hyperlink ref="T150" r:id="rId303" display="http://www.ms.ro/2020/04/13/buletin-informativ-13-04-2020/" xr:uid="{00000000-0004-0000-0000-00002E010000}"/>
    <hyperlink ref="K151" r:id="rId304" display="https://stirioficiale.ro/informatii/buletin-de-presa-13-aprilie-2020-ora-13-114" xr:uid="{00000000-0004-0000-0000-00002F010000}"/>
    <hyperlink ref="T151" r:id="rId305" display="http://www.ms.ro/2020/04/13/buletin-informativ-13-04-2020/" xr:uid="{00000000-0004-0000-0000-000030010000}"/>
    <hyperlink ref="K152" r:id="rId306" display="https://stirioficiale.ro/informatii/buletin-de-presa-13-aprilie-2020-ora-13-115" xr:uid="{00000000-0004-0000-0000-000031010000}"/>
    <hyperlink ref="T152" r:id="rId307" display="http://www.ms.ro/2020/04/13/buletin-informativ-13-04-2020/" xr:uid="{00000000-0004-0000-0000-000032010000}"/>
    <hyperlink ref="K153" r:id="rId308" display="https://stirioficiale.ro/informatii/buletin-de-presa-13-aprilie-2020-ora-13-116" xr:uid="{00000000-0004-0000-0000-000033010000}"/>
    <hyperlink ref="T153" r:id="rId309" display="http://www.ms.ro/2020/04/13/buletin-informativ-13-04-2020/" xr:uid="{00000000-0004-0000-0000-000034010000}"/>
    <hyperlink ref="K154" r:id="rId310" display="https://stirioficiale.ro/informatii/buletin-de-presa-13-aprilie-2020-ora-13-117" xr:uid="{00000000-0004-0000-0000-000035010000}"/>
    <hyperlink ref="T154" r:id="rId311" display="http://www.ms.ro/2020/04/13/buletin-informativ-13-04-2020/" xr:uid="{00000000-0004-0000-0000-000036010000}"/>
    <hyperlink ref="K155" r:id="rId312" display="https://stirioficiale.ro/informatii/buletin-de-presa-13-aprilie-2020-ora-13-118" xr:uid="{00000000-0004-0000-0000-000037010000}"/>
    <hyperlink ref="T155" r:id="rId313" display="http://www.ms.ro/2020/04/13/buletin-informativ-13-04-2020/" xr:uid="{00000000-0004-0000-0000-000038010000}"/>
    <hyperlink ref="K156" r:id="rId314" display="https://stirioficiale.ro/informatii/buletin-de-presa-13-aprilie-2020-ora-13-119" xr:uid="{00000000-0004-0000-0000-000039010000}"/>
    <hyperlink ref="T156" r:id="rId315" display="http://www.ms.ro/2020/04/13/buletin-informativ-13-04-2020/" xr:uid="{00000000-0004-0000-0000-00003A010000}"/>
    <hyperlink ref="K157" r:id="rId316" display="https://stirioficiale.ro/informatii/buletin-de-presa-13-aprilie-2020-ora-13-120" xr:uid="{00000000-0004-0000-0000-00003B010000}"/>
    <hyperlink ref="T157" r:id="rId317" display="http://www.ms.ro/2020/04/13/buletin-informativ-13-04-2020/" xr:uid="{00000000-0004-0000-0000-00003C010000}"/>
    <hyperlink ref="K158" r:id="rId318" display="https://stirioficiale.ro/informatii/buletin-de-presa-14-aprilie-2020-ora-13-21" xr:uid="{00000000-0004-0000-0000-00003D010000}"/>
    <hyperlink ref="L158" r:id="rId319" display="http://www.ms.ro/2020/05/04/decese-791-801/" xr:uid="{00000000-0004-0000-0000-00003E010000}"/>
    <hyperlink ref="T158" r:id="rId320" display="http://www.ms.ro/2020/04/14/buletin-informativ-14-04-2020/" xr:uid="{00000000-0004-0000-0000-00003F010000}"/>
    <hyperlink ref="K159" r:id="rId321" display="https://stirioficiale.ro/informatii/buletin-de-presa-14-aprilie-2020-ora-13-22" xr:uid="{00000000-0004-0000-0000-000040010000}"/>
    <hyperlink ref="T159" r:id="rId322" display="http://www.ms.ro/2020/04/14/buletin-informativ-14-04-2020/" xr:uid="{00000000-0004-0000-0000-000041010000}"/>
    <hyperlink ref="K160" r:id="rId323" display="https://stirioficiale.ro/informatii/buletin-de-presa-14-aprilie-2020-ora-13-23" xr:uid="{00000000-0004-0000-0000-000042010000}"/>
    <hyperlink ref="T160" r:id="rId324" display="http://www.ms.ro/2020/04/14/buletin-informativ-14-04-2020/" xr:uid="{00000000-0004-0000-0000-000043010000}"/>
    <hyperlink ref="K161" r:id="rId325" display="https://stirioficiale.ro/informatii/buletin-de-presa-14-aprilie-2020-ora-13-24" xr:uid="{00000000-0004-0000-0000-000044010000}"/>
    <hyperlink ref="T161" r:id="rId326" display="http://www.ms.ro/2020/04/14/buletin-informativ-14-04-2020/" xr:uid="{00000000-0004-0000-0000-000045010000}"/>
    <hyperlink ref="K162" r:id="rId327" display="https://stirioficiale.ro/informatii/buletin-de-presa-14-aprilie-2020-ora-13-25" xr:uid="{00000000-0004-0000-0000-000046010000}"/>
    <hyperlink ref="T162" r:id="rId328" display="http://www.ms.ro/2020/04/14/buletin-informativ-14-04-2020/" xr:uid="{00000000-0004-0000-0000-000047010000}"/>
    <hyperlink ref="K163" r:id="rId329" display="https://stirioficiale.ro/informatii/buletin-de-presa-14-aprilie-2020-ora-13-26" xr:uid="{00000000-0004-0000-0000-000048010000}"/>
    <hyperlink ref="T163" r:id="rId330" display="http://www.ms.ro/2020/04/14/buletin-informativ-14-04-2020/" xr:uid="{00000000-0004-0000-0000-000049010000}"/>
    <hyperlink ref="K164" r:id="rId331" display="https://stirioficiale.ro/informatii/buletin-de-presa-14-aprilie-2020-ora-13-27" xr:uid="{00000000-0004-0000-0000-00004A010000}"/>
    <hyperlink ref="T164" r:id="rId332" display="http://www.ms.ro/2020/04/14/buletin-informativ-14-04-2020/" xr:uid="{00000000-0004-0000-0000-00004B010000}"/>
    <hyperlink ref="K165" r:id="rId333" display="https://stirioficiale.ro/informatii/buletin-de-presa-14-aprilie-2020-ora-13-28" xr:uid="{00000000-0004-0000-0000-00004C010000}"/>
    <hyperlink ref="T165" r:id="rId334" display="http://www.ms.ro/2020/04/14/buletin-informativ-14-04-2020/" xr:uid="{00000000-0004-0000-0000-00004D010000}"/>
    <hyperlink ref="K166" r:id="rId335" display="https://stirioficiale.ro/informatii/buletin-de-presa-14-aprilie-2020-ora-13-29" xr:uid="{00000000-0004-0000-0000-00004E010000}"/>
    <hyperlink ref="T166" r:id="rId336" display="http://www.ms.ro/2020/04/14/buletin-informativ-14-04-2020/" xr:uid="{00000000-0004-0000-0000-00004F010000}"/>
    <hyperlink ref="K167" r:id="rId337" display="https://stirioficiale.ro/informatii/buletin-de-presa-14-aprilie-2020-ora-13-30" xr:uid="{00000000-0004-0000-0000-000050010000}"/>
    <hyperlink ref="T167" r:id="rId338" display="http://www.ms.ro/2020/04/14/buletin-informativ-14-04-2020/" xr:uid="{00000000-0004-0000-0000-000051010000}"/>
    <hyperlink ref="K168" r:id="rId339" display="https://stirioficiale.ro/informatii/buletin-de-presa-14-aprilie-2020-ora-13-31" xr:uid="{00000000-0004-0000-0000-000052010000}"/>
    <hyperlink ref="T168" r:id="rId340" display="http://www.ms.ro/2020/04/14/buletin-informativ-14-04-2020/" xr:uid="{00000000-0004-0000-0000-000053010000}"/>
    <hyperlink ref="K169" r:id="rId341" display="https://stirioficiale.ro/informatii/buletin-de-presa-14-aprilie-2020-ora-13-32" xr:uid="{00000000-0004-0000-0000-000054010000}"/>
    <hyperlink ref="T169" r:id="rId342" display="http://www.ms.ro/2020/04/14/buletin-informativ-14-04-2020/" xr:uid="{00000000-0004-0000-0000-000055010000}"/>
    <hyperlink ref="K170" r:id="rId343" display="https://stirioficiale.ro/informatii/buletin-de-presa-14-aprilie-2020-ora-13-33" xr:uid="{00000000-0004-0000-0000-000056010000}"/>
    <hyperlink ref="T170" r:id="rId344" display="http://www.ms.ro/2020/04/14/buletin-informativ-14-04-2020/" xr:uid="{00000000-0004-0000-0000-000057010000}"/>
    <hyperlink ref="K171" r:id="rId345" display="https://stirioficiale.ro/informatii/buletin-de-presa-14-aprilie-2020-ora-13-34" xr:uid="{00000000-0004-0000-0000-000058010000}"/>
    <hyperlink ref="T171" r:id="rId346" display="http://www.ms.ro/2020/04/14/buletin-informativ-14-04-2020/" xr:uid="{00000000-0004-0000-0000-000059010000}"/>
    <hyperlink ref="K172" r:id="rId347" display="https://stirioficiale.ro/informatii/buletin-de-presa-15-aprilie-2020-ora-13-54" xr:uid="{00000000-0004-0000-0000-00005A010000}"/>
    <hyperlink ref="T172" r:id="rId348" display="http://www.ms.ro/2020/04/15/buletin-informativ-15-04-2020/" xr:uid="{00000000-0004-0000-0000-00005B010000}"/>
    <hyperlink ref="K173" r:id="rId349" display="https://stirioficiale.ro/informatii/buletin-de-presa-15-aprilie-2020-ora-13-55" xr:uid="{00000000-0004-0000-0000-00005C010000}"/>
    <hyperlink ref="T173" r:id="rId350" display="http://www.ms.ro/2020/04/15/buletin-informativ-15-04-2020/" xr:uid="{00000000-0004-0000-0000-00005D010000}"/>
    <hyperlink ref="K174" r:id="rId351" display="https://stirioficiale.ro/informatii/buletin-de-presa-15-aprilie-2020-ora-13-56" xr:uid="{00000000-0004-0000-0000-00005E010000}"/>
    <hyperlink ref="T174" r:id="rId352" display="http://www.ms.ro/2020/04/15/buletin-informativ-15-04-2020/" xr:uid="{00000000-0004-0000-0000-00005F010000}"/>
    <hyperlink ref="K175" r:id="rId353" display="https://stirioficiale.ro/informatii/buletin-de-presa-15-aprilie-2020-ora-13-57" xr:uid="{00000000-0004-0000-0000-000060010000}"/>
    <hyperlink ref="T175" r:id="rId354" display="http://www.ms.ro/2020/04/15/buletin-informativ-15-04-2020/" xr:uid="{00000000-0004-0000-0000-000061010000}"/>
    <hyperlink ref="K176" r:id="rId355" display="https://stirioficiale.ro/informatii/buletin-de-presa-15-aprilie-2020-ora-13-58" xr:uid="{00000000-0004-0000-0000-000062010000}"/>
    <hyperlink ref="T176" r:id="rId356" display="http://www.ms.ro/2020/04/15/buletin-informativ-15-04-2020/" xr:uid="{00000000-0004-0000-0000-000063010000}"/>
    <hyperlink ref="K177" r:id="rId357" display="https://stirioficiale.ro/informatii/buletin-de-presa-15-aprilie-2020-ora-13-59" xr:uid="{00000000-0004-0000-0000-000064010000}"/>
    <hyperlink ref="T177" r:id="rId358" display="http://www.ms.ro/2020/04/15/buletin-informativ-15-04-2020/" xr:uid="{00000000-0004-0000-0000-000065010000}"/>
    <hyperlink ref="K178" r:id="rId359" display="https://stirioficiale.ro/informatii/buletin-de-presa-15-aprilie-2020-ora-13-60" xr:uid="{00000000-0004-0000-0000-000066010000}"/>
    <hyperlink ref="T178" r:id="rId360" display="http://www.ms.ro/2020/04/15/buletin-informativ-15-04-2020/" xr:uid="{00000000-0004-0000-0000-000067010000}"/>
    <hyperlink ref="K179" r:id="rId361" display="https://stirioficiale.ro/informatii/buletin-de-presa-15-aprilie-2020-ora-13-61" xr:uid="{00000000-0004-0000-0000-000068010000}"/>
    <hyperlink ref="T179" r:id="rId362" display="http://www.ms.ro/2020/04/15/buletin-informativ-15-04-2020/" xr:uid="{00000000-0004-0000-0000-000069010000}"/>
    <hyperlink ref="K180" r:id="rId363" display="https://stirioficiale.ro/informatii/buletin-de-presa-16-aprilie-2020-ora-13-53" xr:uid="{00000000-0004-0000-0000-00006A010000}"/>
    <hyperlink ref="T180" r:id="rId364" display="http://www.ms.ro/2020/04/16/buletin-informativ-16-04-2020/" xr:uid="{00000000-0004-0000-0000-00006B010000}"/>
    <hyperlink ref="K181" r:id="rId365" display="https://stirioficiale.ro/informatii/buletin-de-presa-16-aprilie-2020-ora-13-54" xr:uid="{00000000-0004-0000-0000-00006C010000}"/>
    <hyperlink ref="T181" r:id="rId366" display="http://www.ms.ro/2020/04/16/buletin-informativ-16-04-2020/" xr:uid="{00000000-0004-0000-0000-00006D010000}"/>
    <hyperlink ref="K182" r:id="rId367" display="https://stirioficiale.ro/informatii/buletin-de-presa-16-aprilie-2020-ora-13-55" xr:uid="{00000000-0004-0000-0000-00006E010000}"/>
    <hyperlink ref="T182" r:id="rId368" display="http://www.ms.ro/2020/04/16/buletin-informativ-16-04-2020/" xr:uid="{00000000-0004-0000-0000-00006F010000}"/>
    <hyperlink ref="K183" r:id="rId369" display="https://stirioficiale.ro/informatii/buletin-de-presa-16-aprilie-2020-ora-13-56" xr:uid="{00000000-0004-0000-0000-000070010000}"/>
    <hyperlink ref="T183" r:id="rId370" display="http://www.ms.ro/2020/04/16/buletin-informativ-16-04-2020/" xr:uid="{00000000-0004-0000-0000-000071010000}"/>
    <hyperlink ref="K184" r:id="rId371" display="https://stirioficiale.ro/informatii/buletin-de-presa-16-aprilie-2020-ora-13-57" xr:uid="{00000000-0004-0000-0000-000072010000}"/>
    <hyperlink ref="T184" r:id="rId372" display="http://www.ms.ro/2020/04/16/buletin-informativ-16-04-2020/" xr:uid="{00000000-0004-0000-0000-000073010000}"/>
    <hyperlink ref="K185" r:id="rId373" display="https://stirioficiale.ro/informatii/buletin-de-presa-16-aprilie-2020-ora-13-58" xr:uid="{00000000-0004-0000-0000-000074010000}"/>
    <hyperlink ref="T185" r:id="rId374" display="http://www.ms.ro/2020/04/16/buletin-informativ-16-04-2020/" xr:uid="{00000000-0004-0000-0000-000075010000}"/>
    <hyperlink ref="K186" r:id="rId375" display="https://stirioficiale.ro/informatii/buletin-de-presa-16-aprilie-2020-ora-13-59" xr:uid="{00000000-0004-0000-0000-000076010000}"/>
    <hyperlink ref="T186" r:id="rId376" display="http://www.ms.ro/2020/04/16/buletin-informativ-16-04-2020/" xr:uid="{00000000-0004-0000-0000-000077010000}"/>
    <hyperlink ref="K187" r:id="rId377" display="https://stirioficiale.ro/informatii/buletin-de-presa-16-aprilie-2020-ora-13-60" xr:uid="{00000000-0004-0000-0000-000078010000}"/>
    <hyperlink ref="T187" r:id="rId378" display="http://www.ms.ro/2020/04/16/buletin-informativ-16-04-2020/" xr:uid="{00000000-0004-0000-0000-000079010000}"/>
    <hyperlink ref="K188" r:id="rId379" display="https://stirioficiale.ro/informatii/buletin-de-presa-16-aprilie-2020-ora-13-61" xr:uid="{00000000-0004-0000-0000-00007A010000}"/>
    <hyperlink ref="T188" r:id="rId380" display="http://www.ms.ro/2020/04/16/buletin-informativ-16-04-2020/" xr:uid="{00000000-0004-0000-0000-00007B010000}"/>
    <hyperlink ref="K189" r:id="rId381" display="https://stirioficiale.ro/informatii/buletin-de-presa-16-aprilie-2020-ora-13-62" xr:uid="{00000000-0004-0000-0000-00007C010000}"/>
    <hyperlink ref="T189" r:id="rId382" display="http://www.ms.ro/2020/04/16/buletin-informativ-16-04-2020/" xr:uid="{00000000-0004-0000-0000-00007D010000}"/>
    <hyperlink ref="K190" r:id="rId383" display="https://stirioficiale.ro/informatii/buletin-de-presa-16-aprilie-2020-ora-13-63" xr:uid="{00000000-0004-0000-0000-00007E010000}"/>
    <hyperlink ref="T190" r:id="rId384" display="http://www.ms.ro/2020/04/16/buletin-informativ-16-04-2020/" xr:uid="{00000000-0004-0000-0000-00007F010000}"/>
    <hyperlink ref="K191" r:id="rId385" display="https://stirioficiale.ro/informatii/buletin-de-presa-16-aprilie-2020-ora-13-64" xr:uid="{00000000-0004-0000-0000-000080010000}"/>
    <hyperlink ref="T191" r:id="rId386" display="http://www.ms.ro/2020/04/16/buletin-informativ-16-04-2020/" xr:uid="{00000000-0004-0000-0000-000081010000}"/>
    <hyperlink ref="K192" r:id="rId387" display="https://stirioficiale.ro/informatii/buletin-de-presa-16-aprilie-2020-ora-13-65" xr:uid="{00000000-0004-0000-0000-000082010000}"/>
    <hyperlink ref="T192" r:id="rId388" display="http://www.ms.ro/2020/04/16/buletin-informativ-16-04-2020/" xr:uid="{00000000-0004-0000-0000-000083010000}"/>
    <hyperlink ref="K193" r:id="rId389" display="https://stirioficiale.ro/informatii/buletin-de-presa-16-aprilie-2020-ora-13-66" xr:uid="{00000000-0004-0000-0000-000084010000}"/>
    <hyperlink ref="T193" r:id="rId390" display="http://www.ms.ro/2020/04/16/buletin-informativ-16-04-2020/" xr:uid="{00000000-0004-0000-0000-000085010000}"/>
    <hyperlink ref="K194" r:id="rId391" display="https://stirioficiale.ro/informatii/buletin-de-presa-16-aprilie-2020-ora-13-67" xr:uid="{00000000-0004-0000-0000-000086010000}"/>
    <hyperlink ref="T194" r:id="rId392" display="http://www.ms.ro/2020/04/16/buletin-informativ-16-04-2020/" xr:uid="{00000000-0004-0000-0000-000087010000}"/>
    <hyperlink ref="K195" r:id="rId393" display="https://stirioficiale.ro/informatii/buletin-de-presa-16-aprilie-2020-ora-13-68" xr:uid="{00000000-0004-0000-0000-000088010000}"/>
    <hyperlink ref="T195" r:id="rId394" display="http://www.ms.ro/2020/04/16/buletin-informativ-16-04-2020/" xr:uid="{00000000-0004-0000-0000-000089010000}"/>
    <hyperlink ref="K196" r:id="rId395" display="https://stirioficiale.ro/informatii/buletin-de-presa-16-aprilie-2020-ora-13-69" xr:uid="{00000000-0004-0000-0000-00008A010000}"/>
    <hyperlink ref="T196" r:id="rId396" display="http://www.ms.ro/2020/04/16/buletin-informativ-16-04-2020/" xr:uid="{00000000-0004-0000-0000-00008B010000}"/>
    <hyperlink ref="K197" r:id="rId397" display="https://stirioficiale.ro/informatii/buletin-de-presa-16-aprilie-2020-ora-13-70" xr:uid="{00000000-0004-0000-0000-00008C010000}"/>
    <hyperlink ref="T197" r:id="rId398" display="http://www.ms.ro/2020/04/16/buletin-informativ-16-04-2020/" xr:uid="{00000000-0004-0000-0000-00008D010000}"/>
    <hyperlink ref="K198" r:id="rId399" display="https://stirioficiale.ro/informatii/buletin-de-presa-16-aprilie-2020-ora-13-71" xr:uid="{00000000-0004-0000-0000-00008E010000}"/>
    <hyperlink ref="T198" r:id="rId400" display="http://www.ms.ro/2020/04/16/buletin-informativ-16-04-2020/" xr:uid="{00000000-0004-0000-0000-00008F010000}"/>
    <hyperlink ref="K199" r:id="rId401" display="https://stirioficiale.ro/informatii/buletin-de-presa-16-aprilie-2020-ora-13-72" xr:uid="{00000000-0004-0000-0000-000090010000}"/>
    <hyperlink ref="T199" r:id="rId402" display="http://www.ms.ro/2020/04/16/buletin-informativ-16-04-2020/" xr:uid="{00000000-0004-0000-0000-000091010000}"/>
    <hyperlink ref="K200" r:id="rId403" display="https://stirioficiale.ro/informatii/buletin-de-presa-16-aprilie-2020-ora-13-73" xr:uid="{00000000-0004-0000-0000-000092010000}"/>
    <hyperlink ref="T200" r:id="rId404" display="http://www.ms.ro/2020/04/16/buletin-informativ-16-04-2020/" xr:uid="{00000000-0004-0000-0000-000093010000}"/>
    <hyperlink ref="K201" r:id="rId405" display="http://www.ms.ro/2020/04/17/buletin-informativ-17-04-2020/" xr:uid="{00000000-0004-0000-0000-000094010000}"/>
    <hyperlink ref="L201" r:id="rId406" display="http://www.ms.ro/2020/05/04/decese-791-801/" xr:uid="{00000000-0004-0000-0000-000095010000}"/>
    <hyperlink ref="T201" r:id="rId407" display="http://www.ms.ro/2020/04/17/buletin-informativ-17-04-2020/" xr:uid="{00000000-0004-0000-0000-000096010000}"/>
    <hyperlink ref="K202" r:id="rId408" display="http://www.ms.ro/2020/04/17/buletin-informativ-17-04-2020/" xr:uid="{00000000-0004-0000-0000-000097010000}"/>
    <hyperlink ref="T202" r:id="rId409" display="http://www.ms.ro/2020/04/17/buletin-informativ-17-04-2020/" xr:uid="{00000000-0004-0000-0000-000098010000}"/>
    <hyperlink ref="K203" r:id="rId410" display="http://www.ms.ro/2020/04/17/buletin-informativ-17-04-2020/" xr:uid="{00000000-0004-0000-0000-000099010000}"/>
    <hyperlink ref="T203" r:id="rId411" display="http://www.ms.ro/2020/04/17/buletin-informativ-17-04-2020/" xr:uid="{00000000-0004-0000-0000-00009A010000}"/>
    <hyperlink ref="K204" r:id="rId412" display="https://stirioficiale.ro/informatii/buletin-de-presa-18-aprilie-2020-ora-13-44" xr:uid="{00000000-0004-0000-0000-00009B010000}"/>
    <hyperlink ref="L204" r:id="rId413" display="http://www.ms.ro/2020/05/13/decese-1008-1016/" xr:uid="{00000000-0004-0000-0000-00009C010000}"/>
    <hyperlink ref="T204" r:id="rId414" display="http://www.ms.ro/2020/04/18/buletin-informativ-18-04-2020/" xr:uid="{00000000-0004-0000-0000-00009D010000}"/>
    <hyperlink ref="K205" r:id="rId415" display="https://stirioficiale.ro/informatii/buletin-de-presa-18-aprilie-2020-ora-13-45" xr:uid="{00000000-0004-0000-0000-00009E010000}"/>
    <hyperlink ref="T205" r:id="rId416" display="http://www.ms.ro/2020/04/18/buletin-informativ-18-04-2020/" xr:uid="{00000000-0004-0000-0000-00009F010000}"/>
    <hyperlink ref="K206" r:id="rId417" display="https://stirioficiale.ro/informatii/buletin-de-presa-18-aprilie-2020-ora-13-46" xr:uid="{00000000-0004-0000-0000-0000A0010000}"/>
    <hyperlink ref="T206" r:id="rId418" display="http://www.ms.ro/2020/04/18/buletin-informativ-18-04-2020/" xr:uid="{00000000-0004-0000-0000-0000A1010000}"/>
    <hyperlink ref="K207" r:id="rId419" display="https://stirioficiale.ro/informatii/buletin-de-presa-18-aprilie-2020-ora-13-47" xr:uid="{00000000-0004-0000-0000-0000A2010000}"/>
    <hyperlink ref="T207" r:id="rId420" display="http://www.ms.ro/2020/04/18/buletin-informativ-18-04-2020/" xr:uid="{00000000-0004-0000-0000-0000A3010000}"/>
    <hyperlink ref="K208" r:id="rId421" display="https://stirioficiale.ro/informatii/buletin-de-presa-18-aprilie-2020-ora-13-48" xr:uid="{00000000-0004-0000-0000-0000A4010000}"/>
    <hyperlink ref="T208" r:id="rId422" display="http://www.ms.ro/2020/04/18/buletin-informativ-18-04-2020/" xr:uid="{00000000-0004-0000-0000-0000A5010000}"/>
    <hyperlink ref="K209" r:id="rId423" display="https://stirioficiale.ro/informatii/buletin-de-presa-18-aprilie-2020-ora-13-49" xr:uid="{00000000-0004-0000-0000-0000A6010000}"/>
    <hyperlink ref="T209" r:id="rId424" display="http://www.ms.ro/2020/04/18/buletin-informativ-18-04-2020/" xr:uid="{00000000-0004-0000-0000-0000A7010000}"/>
    <hyperlink ref="K210" r:id="rId425" display="https://stirioficiale.ro/informatii/buletin-de-presa-18-aprilie-2020-ora-13-50" xr:uid="{00000000-0004-0000-0000-0000A8010000}"/>
    <hyperlink ref="T210" r:id="rId426" display="http://www.ms.ro/2020/04/18/buletin-informativ-18-04-2020/" xr:uid="{00000000-0004-0000-0000-0000A9010000}"/>
    <hyperlink ref="K211" r:id="rId427" display="https://stirioficiale.ro/informatii/buletin-de-presa-18-aprilie-2020-ora-13-51" xr:uid="{00000000-0004-0000-0000-0000AA010000}"/>
    <hyperlink ref="T211" r:id="rId428" display="http://www.ms.ro/2020/04/18/buletin-informativ-18-04-2020/" xr:uid="{00000000-0004-0000-0000-0000AB010000}"/>
    <hyperlink ref="K212" r:id="rId429" display="https://stirioficiale.ro/informatii/buletin-de-presa-18-aprilie-2020-ora-13-52" xr:uid="{00000000-0004-0000-0000-0000AC010000}"/>
    <hyperlink ref="T212" r:id="rId430" display="http://www.ms.ro/2020/04/18/buletin-informativ-18-04-2020/" xr:uid="{00000000-0004-0000-0000-0000AD010000}"/>
    <hyperlink ref="K213" r:id="rId431" display="https://stirioficiale.ro/informatii/buletin-de-presa-18-aprilie-2020-ora-13-53" xr:uid="{00000000-0004-0000-0000-0000AE010000}"/>
    <hyperlink ref="T213" r:id="rId432" display="http://www.ms.ro/2020/04/18/buletin-informativ-18-04-2020/" xr:uid="{00000000-0004-0000-0000-0000AF010000}"/>
    <hyperlink ref="K214" r:id="rId433" display="https://stirioficiale.ro/informatii/buletin-de-presa-18-aprilie-2020-ora-13-54" xr:uid="{00000000-0004-0000-0000-0000B0010000}"/>
    <hyperlink ref="T214" r:id="rId434" display="http://www.ms.ro/2020/04/18/buletin-informativ-18-04-2020/" xr:uid="{00000000-0004-0000-0000-0000B1010000}"/>
    <hyperlink ref="K215" r:id="rId435" display="https://stirioficiale.ro/informatii/buletin-de-presa-19-aprilie-2020-ora-13-10" xr:uid="{00000000-0004-0000-0000-0000B2010000}"/>
    <hyperlink ref="T215" r:id="rId436" display="http://www.ms.ro/2020/04/19/buletin-informativ-19-04-2020/" xr:uid="{00000000-0004-0000-0000-0000B3010000}"/>
    <hyperlink ref="K216" r:id="rId437" display="https://stirioficiale.ro/informatii/buletin-de-presa-19-aprilie-2020-ora-13-10" xr:uid="{00000000-0004-0000-0000-0000B4010000}"/>
    <hyperlink ref="T216" r:id="rId438" display="http://www.ms.ro/2020/04/19/buletin-informativ-19-04-2020/" xr:uid="{00000000-0004-0000-0000-0000B5010000}"/>
    <hyperlink ref="K217" r:id="rId439" display="https://stirioficiale.ro/informatii/buletin-de-presa-19-aprilie-2020-ora-13-10" xr:uid="{00000000-0004-0000-0000-0000B6010000}"/>
    <hyperlink ref="T217" r:id="rId440" display="http://www.ms.ro/2020/04/19/buletin-informativ-19-04-2020/" xr:uid="{00000000-0004-0000-0000-0000B7010000}"/>
    <hyperlink ref="K218" r:id="rId441" display="https://stirioficiale.ro/informatii/buletin-de-presa-19-aprilie-2020-ora-13-10" xr:uid="{00000000-0004-0000-0000-0000B8010000}"/>
    <hyperlink ref="T218" r:id="rId442" display="http://www.ms.ro/2020/04/19/buletin-informativ-19-04-2020/" xr:uid="{00000000-0004-0000-0000-0000B9010000}"/>
    <hyperlink ref="K219" r:id="rId443" display="https://stirioficiale.ro/informatii/buletin-de-presa-20-aprilie-2020-ora-13-00" xr:uid="{00000000-0004-0000-0000-0000BA010000}"/>
    <hyperlink ref="T219" r:id="rId444" display="http://www.ms.ro/2020/04/20/buletin-informativ-20-04-2020/" xr:uid="{00000000-0004-0000-0000-0000BB010000}"/>
    <hyperlink ref="K220" r:id="rId445" display="https://stirioficiale.ro/informatii/buletin-de-presa-20-aprilie-2020-ora-13-00" xr:uid="{00000000-0004-0000-0000-0000BC010000}"/>
    <hyperlink ref="T220" r:id="rId446" display="http://www.ms.ro/2020/04/20/buletin-informativ-20-04-2020/" xr:uid="{00000000-0004-0000-0000-0000BD010000}"/>
    <hyperlink ref="K221" r:id="rId447" display="https://stirioficiale.ro/informatii/buletin-de-presa-20-aprilie-2020-ora-13-00" xr:uid="{00000000-0004-0000-0000-0000BE010000}"/>
    <hyperlink ref="T221" r:id="rId448" display="http://www.ms.ro/2020/04/20/buletin-informativ-20-04-2020/" xr:uid="{00000000-0004-0000-0000-0000BF010000}"/>
    <hyperlink ref="K222" r:id="rId449" display="https://stirioficiale.ro/informatii/buletin-de-presa-20-aprilie-2020-ora-13-00" xr:uid="{00000000-0004-0000-0000-0000C0010000}"/>
    <hyperlink ref="T222" r:id="rId450" display="http://www.ms.ro/2020/04/20/buletin-informativ-20-04-2020/" xr:uid="{00000000-0004-0000-0000-0000C1010000}"/>
    <hyperlink ref="K223" r:id="rId451" display="https://stirioficiale.ro/informatii/buletin-de-presa-20-aprilie-2020-ora-13-00" xr:uid="{00000000-0004-0000-0000-0000C2010000}"/>
    <hyperlink ref="T223" r:id="rId452" display="http://www.ms.ro/2020/04/20/buletin-informativ-20-04-2020/" xr:uid="{00000000-0004-0000-0000-0000C3010000}"/>
    <hyperlink ref="K224" r:id="rId453" display="https://stirioficiale.ro/informatii/buletin-de-presa-20-aprilie-2020-ora-13-00" xr:uid="{00000000-0004-0000-0000-0000C4010000}"/>
    <hyperlink ref="T224" r:id="rId454" display="http://www.ms.ro/2020/04/20/buletin-informativ-20-04-2020/" xr:uid="{00000000-0004-0000-0000-0000C5010000}"/>
    <hyperlink ref="K225" r:id="rId455" display="https://stirioficiale.ro/informatii/buletin-de-presa-20-aprilie-2020-ora-13-00" xr:uid="{00000000-0004-0000-0000-0000C6010000}"/>
    <hyperlink ref="T225" r:id="rId456" display="http://www.ms.ro/2020/04/20/buletin-informativ-20-04-2020/" xr:uid="{00000000-0004-0000-0000-0000C7010000}"/>
    <hyperlink ref="K226" r:id="rId457" display="https://stirioficiale.ro/informatii/buletin-de-presa-20-aprilie-2020-ora-13-00" xr:uid="{00000000-0004-0000-0000-0000C8010000}"/>
    <hyperlink ref="T226" r:id="rId458" display="http://www.ms.ro/2020/04/20/buletin-informativ-20-04-2020/" xr:uid="{00000000-0004-0000-0000-0000C9010000}"/>
    <hyperlink ref="K227" r:id="rId459" display="https://stirioficiale.ro/informatii/buletin-de-presa-20-aprilie-2020-ora-13-00" xr:uid="{00000000-0004-0000-0000-0000CA010000}"/>
    <hyperlink ref="T227" r:id="rId460" display="http://www.ms.ro/2020/04/20/buletin-informativ-20-04-2020/" xr:uid="{00000000-0004-0000-0000-0000CB010000}"/>
    <hyperlink ref="K228" r:id="rId461" display="https://stirioficiale.ro/informatii/buletin-de-presa-20-aprilie-2020-ora-13-00" xr:uid="{00000000-0004-0000-0000-0000CC010000}"/>
    <hyperlink ref="T228" r:id="rId462" display="http://www.ms.ro/2020/04/20/buletin-informativ-20-04-2020/" xr:uid="{00000000-0004-0000-0000-0000CD010000}"/>
    <hyperlink ref="K229" r:id="rId463" display="https://stirioficiale.ro/informatii/buletin-de-presa-20-aprilie-2020-ora-13-00" xr:uid="{00000000-0004-0000-0000-0000CE010000}"/>
    <hyperlink ref="T229" r:id="rId464" display="http://www.ms.ro/2020/04/20/buletin-informativ-20-04-2020/" xr:uid="{00000000-0004-0000-0000-0000CF010000}"/>
    <hyperlink ref="K230" r:id="rId465" display="https://stirioficiale.ro/informatii/buletin-de-presa-20-aprilie-2020-ora-13-00" xr:uid="{00000000-0004-0000-0000-0000D0010000}"/>
    <hyperlink ref="T230" r:id="rId466" display="http://www.ms.ro/2020/04/20/buletin-informativ-20-04-2020/" xr:uid="{00000000-0004-0000-0000-0000D1010000}"/>
    <hyperlink ref="K231" r:id="rId467" display="https://stirioficiale.ro/informatii/buletin-de-presa-20-aprilie-2020-ora-13-00" xr:uid="{00000000-0004-0000-0000-0000D2010000}"/>
    <hyperlink ref="T231" r:id="rId468" display="http://www.ms.ro/2020/04/20/buletin-informativ-20-04-2020/" xr:uid="{00000000-0004-0000-0000-0000D3010000}"/>
    <hyperlink ref="K232" r:id="rId469" display="https://stirioficiale.ro/informatii/buletin-de-presa-20-aprilie-2020-ora-13-00" xr:uid="{00000000-0004-0000-0000-0000D4010000}"/>
    <hyperlink ref="T232" r:id="rId470" display="http://www.ms.ro/2020/04/20/buletin-informativ-20-04-2020/" xr:uid="{00000000-0004-0000-0000-0000D5010000}"/>
    <hyperlink ref="K233" r:id="rId471" display="https://stirioficiale.ro/informatii/buletin-de-presa-20-aprilie-2020-ora-13-00" xr:uid="{00000000-0004-0000-0000-0000D6010000}"/>
    <hyperlink ref="T233" r:id="rId472" display="http://www.ms.ro/2020/04/20/buletin-informativ-20-04-2020/" xr:uid="{00000000-0004-0000-0000-0000D7010000}"/>
    <hyperlink ref="K234" r:id="rId473" display="https://stirioficiale.ro/informatii/buletin-de-presa-20-aprilie-2020-ora-13-00" xr:uid="{00000000-0004-0000-0000-0000D8010000}"/>
    <hyperlink ref="T234" r:id="rId474" display="http://www.ms.ro/2020/04/20/buletin-informativ-20-04-2020/" xr:uid="{00000000-0004-0000-0000-0000D9010000}"/>
    <hyperlink ref="K235" r:id="rId475" display="https://stirioficiale.ro/informatii/buletin-de-presa-20-aprilie-2020-ora-13-00" xr:uid="{00000000-0004-0000-0000-0000DA010000}"/>
    <hyperlink ref="T235" r:id="rId476" display="http://www.ms.ro/2020/04/20/buletin-informativ-20-04-2020/" xr:uid="{00000000-0004-0000-0000-0000DB010000}"/>
    <hyperlink ref="K236" r:id="rId477" display="https://stirioficiale.ro/informatii/buletin-de-presa-20-aprilie-2020-ora-13-00" xr:uid="{00000000-0004-0000-0000-0000DC010000}"/>
    <hyperlink ref="T236" r:id="rId478" display="http://www.ms.ro/2020/04/20/buletin-informativ-20-04-2020/" xr:uid="{00000000-0004-0000-0000-0000DD010000}"/>
    <hyperlink ref="K237" r:id="rId479" display="https://stirioficiale.ro/informatii/buletin-de-presa-20-aprilie-2020-ora-13-00" xr:uid="{00000000-0004-0000-0000-0000DE010000}"/>
    <hyperlink ref="T237" r:id="rId480" display="http://www.ms.ro/2020/04/20/buletin-informativ-20-04-2020/" xr:uid="{00000000-0004-0000-0000-0000DF010000}"/>
    <hyperlink ref="K238" r:id="rId481" display="https://stirioficiale.ro/informatii/buletin-de-presa-20-aprilie-2020-ora-13-00" xr:uid="{00000000-0004-0000-0000-0000E0010000}"/>
    <hyperlink ref="T238" r:id="rId482" display="http://www.ms.ro/2020/04/20/buletin-informativ-20-04-2020/" xr:uid="{00000000-0004-0000-0000-0000E1010000}"/>
    <hyperlink ref="K239" r:id="rId483" display="https://stirioficiale.ro/informatii/buletin-de-presa-20-aprilie-2020-ora-13-00" xr:uid="{00000000-0004-0000-0000-0000E2010000}"/>
    <hyperlink ref="T239" r:id="rId484" display="http://www.ms.ro/2020/04/20/buletin-informativ-20-04-2020/" xr:uid="{00000000-0004-0000-0000-0000E3010000}"/>
    <hyperlink ref="K240" r:id="rId485" display="https://stirioficiale.ro/informatii/buletin-de-presa-20-aprilie-2020-ora-13-00" xr:uid="{00000000-0004-0000-0000-0000E4010000}"/>
    <hyperlink ref="T240" r:id="rId486" display="http://www.ms.ro/2020/04/20/buletin-informativ-20-04-2020/" xr:uid="{00000000-0004-0000-0000-0000E5010000}"/>
    <hyperlink ref="K241" r:id="rId487" display="https://stirioficiale.ro/informatii/buletin-de-presa-21-aprilie-2020-ora-13-19" xr:uid="{00000000-0004-0000-0000-0000E6010000}"/>
    <hyperlink ref="T241" r:id="rId488" display="http://www.ms.ro/2020/04/21/buletin-informativ-21-04-2020/" xr:uid="{00000000-0004-0000-0000-0000E7010000}"/>
    <hyperlink ref="K242" r:id="rId489" display="https://stirioficiale.ro/informatii/buletin-de-presa-21-aprilie-2020-ora-13-20" xr:uid="{00000000-0004-0000-0000-0000E8010000}"/>
    <hyperlink ref="T242" r:id="rId490" display="http://www.ms.ro/2020/04/21/buletin-informativ-21-04-2020/" xr:uid="{00000000-0004-0000-0000-0000E9010000}"/>
    <hyperlink ref="K243" r:id="rId491" display="https://stirioficiale.ro/informatii/buletin-de-presa-21-aprilie-2020-ora-13-21" xr:uid="{00000000-0004-0000-0000-0000EA010000}"/>
    <hyperlink ref="T243" r:id="rId492" display="http://www.ms.ro/2020/04/21/buletin-informativ-21-04-2020/" xr:uid="{00000000-0004-0000-0000-0000EB010000}"/>
    <hyperlink ref="K244" r:id="rId493" display="https://stirioficiale.ro/informatii/buletin-de-presa-21-aprilie-2020-ora-13-22" xr:uid="{00000000-0004-0000-0000-0000EC010000}"/>
    <hyperlink ref="T244" r:id="rId494" display="http://www.ms.ro/2020/04/21/buletin-informativ-21-04-2020/" xr:uid="{00000000-0004-0000-0000-0000ED010000}"/>
    <hyperlink ref="K245" r:id="rId495" display="https://stirioficiale.ro/informatii/buletin-de-presa-21-aprilie-2020-ora-13-23" xr:uid="{00000000-0004-0000-0000-0000EE010000}"/>
    <hyperlink ref="T245" r:id="rId496" display="http://www.ms.ro/2020/04/21/buletin-informativ-21-04-2020/" xr:uid="{00000000-0004-0000-0000-0000EF010000}"/>
    <hyperlink ref="K246" r:id="rId497" display="https://stirioficiale.ro/informatii/buletin-de-presa-21-aprilie-2020-ora-13-24" xr:uid="{00000000-0004-0000-0000-0000F0010000}"/>
    <hyperlink ref="T246" r:id="rId498" display="http://www.ms.ro/2020/04/21/buletin-informativ-21-04-2020/" xr:uid="{00000000-0004-0000-0000-0000F1010000}"/>
    <hyperlink ref="K247" r:id="rId499" display="https://stirioficiale.ro/informatii/buletin-de-presa-21-aprilie-2020-ora-13-25" xr:uid="{00000000-0004-0000-0000-0000F2010000}"/>
    <hyperlink ref="T247" r:id="rId500" display="http://www.ms.ro/2020/04/21/buletin-informativ-21-04-2020/" xr:uid="{00000000-0004-0000-0000-0000F3010000}"/>
    <hyperlink ref="K248" r:id="rId501" display="https://stirioficiale.ro/informatii/buletin-de-presa-21-aprilie-2020-ora-13-26" xr:uid="{00000000-0004-0000-0000-0000F4010000}"/>
    <hyperlink ref="T248" r:id="rId502" display="http://www.ms.ro/2020/04/21/buletin-informativ-21-04-2020/" xr:uid="{00000000-0004-0000-0000-0000F5010000}"/>
    <hyperlink ref="K249" r:id="rId503" display="https://stirioficiale.ro/informatii/buletin-de-presa-21-aprilie-2020-ora-13-27" xr:uid="{00000000-0004-0000-0000-0000F6010000}"/>
    <hyperlink ref="T249" r:id="rId504" display="http://www.ms.ro/2020/04/21/buletin-informativ-21-04-2020/" xr:uid="{00000000-0004-0000-0000-0000F7010000}"/>
    <hyperlink ref="K250" r:id="rId505" display="https://stirioficiale.ro/informatii/buletin-de-presa-21-aprilie-2020-ora-13-28" xr:uid="{00000000-0004-0000-0000-0000F8010000}"/>
    <hyperlink ref="T250" r:id="rId506" display="http://www.ms.ro/2020/04/21/buletin-informativ-21-04-2020/" xr:uid="{00000000-0004-0000-0000-0000F9010000}"/>
    <hyperlink ref="K251" r:id="rId507" display="https://stirioficiale.ro/informatii/buletin-de-presa-21-aprilie-2020-ora-13-29" xr:uid="{00000000-0004-0000-0000-0000FA010000}"/>
    <hyperlink ref="T251" r:id="rId508" display="http://www.ms.ro/2020/04/21/buletin-informativ-21-04-2020/" xr:uid="{00000000-0004-0000-0000-0000FB010000}"/>
    <hyperlink ref="K252" r:id="rId509" display="https://stirioficiale.ro/informatii/buletin-de-presa-21-aprilie-2020-ora-13-30" xr:uid="{00000000-0004-0000-0000-0000FC010000}"/>
    <hyperlink ref="T252" r:id="rId510" display="http://www.ms.ro/2020/04/21/buletin-informativ-21-04-2020/" xr:uid="{00000000-0004-0000-0000-0000FD010000}"/>
    <hyperlink ref="K253" r:id="rId511" display="https://stirioficiale.ro/informatii/buletin-de-presa-21-aprilie-2020-ora-13-31" xr:uid="{00000000-0004-0000-0000-0000FE010000}"/>
    <hyperlink ref="T253" r:id="rId512" display="http://www.ms.ro/2020/04/21/buletin-informativ-21-04-2020/" xr:uid="{00000000-0004-0000-0000-0000FF010000}"/>
    <hyperlink ref="K254" r:id="rId513" display="https://stirioficiale.ro/informatii/buletin-de-presa-21-aprilie-2020-ora-13-32" xr:uid="{00000000-0004-0000-0000-000000020000}"/>
    <hyperlink ref="T254" r:id="rId514" display="http://www.ms.ro/2020/04/21/buletin-informativ-21-04-2020/" xr:uid="{00000000-0004-0000-0000-000001020000}"/>
    <hyperlink ref="K255" r:id="rId515" display="https://stirioficiale.ro/informatii/buletin-de-presa-21-aprilie-2020-ora-13-33" xr:uid="{00000000-0004-0000-0000-000002020000}"/>
    <hyperlink ref="T255" r:id="rId516" display="http://www.ms.ro/2020/04/21/buletin-informativ-21-04-2020/" xr:uid="{00000000-0004-0000-0000-000003020000}"/>
    <hyperlink ref="K256" r:id="rId517" display="https://stirioficiale.ro/informatii/buletin-de-presa-21-aprilie-2020-ora-13-34" xr:uid="{00000000-0004-0000-0000-000004020000}"/>
    <hyperlink ref="T256" r:id="rId518" display="http://www.ms.ro/2020/04/21/buletin-informativ-21-04-2020/" xr:uid="{00000000-0004-0000-0000-000005020000}"/>
    <hyperlink ref="K257" r:id="rId519" display="https://stirioficiale.ro/informatii/buletin-de-presa-21-aprilie-2020-ora-13-35" xr:uid="{00000000-0004-0000-0000-000006020000}"/>
    <hyperlink ref="T257" r:id="rId520" display="http://www.ms.ro/2020/04/21/buletin-informativ-21-04-2020/" xr:uid="{00000000-0004-0000-0000-000007020000}"/>
    <hyperlink ref="K258" r:id="rId521" display="https://stirioficiale.ro/informatii/buletin-de-presa-21-aprilie-2020-ora-13-36" xr:uid="{00000000-0004-0000-0000-000008020000}"/>
    <hyperlink ref="T258" r:id="rId522" display="http://www.ms.ro/2020/04/21/buletin-informativ-21-04-2020/" xr:uid="{00000000-0004-0000-0000-000009020000}"/>
    <hyperlink ref="K259" r:id="rId523" display="https://stirioficiale.ro/informatii/buletin-de-presa-21-aprilie-2020-ora-13-37" xr:uid="{00000000-0004-0000-0000-00000A020000}"/>
    <hyperlink ref="T259" r:id="rId524" display="http://www.ms.ro/2020/04/21/buletin-informativ-21-04-2020/" xr:uid="{00000000-0004-0000-0000-00000B020000}"/>
    <hyperlink ref="K260" r:id="rId525" display="https://stirioficiale.ro/informatii/buletin-de-presa-21-aprilie-2020-ora-13-38" xr:uid="{00000000-0004-0000-0000-00000C020000}"/>
    <hyperlink ref="T260" r:id="rId526" display="http://www.ms.ro/2020/04/21/buletin-informativ-21-04-2020/" xr:uid="{00000000-0004-0000-0000-00000D020000}"/>
    <hyperlink ref="K261" r:id="rId527" display="https://stirioficiale.ro/informatii/buletin-de-presa-21-aprilie-2020-ora-13-39" xr:uid="{00000000-0004-0000-0000-00000E020000}"/>
    <hyperlink ref="T261" r:id="rId528" display="http://www.ms.ro/2020/04/21/buletin-informativ-21-04-2020/" xr:uid="{00000000-0004-0000-0000-00000F020000}"/>
    <hyperlink ref="K262" r:id="rId529" display="https://stirioficiale.ro/informatii/buletin-de-presa-21-aprilie-2020-ora-13-40" xr:uid="{00000000-0004-0000-0000-000010020000}"/>
    <hyperlink ref="T262" r:id="rId530" display="http://www.ms.ro/2020/04/21/buletin-informativ-21-04-2020/" xr:uid="{00000000-0004-0000-0000-000011020000}"/>
    <hyperlink ref="K263" r:id="rId531" display="https://stirioficiale.ro/informatii/buletin-de-presa-21-aprilie-2020-ora-13-41" xr:uid="{00000000-0004-0000-0000-000012020000}"/>
    <hyperlink ref="T263" r:id="rId532" display="http://www.ms.ro/2020/04/21/buletin-informativ-21-04-2020/" xr:uid="{00000000-0004-0000-0000-000013020000}"/>
    <hyperlink ref="K264" r:id="rId533" display="https://stirioficiale.ro/informatii/buletin-de-presa-21-aprilie-2020-ora-13-42" xr:uid="{00000000-0004-0000-0000-000014020000}"/>
    <hyperlink ref="T264" r:id="rId534" display="http://www.ms.ro/2020/04/21/buletin-informativ-21-04-2020/" xr:uid="{00000000-0004-0000-0000-000015020000}"/>
    <hyperlink ref="K265" r:id="rId535" display="https://stirioficiale.ro/informatii/buletin-de-presa-21-aprilie-2020-ora-13-43" xr:uid="{00000000-0004-0000-0000-000016020000}"/>
    <hyperlink ref="T265" r:id="rId536" display="http://www.ms.ro/2020/04/21/buletin-informativ-21-04-2020/" xr:uid="{00000000-0004-0000-0000-000017020000}"/>
    <hyperlink ref="K266" r:id="rId537" display="https://stirioficiale.ro/informatii/buletin-de-presa-21-aprilie-2020-ora-13-44" xr:uid="{00000000-0004-0000-0000-000018020000}"/>
    <hyperlink ref="T266" r:id="rId538" display="http://www.ms.ro/2020/04/21/buletin-informativ-21-04-2020/" xr:uid="{00000000-0004-0000-0000-000019020000}"/>
    <hyperlink ref="K267" r:id="rId539" display="https://stirioficiale.ro/informatii/buletin-de-presa-21-aprilie-2020-ora-13-45" xr:uid="{00000000-0004-0000-0000-00001A020000}"/>
    <hyperlink ref="T267" r:id="rId540" display="http://www.ms.ro/2020/04/21/buletin-informativ-21-04-2020/" xr:uid="{00000000-0004-0000-0000-00001B020000}"/>
    <hyperlink ref="K268" r:id="rId541" display="https://stirioficiale.ro/informatii/buletin-de-presa-21-aprilie-2020-ora-13-46" xr:uid="{00000000-0004-0000-0000-00001C020000}"/>
    <hyperlink ref="T268" r:id="rId542" display="http://www.ms.ro/2020/04/21/buletin-informativ-21-04-2020/" xr:uid="{00000000-0004-0000-0000-00001D020000}"/>
    <hyperlink ref="K269" r:id="rId543" display="https://stirioficiale.ro/informatii/buletin-de-presa-21-aprilie-2020-ora-13-47" xr:uid="{00000000-0004-0000-0000-00001E020000}"/>
    <hyperlink ref="T269" r:id="rId544" display="http://www.ms.ro/2020/04/21/buletin-informativ-21-04-2020/" xr:uid="{00000000-0004-0000-0000-00001F020000}"/>
    <hyperlink ref="K270" r:id="rId545" display="https://stirioficiale.ro/informatii/buletin-de-presa-21-aprilie-2020-ora-13-48" xr:uid="{00000000-0004-0000-0000-000020020000}"/>
    <hyperlink ref="T270" r:id="rId546" display="http://www.ms.ro/2020/04/21/buletin-informativ-21-04-2020/" xr:uid="{00000000-0004-0000-0000-000021020000}"/>
    <hyperlink ref="K271" r:id="rId547" display="https://stirioficiale.ro/informatii/buletin-de-presa-21-aprilie-2020-ora-13-49" xr:uid="{00000000-0004-0000-0000-000022020000}"/>
    <hyperlink ref="T271" r:id="rId548" display="http://www.ms.ro/2020/04/21/buletin-informativ-21-04-2020/" xr:uid="{00000000-0004-0000-0000-000023020000}"/>
    <hyperlink ref="K272" r:id="rId549" display="https://stirioficiale.ro/informatii/buletin-de-presa-21-aprilie-2020-ora-13-50" xr:uid="{00000000-0004-0000-0000-000024020000}"/>
    <hyperlink ref="T272" r:id="rId550" display="http://www.ms.ro/2020/04/21/buletin-informativ-21-04-2020/" xr:uid="{00000000-0004-0000-0000-000025020000}"/>
    <hyperlink ref="K273" r:id="rId551" display="https://stirioficiale.ro/informatii/buletin-de-presa-21-aprilie-2020-ora-13-51" xr:uid="{00000000-0004-0000-0000-000026020000}"/>
    <hyperlink ref="T273" r:id="rId552" display="http://www.ms.ro/2020/04/21/buletin-informativ-21-04-2020/" xr:uid="{00000000-0004-0000-0000-000027020000}"/>
    <hyperlink ref="K274" r:id="rId553" display="https://stirioficiale.ro/informatii/buletin-de-presa-21-aprilie-2020-ora-13-52" xr:uid="{00000000-0004-0000-0000-000028020000}"/>
    <hyperlink ref="T274" r:id="rId554" display="http://www.ms.ro/2020/04/21/buletin-informativ-21-04-2020/" xr:uid="{00000000-0004-0000-0000-000029020000}"/>
    <hyperlink ref="K275" r:id="rId555" display="https://stirioficiale.ro/informatii/buletin-de-presa-21-aprilie-2020-ora-13-53" xr:uid="{00000000-0004-0000-0000-00002A020000}"/>
    <hyperlink ref="T275" r:id="rId556" display="http://www.ms.ro/2020/04/21/buletin-informativ-21-04-2020/" xr:uid="{00000000-0004-0000-0000-00002B020000}"/>
    <hyperlink ref="K276" r:id="rId557" display="https://stirioficiale.ro/informatii/buletin-de-presa-22-aprilie-2020-ora-13-33" xr:uid="{00000000-0004-0000-0000-00002C020000}"/>
    <hyperlink ref="L276" r:id="rId558" display="https://stirioficiale.ro/informatii/informare-de-presa-30-aprilie-2020-ora-18-08" xr:uid="{00000000-0004-0000-0000-00002D020000}"/>
    <hyperlink ref="T276" r:id="rId559" display="http://www.ms.ro/2020/04/22/buletin-informativ-22-04-2020/" xr:uid="{00000000-0004-0000-0000-00002E020000}"/>
    <hyperlink ref="K277" r:id="rId560" display="https://stirioficiale.ro/informatii/buletin-de-presa-22-aprilie-2020-ora-13-34" xr:uid="{00000000-0004-0000-0000-00002F020000}"/>
    <hyperlink ref="T277" r:id="rId561" display="http://www.ms.ro/2020/04/22/buletin-informativ-22-04-2020/" xr:uid="{00000000-0004-0000-0000-000030020000}"/>
    <hyperlink ref="K278" r:id="rId562" display="https://stirioficiale.ro/informatii/buletin-de-presa-22-aprilie-2020-ora-13-35" xr:uid="{00000000-0004-0000-0000-000031020000}"/>
    <hyperlink ref="T278" r:id="rId563" display="http://www.ms.ro/2020/04/22/buletin-informativ-22-04-2020/" xr:uid="{00000000-0004-0000-0000-000032020000}"/>
    <hyperlink ref="K279" r:id="rId564" display="https://stirioficiale.ro/informatii/buletin-de-presa-22-aprilie-2020-ora-13-36" xr:uid="{00000000-0004-0000-0000-000033020000}"/>
    <hyperlink ref="T279" r:id="rId565" display="http://www.ms.ro/2020/04/22/buletin-informativ-22-04-2020/" xr:uid="{00000000-0004-0000-0000-000034020000}"/>
    <hyperlink ref="K280" r:id="rId566" display="https://stirioficiale.ro/informatii/buletin-de-presa-22-aprilie-2020-ora-13-37" xr:uid="{00000000-0004-0000-0000-000035020000}"/>
    <hyperlink ref="T280" r:id="rId567" display="http://www.ms.ro/2020/04/22/buletin-informativ-22-04-2020/" xr:uid="{00000000-0004-0000-0000-000036020000}"/>
    <hyperlink ref="K281" r:id="rId568" display="https://stirioficiale.ro/informatii/buletin-de-presa-22-aprilie-2020-ora-13-38" xr:uid="{00000000-0004-0000-0000-000037020000}"/>
    <hyperlink ref="T281" r:id="rId569" display="http://www.ms.ro/2020/04/22/buletin-informativ-22-04-2020/" xr:uid="{00000000-0004-0000-0000-000038020000}"/>
    <hyperlink ref="K282" r:id="rId570" display="https://stirioficiale.ro/informatii/buletin-de-presa-22-aprilie-2020-ora-13-39" xr:uid="{00000000-0004-0000-0000-000039020000}"/>
    <hyperlink ref="T282" r:id="rId571" display="http://www.ms.ro/2020/04/22/buletin-informativ-22-04-2020/" xr:uid="{00000000-0004-0000-0000-00003A020000}"/>
    <hyperlink ref="K283" r:id="rId572" display="https://stirioficiale.ro/informatii/buletin-de-presa-22-aprilie-2020-ora-13-40" xr:uid="{00000000-0004-0000-0000-00003B020000}"/>
    <hyperlink ref="T283" r:id="rId573" display="http://www.ms.ro/2020/04/22/buletin-informativ-22-04-2020/" xr:uid="{00000000-0004-0000-0000-00003C020000}"/>
    <hyperlink ref="K284" r:id="rId574" display="https://stirioficiale.ro/informatii/buletin-de-presa-22-aprilie-2020-ora-13-41" xr:uid="{00000000-0004-0000-0000-00003D020000}"/>
    <hyperlink ref="T284" r:id="rId575" display="http://www.ms.ro/2020/04/22/buletin-informativ-22-04-2020/" xr:uid="{00000000-0004-0000-0000-00003E020000}"/>
    <hyperlink ref="K285" r:id="rId576" display="https://stirioficiale.ro/informatii/buletin-de-presa-22-aprilie-2020-ora-13-42" xr:uid="{00000000-0004-0000-0000-00003F020000}"/>
    <hyperlink ref="T285" r:id="rId577" display="http://www.ms.ro/2020/04/22/buletin-informativ-22-04-2020/" xr:uid="{00000000-0004-0000-0000-000040020000}"/>
    <hyperlink ref="K286" r:id="rId578" display="https://stirioficiale.ro/informatii/buletin-de-presa-22-aprilie-2020-ora-13-43" xr:uid="{00000000-0004-0000-0000-000041020000}"/>
    <hyperlink ref="T286" r:id="rId579" display="http://www.ms.ro/2020/04/22/buletin-informativ-22-04-2020/" xr:uid="{00000000-0004-0000-0000-000042020000}"/>
    <hyperlink ref="K287" r:id="rId580" display="https://stirioficiale.ro/informatii/buletin-de-presa-22-aprilie-2020-ora-13-44" xr:uid="{00000000-0004-0000-0000-000043020000}"/>
    <hyperlink ref="T287" r:id="rId581" display="http://www.ms.ro/2020/04/22/buletin-informativ-22-04-2020/" xr:uid="{00000000-0004-0000-0000-000044020000}"/>
    <hyperlink ref="K288" r:id="rId582" display="https://stirioficiale.ro/informatii/buletin-de-presa-22-aprilie-2020-ora-13-45" xr:uid="{00000000-0004-0000-0000-000045020000}"/>
    <hyperlink ref="T288" r:id="rId583" display="http://www.ms.ro/2020/04/22/buletin-informativ-22-04-2020/" xr:uid="{00000000-0004-0000-0000-000046020000}"/>
    <hyperlink ref="K289" r:id="rId584" display="https://stirioficiale.ro/informatii/buletin-de-presa-22-aprilie-2020-ora-13-46" xr:uid="{00000000-0004-0000-0000-000047020000}"/>
    <hyperlink ref="T289" r:id="rId585" display="http://www.ms.ro/2020/04/22/buletin-informativ-22-04-2020/" xr:uid="{00000000-0004-0000-0000-000048020000}"/>
    <hyperlink ref="K290" r:id="rId586" display="https://stirioficiale.ro/informatii/buletin-de-presa-22-aprilie-2020-ora-13-47" xr:uid="{00000000-0004-0000-0000-000049020000}"/>
    <hyperlink ref="T290" r:id="rId587" display="http://www.ms.ro/2020/04/22/buletin-informativ-22-04-2020/" xr:uid="{00000000-0004-0000-0000-00004A020000}"/>
    <hyperlink ref="K291" r:id="rId588" display="https://stirioficiale.ro/informatii/buletin-de-presa-22-aprilie-2020-ora-13-48" xr:uid="{00000000-0004-0000-0000-00004B020000}"/>
    <hyperlink ref="T291" r:id="rId589" display="http://www.ms.ro/2020/04/22/buletin-informativ-22-04-2020/" xr:uid="{00000000-0004-0000-0000-00004C020000}"/>
    <hyperlink ref="K292" r:id="rId590" display="https://stirioficiale.ro/informatii/buletin-de-presa-22-aprilie-2020-ora-13-49" xr:uid="{00000000-0004-0000-0000-00004D020000}"/>
    <hyperlink ref="T292" r:id="rId591" display="http://www.ms.ro/2020/04/22/buletin-informativ-22-04-2020/" xr:uid="{00000000-0004-0000-0000-00004E020000}"/>
    <hyperlink ref="K293" r:id="rId592" display="https://stirioficiale.ro/informatii/buletin-de-presa-22-aprilie-2020-ora-13-50" xr:uid="{00000000-0004-0000-0000-00004F020000}"/>
    <hyperlink ref="T293" r:id="rId593" display="http://www.ms.ro/2020/04/22/buletin-informativ-22-04-2020/" xr:uid="{00000000-0004-0000-0000-000050020000}"/>
    <hyperlink ref="K294" r:id="rId594" display="https://stirioficiale.ro/informatii/buletin-de-presa-22-aprilie-2020-ora-13-51" xr:uid="{00000000-0004-0000-0000-000051020000}"/>
    <hyperlink ref="T294" r:id="rId595" display="http://www.ms.ro/2020/04/22/buletin-informativ-22-04-2020/" xr:uid="{00000000-0004-0000-0000-000052020000}"/>
    <hyperlink ref="K295" r:id="rId596" display="https://stirioficiale.ro/informatii/buletin-de-presa-22-aprilie-2020-ora-13-52" xr:uid="{00000000-0004-0000-0000-000053020000}"/>
    <hyperlink ref="T295" r:id="rId597" display="http://www.ms.ro/2020/04/22/buletin-informativ-22-04-2020/" xr:uid="{00000000-0004-0000-0000-000054020000}"/>
    <hyperlink ref="K296" r:id="rId598" display="https://stirioficiale.ro/informatii/buletin-de-presa-22-aprilie-2020-ora-13-53" xr:uid="{00000000-0004-0000-0000-000055020000}"/>
    <hyperlink ref="T296" r:id="rId599" display="http://www.ms.ro/2020/04/22/buletin-informativ-22-04-2020/" xr:uid="{00000000-0004-0000-0000-000056020000}"/>
    <hyperlink ref="K297" r:id="rId600" display="https://stirioficiale.ro/informatii/buletin-de-presa-22-aprilie-2020-ora-13-54" xr:uid="{00000000-0004-0000-0000-000057020000}"/>
    <hyperlink ref="T297" r:id="rId601" display="http://www.ms.ro/2020/04/22/buletin-informativ-22-04-2020/" xr:uid="{00000000-0004-0000-0000-000058020000}"/>
    <hyperlink ref="K298" r:id="rId602" display="https://stirioficiale.ro/informatii/buletin-de-presa-22-aprilie-2020-ora-13-55" xr:uid="{00000000-0004-0000-0000-000059020000}"/>
    <hyperlink ref="T298" r:id="rId603" display="http://www.ms.ro/2020/04/22/buletin-informativ-22-04-2020/" xr:uid="{00000000-0004-0000-0000-00005A020000}"/>
    <hyperlink ref="K299" r:id="rId604" display="https://stirioficiale.ro/informatii/buletin-de-presa-22-aprilie-2020-ora-13-56" xr:uid="{00000000-0004-0000-0000-00005B020000}"/>
    <hyperlink ref="T299" r:id="rId605" display="http://www.ms.ro/2020/04/22/buletin-informativ-22-04-2020/" xr:uid="{00000000-0004-0000-0000-00005C020000}"/>
    <hyperlink ref="K300" r:id="rId606" display="https://stirioficiale.ro/informatii/buletin-de-presa-22-aprilie-2020-ora-13-57" xr:uid="{00000000-0004-0000-0000-00005D020000}"/>
    <hyperlink ref="T300" r:id="rId607" display="http://www.ms.ro/2020/04/22/buletin-informativ-22-04-2020/" xr:uid="{00000000-0004-0000-0000-00005E020000}"/>
    <hyperlink ref="K301" r:id="rId608" display="https://stirioficiale.ro/informatii/buletin-de-presa-22-aprilie-2020-ora-13-58" xr:uid="{00000000-0004-0000-0000-00005F020000}"/>
    <hyperlink ref="T301" r:id="rId609" display="http://www.ms.ro/2020/04/22/buletin-informativ-22-04-2020/" xr:uid="{00000000-0004-0000-0000-000060020000}"/>
    <hyperlink ref="K302" r:id="rId610" display="https://stirioficiale.ro/informatii/buletin-de-presa-22-aprilie-2020-ora-13-59" xr:uid="{00000000-0004-0000-0000-000061020000}"/>
    <hyperlink ref="T302" r:id="rId611" display="http://www.ms.ro/2020/04/22/buletin-informativ-22-04-2020/" xr:uid="{00000000-0004-0000-0000-000062020000}"/>
    <hyperlink ref="K303" r:id="rId612" display="https://stirioficiale.ro/informatii/buletin-de-presa-22-aprilie-2020-ora-13-60" xr:uid="{00000000-0004-0000-0000-000063020000}"/>
    <hyperlink ref="T303" r:id="rId613" display="http://www.ms.ro/2020/04/22/buletin-informativ-22-04-2020/" xr:uid="{00000000-0004-0000-0000-000064020000}"/>
    <hyperlink ref="K304" r:id="rId614" display="https://stirioficiale.ro/informatii/buletin-de-presa-22-aprilie-2020-ora-13-61" xr:uid="{00000000-0004-0000-0000-000065020000}"/>
    <hyperlink ref="T304" r:id="rId615" display="http://www.ms.ro/2020/04/22/buletin-informativ-22-04-2020/" xr:uid="{00000000-0004-0000-0000-000066020000}"/>
    <hyperlink ref="K305" r:id="rId616" display="https://stirioficiale.ro/informatii/buletin-de-presa-22-aprilie-2020-ora-13-62" xr:uid="{00000000-0004-0000-0000-000067020000}"/>
    <hyperlink ref="T305" r:id="rId617" display="http://www.ms.ro/2020/04/22/buletin-informativ-22-04-2020/" xr:uid="{00000000-0004-0000-0000-000068020000}"/>
    <hyperlink ref="K306" r:id="rId618" display="https://stirioficiale.ro/informatii/buletin-de-presa-22-aprilie-2020-ora-13-63" xr:uid="{00000000-0004-0000-0000-000069020000}"/>
    <hyperlink ref="T306" r:id="rId619" display="http://www.ms.ro/2020/04/22/buletin-informativ-22-04-2020/" xr:uid="{00000000-0004-0000-0000-00006A020000}"/>
    <hyperlink ref="K307" r:id="rId620" display="https://stirioficiale.ro/informatii/buletin-de-presa-22-aprilie-2020-ora-13-64" xr:uid="{00000000-0004-0000-0000-00006B020000}"/>
    <hyperlink ref="T307" r:id="rId621" display="http://www.ms.ro/2020/04/22/buletin-informativ-22-04-2020/" xr:uid="{00000000-0004-0000-0000-00006C020000}"/>
    <hyperlink ref="K308" r:id="rId622" display="https://stirioficiale.ro/informatii/buletin-de-presa-22-aprilie-2020-ora-13-65" xr:uid="{00000000-0004-0000-0000-00006D020000}"/>
    <hyperlink ref="T308" r:id="rId623" display="http://www.ms.ro/2020/04/22/buletin-informativ-22-04-2020/" xr:uid="{00000000-0004-0000-0000-00006E020000}"/>
    <hyperlink ref="K309" r:id="rId624" display="https://stirioficiale.ro/informatii/buletin-de-presa-22-aprilie-2020-ora-13-66" xr:uid="{00000000-0004-0000-0000-00006F020000}"/>
    <hyperlink ref="T309" r:id="rId625" display="http://www.ms.ro/2020/04/22/buletin-informativ-22-04-2020/" xr:uid="{00000000-0004-0000-0000-000070020000}"/>
    <hyperlink ref="K310" r:id="rId626" display="https://stirioficiale.ro/informatii/buletin-de-presa-22-aprilie-2020-ora-13-67" xr:uid="{00000000-0004-0000-0000-000071020000}"/>
    <hyperlink ref="T310" r:id="rId627" display="http://www.ms.ro/2020/04/22/buletin-informativ-22-04-2020/" xr:uid="{00000000-0004-0000-0000-000072020000}"/>
    <hyperlink ref="K311" r:id="rId628" display="https://stirioficiale.ro/informatii/buletin-de-presa-22-aprilie-2020-ora-13-68" xr:uid="{00000000-0004-0000-0000-000073020000}"/>
    <hyperlink ref="T311" r:id="rId629" display="http://www.ms.ro/2020/04/22/buletin-informativ-22-04-2020/" xr:uid="{00000000-0004-0000-0000-000074020000}"/>
    <hyperlink ref="K312" r:id="rId630" display="https://stirioficiale.ro/informatii/buletin-de-presa-22-aprilie-2020-ora-13-69" xr:uid="{00000000-0004-0000-0000-000075020000}"/>
    <hyperlink ref="T312" r:id="rId631" display="http://www.ms.ro/2020/04/22/buletin-informativ-22-04-2020/" xr:uid="{00000000-0004-0000-0000-000076020000}"/>
    <hyperlink ref="K313" r:id="rId632" display="https://stirioficiale.ro/informatii/buletin-de-presa-22-aprilie-2020-ora-13-70" xr:uid="{00000000-0004-0000-0000-000077020000}"/>
    <hyperlink ref="T313" r:id="rId633" display="http://www.ms.ro/2020/04/22/buletin-informativ-22-04-2020/" xr:uid="{00000000-0004-0000-0000-000078020000}"/>
    <hyperlink ref="K314" r:id="rId634" display="https://stirioficiale.ro/informatii/buletin-de-presa-22-aprilie-2020-ora-13-71" xr:uid="{00000000-0004-0000-0000-000079020000}"/>
    <hyperlink ref="T314" r:id="rId635" display="http://www.ms.ro/2020/04/22/buletin-informativ-22-04-2020/" xr:uid="{00000000-0004-0000-0000-00007A020000}"/>
    <hyperlink ref="K315" r:id="rId636" display="https://stirioficiale.ro/informatii/buletin-de-presa-22-aprilie-2020-ora-13-72" xr:uid="{00000000-0004-0000-0000-00007B020000}"/>
    <hyperlink ref="T315" r:id="rId637" display="http://www.ms.ro/2020/04/22/buletin-informativ-22-04-2020/" xr:uid="{00000000-0004-0000-0000-00007C020000}"/>
    <hyperlink ref="K316" r:id="rId638" display="https://stirioficiale.ro/informatii/buletin-de-presa-22-aprilie-2020-ora-13-73" xr:uid="{00000000-0004-0000-0000-00007D020000}"/>
    <hyperlink ref="T316" r:id="rId639" display="http://www.ms.ro/2020/04/22/buletin-informativ-22-04-2020/" xr:uid="{00000000-0004-0000-0000-00007E020000}"/>
    <hyperlink ref="K317" r:id="rId640" display="https://stirioficiale.ro/informatii/buletin-de-presa-22-aprilie-2020-ora-13-74" xr:uid="{00000000-0004-0000-0000-00007F020000}"/>
    <hyperlink ref="T317" r:id="rId641" display="http://www.ms.ro/2020/04/22/buletin-informativ-22-04-2020/" xr:uid="{00000000-0004-0000-0000-000080020000}"/>
    <hyperlink ref="K318" r:id="rId642" display="https://stirioficiale.ro/informatii/buletin-de-presa-23-aprilie-2020-ora-13-00" xr:uid="{00000000-0004-0000-0000-000081020000}"/>
    <hyperlink ref="T318" r:id="rId643" display="http://www.ms.ro/2020/04/23/buletin-informativ-23-04-2020/" xr:uid="{00000000-0004-0000-0000-000082020000}"/>
    <hyperlink ref="K319" r:id="rId644" display="https://stirioficiale.ro/informatii/buletin-de-presa-23-aprilie-2020-ora-13-00" xr:uid="{00000000-0004-0000-0000-000083020000}"/>
    <hyperlink ref="T319" r:id="rId645" display="http://www.ms.ro/2020/04/23/buletin-informativ-23-04-2020/" xr:uid="{00000000-0004-0000-0000-000084020000}"/>
    <hyperlink ref="K320" r:id="rId646" display="https://stirioficiale.ro/informatii/buletin-de-presa-23-aprilie-2020-ora-13-00" xr:uid="{00000000-0004-0000-0000-000085020000}"/>
    <hyperlink ref="T320" r:id="rId647" display="http://www.ms.ro/2020/04/23/buletin-informativ-23-04-2020/" xr:uid="{00000000-0004-0000-0000-000086020000}"/>
    <hyperlink ref="K321" r:id="rId648" display="https://stirioficiale.ro/informatii/buletin-de-presa-23-aprilie-2020-ora-13-00" xr:uid="{00000000-0004-0000-0000-000087020000}"/>
    <hyperlink ref="T321" r:id="rId649" display="http://www.ms.ro/2020/04/23/buletin-informativ-23-04-2020/" xr:uid="{00000000-0004-0000-0000-000088020000}"/>
    <hyperlink ref="K322" r:id="rId650" display="https://stirioficiale.ro/informatii/buletin-de-presa-23-aprilie-2020-ora-13-00" xr:uid="{00000000-0004-0000-0000-000089020000}"/>
    <hyperlink ref="T322" r:id="rId651" display="http://www.ms.ro/2020/04/23/buletin-informativ-23-04-2020/" xr:uid="{00000000-0004-0000-0000-00008A020000}"/>
    <hyperlink ref="K323" r:id="rId652" display="https://stirioficiale.ro/informatii/buletin-de-presa-23-aprilie-2020-ora-13-00" xr:uid="{00000000-0004-0000-0000-00008B020000}"/>
    <hyperlink ref="T323" r:id="rId653" display="http://www.ms.ro/2020/04/23/buletin-informativ-23-04-2020/" xr:uid="{00000000-0004-0000-0000-00008C020000}"/>
    <hyperlink ref="K324" r:id="rId654" display="https://stirioficiale.ro/informatii/buletin-de-presa-23-aprilie-2020-ora-13-00" xr:uid="{00000000-0004-0000-0000-00008D020000}"/>
    <hyperlink ref="T324" r:id="rId655" display="http://www.ms.ro/2020/04/23/buletin-informativ-23-04-2020/" xr:uid="{00000000-0004-0000-0000-00008E020000}"/>
    <hyperlink ref="K325" r:id="rId656" display="https://stirioficiale.ro/informatii/buletin-de-presa-23-aprilie-2020-ora-13-00" xr:uid="{00000000-0004-0000-0000-00008F020000}"/>
    <hyperlink ref="T325" r:id="rId657" display="http://www.ms.ro/2020/04/23/buletin-informativ-23-04-2020/" xr:uid="{00000000-0004-0000-0000-000090020000}"/>
    <hyperlink ref="K326" r:id="rId658" display="https://stirioficiale.ro/informatii/buletin-de-presa-23-aprilie-2020-ora-13-00" xr:uid="{00000000-0004-0000-0000-000091020000}"/>
    <hyperlink ref="T326" r:id="rId659" display="http://www.ms.ro/2020/04/23/buletin-informativ-23-04-2020/" xr:uid="{00000000-0004-0000-0000-000092020000}"/>
    <hyperlink ref="K327" r:id="rId660" display="https://stirioficiale.ro/informatii/buletin-de-presa-23-aprilie-2020-ora-13-00" xr:uid="{00000000-0004-0000-0000-000093020000}"/>
    <hyperlink ref="T327" r:id="rId661" display="http://www.ms.ro/2020/04/23/buletin-informativ-23-04-2020/" xr:uid="{00000000-0004-0000-0000-000094020000}"/>
    <hyperlink ref="K328" r:id="rId662" display="https://stirioficiale.ro/informatii/buletin-de-presa-23-aprilie-2020-ora-13-00" xr:uid="{00000000-0004-0000-0000-000095020000}"/>
    <hyperlink ref="T328" r:id="rId663" display="http://www.ms.ro/2020/04/23/buletin-informativ-23-04-2020/" xr:uid="{00000000-0004-0000-0000-000096020000}"/>
    <hyperlink ref="K329" r:id="rId664" display="https://stirioficiale.ro/informatii/buletin-de-presa-23-aprilie-2020-ora-13-00" xr:uid="{00000000-0004-0000-0000-000097020000}"/>
    <hyperlink ref="T329" r:id="rId665" display="http://www.ms.ro/2020/04/23/buletin-informativ-23-04-2020/" xr:uid="{00000000-0004-0000-0000-000098020000}"/>
    <hyperlink ref="K330" r:id="rId666" display="https://stirioficiale.ro/informatii/buletin-de-presa-24-aprilie-2020-ora-13-00" xr:uid="{00000000-0004-0000-0000-000099020000}"/>
    <hyperlink ref="T330" r:id="rId667" display="http://www.ms.ro/2020/04/24/buletin-informativ-24-04-2020/" xr:uid="{00000000-0004-0000-0000-00009A020000}"/>
    <hyperlink ref="K331" r:id="rId668" display="https://stirioficiale.ro/informatii/buletin-de-presa-24-aprilie-2020-ora-13-00" xr:uid="{00000000-0004-0000-0000-00009B020000}"/>
    <hyperlink ref="T331" r:id="rId669" display="http://www.ms.ro/2020/04/24/buletin-informativ-24-04-2020/" xr:uid="{00000000-0004-0000-0000-00009C020000}"/>
    <hyperlink ref="K332" r:id="rId670" display="https://stirioficiale.ro/informatii/buletin-de-presa-24-aprilie-2020-ora-13-00" xr:uid="{00000000-0004-0000-0000-00009D020000}"/>
    <hyperlink ref="T332" r:id="rId671" display="http://www.ms.ro/2020/04/24/buletin-informativ-24-04-2020/" xr:uid="{00000000-0004-0000-0000-00009E020000}"/>
    <hyperlink ref="K333" r:id="rId672" display="https://stirioficiale.ro/informatii/buletin-de-presa-24-aprilie-2020-ora-13-00" xr:uid="{00000000-0004-0000-0000-00009F020000}"/>
    <hyperlink ref="T333" r:id="rId673" display="http://www.ms.ro/2020/04/24/buletin-informativ-24-04-2020/" xr:uid="{00000000-0004-0000-0000-0000A0020000}"/>
    <hyperlink ref="K334" r:id="rId674" display="https://stirioficiale.ro/informatii/buletin-de-presa-24-aprilie-2020-ora-13-00" xr:uid="{00000000-0004-0000-0000-0000A1020000}"/>
    <hyperlink ref="T334" r:id="rId675" display="http://www.ms.ro/2020/04/24/buletin-informativ-24-04-2020/" xr:uid="{00000000-0004-0000-0000-0000A2020000}"/>
    <hyperlink ref="K335" r:id="rId676" display="https://stirioficiale.ro/informatii/buletin-de-presa-24-aprilie-2020-ora-13-00" xr:uid="{00000000-0004-0000-0000-0000A3020000}"/>
    <hyperlink ref="T335" r:id="rId677" display="http://www.ms.ro/2020/04/24/buletin-informativ-24-04-2020/" xr:uid="{00000000-0004-0000-0000-0000A4020000}"/>
    <hyperlink ref="K336" r:id="rId678" display="https://stirioficiale.ro/informatii/buletin-de-presa-24-aprilie-2020-ora-13-00" xr:uid="{00000000-0004-0000-0000-0000A5020000}"/>
    <hyperlink ref="T336" r:id="rId679" display="http://www.ms.ro/2020/04/24/buletin-informativ-24-04-2020/" xr:uid="{00000000-0004-0000-0000-0000A6020000}"/>
    <hyperlink ref="K337" r:id="rId680" display="https://stirioficiale.ro/informatii/buletin-de-presa-24-aprilie-2020-ora-13-00" xr:uid="{00000000-0004-0000-0000-0000A7020000}"/>
    <hyperlink ref="T337" r:id="rId681" display="http://www.ms.ro/2020/04/24/buletin-informativ-24-04-2020/" xr:uid="{00000000-0004-0000-0000-0000A8020000}"/>
    <hyperlink ref="K338" r:id="rId682" display="https://stirioficiale.ro/informatii/buletin-de-presa-24-aprilie-2020-ora-13-00" xr:uid="{00000000-0004-0000-0000-0000A9020000}"/>
    <hyperlink ref="T338" r:id="rId683" display="http://www.ms.ro/2020/04/24/buletin-informativ-24-04-2020/" xr:uid="{00000000-0004-0000-0000-0000AA020000}"/>
    <hyperlink ref="K339" r:id="rId684" display="https://stirioficiale.ro/informatii/buletin-de-presa-24-aprilie-2020-ora-13-00" xr:uid="{00000000-0004-0000-0000-0000AB020000}"/>
    <hyperlink ref="T339" r:id="rId685" display="http://www.ms.ro/2020/04/24/buletin-informativ-24-04-2020/" xr:uid="{00000000-0004-0000-0000-0000AC020000}"/>
    <hyperlink ref="K340" r:id="rId686" display="https://stirioficiale.ro/informatii/buletin-de-presa-24-aprilie-2020-ora-13-00" xr:uid="{00000000-0004-0000-0000-0000AD020000}"/>
    <hyperlink ref="T340" r:id="rId687" display="http://www.ms.ro/2020/04/24/buletin-informativ-24-04-2020/" xr:uid="{00000000-0004-0000-0000-0000AE020000}"/>
    <hyperlink ref="K341" r:id="rId688" display="https://stirioficiale.ro/informatii/buletin-de-presa-24-aprilie-2020-ora-13-00" xr:uid="{00000000-0004-0000-0000-0000AF020000}"/>
    <hyperlink ref="T341" r:id="rId689" display="http://www.ms.ro/2020/04/24/buletin-informativ-24-04-2020/" xr:uid="{00000000-0004-0000-0000-0000B0020000}"/>
    <hyperlink ref="K342" r:id="rId690" display="https://stirioficiale.ro/informatii/buletin-de-presa-25-aprilie-2020-ora-13-00" xr:uid="{00000000-0004-0000-0000-0000B1020000}"/>
    <hyperlink ref="T342" r:id="rId691" display="http://www.ms.ro/2020/04/25/buletin-informativ-25-04-2020/" xr:uid="{00000000-0004-0000-0000-0000B2020000}"/>
    <hyperlink ref="K343" r:id="rId692" display="https://stirioficiale.ro/informatii/buletin-de-presa-25-aprilie-2020-ora-13-00" xr:uid="{00000000-0004-0000-0000-0000B3020000}"/>
    <hyperlink ref="T343" r:id="rId693" display="http://www.ms.ro/2020/04/25/buletin-informativ-25-04-2020/" xr:uid="{00000000-0004-0000-0000-0000B4020000}"/>
    <hyperlink ref="K344" r:id="rId694" display="https://stirioficiale.ro/informatii/buletin-de-presa-25-aprilie-2020-ora-13-00" xr:uid="{00000000-0004-0000-0000-0000B5020000}"/>
    <hyperlink ref="T344" r:id="rId695" display="http://www.ms.ro/2020/04/25/buletin-informativ-25-04-2020/" xr:uid="{00000000-0004-0000-0000-0000B6020000}"/>
    <hyperlink ref="K345" r:id="rId696" display="https://stirioficiale.ro/informatii/buletin-de-presa-25-aprilie-2020-ora-13-00" xr:uid="{00000000-0004-0000-0000-0000B7020000}"/>
    <hyperlink ref="T345" r:id="rId697" display="http://www.ms.ro/2020/04/25/buletin-informativ-25-04-2020/" xr:uid="{00000000-0004-0000-0000-0000B8020000}"/>
    <hyperlink ref="K346" r:id="rId698" display="https://stirioficiale.ro/informatii/buletin-de-presa-26-aprilie-2020-ora-13-00" xr:uid="{00000000-0004-0000-0000-0000B9020000}"/>
    <hyperlink ref="T346" r:id="rId699" display="http://www.ms.ro/2020/04/26/buletin-informativ-26-04-2020/" xr:uid="{00000000-0004-0000-0000-0000BA020000}"/>
    <hyperlink ref="K347" r:id="rId700" display="https://stirioficiale.ro/informatii/buletin-de-presa-26-aprilie-2020-ora-13-00" xr:uid="{00000000-0004-0000-0000-0000BB020000}"/>
    <hyperlink ref="T347" r:id="rId701" display="http://www.ms.ro/2020/04/26/buletin-informativ-26-04-2020/" xr:uid="{00000000-0004-0000-0000-0000BC020000}"/>
    <hyperlink ref="K348" r:id="rId702" display="https://stirioficiale.ro/informatii/buletin-de-presa-26-aprilie-2020-ora-13-00" xr:uid="{00000000-0004-0000-0000-0000BD020000}"/>
    <hyperlink ref="T348" r:id="rId703" display="http://www.ms.ro/2020/04/26/buletin-informativ-26-04-2020/" xr:uid="{00000000-0004-0000-0000-0000BE020000}"/>
    <hyperlink ref="K349" r:id="rId704" display="https://stirioficiale.ro/informatii/buletin-de-presa-26-aprilie-2020-ora-13-00" xr:uid="{00000000-0004-0000-0000-0000BF020000}"/>
    <hyperlink ref="T349" r:id="rId705" display="http://www.ms.ro/2020/04/26/buletin-informativ-26-04-2020/" xr:uid="{00000000-0004-0000-0000-0000C0020000}"/>
    <hyperlink ref="K350" r:id="rId706" display="https://stirioficiale.ro/informatii/buletin-de-presa-26-aprilie-2020-ora-13-00" xr:uid="{00000000-0004-0000-0000-0000C1020000}"/>
    <hyperlink ref="T350" r:id="rId707" display="http://www.ms.ro/2020/04/26/buletin-informativ-26-04-2020/" xr:uid="{00000000-0004-0000-0000-0000C2020000}"/>
    <hyperlink ref="K351" r:id="rId708" display="https://stirioficiale.ro/informatii/buletin-de-presa-26-aprilie-2020-ora-13-00" xr:uid="{00000000-0004-0000-0000-0000C3020000}"/>
    <hyperlink ref="T351" r:id="rId709" display="http://www.ms.ro/2020/04/26/buletin-informativ-26-04-2020/" xr:uid="{00000000-0004-0000-0000-0000C4020000}"/>
    <hyperlink ref="K352" r:id="rId710" display="https://stirioficiale.ro/informatii/buletin-de-presa-26-aprilie-2020-ora-13-00" xr:uid="{00000000-0004-0000-0000-0000C5020000}"/>
    <hyperlink ref="T352" r:id="rId711" display="http://www.ms.ro/2020/04/26/buletin-informativ-26-04-2020/" xr:uid="{00000000-0004-0000-0000-0000C6020000}"/>
    <hyperlink ref="K353" r:id="rId712" display="https://stirioficiale.ro/informatii/buletin-de-presa-26-aprilie-2020-ora-13-00" xr:uid="{00000000-0004-0000-0000-0000C7020000}"/>
    <hyperlink ref="T353" r:id="rId713" display="http://www.ms.ro/2020/04/26/buletin-informativ-26-04-2020/" xr:uid="{00000000-0004-0000-0000-0000C8020000}"/>
    <hyperlink ref="K354" r:id="rId714" display="https://stirioficiale.ro/informatii/buletin-de-presa-26-aprilie-2020-ora-13-00" xr:uid="{00000000-0004-0000-0000-0000C9020000}"/>
    <hyperlink ref="T354" r:id="rId715" display="http://www.ms.ro/2020/04/26/buletin-informativ-26-04-2020/" xr:uid="{00000000-0004-0000-0000-0000CA020000}"/>
    <hyperlink ref="K355" r:id="rId716" display="https://stirioficiale.ro/informatii/buletin-de-presa-26-aprilie-2020-ora-13-00" xr:uid="{00000000-0004-0000-0000-0000CB020000}"/>
    <hyperlink ref="T355" r:id="rId717" display="http://www.ms.ro/2020/04/26/buletin-informativ-26-04-2020/" xr:uid="{00000000-0004-0000-0000-0000CC020000}"/>
    <hyperlink ref="K356" r:id="rId718" display="https://stirioficiale.ro/informatii/buletin-de-presa-26-aprilie-2020-ora-13-00" xr:uid="{00000000-0004-0000-0000-0000CD020000}"/>
    <hyperlink ref="T356" r:id="rId719" display="http://www.ms.ro/2020/04/26/buletin-informativ-26-04-2020/" xr:uid="{00000000-0004-0000-0000-0000CE020000}"/>
    <hyperlink ref="K357" r:id="rId720" display="https://stirioficiale.ro/informatii/buletin-de-presa-26-aprilie-2020-ora-13-00" xr:uid="{00000000-0004-0000-0000-0000CF020000}"/>
    <hyperlink ref="T357" r:id="rId721" display="http://www.ms.ro/2020/04/26/buletin-informativ-26-04-2020/" xr:uid="{00000000-0004-0000-0000-0000D0020000}"/>
    <hyperlink ref="K358" r:id="rId722" display="https://stirioficiale.ro/informatii/buletin-de-presa-27-aprilie-2020-ora-13-00" xr:uid="{00000000-0004-0000-0000-0000D1020000}"/>
    <hyperlink ref="T358" r:id="rId723" display="http://www.ms.ro/2020/04/27/buletin-informativ-27-04-2020/" xr:uid="{00000000-0004-0000-0000-0000D2020000}"/>
    <hyperlink ref="K359" r:id="rId724" display="https://stirioficiale.ro/informatii/buletin-de-presa-27-aprilie-2020-ora-13-00" xr:uid="{00000000-0004-0000-0000-0000D3020000}"/>
    <hyperlink ref="T359" r:id="rId725" display="http://www.ms.ro/2020/04/27/buletin-informativ-27-04-2020/" xr:uid="{00000000-0004-0000-0000-0000D4020000}"/>
    <hyperlink ref="K360" r:id="rId726" display="https://stirioficiale.ro/informatii/buletin-de-presa-27-aprilie-2020-ora-13-00" xr:uid="{00000000-0004-0000-0000-0000D5020000}"/>
    <hyperlink ref="T360" r:id="rId727" display="http://www.ms.ro/2020/04/27/buletin-informativ-27-04-2020/" xr:uid="{00000000-0004-0000-0000-0000D6020000}"/>
    <hyperlink ref="K361" r:id="rId728" display="https://stirioficiale.ro/informatii/buletin-de-presa-27-aprilie-2020-ora-13-00" xr:uid="{00000000-0004-0000-0000-0000D7020000}"/>
    <hyperlink ref="T361" r:id="rId729" display="http://www.ms.ro/2020/04/27/buletin-informativ-27-04-2020/" xr:uid="{00000000-0004-0000-0000-0000D8020000}"/>
    <hyperlink ref="K362" r:id="rId730" display="https://stirioficiale.ro/informatii/buletin-de-presa-27-aprilie-2020-ora-13-00" xr:uid="{00000000-0004-0000-0000-0000D9020000}"/>
    <hyperlink ref="T362" r:id="rId731" display="http://www.ms.ro/2020/04/27/buletin-informativ-27-04-2020/" xr:uid="{00000000-0004-0000-0000-0000DA020000}"/>
    <hyperlink ref="K363" r:id="rId732" display="https://stirioficiale.ro/informatii/buletin-de-presa-27-aprilie-2020-ora-13-00" xr:uid="{00000000-0004-0000-0000-0000DB020000}"/>
    <hyperlink ref="T363" r:id="rId733" display="http://www.ms.ro/2020/04/27/buletin-informativ-27-04-2020/" xr:uid="{00000000-0004-0000-0000-0000DC020000}"/>
    <hyperlink ref="K364" r:id="rId734" display="https://stirioficiale.ro/informatii/buletin-de-presa-27-aprilie-2020-ora-13-00" xr:uid="{00000000-0004-0000-0000-0000DD020000}"/>
    <hyperlink ref="T364" r:id="rId735" display="http://www.ms.ro/2020/04/27/buletin-informativ-27-04-2020/" xr:uid="{00000000-0004-0000-0000-0000DE020000}"/>
    <hyperlink ref="K365" r:id="rId736" display="https://stirioficiale.ro/informatii/buletin-de-presa-27-aprilie-2020-ora-13-00" xr:uid="{00000000-0004-0000-0000-0000DF020000}"/>
    <hyperlink ref="T365" r:id="rId737" display="http://www.ms.ro/2020/04/27/buletin-informativ-27-04-2020/" xr:uid="{00000000-0004-0000-0000-0000E0020000}"/>
    <hyperlink ref="K366" r:id="rId738" display="https://stirioficiale.ro/informatii/buletin-de-presa-27-aprilie-2020-ora-13-00" xr:uid="{00000000-0004-0000-0000-0000E1020000}"/>
    <hyperlink ref="T366" r:id="rId739" display="http://www.ms.ro/2020/04/27/buletin-informativ-27-04-2020/" xr:uid="{00000000-0004-0000-0000-0000E2020000}"/>
    <hyperlink ref="K367" r:id="rId740" display="https://stirioficiale.ro/informatii/buletin-de-presa-27-aprilie-2020-ora-13-00" xr:uid="{00000000-0004-0000-0000-0000E3020000}"/>
    <hyperlink ref="T367" r:id="rId741" display="http://www.ms.ro/2020/04/27/buletin-informativ-27-04-2020/" xr:uid="{00000000-0004-0000-0000-0000E4020000}"/>
    <hyperlink ref="K368" r:id="rId742" display="https://stirioficiale.ro/informatii/buletin-de-presa-27-aprilie-2020-ora-13-00" xr:uid="{00000000-0004-0000-0000-0000E5020000}"/>
    <hyperlink ref="T368" r:id="rId743" display="http://www.ms.ro/2020/04/27/buletin-informativ-27-04-2020/" xr:uid="{00000000-0004-0000-0000-0000E6020000}"/>
    <hyperlink ref="K369" r:id="rId744" display="https://stirioficiale.ro/informatii/buletin-de-presa-27-aprilie-2020-ora-13-00" xr:uid="{00000000-0004-0000-0000-0000E7020000}"/>
    <hyperlink ref="T369" r:id="rId745" display="http://www.ms.ro/2020/04/27/buletin-informativ-27-04-2020/" xr:uid="{00000000-0004-0000-0000-0000E8020000}"/>
    <hyperlink ref="K370" r:id="rId746" display="https://stirioficiale.ro/informatii/buletin-de-presa-27-aprilie-2020-ora-13-00" xr:uid="{00000000-0004-0000-0000-0000E9020000}"/>
    <hyperlink ref="T370" r:id="rId747" display="http://www.ms.ro/2020/04/27/buletin-informativ-27-04-2020/" xr:uid="{00000000-0004-0000-0000-0000EA020000}"/>
    <hyperlink ref="K371" r:id="rId748" display="https://stirioficiale.ro/informatii/buletin-de-presa-27-aprilie-2020-ora-13-00" xr:uid="{00000000-0004-0000-0000-0000EB020000}"/>
    <hyperlink ref="T371" r:id="rId749" display="http://www.ms.ro/2020/04/27/buletin-informativ-27-04-2020/" xr:uid="{00000000-0004-0000-0000-0000EC020000}"/>
    <hyperlink ref="K372" r:id="rId750" display="https://stirioficiale.ro/informatii/buletin-de-presa-27-aprilie-2020-ora-13-00" xr:uid="{00000000-0004-0000-0000-0000ED020000}"/>
    <hyperlink ref="T372" r:id="rId751" display="http://www.ms.ro/2020/04/27/buletin-informativ-27-04-2020/" xr:uid="{00000000-0004-0000-0000-0000EE020000}"/>
    <hyperlink ref="K373" r:id="rId752" display="https://stirioficiale.ro/informatii/buletin-de-presa-27-aprilie-2020-ora-13-00" xr:uid="{00000000-0004-0000-0000-0000EF020000}"/>
    <hyperlink ref="T373" r:id="rId753" display="http://www.ms.ro/2020/04/27/buletin-informativ-27-04-2020/" xr:uid="{00000000-0004-0000-0000-0000F0020000}"/>
    <hyperlink ref="K374" r:id="rId754" display="https://stirioficiale.ro/informatii/buletin-de-presa-27-aprilie-2020-ora-13-00" xr:uid="{00000000-0004-0000-0000-0000F1020000}"/>
    <hyperlink ref="T374" r:id="rId755" display="http://www.ms.ro/2020/04/27/buletin-informativ-27-04-2020/" xr:uid="{00000000-0004-0000-0000-0000F2020000}"/>
    <hyperlink ref="K375" r:id="rId756" display="https://stirioficiale.ro/informatii/buletin-de-presa-27-aprilie-2020-ora-13-00" xr:uid="{00000000-0004-0000-0000-0000F3020000}"/>
    <hyperlink ref="T375" r:id="rId757" display="http://www.ms.ro/2020/04/27/buletin-informativ-27-04-2020/" xr:uid="{00000000-0004-0000-0000-0000F4020000}"/>
    <hyperlink ref="K376" r:id="rId758" display="https://stirioficiale.ro/informatii/buletin-de-presa-27-aprilie-2020-ora-13-00" xr:uid="{00000000-0004-0000-0000-0000F5020000}"/>
    <hyperlink ref="T376" r:id="rId759" display="http://www.ms.ro/2020/04/27/buletin-informativ-27-04-2020/" xr:uid="{00000000-0004-0000-0000-0000F6020000}"/>
    <hyperlink ref="K377" r:id="rId760" display="https://stirioficiale.ro/informatii/buletin-de-presa-27-aprilie-2020-ora-13-00" xr:uid="{00000000-0004-0000-0000-0000F7020000}"/>
    <hyperlink ref="T377" r:id="rId761" display="http://www.ms.ro/2020/04/27/buletin-informativ-27-04-2020/" xr:uid="{00000000-0004-0000-0000-0000F8020000}"/>
    <hyperlink ref="K378" r:id="rId762" display="https://stirioficiale.ro/informatii/buletin-de-presa-27-aprilie-2020-ora-13-00" xr:uid="{00000000-0004-0000-0000-0000F9020000}"/>
    <hyperlink ref="T378" r:id="rId763" display="http://www.ms.ro/2020/04/27/buletin-informativ-27-04-2020/" xr:uid="{00000000-0004-0000-0000-0000FA020000}"/>
    <hyperlink ref="K379" r:id="rId764" display="https://stirioficiale.ro/informatii/buletin-de-presa-27-aprilie-2020-ora-13-00" xr:uid="{00000000-0004-0000-0000-0000FB020000}"/>
    <hyperlink ref="T379" r:id="rId765" display="http://www.ms.ro/2020/04/27/buletin-informativ-27-04-2020/" xr:uid="{00000000-0004-0000-0000-0000FC020000}"/>
    <hyperlink ref="K380" r:id="rId766" display="https://stirioficiale.ro/informatii/buletin-de-presa-27-aprilie-2020-ora-13-00" xr:uid="{00000000-0004-0000-0000-0000FD020000}"/>
    <hyperlink ref="T380" r:id="rId767" display="http://www.ms.ro/2020/04/27/buletin-informativ-27-04-2020/" xr:uid="{00000000-0004-0000-0000-0000FE020000}"/>
    <hyperlink ref="K381" r:id="rId768" display="https://stirioficiale.ro/informatii/buletin-de-presa-27-aprilie-2020-ora-13-00" xr:uid="{00000000-0004-0000-0000-0000FF020000}"/>
    <hyperlink ref="T381" r:id="rId769" display="http://www.ms.ro/2020/04/27/buletin-informativ-27-04-2020/" xr:uid="{00000000-0004-0000-0000-000000030000}"/>
    <hyperlink ref="K382" r:id="rId770" display="https://stirioficiale.ro/informatii/buletin-de-presa-27-aprilie-2020-ora-13-00" xr:uid="{00000000-0004-0000-0000-000001030000}"/>
    <hyperlink ref="T382" r:id="rId771" display="http://www.ms.ro/2020/04/27/buletin-informativ-27-04-2020/" xr:uid="{00000000-0004-0000-0000-000002030000}"/>
    <hyperlink ref="K383" r:id="rId772" display="https://stirioficiale.ro/informatii/buletin-de-presa-27-aprilie-2020-ora-13-00" xr:uid="{00000000-0004-0000-0000-000003030000}"/>
    <hyperlink ref="T383" r:id="rId773" display="http://www.ms.ro/2020/04/27/buletin-informativ-27-04-2020/" xr:uid="{00000000-0004-0000-0000-000004030000}"/>
    <hyperlink ref="K384" r:id="rId774" display="https://stirioficiale.ro/informatii/buletin-de-presa-27-aprilie-2020-ora-13-00" xr:uid="{00000000-0004-0000-0000-000005030000}"/>
    <hyperlink ref="T384" r:id="rId775" display="http://www.ms.ro/2020/04/27/buletin-informativ-27-04-2020/" xr:uid="{00000000-0004-0000-0000-000006030000}"/>
    <hyperlink ref="K385" r:id="rId776" display="https://stirioficiale.ro/informatii/buletin-de-presa-27-aprilie-2020-ora-13-00" xr:uid="{00000000-0004-0000-0000-000007030000}"/>
    <hyperlink ref="T385" r:id="rId777" display="http://www.ms.ro/2020/04/27/buletin-informativ-27-04-2020/" xr:uid="{00000000-0004-0000-0000-000008030000}"/>
    <hyperlink ref="K386" r:id="rId778" display="https://stirioficiale.ro/informatii/buletin-de-presa-27-aprilie-2020-ora-13-00" xr:uid="{00000000-0004-0000-0000-000009030000}"/>
    <hyperlink ref="T386" r:id="rId779" display="http://www.ms.ro/2020/04/27/buletin-informativ-27-04-2020/" xr:uid="{00000000-0004-0000-0000-00000A030000}"/>
    <hyperlink ref="K387" r:id="rId780" display="https://stirioficiale.ro/informatii/buletin-de-presa-27-aprilie-2020-ora-13-00" xr:uid="{00000000-0004-0000-0000-00000B030000}"/>
    <hyperlink ref="T387" r:id="rId781" display="http://www.ms.ro/2020/04/27/buletin-informativ-27-04-2020/" xr:uid="{00000000-0004-0000-0000-00000C030000}"/>
    <hyperlink ref="K388" r:id="rId782" display="https://stirioficiale.ro/informatii/buletin-de-presa-27-aprilie-2020-ora-13-00" xr:uid="{00000000-0004-0000-0000-00000D030000}"/>
    <hyperlink ref="T388" r:id="rId783" display="http://www.ms.ro/2020/04/27/buletin-informativ-27-04-2020/" xr:uid="{00000000-0004-0000-0000-00000E030000}"/>
    <hyperlink ref="K389" r:id="rId784" display="https://stirioficiale.ro/informatii/buletin-de-presa-27-aprilie-2020-ora-13-00" xr:uid="{00000000-0004-0000-0000-00000F030000}"/>
    <hyperlink ref="T389" r:id="rId785" display="http://www.ms.ro/2020/04/27/buletin-informativ-27-04-2020/" xr:uid="{00000000-0004-0000-0000-000010030000}"/>
    <hyperlink ref="K390" r:id="rId786" display="https://stirioficiale.ro/informatii/buletin-de-presa-27-aprilie-2020-ora-13-00" xr:uid="{00000000-0004-0000-0000-000011030000}"/>
    <hyperlink ref="T390" r:id="rId787" display="http://www.ms.ro/2020/04/27/buletin-informativ-27-04-2020/" xr:uid="{00000000-0004-0000-0000-000012030000}"/>
    <hyperlink ref="K391" r:id="rId788" display="https://stirioficiale.ro/informatii/buletin-de-presa-27-aprilie-2020-ora-13-00" xr:uid="{00000000-0004-0000-0000-000013030000}"/>
    <hyperlink ref="T391" r:id="rId789" display="http://www.ms.ro/2020/04/27/buletin-informativ-27-04-2020/" xr:uid="{00000000-0004-0000-0000-000014030000}"/>
    <hyperlink ref="K392" r:id="rId790" display="https://stirioficiale.ro/informatii/buletin-de-presa-27-aprilie-2020-ora-13-00" xr:uid="{00000000-0004-0000-0000-000015030000}"/>
    <hyperlink ref="T392" r:id="rId791" display="http://www.ms.ro/2020/04/27/buletin-informativ-27-04-2020/" xr:uid="{00000000-0004-0000-0000-000016030000}"/>
    <hyperlink ref="K393" r:id="rId792" display="https://stirioficiale.ro/informatii/buletin-de-presa-27-aprilie-2020-ora-13-00" xr:uid="{00000000-0004-0000-0000-000017030000}"/>
    <hyperlink ref="T393" r:id="rId793" display="http://www.ms.ro/2020/04/27/buletin-informativ-27-04-2020/" xr:uid="{00000000-0004-0000-0000-000018030000}"/>
    <hyperlink ref="K394" r:id="rId794" display="https://stirioficiale.ro/informatii/buletin-de-presa-27-aprilie-2020-ora-13-00" xr:uid="{00000000-0004-0000-0000-000019030000}"/>
    <hyperlink ref="T394" r:id="rId795" display="http://www.ms.ro/2020/04/27/buletin-informativ-27-04-2020/" xr:uid="{00000000-0004-0000-0000-00001A030000}"/>
    <hyperlink ref="K395" r:id="rId796" display="https://stirioficiale.ro/informatii/buletin-de-presa-27-aprilie-2020-ora-13-00" xr:uid="{00000000-0004-0000-0000-00001B030000}"/>
    <hyperlink ref="T395" r:id="rId797" display="http://www.ms.ro/2020/04/27/buletin-informativ-27-04-2020/" xr:uid="{00000000-0004-0000-0000-00001C030000}"/>
    <hyperlink ref="K396" r:id="rId798" display="https://stirioficiale.ro/informatii/buletin-de-presa-27-aprilie-2020-ora-13-00" xr:uid="{00000000-0004-0000-0000-00001D030000}"/>
    <hyperlink ref="T396" r:id="rId799" display="http://www.ms.ro/2020/04/27/buletin-informativ-27-04-2020/" xr:uid="{00000000-0004-0000-0000-00001E030000}"/>
    <hyperlink ref="K397" r:id="rId800" display="https://stirioficiale.ro/informatii/buletin-de-presa-27-aprilie-2020-ora-13-00" xr:uid="{00000000-0004-0000-0000-00001F030000}"/>
    <hyperlink ref="T397" r:id="rId801" display="http://www.ms.ro/2020/04/27/buletin-informativ-27-04-2020/" xr:uid="{00000000-0004-0000-0000-000020030000}"/>
    <hyperlink ref="K398" r:id="rId802" display="https://stirioficiale.ro/informatii/buletin-de-presa-28-aprilie-2020-ora-13-00" xr:uid="{00000000-0004-0000-0000-000021030000}"/>
    <hyperlink ref="T398" r:id="rId803" display="http://www.ms.ro/2020/04/28/buletin-informativ-28-04-2020/" xr:uid="{00000000-0004-0000-0000-000022030000}"/>
    <hyperlink ref="K399" r:id="rId804" display="https://stirioficiale.ro/informatii/buletin-de-presa-28-aprilie-2020-ora-13-00" xr:uid="{00000000-0004-0000-0000-000023030000}"/>
    <hyperlink ref="T399" r:id="rId805" display="http://www.ms.ro/2020/04/28/buletin-informativ-28-04-2020/" xr:uid="{00000000-0004-0000-0000-000024030000}"/>
    <hyperlink ref="K400" r:id="rId806" display="https://stirioficiale.ro/informatii/buletin-de-presa-28-aprilie-2020-ora-13-00" xr:uid="{00000000-0004-0000-0000-000025030000}"/>
    <hyperlink ref="T400" r:id="rId807" display="http://www.ms.ro/2020/04/28/buletin-informativ-28-04-2020/" xr:uid="{00000000-0004-0000-0000-000026030000}"/>
    <hyperlink ref="K401" r:id="rId808" display="https://stirioficiale.ro/informatii/buletin-de-presa-28-aprilie-2020-ora-13-00" xr:uid="{00000000-0004-0000-0000-000027030000}"/>
    <hyperlink ref="T401" r:id="rId809" display="http://www.ms.ro/2020/04/28/buletin-informativ-28-04-2020/" xr:uid="{00000000-0004-0000-0000-000028030000}"/>
    <hyperlink ref="K402" r:id="rId810" display="https://stirioficiale.ro/informatii/buletin-de-presa-28-aprilie-2020-ora-13-00" xr:uid="{00000000-0004-0000-0000-000029030000}"/>
    <hyperlink ref="T402" r:id="rId811" display="http://www.ms.ro/2020/04/28/buletin-informativ-28-04-2020/" xr:uid="{00000000-0004-0000-0000-00002A030000}"/>
    <hyperlink ref="K403" r:id="rId812" display="https://stirioficiale.ro/informatii/buletin-de-presa-28-aprilie-2020-ora-13-00" xr:uid="{00000000-0004-0000-0000-00002B030000}"/>
    <hyperlink ref="T403" r:id="rId813" display="http://www.ms.ro/2020/04/28/buletin-informativ-28-04-2020/" xr:uid="{00000000-0004-0000-0000-00002C030000}"/>
    <hyperlink ref="K404" r:id="rId814" display="https://stirioficiale.ro/informatii/buletin-de-presa-28-aprilie-2020-ora-13-00" xr:uid="{00000000-0004-0000-0000-00002D030000}"/>
    <hyperlink ref="T404" r:id="rId815" display="http://www.ms.ro/2020/04/28/buletin-informativ-28-04-2020/" xr:uid="{00000000-0004-0000-0000-00002E030000}"/>
    <hyperlink ref="K405" r:id="rId816" display="https://stirioficiale.ro/informatii/buletin-de-presa-28-aprilie-2020-ora-13-00" xr:uid="{00000000-0004-0000-0000-00002F030000}"/>
    <hyperlink ref="T405" r:id="rId817" display="http://www.ms.ro/2020/04/28/buletin-informativ-28-04-2020/" xr:uid="{00000000-0004-0000-0000-000030030000}"/>
    <hyperlink ref="K406" r:id="rId818" display="https://stirioficiale.ro/informatii/buletin-de-presa-28-aprilie-2020-ora-13-00" xr:uid="{00000000-0004-0000-0000-000031030000}"/>
    <hyperlink ref="T406" r:id="rId819" display="http://www.ms.ro/2020/04/28/buletin-informativ-28-04-2020/" xr:uid="{00000000-0004-0000-0000-000032030000}"/>
    <hyperlink ref="K407" r:id="rId820" display="https://stirioficiale.ro/informatii/buletin-de-presa-28-aprilie-2020-ora-13-00" xr:uid="{00000000-0004-0000-0000-000033030000}"/>
    <hyperlink ref="T407" r:id="rId821" display="http://www.ms.ro/2020/04/28/buletin-informativ-28-04-2020/" xr:uid="{00000000-0004-0000-0000-000034030000}"/>
    <hyperlink ref="K408" r:id="rId822" display="https://stirioficiale.ro/informatii/buletin-de-presa-28-aprilie-2020-ora-13-00" xr:uid="{00000000-0004-0000-0000-000035030000}"/>
    <hyperlink ref="T408" r:id="rId823" display="http://www.ms.ro/2020/04/28/buletin-informativ-28-04-2020/" xr:uid="{00000000-0004-0000-0000-000036030000}"/>
    <hyperlink ref="K409" r:id="rId824" display="https://stirioficiale.ro/informatii/buletin-de-presa-28-aprilie-2020-ora-13-00" xr:uid="{00000000-0004-0000-0000-000037030000}"/>
    <hyperlink ref="T409" r:id="rId825" display="http://www.ms.ro/2020/04/28/buletin-informativ-28-04-2020/" xr:uid="{00000000-0004-0000-0000-000038030000}"/>
    <hyperlink ref="K410" r:id="rId826" display="https://stirioficiale.ro/informatii/buletin-de-presa-28-aprilie-2020-ora-13-00" xr:uid="{00000000-0004-0000-0000-000039030000}"/>
    <hyperlink ref="T410" r:id="rId827" display="http://www.ms.ro/2020/04/28/buletin-informativ-28-04-2020/" xr:uid="{00000000-0004-0000-0000-00003A030000}"/>
    <hyperlink ref="K411" r:id="rId828" display="https://stirioficiale.ro/informatii/buletin-de-presa-28-aprilie-2020-ora-13-00" xr:uid="{00000000-0004-0000-0000-00003B030000}"/>
    <hyperlink ref="T411" r:id="rId829" display="http://www.ms.ro/2020/04/28/buletin-informativ-28-04-2020/" xr:uid="{00000000-0004-0000-0000-00003C030000}"/>
    <hyperlink ref="K412" r:id="rId830" display="https://stirioficiale.ro/informatii/buletin-de-presa-28-aprilie-2020-ora-13-00" xr:uid="{00000000-0004-0000-0000-00003D030000}"/>
    <hyperlink ref="T412" r:id="rId831" display="http://www.ms.ro/2020/04/28/buletin-informativ-28-04-2020/" xr:uid="{00000000-0004-0000-0000-00003E030000}"/>
    <hyperlink ref="K413" r:id="rId832" display="https://stirioficiale.ro/informatii/buletin-de-presa-28-aprilie-2020-ora-13-00" xr:uid="{00000000-0004-0000-0000-00003F030000}"/>
    <hyperlink ref="T413" r:id="rId833" display="http://www.ms.ro/2020/04/28/buletin-informativ-28-04-2020/" xr:uid="{00000000-0004-0000-0000-000040030000}"/>
    <hyperlink ref="K414" r:id="rId834" display="https://stirioficiale.ro/informatii/buletin-de-presa-28-aprilie-2020-ora-13-00" xr:uid="{00000000-0004-0000-0000-000041030000}"/>
    <hyperlink ref="T414" r:id="rId835" display="http://www.ms.ro/2020/04/28/buletin-informativ-28-04-2020/" xr:uid="{00000000-0004-0000-0000-000042030000}"/>
    <hyperlink ref="K415" r:id="rId836" display="https://stirioficiale.ro/informatii/buletin-de-presa-28-aprilie-2020-ora-13-00" xr:uid="{00000000-0004-0000-0000-000043030000}"/>
    <hyperlink ref="T415" r:id="rId837" display="http://www.ms.ro/2020/04/28/buletin-informativ-28-04-2020/" xr:uid="{00000000-0004-0000-0000-000044030000}"/>
    <hyperlink ref="K416" r:id="rId838" display="https://stirioficiale.ro/informatii/buletin-de-presa-28-aprilie-2020-ora-13-00" xr:uid="{00000000-0004-0000-0000-000045030000}"/>
    <hyperlink ref="T416" r:id="rId839" display="http://www.ms.ro/2020/04/28/buletin-informativ-28-04-2020/" xr:uid="{00000000-0004-0000-0000-000046030000}"/>
    <hyperlink ref="K417" r:id="rId840" display="https://stirioficiale.ro/informatii/buletin-de-presa-28-aprilie-2020-ora-13-00" xr:uid="{00000000-0004-0000-0000-000047030000}"/>
    <hyperlink ref="T417" r:id="rId841" display="http://www.ms.ro/2020/04/28/buletin-informativ-28-04-2020/" xr:uid="{00000000-0004-0000-0000-000048030000}"/>
    <hyperlink ref="K418" r:id="rId842" display="https://stirioficiale.ro/informatii/buletin-de-presa-28-aprilie-2020-ora-13-00" xr:uid="{00000000-0004-0000-0000-000049030000}"/>
    <hyperlink ref="T418" r:id="rId843" display="http://www.ms.ro/2020/04/28/buletin-informativ-28-04-2020/" xr:uid="{00000000-0004-0000-0000-00004A030000}"/>
    <hyperlink ref="K419" r:id="rId844" display="https://stirioficiale.ro/informatii/buletin-de-presa-28-aprilie-2020-ora-13-00" xr:uid="{00000000-0004-0000-0000-00004B030000}"/>
    <hyperlink ref="T419" r:id="rId845" display="http://www.ms.ro/2020/04/28/buletin-informativ-28-04-2020/" xr:uid="{00000000-0004-0000-0000-00004C030000}"/>
    <hyperlink ref="K420" r:id="rId846" display="http://www.ms.ro/2020/04/29/buletin-informativ-29-04-2020/" xr:uid="{00000000-0004-0000-0000-00004D030000}"/>
    <hyperlink ref="T420" r:id="rId847" display="http://www.ms.ro/2020/04/29/buletin-informativ-29-04-2020/" xr:uid="{00000000-0004-0000-0000-00004E030000}"/>
    <hyperlink ref="K421" r:id="rId848" display="http://www.ms.ro/2020/04/29/buletin-informativ-29-04-2020/" xr:uid="{00000000-0004-0000-0000-00004F030000}"/>
    <hyperlink ref="T421" r:id="rId849" display="http://www.ms.ro/2020/04/29/buletin-informativ-29-04-2020/" xr:uid="{00000000-0004-0000-0000-000050030000}"/>
    <hyperlink ref="K422" r:id="rId850" display="http://www.ms.ro/2020/04/29/buletin-informativ-29-04-2020/" xr:uid="{00000000-0004-0000-0000-000051030000}"/>
    <hyperlink ref="T422" r:id="rId851" display="http://www.ms.ro/2020/04/29/buletin-informativ-29-04-2020/" xr:uid="{00000000-0004-0000-0000-000052030000}"/>
    <hyperlink ref="K423" r:id="rId852" display="http://www.ms.ro/2020/04/29/buletin-informativ-29-04-2020/" xr:uid="{00000000-0004-0000-0000-000053030000}"/>
    <hyperlink ref="T423" r:id="rId853" display="http://www.ms.ro/2020/04/29/buletin-informativ-29-04-2020/" xr:uid="{00000000-0004-0000-0000-000054030000}"/>
    <hyperlink ref="K424" r:id="rId854" display="http://www.ms.ro/2020/04/29/buletin-informativ-29-04-2020/" xr:uid="{00000000-0004-0000-0000-000055030000}"/>
    <hyperlink ref="T424" r:id="rId855" display="http://www.ms.ro/2020/04/29/buletin-informativ-29-04-2020/" xr:uid="{00000000-0004-0000-0000-000056030000}"/>
    <hyperlink ref="K425" r:id="rId856" display="http://www.ms.ro/2020/04/29/buletin-informativ-29-04-2020/" xr:uid="{00000000-0004-0000-0000-000057030000}"/>
    <hyperlink ref="T425" r:id="rId857" display="http://www.ms.ro/2020/04/29/buletin-informativ-29-04-2020/" xr:uid="{00000000-0004-0000-0000-000058030000}"/>
    <hyperlink ref="K426" r:id="rId858" display="http://www.ms.ro/2020/04/29/buletin-informativ-29-04-2020/" xr:uid="{00000000-0004-0000-0000-000059030000}"/>
    <hyperlink ref="T426" r:id="rId859" display="http://www.ms.ro/2020/04/29/buletin-informativ-29-04-2020/" xr:uid="{00000000-0004-0000-0000-00005A030000}"/>
    <hyperlink ref="K427" r:id="rId860" display="http://www.ms.ro/2020/04/29/buletin-informativ-29-04-2020/" xr:uid="{00000000-0004-0000-0000-00005B030000}"/>
    <hyperlink ref="T427" r:id="rId861" display="http://www.ms.ro/2020/04/29/buletin-informativ-29-04-2020/" xr:uid="{00000000-0004-0000-0000-00005C030000}"/>
    <hyperlink ref="K428" r:id="rId862" display="http://www.ms.ro/2020/04/29/buletin-informativ-29-04-2020/" xr:uid="{00000000-0004-0000-0000-00005D030000}"/>
    <hyperlink ref="T428" r:id="rId863" display="http://www.ms.ro/2020/04/29/buletin-informativ-29-04-2020/" xr:uid="{00000000-0004-0000-0000-00005E030000}"/>
    <hyperlink ref="K429" r:id="rId864" display="http://www.ms.ro/2020/04/29/buletin-informativ-29-04-2020/" xr:uid="{00000000-0004-0000-0000-00005F030000}"/>
    <hyperlink ref="T429" r:id="rId865" display="http://www.ms.ro/2020/04/29/buletin-informativ-29-04-2020/" xr:uid="{00000000-0004-0000-0000-000060030000}"/>
    <hyperlink ref="K430" r:id="rId866" display="http://www.ms.ro/2020/04/29/buletin-informativ-29-04-2020/" xr:uid="{00000000-0004-0000-0000-000061030000}"/>
    <hyperlink ref="T430" r:id="rId867" display="http://www.ms.ro/2020/04/29/buletin-informativ-29-04-2020/" xr:uid="{00000000-0004-0000-0000-000062030000}"/>
    <hyperlink ref="K431" r:id="rId868" display="http://www.ms.ro/2020/04/30/buletin-informativ-30-04-2020/" xr:uid="{00000000-0004-0000-0000-000063030000}"/>
    <hyperlink ref="T431" r:id="rId869" display="http://www.ms.ro/2020/04/30/buletin-informativ-30-04-2020/" xr:uid="{00000000-0004-0000-0000-000064030000}"/>
    <hyperlink ref="K432" r:id="rId870" display="http://www.ms.ro/2020/04/30/buletin-informativ-30-04-2020/" xr:uid="{00000000-0004-0000-0000-000065030000}"/>
    <hyperlink ref="T432" r:id="rId871" display="http://www.ms.ro/2020/04/30/buletin-informativ-30-04-2020/" xr:uid="{00000000-0004-0000-0000-000066030000}"/>
    <hyperlink ref="K433" r:id="rId872" display="http://www.ms.ro/2020/04/30/buletin-informativ-30-04-2020/" xr:uid="{00000000-0004-0000-0000-000067030000}"/>
    <hyperlink ref="T433" r:id="rId873" display="http://www.ms.ro/2020/04/30/buletin-informativ-30-04-2020/" xr:uid="{00000000-0004-0000-0000-000068030000}"/>
    <hyperlink ref="K434" r:id="rId874" display="http://www.ms.ro/2020/04/30/buletin-informativ-30-04-2020/" xr:uid="{00000000-0004-0000-0000-000069030000}"/>
    <hyperlink ref="T434" r:id="rId875" display="http://www.ms.ro/2020/04/30/buletin-informativ-30-04-2020/" xr:uid="{00000000-0004-0000-0000-00006A030000}"/>
    <hyperlink ref="K435" r:id="rId876" display="http://www.ms.ro/2020/04/30/buletin-informativ-30-04-2020/" xr:uid="{00000000-0004-0000-0000-00006B030000}"/>
    <hyperlink ref="T435" r:id="rId877" display="http://www.ms.ro/2020/04/30/buletin-informativ-30-04-2020/" xr:uid="{00000000-0004-0000-0000-00006C030000}"/>
    <hyperlink ref="K436" r:id="rId878" display="http://www.ms.ro/2020/04/30/buletin-informativ-30-04-2020/" xr:uid="{00000000-0004-0000-0000-00006D030000}"/>
    <hyperlink ref="T436" r:id="rId879" display="http://www.ms.ro/2020/04/30/buletin-informativ-30-04-2020/" xr:uid="{00000000-0004-0000-0000-00006E030000}"/>
    <hyperlink ref="K437" r:id="rId880" display="http://www.ms.ro/2020/04/30/buletin-informativ-30-04-2020/" xr:uid="{00000000-0004-0000-0000-00006F030000}"/>
    <hyperlink ref="T437" r:id="rId881" display="http://www.ms.ro/2020/04/30/buletin-informativ-30-04-2020/" xr:uid="{00000000-0004-0000-0000-000070030000}"/>
    <hyperlink ref="K438" r:id="rId882" display="http://www.ms.ro/2020/05/01/buletin-informativ-01-05-2020/" xr:uid="{00000000-0004-0000-0000-000071030000}"/>
    <hyperlink ref="T438" r:id="rId883" display="http://www.ms.ro/2020/05/01/buletin-informativ-01-05-2020/" xr:uid="{00000000-0004-0000-0000-000072030000}"/>
    <hyperlink ref="K439" r:id="rId884" display="http://www.ms.ro/2020/05/01/buletin-informativ-01-05-2020/" xr:uid="{00000000-0004-0000-0000-000073030000}"/>
    <hyperlink ref="T439" r:id="rId885" display="http://www.ms.ro/2020/05/01/buletin-informativ-01-05-2020/" xr:uid="{00000000-0004-0000-0000-000074030000}"/>
    <hyperlink ref="K440" r:id="rId886" display="http://www.ms.ro/2020/05/01/buletin-informativ-01-05-2020/" xr:uid="{00000000-0004-0000-0000-000075030000}"/>
    <hyperlink ref="T440" r:id="rId887" display="http://www.ms.ro/2020/05/01/buletin-informativ-01-05-2020/" xr:uid="{00000000-0004-0000-0000-000076030000}"/>
    <hyperlink ref="K441" r:id="rId888" display="http://www.ms.ro/2020/05/01/buletin-informativ-01-05-2020/" xr:uid="{00000000-0004-0000-0000-000077030000}"/>
    <hyperlink ref="T441" r:id="rId889" display="http://www.ms.ro/2020/05/01/buletin-informativ-01-05-2020/" xr:uid="{00000000-0004-0000-0000-000078030000}"/>
    <hyperlink ref="K442" r:id="rId890" display="http://www.ms.ro/2020/05/01/buletin-informativ-01-05-2020/" xr:uid="{00000000-0004-0000-0000-000079030000}"/>
    <hyperlink ref="T442" r:id="rId891" display="http://www.ms.ro/2020/05/01/buletin-informativ-01-05-2020/" xr:uid="{00000000-0004-0000-0000-00007A030000}"/>
    <hyperlink ref="K443" r:id="rId892" display="http://www.ms.ro/2020/05/01/buletin-informativ-01-05-2020/" xr:uid="{00000000-0004-0000-0000-00007B030000}"/>
    <hyperlink ref="T443" r:id="rId893" display="http://www.ms.ro/2020/05/01/buletin-informativ-01-05-2020/" xr:uid="{00000000-0004-0000-0000-00007C030000}"/>
    <hyperlink ref="K444" r:id="rId894" display="http://www.ms.ro/2020/05/01/buletin-informativ-01-05-2020/" xr:uid="{00000000-0004-0000-0000-00007D030000}"/>
    <hyperlink ref="T444" r:id="rId895" display="http://www.ms.ro/2020/05/01/buletin-informativ-01-05-2020/" xr:uid="{00000000-0004-0000-0000-00007E030000}"/>
    <hyperlink ref="K445" r:id="rId896" display="http://www.ms.ro/2020/05/01/buletin-informativ-01-05-2020/" xr:uid="{00000000-0004-0000-0000-00007F030000}"/>
    <hyperlink ref="T445" r:id="rId897" display="http://www.ms.ro/2020/05/01/buletin-informativ-01-05-2020/" xr:uid="{00000000-0004-0000-0000-000080030000}"/>
    <hyperlink ref="K446" r:id="rId898" display="http://www.ms.ro/2020/05/01/buletin-informativ-01-05-2020/" xr:uid="{00000000-0004-0000-0000-000081030000}"/>
    <hyperlink ref="T446" r:id="rId899" display="http://www.ms.ro/2020/05/01/buletin-informativ-01-05-2020/" xr:uid="{00000000-0004-0000-0000-000082030000}"/>
    <hyperlink ref="K447" r:id="rId900" display="http://www.ms.ro/2020/05/01/buletin-informativ-01-05-2020/" xr:uid="{00000000-0004-0000-0000-000083030000}"/>
    <hyperlink ref="T447" r:id="rId901" display="http://www.ms.ro/2020/05/01/buletin-informativ-01-05-2020/" xr:uid="{00000000-0004-0000-0000-000084030000}"/>
    <hyperlink ref="K448" r:id="rId902" display="http://www.ms.ro/2020/05/01/buletin-informativ-01-05-2020/" xr:uid="{00000000-0004-0000-0000-000085030000}"/>
    <hyperlink ref="T448" r:id="rId903" display="http://www.ms.ro/2020/05/01/buletin-informativ-01-05-2020/" xr:uid="{00000000-0004-0000-0000-000086030000}"/>
    <hyperlink ref="K449" r:id="rId904" display="http://www.ms.ro/2020/05/01/buletin-informativ-01-05-2020/" xr:uid="{00000000-0004-0000-0000-000087030000}"/>
    <hyperlink ref="T449" r:id="rId905" display="http://www.ms.ro/2020/05/01/buletin-informativ-01-05-2020/" xr:uid="{00000000-0004-0000-0000-000088030000}"/>
    <hyperlink ref="K450" r:id="rId906" display="http://www.ms.ro/2020/05/01/buletin-informativ-01-05-2020/" xr:uid="{00000000-0004-0000-0000-000089030000}"/>
    <hyperlink ref="T450" r:id="rId907" display="http://www.ms.ro/2020/05/01/buletin-informativ-01-05-2020/" xr:uid="{00000000-0004-0000-0000-00008A030000}"/>
    <hyperlink ref="K451" r:id="rId908" display="http://www.ms.ro/2020/05/01/buletin-informativ-01-05-2020/" xr:uid="{00000000-0004-0000-0000-00008B030000}"/>
    <hyperlink ref="T451" r:id="rId909" display="http://www.ms.ro/2020/05/01/buletin-informativ-01-05-2020/" xr:uid="{00000000-0004-0000-0000-00008C030000}"/>
    <hyperlink ref="K452" r:id="rId910" display="http://www.ms.ro/2020/05/01/buletin-informativ-01-05-2020/" xr:uid="{00000000-0004-0000-0000-00008D030000}"/>
    <hyperlink ref="T452" r:id="rId911" display="http://www.ms.ro/2020/05/01/buletin-informativ-01-05-2020/" xr:uid="{00000000-0004-0000-0000-00008E030000}"/>
    <hyperlink ref="K453" r:id="rId912" display="http://www.ms.ro/2020/05/01/buletin-informativ-01-05-2020/" xr:uid="{00000000-0004-0000-0000-00008F030000}"/>
    <hyperlink ref="T453" r:id="rId913" display="http://www.ms.ro/2020/05/01/buletin-informativ-01-05-2020/" xr:uid="{00000000-0004-0000-0000-000090030000}"/>
    <hyperlink ref="K454" r:id="rId914" display="http://www.ms.ro/2020/05/01/buletin-informativ-01-05-2020/" xr:uid="{00000000-0004-0000-0000-000091030000}"/>
    <hyperlink ref="T454" r:id="rId915" display="http://www.ms.ro/2020/05/01/buletin-informativ-01-05-2020/" xr:uid="{00000000-0004-0000-0000-000092030000}"/>
    <hyperlink ref="K455" r:id="rId916" display="http://www.ms.ro/2020/05/01/buletin-informativ-01-05-2020/" xr:uid="{00000000-0004-0000-0000-000093030000}"/>
    <hyperlink ref="T455" r:id="rId917" display="http://www.ms.ro/2020/05/01/buletin-informativ-01-05-2020/" xr:uid="{00000000-0004-0000-0000-000094030000}"/>
    <hyperlink ref="K456" r:id="rId918" display="http://www.ms.ro/2020/05/01/buletin-informativ-01-05-2020/" xr:uid="{00000000-0004-0000-0000-000095030000}"/>
    <hyperlink ref="T456" r:id="rId919" display="http://www.ms.ro/2020/05/01/buletin-informativ-01-05-2020/" xr:uid="{00000000-0004-0000-0000-000096030000}"/>
    <hyperlink ref="K457" r:id="rId920" display="http://www.ms.ro/2020/05/01/buletin-informativ-01-05-2020/" xr:uid="{00000000-0004-0000-0000-000097030000}"/>
    <hyperlink ref="T457" r:id="rId921" display="http://www.ms.ro/2020/05/01/buletin-informativ-01-05-2020/" xr:uid="{00000000-0004-0000-0000-000098030000}"/>
    <hyperlink ref="K458" r:id="rId922" display="http://www.ms.ro/2020/05/01/buletin-informativ-01-05-2020/" xr:uid="{00000000-0004-0000-0000-000099030000}"/>
    <hyperlink ref="T458" r:id="rId923" display="http://www.ms.ro/2020/05/01/buletin-informativ-01-05-2020/" xr:uid="{00000000-0004-0000-0000-00009A030000}"/>
    <hyperlink ref="K459" r:id="rId924" display="http://www.ms.ro/2020/05/01/buletin-informativ-01-05-2020/" xr:uid="{00000000-0004-0000-0000-00009B030000}"/>
    <hyperlink ref="T459" r:id="rId925" display="http://www.ms.ro/2020/05/01/buletin-informativ-01-05-2020/" xr:uid="{00000000-0004-0000-0000-00009C030000}"/>
    <hyperlink ref="K460" r:id="rId926" display="http://www.ms.ro/2020/05/01/buletin-informativ-01-05-2020/" xr:uid="{00000000-0004-0000-0000-00009D030000}"/>
    <hyperlink ref="T460" r:id="rId927" display="http://www.ms.ro/2020/05/01/buletin-informativ-01-05-2020/" xr:uid="{00000000-0004-0000-0000-00009E030000}"/>
    <hyperlink ref="K461" r:id="rId928" display="https://stirioficiale.ro/informatii/buletin-de-presa-2-mai-2020-ora-13-00" xr:uid="{00000000-0004-0000-0000-00009F030000}"/>
    <hyperlink ref="T461" r:id="rId929" display="http://www.ms.ro/2020/05/02/buletin-informativ-02-05-2020/" xr:uid="{00000000-0004-0000-0000-0000A0030000}"/>
    <hyperlink ref="K462" r:id="rId930" display="https://stirioficiale.ro/informatii/buletin-de-presa-3-mai-2020-ora-13-00" xr:uid="{00000000-0004-0000-0000-0000A1030000}"/>
    <hyperlink ref="T462" r:id="rId931" display="http://www.ms.ro/2020/05/03/buletin-informativ-03-05-2020/" xr:uid="{00000000-0004-0000-0000-0000A2030000}"/>
    <hyperlink ref="K463" r:id="rId932" display="https://stirioficiale.ro/informatii/buletin-de-presa-3-mai-2020-ora-13-00" xr:uid="{00000000-0004-0000-0000-0000A3030000}"/>
    <hyperlink ref="T463" r:id="rId933" display="http://www.ms.ro/2020/05/03/buletin-informativ-03-05-2020/" xr:uid="{00000000-0004-0000-0000-0000A4030000}"/>
    <hyperlink ref="K464" r:id="rId934" display="https://stirioficiale.ro/informatii/buletin-de-presa-3-mai-2020-ora-13-00" xr:uid="{00000000-0004-0000-0000-0000A5030000}"/>
    <hyperlink ref="T464" r:id="rId935" display="http://www.ms.ro/2020/05/03/buletin-informativ-03-05-2020/" xr:uid="{00000000-0004-0000-0000-0000A6030000}"/>
    <hyperlink ref="K465" r:id="rId936" display="https://stirioficiale.ro/informatii/buletin-de-presa-3-mai-2020-ora-13-00" xr:uid="{00000000-0004-0000-0000-0000A7030000}"/>
    <hyperlink ref="T465" r:id="rId937" display="http://www.ms.ro/2020/05/03/buletin-informativ-03-05-2020/" xr:uid="{00000000-0004-0000-0000-0000A8030000}"/>
    <hyperlink ref="K466" r:id="rId938" display="https://stirioficiale.ro/informatii/buletin-de-presa-3-mai-2020-ora-13-00" xr:uid="{00000000-0004-0000-0000-0000A9030000}"/>
    <hyperlink ref="T466" r:id="rId939" display="http://www.ms.ro/2020/05/03/buletin-informativ-03-05-2020/" xr:uid="{00000000-0004-0000-0000-0000AA030000}"/>
    <hyperlink ref="K467" r:id="rId940" display="https://stirioficiale.ro/informatii/buletin-de-presa-3-mai-2020-ora-13-00" xr:uid="{00000000-0004-0000-0000-0000AB030000}"/>
    <hyperlink ref="T467" r:id="rId941" display="http://www.ms.ro/2020/05/03/buletin-informativ-03-05-2020/" xr:uid="{00000000-0004-0000-0000-0000AC030000}"/>
    <hyperlink ref="K468" r:id="rId942" display="https://stirioficiale.ro/informatii/buletin-de-presa-3-mai-2020-ora-13-00" xr:uid="{00000000-0004-0000-0000-0000AD030000}"/>
    <hyperlink ref="T468" r:id="rId943" display="http://www.ms.ro/2020/05/03/buletin-informativ-03-05-2020/" xr:uid="{00000000-0004-0000-0000-0000AE030000}"/>
    <hyperlink ref="K469" r:id="rId944" display="https://stirioficiale.ro/informatii/buletin-de-presa-5-mai-2020-ora-13-00" xr:uid="{00000000-0004-0000-0000-0000AF030000}"/>
    <hyperlink ref="T469" r:id="rId945" display="http://www.ms.ro/2020/05/05/buletin-informativ-05-05-2020/" xr:uid="{00000000-0004-0000-0000-0000B0030000}"/>
    <hyperlink ref="K470" r:id="rId946" display="https://stirioficiale.ro/informatii/buletin-de-presa-6-mai-2020-ora-13-00" xr:uid="{00000000-0004-0000-0000-0000B1030000}"/>
    <hyperlink ref="T470" r:id="rId947" display="http://www.ms.ro/2020/05/06/buletin-informativ-06-05-2020/" xr:uid="{00000000-0004-0000-0000-0000B2030000}"/>
    <hyperlink ref="K471" r:id="rId948" display="https://stirioficiale.ro/informatii/buletin-de-presa-6-mai-2020-ora-13-00" xr:uid="{00000000-0004-0000-0000-0000B3030000}"/>
    <hyperlink ref="T471" r:id="rId949" display="http://www.ms.ro/2020/05/06/buletin-informativ-06-05-2020/" xr:uid="{00000000-0004-0000-0000-0000B4030000}"/>
    <hyperlink ref="K472" r:id="rId950" display="https://stirioficiale.ro/informatii/buletin-de-presa-6-mai-2020-ora-13-00" xr:uid="{00000000-0004-0000-0000-0000B5030000}"/>
    <hyperlink ref="T472" r:id="rId951" display="http://www.ms.ro/2020/05/06/buletin-informativ-06-05-2020/" xr:uid="{00000000-0004-0000-0000-0000B6030000}"/>
    <hyperlink ref="K473" r:id="rId952" display="https://stirioficiale.ro/informatii/buletin-de-presa-6-mai-2020-ora-13-00" xr:uid="{00000000-0004-0000-0000-0000B7030000}"/>
    <hyperlink ref="T473" r:id="rId953" display="http://www.ms.ro/2020/05/06/buletin-informativ-06-05-2020/" xr:uid="{00000000-0004-0000-0000-0000B8030000}"/>
    <hyperlink ref="K474" r:id="rId954" display="https://stirioficiale.ro/informatii/buletin-de-presa-6-mai-2020-ora-13-00" xr:uid="{00000000-0004-0000-0000-0000B9030000}"/>
    <hyperlink ref="T474" r:id="rId955" display="http://www.ms.ro/2020/05/06/buletin-informativ-06-05-2020/" xr:uid="{00000000-0004-0000-0000-0000BA030000}"/>
    <hyperlink ref="K475" r:id="rId956" display="https://stirioficiale.ro/informatii/buletin-de-presa-6-mai-2020-ora-13-00" xr:uid="{00000000-0004-0000-0000-0000BB030000}"/>
    <hyperlink ref="T475" r:id="rId957" display="http://www.ms.ro/2020/05/06/buletin-informativ-06-05-2020/" xr:uid="{00000000-0004-0000-0000-0000BC030000}"/>
    <hyperlink ref="K476" r:id="rId958" display="https://stirioficiale.ro/informatii/buletin-de-presa-8-mai-2020-ora-13-00" xr:uid="{00000000-0004-0000-0000-0000BD030000}"/>
    <hyperlink ref="L476" r:id="rId959" display="https://stirioficiale.ro/informatii/informare-de-presa-11-mai-2020-ora-11-56am" xr:uid="{00000000-0004-0000-0000-0000BE030000}"/>
    <hyperlink ref="T476" r:id="rId960" display="http://www.ms.ro/2020/05/08/buletin-informativ-08-05-2020/" xr:uid="{00000000-0004-0000-0000-0000BF030000}"/>
    <hyperlink ref="K477" r:id="rId961" display="https://stirioficiale.ro/informatii/buletin-de-presa-8-mai-2020-ora-13-00" xr:uid="{00000000-0004-0000-0000-0000C0030000}"/>
    <hyperlink ref="T477" r:id="rId962" display="http://www.ms.ro/2020/05/08/buletin-informativ-08-05-2020/" xr:uid="{00000000-0004-0000-0000-0000C1030000}"/>
    <hyperlink ref="K478" r:id="rId963" display="https://stirioficiale.ro/informatii/buletin-de-presa-8-mai-2020-ora-13-00" xr:uid="{00000000-0004-0000-0000-0000C2030000}"/>
    <hyperlink ref="T478" r:id="rId964" display="http://www.ms.ro/2020/05/08/buletin-informativ-08-05-2020/" xr:uid="{00000000-0004-0000-0000-0000C3030000}"/>
    <hyperlink ref="K479" r:id="rId965" display="http://www.ms.ro/2020/05/09/buletin-informativ-09-05-2020/" xr:uid="{00000000-0004-0000-0000-0000C4030000}"/>
    <hyperlink ref="T479" r:id="rId966" display="http://www.ms.ro/2020/05/09/buletin-informativ-09-05-2020/" xr:uid="{00000000-0004-0000-0000-0000C5030000}"/>
    <hyperlink ref="K480" r:id="rId967" display="http://www.ms.ro/2020/05/09/buletin-informativ-09-05-2020/" xr:uid="{00000000-0004-0000-0000-0000C6030000}"/>
    <hyperlink ref="T480" r:id="rId968" display="http://www.ms.ro/2020/05/09/buletin-informativ-09-05-2020/" xr:uid="{00000000-0004-0000-0000-0000C7030000}"/>
    <hyperlink ref="K481" r:id="rId969" display="https://stirioficiale.ro/informatii/buletin-de-presa-10-mai-2020-ora-13-00" xr:uid="{00000000-0004-0000-0000-0000C8030000}"/>
    <hyperlink ref="T481" r:id="rId970" display="http://www.ms.ro/2020/05/10/buletin-informativ-10-05-2020/" xr:uid="{00000000-0004-0000-0000-0000C9030000}"/>
    <hyperlink ref="K482" r:id="rId971" display="https://www.bihon.ro/stirile-judetului-bihor/angajati-confirmati-cu-coronavirus-in-parcul-industrial-de-pe-borsului-2284463/" xr:uid="{00000000-0004-0000-0000-0000CA030000}"/>
    <hyperlink ref="T482" r:id="rId972" display="http://www.ms.ro/2020/05/11/buletin-informativ-11-05-2020/" xr:uid="{00000000-0004-0000-0000-0000CB030000}"/>
    <hyperlink ref="K483" r:id="rId973" display="https://www.bihon.ro/stirile-judetului-bihor/angajati-confirmati-cu-coronavirus-in-parcul-industrial-de-pe-borsului-2284463/" xr:uid="{00000000-0004-0000-0000-0000CC030000}"/>
    <hyperlink ref="T483" r:id="rId974" display="http://www.ms.ro/2020/05/12/buletin-informativ-12-05-2020/" xr:uid="{00000000-0004-0000-0000-0000CD030000}"/>
    <hyperlink ref="K484" r:id="rId975" display="https://www.bihon.ro/stirile-judetului-bihor/angajati-confirmati-cu-coronavirus-in-parcul-industrial-de-pe-borsului-2284463/" xr:uid="{00000000-0004-0000-0000-0000CE030000}"/>
    <hyperlink ref="T484" r:id="rId976" display="http://www.ms.ro/2020/05/12/buletin-informativ-12-05-2020/" xr:uid="{00000000-0004-0000-0000-0000CF030000}"/>
    <hyperlink ref="K485" r:id="rId977" display="https://stirioficiale.ro/informatii/buletin-de-presa-13-mai-2020-ora-13-00" xr:uid="{00000000-0004-0000-0000-0000D0030000}"/>
    <hyperlink ref="L485" r:id="rId978" display="http://www.ms.ro/2020/05/13/decese-1017-1030/" xr:uid="{00000000-0004-0000-0000-0000D1030000}"/>
    <hyperlink ref="T485" r:id="rId979" display="http://www.ms.ro/2020/05/12/buletin-informativ-12-05-2020/" xr:uid="{00000000-0004-0000-0000-0000D2030000}"/>
    <hyperlink ref="K486" r:id="rId980" display="https://www.bihon.ro/stirile-judetului-bihor/angajati-confirmati-cu-coronavirus-in-parcul-industrial-de-pe-borsului-2284463/" xr:uid="{00000000-0004-0000-0000-0000D3030000}"/>
    <hyperlink ref="T486" r:id="rId981" display="http://www.ms.ro/2020/05/14/buletin-informativ-14-05-2020/" xr:uid="{00000000-0004-0000-0000-0000D4030000}"/>
    <hyperlink ref="K487" r:id="rId982" display="https://www.bihon.ro/stirile-judetului-bihor/angajati-confirmati-cu-coronavirus-in-parcul-industrial-de-pe-borsului-2284463/" xr:uid="{00000000-0004-0000-0000-0000D5030000}"/>
    <hyperlink ref="T487" r:id="rId983" display="http://www.ms.ro/2020/05/14/buletin-informativ-14-05-2020/" xr:uid="{00000000-0004-0000-0000-0000D6030000}"/>
    <hyperlink ref="K488" r:id="rId984" display="https://stirioficiale.ro/informatii/buletin-de-presa-14-mai-2020-ora-13-00" xr:uid="{00000000-0004-0000-0000-0000D7030000}"/>
    <hyperlink ref="L488" r:id="rId985" display="http://www.ms.ro/2020/05/30/decese-1254-1259/" xr:uid="{00000000-0004-0000-0000-0000D8030000}"/>
    <hyperlink ref="T488" r:id="rId986" display="http://www.ms.ro/2020/05/14/buletin-informativ-14-05-2020/" xr:uid="{00000000-0004-0000-0000-0000D9030000}"/>
    <hyperlink ref="K489" r:id="rId987" display="https://stirioficiale.ro/informatii/buletin-de-presa-15-mai-2020-ora-13-00" xr:uid="{00000000-0004-0000-0000-0000DA030000}"/>
    <hyperlink ref="L489" r:id="rId988" display="http://www.ms.ro/2020/05/16/decese-1075-1081/" xr:uid="{00000000-0004-0000-0000-0000DB030000}"/>
    <hyperlink ref="T489" r:id="rId989" display="http://www.ms.ro/2020/05/15/buletin-informativ-15-05-2020/" xr:uid="{00000000-0004-0000-0000-0000DC030000}"/>
    <hyperlink ref="K490" r:id="rId990" display="https://www.bihon.ro/stirile-judetului-bihor/angajati-confirmati-cu-coronavirus-in-parcul-industrial-de-pe-borsului-2284463/" xr:uid="{00000000-0004-0000-0000-0000DD030000}"/>
    <hyperlink ref="T490" r:id="rId991" display="http://www.ms.ro/2020/05/16/buletin-informativ-16-05-2020/" xr:uid="{00000000-0004-0000-0000-0000DE030000}"/>
    <hyperlink ref="K491" r:id="rId992" display="https://www.bihon.ro/stirile-judetului-bihor/angajati-confirmati-cu-coronavirus-in-parcul-industrial-de-pe-borsului-2284463/" xr:uid="{00000000-0004-0000-0000-0000DF030000}"/>
    <hyperlink ref="T491" r:id="rId993" display="http://www.ms.ro/2020/05/16/buletin-informativ-16-05-2020/" xr:uid="{00000000-0004-0000-0000-0000E0030000}"/>
    <hyperlink ref="K492" r:id="rId994" display="https://www.bihon.ro/stirile-judetului-bihor/angajati-confirmati-cu-coronavirus-in-parcul-industrial-de-pe-borsului-2284463/" xr:uid="{00000000-0004-0000-0000-0000E1030000}"/>
    <hyperlink ref="T492" r:id="rId995" display="http://www.ms.ro/2020/05/16/buletin-informativ-16-05-2020/" xr:uid="{00000000-0004-0000-0000-0000E2030000}"/>
    <hyperlink ref="K493" r:id="rId996" display="https://www.bihon.ro/stirile-judetului-bihor/angajati-confirmati-cu-coronavirus-in-parcul-industrial-de-pe-borsului-2284463/" xr:uid="{00000000-0004-0000-0000-0000E3030000}"/>
    <hyperlink ref="T493" r:id="rId997" display="http://www.ms.ro/2020/05/16/buletin-informativ-16-05-2020/" xr:uid="{00000000-0004-0000-0000-0000E4030000}"/>
    <hyperlink ref="K494" r:id="rId998" display="https://www.bihon.ro/stirile-judetului-bihor/angajati-confirmati-cu-coronavirus-in-parcul-industrial-de-pe-borsului-2284463/" xr:uid="{00000000-0004-0000-0000-0000E5030000}"/>
    <hyperlink ref="T494" r:id="rId999" display="http://www.ms.ro/2020/05/16/buletin-informativ-16-05-2020/" xr:uid="{00000000-0004-0000-0000-0000E6030000}"/>
    <hyperlink ref="K495" r:id="rId1000" display="https://www.bihon.ro/stirile-judetului-bihor/angajati-confirmati-cu-coronavirus-in-parcul-industrial-de-pe-borsului-2284463/" xr:uid="{00000000-0004-0000-0000-0000E7030000}"/>
    <hyperlink ref="T495" r:id="rId1001" display="http://www.ms.ro/2020/05/16/buletin-informativ-16-05-2020/" xr:uid="{00000000-0004-0000-0000-0000E8030000}"/>
    <hyperlink ref="K496" r:id="rId1002" display="https://www.bihon.ro/stirile-judetului-bihor/angajati-confirmati-cu-coronavirus-in-parcul-industrial-de-pe-borsului-2284463/" xr:uid="{00000000-0004-0000-0000-0000E9030000}"/>
    <hyperlink ref="T496" r:id="rId1003" display="http://www.ms.ro/2020/05/16/buletin-informativ-16-05-2020/" xr:uid="{00000000-0004-0000-0000-0000EA030000}"/>
    <hyperlink ref="K497" r:id="rId1004" display="https://www.bihon.ro/stirile-judetului-bihor/angajati-confirmati-cu-coronavirus-in-parcul-industrial-de-pe-borsului-2284463/" xr:uid="{00000000-0004-0000-0000-0000EB030000}"/>
    <hyperlink ref="T497" r:id="rId1005" display="http://www.ms.ro/2020/05/16/buletin-informativ-16-05-2020/" xr:uid="{00000000-0004-0000-0000-0000EC030000}"/>
    <hyperlink ref="K498" r:id="rId1006" display="https://www.bihon.ro/stirile-judetului-bihor/angajati-confirmati-cu-coronavirus-in-parcul-industrial-de-pe-borsului-2284463/" xr:uid="{00000000-0004-0000-0000-0000ED030000}"/>
    <hyperlink ref="T498" r:id="rId1007" display="http://www.ms.ro/2020/05/16/buletin-informativ-16-05-2020/" xr:uid="{00000000-0004-0000-0000-0000EE030000}"/>
    <hyperlink ref="K499" r:id="rId1008" display="https://www.fanatik.ro/mai-multi-medici-reintorsi-din-republica-moldova-depistati-cu-noul-coronavirus-19201114" xr:uid="{00000000-0004-0000-0000-0000EF030000}"/>
    <hyperlink ref="T499" r:id="rId1009" display="http://www.ms.ro/2020/05/18/buletin-informativ-18-05-2020/" xr:uid="{00000000-0004-0000-0000-0000F0030000}"/>
    <hyperlink ref="K500" r:id="rId1010" display="https://www.fanatik.ro/mai-multi-medici-reintorsi-din-republica-moldova-depistati-cu-noul-coronavirus-19201115" xr:uid="{00000000-0004-0000-0000-0000F1030000}"/>
    <hyperlink ref="T500" r:id="rId1011" display="http://www.ms.ro/2020/05/18/buletin-informativ-18-05-2020/" xr:uid="{00000000-0004-0000-0000-0000F2030000}"/>
    <hyperlink ref="K501" r:id="rId1012" display="https://www.fanatik.ro/mai-multi-medici-reintorsi-din-republica-moldova-depistati-cu-noul-coronavirus-19201116" xr:uid="{00000000-0004-0000-0000-0000F3030000}"/>
    <hyperlink ref="T501" r:id="rId1013" display="http://www.ms.ro/2020/05/18/buletin-informativ-18-05-2020/" xr:uid="{00000000-0004-0000-0000-0000F4030000}"/>
    <hyperlink ref="K502" r:id="rId1014" display="https://www.fanatik.ro/mai-multi-medici-reintorsi-din-republica-moldova-depistati-cu-noul-coronavirus-19201117" xr:uid="{00000000-0004-0000-0000-0000F5030000}"/>
    <hyperlink ref="T502" r:id="rId1015" display="http://www.ms.ro/2020/05/18/buletin-informativ-18-05-2020/" xr:uid="{00000000-0004-0000-0000-0000F6030000}"/>
    <hyperlink ref="K503" r:id="rId1016" display="https://stirioficiale.ro/informatii/buletin-de-presa-18-mai-2020-ora-13-00" xr:uid="{00000000-0004-0000-0000-0000F7030000}"/>
    <hyperlink ref="T503" r:id="rId1017" display="http://www.ms.ro/2020/05/18/buletin-informativ-18-05-2020/" xr:uid="{00000000-0004-0000-0000-0000F8030000}"/>
    <hyperlink ref="K504" r:id="rId1018" display="https://stirioficiale.ro/informatii/buletin-de-presa-18-mai-2020-ora-13-00" xr:uid="{00000000-0004-0000-0000-0000F9030000}"/>
    <hyperlink ref="T504" r:id="rId1019" display="http://www.ms.ro/2020/05/18/buletin-informativ-18-05-2020/" xr:uid="{00000000-0004-0000-0000-0000FA030000}"/>
    <hyperlink ref="K505" r:id="rId1020" display="https://stirioficiale.ro/informatii/buletin-de-presa-18-mai-2020-ora-13-00" xr:uid="{00000000-0004-0000-0000-0000FB030000}"/>
    <hyperlink ref="T505" r:id="rId1021" display="http://www.ms.ro/2020/05/18/buletin-informativ-18-05-2020/" xr:uid="{00000000-0004-0000-0000-0000FC030000}"/>
    <hyperlink ref="K506" r:id="rId1022" display="https://stirioficiale.ro/informatii/buletin-de-presa-19-mai-2020-ora-13-00" xr:uid="{00000000-0004-0000-0000-0000FD030000}"/>
    <hyperlink ref="L506" r:id="rId1023" display="http://www.ms.ro/2020/05/28/decese-1230-1231/" xr:uid="{00000000-0004-0000-0000-0000FE030000}"/>
    <hyperlink ref="T506" r:id="rId1024" display="http://www.ms.ro/2020/05/19/buletin-informativ-19-05-2020/" xr:uid="{00000000-0004-0000-0000-0000FF030000}"/>
    <hyperlink ref="K507" r:id="rId1025" display="https://stirioficiale.ro/informatii/buletin-de-presa-19-mai-2020-ora-13-00" xr:uid="{00000000-0004-0000-0000-000000040000}"/>
    <hyperlink ref="T507" r:id="rId1026" display="http://www.ms.ro/2020/05/19/buletin-informativ-19-05-2020/" xr:uid="{00000000-0004-0000-0000-000001040000}"/>
    <hyperlink ref="K508" r:id="rId1027" display="https://stirioficiale.ro/informatii/buletin-de-presa-19-mai-2020-ora-13-00" xr:uid="{00000000-0004-0000-0000-000002040000}"/>
    <hyperlink ref="T508" r:id="rId1028" display="http://www.ms.ro/2020/05/19/buletin-informativ-19-05-2020/" xr:uid="{00000000-0004-0000-0000-000003040000}"/>
    <hyperlink ref="K509" r:id="rId1029" display="https://stirioficiale.ro/informatii/buletin-de-presa-19-mai-2020-ora-13-00" xr:uid="{00000000-0004-0000-0000-000004040000}"/>
    <hyperlink ref="T509" r:id="rId1030" display="http://www.ms.ro/2020/05/19/buletin-informativ-19-05-2020/" xr:uid="{00000000-0004-0000-0000-000005040000}"/>
    <hyperlink ref="K510" r:id="rId1031" display="https://stirioficiale.ro/informatii/buletin-de-presa-19-mai-2020-ora-13-00" xr:uid="{00000000-0004-0000-0000-000006040000}"/>
    <hyperlink ref="T510" r:id="rId1032" display="http://www.ms.ro/2020/05/19/buletin-informativ-19-05-2020/" xr:uid="{00000000-0004-0000-0000-000007040000}"/>
    <hyperlink ref="K511" r:id="rId1033" display="https://stirioficiale.ro/informatii/buletin-de-presa-19-mai-2020-ora-13-00" xr:uid="{00000000-0004-0000-0000-000008040000}"/>
    <hyperlink ref="T511" r:id="rId1034" display="http://www.ms.ro/2020/05/19/buletin-informativ-19-05-2020/" xr:uid="{00000000-0004-0000-0000-000009040000}"/>
    <hyperlink ref="K512" r:id="rId1035" display="https://stirioficiale.ro/informatii/buletin-de-presa-19-mai-2020-ora-13-00" xr:uid="{00000000-0004-0000-0000-00000A040000}"/>
    <hyperlink ref="T512" r:id="rId1036" display="http://www.ms.ro/2020/05/19/buletin-informativ-19-05-2020/" xr:uid="{00000000-0004-0000-0000-00000B040000}"/>
    <hyperlink ref="K513" r:id="rId1037" display="https://stirioficiale.ro/informatii/buletin-de-presa-19-mai-2020-ora-13-00" xr:uid="{00000000-0004-0000-0000-00000C040000}"/>
    <hyperlink ref="T513" r:id="rId1038" display="http://www.ms.ro/2020/05/19/buletin-informativ-19-05-2020/" xr:uid="{00000000-0004-0000-0000-00000D040000}"/>
    <hyperlink ref="K514" r:id="rId1039" display="https://stirioficiale.ro/informatii/buletin-de-presa-19-mai-2020-ora-13-00" xr:uid="{00000000-0004-0000-0000-00000E040000}"/>
    <hyperlink ref="T514" r:id="rId1040" display="http://www.ms.ro/2020/05/19/buletin-informativ-19-05-2020/" xr:uid="{00000000-0004-0000-0000-00000F040000}"/>
    <hyperlink ref="K515" r:id="rId1041" display="https://stirioficiale.ro/informatii/buletin-de-presa-20-mai-2020-ora-13-00" xr:uid="{00000000-0004-0000-0000-000010040000}"/>
    <hyperlink ref="T515" r:id="rId1042" display="http://www.ms.ro/2020/05/20/buletin-informativ-20-05-2020/" xr:uid="{00000000-0004-0000-0000-000011040000}"/>
    <hyperlink ref="K516" r:id="rId1043" display="https://www.bihon.ro/stirile-judetului-bihor/plexus-confirma-4-angajati-pozitivi-covid-19-inchid-fabrica-temporar-2293555/" xr:uid="{00000000-0004-0000-0000-000012040000}"/>
    <hyperlink ref="K517" r:id="rId1044" display="https://stirioficiale.ro/informatii/buletin-de-presa-21-mai-2020-ora-13-00" xr:uid="{00000000-0004-0000-0000-000013040000}"/>
    <hyperlink ref="K518" r:id="rId1045" display="https://stirioficiale.ro/informatii/buletin-de-presa-21-mai-2020-ora-13-00" xr:uid="{00000000-0004-0000-0000-000014040000}"/>
    <hyperlink ref="K519" r:id="rId1046" display="https://stirioficiale.ro/informatii/buletin-de-presa-21-mai-2020-ora-13-00" xr:uid="{00000000-0004-0000-0000-000015040000}"/>
    <hyperlink ref="K520" r:id="rId1047" display="https://stirioficiale.ro/informatii/buletin-de-presa-21-mai-2020-ora-13-00" xr:uid="{00000000-0004-0000-0000-000016040000}"/>
    <hyperlink ref="K521" r:id="rId1048" display="https://stirioficiale.ro/informatii/buletin-de-presa-21-mai-2020-ora-13-00" xr:uid="{00000000-0004-0000-0000-000017040000}"/>
    <hyperlink ref="K522" r:id="rId1049" display="https://stirioficiale.ro/informatii/buletin-de-presa-21-mai-2020-ora-13-00" xr:uid="{00000000-0004-0000-0000-000018040000}"/>
    <hyperlink ref="K523" r:id="rId1050" display="https://stirioficiale.ro/informatii/buletin-de-presa-21-mai-2020-ora-13-00" xr:uid="{00000000-0004-0000-0000-000019040000}"/>
    <hyperlink ref="K524" r:id="rId1051" display="https://stirioficiale.ro/informatii/buletin-de-presa-21-mai-2020-ora-13-00" xr:uid="{00000000-0004-0000-0000-00001A040000}"/>
    <hyperlink ref="K525" r:id="rId1052" display="https://stirioficiale.ro/informatii/buletin-de-presa-22-mai-2020-ora-13-00" xr:uid="{00000000-0004-0000-0000-00001B040000}"/>
    <hyperlink ref="T525" r:id="rId1053" display="http://www.ms.ro/2020/05/22/buletin-informativ-22-05-2020/" xr:uid="{00000000-0004-0000-0000-00001C040000}"/>
    <hyperlink ref="K526" r:id="rId1054" display="https://stirioficiale.ro/informatii/buletin-de-presa-22-mai-2020-ora-13-00" xr:uid="{00000000-0004-0000-0000-00001D040000}"/>
    <hyperlink ref="T526" r:id="rId1055" display="http://www.ms.ro/2020/05/22/buletin-informativ-22-05-2020/" xr:uid="{00000000-0004-0000-0000-00001E040000}"/>
    <hyperlink ref="K527" r:id="rId1056" display="https://stirioficiale.ro/informatii/buletin-de-presa-22-mai-2020-ora-13-00" xr:uid="{00000000-0004-0000-0000-00001F040000}"/>
    <hyperlink ref="T527" r:id="rId1057" display="http://www.ms.ro/2020/05/22/buletin-informativ-22-05-2020/" xr:uid="{00000000-0004-0000-0000-000020040000}"/>
    <hyperlink ref="K528" r:id="rId1058" display="https://stirioficiale.ro/informatii/buletin-de-presa-22-mai-2020-ora-13-00" xr:uid="{00000000-0004-0000-0000-000021040000}"/>
    <hyperlink ref="T528" r:id="rId1059" display="http://www.ms.ro/2020/05/22/buletin-informativ-22-05-2020/" xr:uid="{00000000-0004-0000-0000-000022040000}"/>
    <hyperlink ref="K529" r:id="rId1060" display="https://stirioficiale.ro/informatii/buletin-de-presa-22-mai-2020-ora-13-00" xr:uid="{00000000-0004-0000-0000-000023040000}"/>
    <hyperlink ref="T529" r:id="rId1061" display="http://www.ms.ro/2020/05/22/buletin-informativ-22-05-2020/" xr:uid="{00000000-0004-0000-0000-000024040000}"/>
    <hyperlink ref="K530" r:id="rId1062" display="https://stirioficiale.ro/informatii/buletin-de-presa-22-mai-2020-ora-13-00" xr:uid="{00000000-0004-0000-0000-000025040000}"/>
    <hyperlink ref="T530" r:id="rId1063" display="http://www.ms.ro/2020/05/22/buletin-informativ-22-05-2020/" xr:uid="{00000000-0004-0000-0000-000026040000}"/>
    <hyperlink ref="K531" r:id="rId1064" display="https://stirioficiale.ro/informatii/buletin-de-presa-22-mai-2020-ora-13-00" xr:uid="{00000000-0004-0000-0000-000027040000}"/>
    <hyperlink ref="T531" r:id="rId1065" display="http://www.ms.ro/2020/05/22/buletin-informativ-22-05-2020/" xr:uid="{00000000-0004-0000-0000-000028040000}"/>
    <hyperlink ref="K532" r:id="rId1066" display="https://stirioficiale.ro/informatii/buletin-de-presa-22-mai-2020-ora-13-00" xr:uid="{00000000-0004-0000-0000-000029040000}"/>
    <hyperlink ref="T532" r:id="rId1067" display="http://www.ms.ro/2020/05/22/buletin-informativ-22-05-2020/" xr:uid="{00000000-0004-0000-0000-00002A040000}"/>
    <hyperlink ref="K533" r:id="rId1068" display="https://stirioficiale.ro/informatii/buletin-de-presa-22-mai-2020-ora-13-00" xr:uid="{00000000-0004-0000-0000-00002B040000}"/>
    <hyperlink ref="T533" r:id="rId1069" display="http://www.ms.ro/2020/05/22/buletin-informativ-22-05-2020/" xr:uid="{00000000-0004-0000-0000-00002C040000}"/>
    <hyperlink ref="K534" r:id="rId1070" display="https://stirioficiale.ro/informatii/buletin-de-presa-22-mai-2020-ora-13-00" xr:uid="{00000000-0004-0000-0000-00002D040000}"/>
    <hyperlink ref="T534" r:id="rId1071" display="http://www.ms.ro/2020/05/22/buletin-informativ-22-05-2020/" xr:uid="{00000000-0004-0000-0000-00002E040000}"/>
    <hyperlink ref="K535" r:id="rId1072" display="https://stirioficiale.ro/informatii/buletin-de-presa-23-mai-2020-ora-13-00" xr:uid="{00000000-0004-0000-0000-00002F040000}"/>
    <hyperlink ref="T535" r:id="rId1073" display="http://www.ms.ro/2020/05/23/buletin-informativ-23-05-2020/" xr:uid="{00000000-0004-0000-0000-000030040000}"/>
    <hyperlink ref="K536" r:id="rId1074" display="https://stirioficiale.ro/informatii/buletin-de-presa-23-mai-2020-ora-13-00" xr:uid="{00000000-0004-0000-0000-000031040000}"/>
    <hyperlink ref="T536" r:id="rId1075" display="http://www.ms.ro/2020/05/23/buletin-informativ-23-05-2020/" xr:uid="{00000000-0004-0000-0000-000032040000}"/>
    <hyperlink ref="K537" r:id="rId1076" display="https://stirioficiale.ro/informatii/buletin-de-presa-23-mai-2020-ora-13-00" xr:uid="{00000000-0004-0000-0000-000033040000}"/>
    <hyperlink ref="T537" r:id="rId1077" display="http://www.ms.ro/2020/05/23/buletin-informativ-23-05-2020/" xr:uid="{00000000-0004-0000-0000-000034040000}"/>
    <hyperlink ref="K538" r:id="rId1078" display="https://stirioficiale.ro/informatii/buletin-de-presa-23-mai-2020-ora-13-00" xr:uid="{00000000-0004-0000-0000-000035040000}"/>
    <hyperlink ref="T538" r:id="rId1079" display="http://www.ms.ro/2020/05/23/buletin-informativ-23-05-2020/" xr:uid="{00000000-0004-0000-0000-000036040000}"/>
    <hyperlink ref="K539" r:id="rId1080" display="https://stirioficiale.ro/informatii/buletin-de-presa-23-mai-2020-ora-13-00" xr:uid="{00000000-0004-0000-0000-000037040000}"/>
    <hyperlink ref="T539" r:id="rId1081" display="http://www.ms.ro/2020/05/23/buletin-informativ-23-05-2020/" xr:uid="{00000000-0004-0000-0000-000038040000}"/>
    <hyperlink ref="K540" r:id="rId1082" display="https://stirioficiale.ro/informatii/buletin-de-presa-23-mai-2020-ora-13-00" xr:uid="{00000000-0004-0000-0000-000039040000}"/>
    <hyperlink ref="T540" r:id="rId1083" display="http://www.ms.ro/2020/05/23/buletin-informativ-23-05-2020/" xr:uid="{00000000-0004-0000-0000-00003A040000}"/>
    <hyperlink ref="K541" r:id="rId1084" display="https://stirioficiale.ro/informatii/buletin-de-presa-23-mai-2020-ora-13-00" xr:uid="{00000000-0004-0000-0000-00003B040000}"/>
    <hyperlink ref="T541" r:id="rId1085" display="http://www.ms.ro/2020/05/23/buletin-informativ-23-05-2020/" xr:uid="{00000000-0004-0000-0000-00003C040000}"/>
    <hyperlink ref="K542" r:id="rId1086" display="https://stirioficiale.ro/informatii/buletin-de-presa-23-mai-2020-ora-13-00" xr:uid="{00000000-0004-0000-0000-00003D040000}"/>
    <hyperlink ref="T542" r:id="rId1087" display="http://www.ms.ro/2020/05/23/buletin-informativ-23-05-2020/" xr:uid="{00000000-0004-0000-0000-00003E040000}"/>
    <hyperlink ref="K543" r:id="rId1088" display="https://stirioficiale.ro/informatii/buletin-de-presa-23-mai-2020-ora-13-00" xr:uid="{00000000-0004-0000-0000-00003F040000}"/>
    <hyperlink ref="T543" r:id="rId1089" display="http://www.ms.ro/2020/05/23/buletin-informativ-23-05-2020/" xr:uid="{00000000-0004-0000-0000-000040040000}"/>
    <hyperlink ref="K544" r:id="rId1090" display="https://stirioficiale.ro/informatii/buletin-de-presa-25-mai-2020-ora-13-00" xr:uid="{00000000-0004-0000-0000-000041040000}"/>
    <hyperlink ref="T544" r:id="rId1091" display="http://www.ms.ro/2020/05/25/buletin-informativ-25-05-2020/" xr:uid="{00000000-0004-0000-0000-000042040000}"/>
    <hyperlink ref="K545" r:id="rId1092" display="https://stirioficiale.ro/informatii/buletin-de-presa-25-mai-2020-ora-13-00" xr:uid="{00000000-0004-0000-0000-000043040000}"/>
    <hyperlink ref="T545" r:id="rId1093" display="http://www.ms.ro/2020/05/25/buletin-informativ-25-05-2020/" xr:uid="{00000000-0004-0000-0000-000044040000}"/>
    <hyperlink ref="K546" r:id="rId1094" display="https://stirioficiale.ro/informatii/buletin-de-presa-25-mai-2020-ora-13-00" xr:uid="{00000000-0004-0000-0000-000045040000}"/>
    <hyperlink ref="T546" r:id="rId1095" display="http://www.ms.ro/2020/05/25/buletin-informativ-25-05-2020/" xr:uid="{00000000-0004-0000-0000-000046040000}"/>
    <hyperlink ref="K547" r:id="rId1096" display="https://stirioficiale.ro/informatii/buletin-de-presa-26-mai-2020-ora-13-00" xr:uid="{00000000-0004-0000-0000-000047040000}"/>
    <hyperlink ref="L547" r:id="rId1097" display="http://www.ms.ro/2020/05/27/decese-1224-1227/" xr:uid="{00000000-0004-0000-0000-000048040000}"/>
    <hyperlink ref="T547" r:id="rId1098" display="http://www.ms.ro/2020/05/26/buletin-informativ-26-05-2020/" xr:uid="{00000000-0004-0000-0000-000049040000}"/>
    <hyperlink ref="K548" r:id="rId1099" display="https://stirioficiale.ro/informatii/buletin-de-presa-26-mai-2020-ora-13-00" xr:uid="{00000000-0004-0000-0000-00004A040000}"/>
    <hyperlink ref="T548" r:id="rId1100" display="http://www.ms.ro/2020/05/26/buletin-informativ-26-05-2020/" xr:uid="{00000000-0004-0000-0000-00004B040000}"/>
    <hyperlink ref="K549" r:id="rId1101" display="https://stirioficiale.ro/informatii/buletin-de-presa-26-mai-2020-ora-13-00" xr:uid="{00000000-0004-0000-0000-00004C040000}"/>
    <hyperlink ref="T549" r:id="rId1102" display="http://www.ms.ro/2020/05/26/buletin-informativ-26-05-2020/" xr:uid="{00000000-0004-0000-0000-00004D040000}"/>
    <hyperlink ref="K550" r:id="rId1103" display="https://stirioficiale.ro/informatii/buletin-de-presa-26-mai-2020-ora-13-00" xr:uid="{00000000-0004-0000-0000-00004E040000}"/>
    <hyperlink ref="T550" r:id="rId1104" display="http://www.ms.ro/2020/05/26/buletin-informativ-26-05-2020/" xr:uid="{00000000-0004-0000-0000-00004F040000}"/>
    <hyperlink ref="K551" r:id="rId1105" display="https://stirioficiale.ro/informatii/buletin-de-presa-27-mai-2020-ora-13-00" xr:uid="{00000000-0004-0000-0000-000050040000}"/>
    <hyperlink ref="T551" r:id="rId1106" display="http://www.ms.ro/2020/05/27/buletin-informativ-26-05-2020-2/" xr:uid="{00000000-0004-0000-0000-000051040000}"/>
    <hyperlink ref="K552" r:id="rId1107" display="https://stirioficiale.ro/informatii/buletin-de-presa-27-mai-2020-ora-13-00" xr:uid="{00000000-0004-0000-0000-000052040000}"/>
    <hyperlink ref="T552" r:id="rId1108" display="http://www.ms.ro/2020/05/27/buletin-informativ-26-05-2020-2/" xr:uid="{00000000-0004-0000-0000-000053040000}"/>
    <hyperlink ref="K553" r:id="rId1109" display="https://stirioficiale.ro/informatii/buletin-de-presa-27-mai-2020-ora-13-00" xr:uid="{00000000-0004-0000-0000-000054040000}"/>
    <hyperlink ref="T553" r:id="rId1110" display="http://www.ms.ro/2020/05/27/buletin-informativ-26-05-2020-2/" xr:uid="{00000000-0004-0000-0000-000055040000}"/>
    <hyperlink ref="K554" r:id="rId1111" display="https://stirioficiale.ro/informatii/buletin-de-presa-27-mai-2020-ora-13-00" xr:uid="{00000000-0004-0000-0000-000056040000}"/>
    <hyperlink ref="T554" r:id="rId1112" display="http://www.ms.ro/2020/05/27/buletin-informativ-26-05-2020-2/" xr:uid="{00000000-0004-0000-0000-000057040000}"/>
    <hyperlink ref="K555" r:id="rId1113" display="https://stirioficiale.ro/informatii/buletin-de-presa-27-mai-2020-ora-13-00" xr:uid="{00000000-0004-0000-0000-000058040000}"/>
    <hyperlink ref="T555" r:id="rId1114" display="http://www.ms.ro/2020/05/27/buletin-informativ-26-05-2020-2/" xr:uid="{00000000-0004-0000-0000-000059040000}"/>
    <hyperlink ref="K556" r:id="rId1115" display="https://stirioficiale.ro/informatii/buletin-de-presa-27-mai-2020-ora-13-00" xr:uid="{00000000-0004-0000-0000-00005A040000}"/>
    <hyperlink ref="T556" r:id="rId1116" display="http://www.ms.ro/2020/05/27/buletin-informativ-26-05-2020-2/" xr:uid="{00000000-0004-0000-0000-00005B040000}"/>
    <hyperlink ref="K557" r:id="rId1117" display="https://stirioficiale.ro/informatii/buletin-de-presa-27-mai-2020-ora-13-00" xr:uid="{00000000-0004-0000-0000-00005C040000}"/>
    <hyperlink ref="T557" r:id="rId1118" display="http://www.ms.ro/2020/05/27/buletin-informativ-26-05-2020-2/" xr:uid="{00000000-0004-0000-0000-00005D040000}"/>
    <hyperlink ref="K558" r:id="rId1119" display="https://stirioficiale.ro/informatii/buletin-de-presa-27-mai-2020-ora-13-00" xr:uid="{00000000-0004-0000-0000-00005E040000}"/>
    <hyperlink ref="T558" r:id="rId1120" display="http://www.ms.ro/2020/05/27/buletin-informativ-26-05-2020-2/" xr:uid="{00000000-0004-0000-0000-00005F040000}"/>
    <hyperlink ref="K559" r:id="rId1121" display="https://stirioficiale.ro/informatii/buletin-de-presa-28-mai-2020-ora-13-00" xr:uid="{00000000-0004-0000-0000-000060040000}"/>
    <hyperlink ref="T559" r:id="rId1122" display="http://www.ms.ro/2020/05/28/buletin-informativ-28-05-2020/" xr:uid="{00000000-0004-0000-0000-000061040000}"/>
    <hyperlink ref="K560" r:id="rId1123" display="https://stirioficiale.ro/informatii/buletin-de-presa-28-mai-2020-ora-13-00" xr:uid="{00000000-0004-0000-0000-000062040000}"/>
    <hyperlink ref="T560" r:id="rId1124" display="http://www.ms.ro/2020/05/28/buletin-informativ-28-05-2020/" xr:uid="{00000000-0004-0000-0000-000063040000}"/>
    <hyperlink ref="K561" r:id="rId1125" display="https://stirioficiale.ro/informatii/buletin-de-presa-28-mai-2020-ora-13-00" xr:uid="{00000000-0004-0000-0000-000064040000}"/>
    <hyperlink ref="T561" r:id="rId1126" display="http://www.ms.ro/2020/05/28/buletin-informativ-28-05-2020/" xr:uid="{00000000-0004-0000-0000-000065040000}"/>
    <hyperlink ref="K562" r:id="rId1127" display="https://stirioficiale.ro/informatii/buletin-de-presa-28-mai-2020-ora-13-00" xr:uid="{00000000-0004-0000-0000-000066040000}"/>
    <hyperlink ref="T562" r:id="rId1128" display="http://www.ms.ro/2020/05/28/buletin-informativ-28-05-2020/" xr:uid="{00000000-0004-0000-0000-000067040000}"/>
    <hyperlink ref="K563" r:id="rId1129" display="https://stirioficiale.ro/informatii/buletin-de-presa-28-mai-2020-ora-13-00" xr:uid="{00000000-0004-0000-0000-000068040000}"/>
    <hyperlink ref="T563" r:id="rId1130" display="http://www.ms.ro/2020/05/28/buletin-informativ-28-05-2020/" xr:uid="{00000000-0004-0000-0000-000069040000}"/>
    <hyperlink ref="K564" r:id="rId1131" display="https://stirioficiale.ro/informatii/buletin-de-presa-28-mai-2020-ora-13-00" xr:uid="{00000000-0004-0000-0000-00006A040000}"/>
    <hyperlink ref="T564" r:id="rId1132" display="http://www.ms.ro/2020/05/28/buletin-informativ-28-05-2020/" xr:uid="{00000000-0004-0000-0000-00006B040000}"/>
    <hyperlink ref="K565" r:id="rId1133" display="https://stirioficiale.ro/informatii/buletin-de-presa-28-mai-2020-ora-13-00" xr:uid="{00000000-0004-0000-0000-00006C040000}"/>
    <hyperlink ref="T565" r:id="rId1134" display="http://www.ms.ro/2020/05/28/buletin-informativ-28-05-2020/" xr:uid="{00000000-0004-0000-0000-00006D040000}"/>
    <hyperlink ref="K566" r:id="rId1135" display="https://stirioficiale.ro/informatii/buletin-de-presa-28-mai-2020-ora-13-00" xr:uid="{00000000-0004-0000-0000-00006E040000}"/>
    <hyperlink ref="T566" r:id="rId1136" display="http://www.ms.ro/2020/05/28/buletin-informativ-28-05-2020/" xr:uid="{00000000-0004-0000-0000-00006F040000}"/>
    <hyperlink ref="K567" r:id="rId1137" display="https://stirioficiale.ro/informatii/buletin-de-presa-28-mai-2020-ora-13-00" xr:uid="{00000000-0004-0000-0000-000070040000}"/>
    <hyperlink ref="T567" r:id="rId1138" display="http://www.ms.ro/2020/05/28/buletin-informativ-28-05-2020/" xr:uid="{00000000-0004-0000-0000-000071040000}"/>
    <hyperlink ref="K568" r:id="rId1139" display="https://www.bihon.ro/stirile-judetului-bihor/plexus-confirma-4-angajati-pozitivi-covid-19-inchid-fabrica-temporar-2293555/" xr:uid="{00000000-0004-0000-0000-000072040000}"/>
    <hyperlink ref="T568" r:id="rId1140" display="http://www.ms.ro/2020/05/29/buletin-informativ-29-05-2020/" xr:uid="{00000000-0004-0000-0000-000073040000}"/>
    <hyperlink ref="K569" r:id="rId1141" display="https://www.bihon.ro/stirile-judetului-bihor/plexus-confirma-4-angajati-pozitivi-covid-19-inchid-fabrica-temporar-2293555/" xr:uid="{00000000-0004-0000-0000-000074040000}"/>
    <hyperlink ref="T569" r:id="rId1142" display="http://www.ms.ro/2020/05/29/buletin-informativ-29-05-2020/" xr:uid="{00000000-0004-0000-0000-000075040000}"/>
    <hyperlink ref="K570" r:id="rId1143" display="https://www.bihon.ro/stirile-judetului-bihor/plexus-confirma-4-angajati-pozitivi-covid-19-inchid-fabrica-temporar-2293555/" xr:uid="{00000000-0004-0000-0000-000076040000}"/>
    <hyperlink ref="T570" r:id="rId1144" display="http://www.ms.ro/2020/05/29/buletin-informativ-29-05-2020/" xr:uid="{00000000-0004-0000-0000-000077040000}"/>
    <hyperlink ref="K571" r:id="rId1145" display="https://stirioficiale.ro/informatii/buletin-de-presa-29-mai-2020-ora-13-00" xr:uid="{00000000-0004-0000-0000-000078040000}"/>
    <hyperlink ref="T571" r:id="rId1146" display="http://www.ms.ro/2020/05/29/buletin-informativ-29-05-2020/" xr:uid="{00000000-0004-0000-0000-000079040000}"/>
    <hyperlink ref="K572" r:id="rId1147" display="https://stirioficiale.ro/informatii/buletin-de-presa-29-mai-2020-ora-13-00" xr:uid="{00000000-0004-0000-0000-00007A040000}"/>
    <hyperlink ref="T572" r:id="rId1148" display="http://www.ms.ro/2020/05/29/buletin-informativ-29-05-2020/" xr:uid="{00000000-0004-0000-0000-00007B040000}"/>
    <hyperlink ref="K573" r:id="rId1149" display="https://stirioficiale.ro/informatii/buletin-de-presa-29-mai-2020-ora-13-00" xr:uid="{00000000-0004-0000-0000-00007C040000}"/>
    <hyperlink ref="T573" r:id="rId1150" display="http://www.ms.ro/2020/05/29/buletin-informativ-29-05-2020/" xr:uid="{00000000-0004-0000-0000-00007D040000}"/>
    <hyperlink ref="K574" r:id="rId1151" display="https://stirioficiale.ro/informatii/buletin-de-presa-29-mai-2020-ora-13-00" xr:uid="{00000000-0004-0000-0000-00007E040000}"/>
    <hyperlink ref="T574" r:id="rId1152" display="http://www.ms.ro/2020/05/29/buletin-informativ-29-05-2020/" xr:uid="{00000000-0004-0000-0000-00007F040000}"/>
    <hyperlink ref="K575" r:id="rId1153" display="https://stirioficiale.ro/informatii/buletin-de-presa-29-mai-2020-ora-13-00" xr:uid="{00000000-0004-0000-0000-000080040000}"/>
    <hyperlink ref="T575" r:id="rId1154" display="http://www.ms.ro/2020/05/29/buletin-informativ-29-05-2020/" xr:uid="{00000000-0004-0000-0000-000081040000}"/>
    <hyperlink ref="K576" r:id="rId1155" display="https://stirioficiale.ro/informatii/buletin-de-presa-29-mai-2020-ora-13-00" xr:uid="{00000000-0004-0000-0000-000082040000}"/>
    <hyperlink ref="T576" r:id="rId1156" display="http://www.ms.ro/2020/05/29/buletin-informativ-29-05-2020/" xr:uid="{00000000-0004-0000-0000-000083040000}"/>
    <hyperlink ref="K577" r:id="rId1157" display="https://stirioficiale.ro/informatii/buletin-de-presa-29-mai-2020-ora-13-00" xr:uid="{00000000-0004-0000-0000-000084040000}"/>
    <hyperlink ref="T577" r:id="rId1158" display="http://www.ms.ro/2020/05/29/buletin-informativ-29-05-2020/" xr:uid="{00000000-0004-0000-0000-000085040000}"/>
    <hyperlink ref="K578" r:id="rId1159" display="https://stirioficiale.ro/informatii/buletin-de-presa-29-mai-2020-ora-13-00" xr:uid="{00000000-0004-0000-0000-000086040000}"/>
    <hyperlink ref="T578" r:id="rId1160" display="http://www.ms.ro/2020/05/29/buletin-informativ-29-05-2020/" xr:uid="{00000000-0004-0000-0000-000087040000}"/>
    <hyperlink ref="K579" r:id="rId1161" display="https://stirioficiale.ro/informatii/buletin-de-presa-29-mai-2020-ora-13-00" xr:uid="{00000000-0004-0000-0000-000088040000}"/>
    <hyperlink ref="T579" r:id="rId1162" display="http://www.ms.ro/2020/05/29/buletin-informativ-29-05-2020/" xr:uid="{00000000-0004-0000-0000-000089040000}"/>
    <hyperlink ref="K580" r:id="rId1163" display="https://www.bihon.ro/stirile-judetului-bihor/rezultatul-testarii-la-plexus-21-de-angajati-pozitivi-covid-19-iata-ce-masuri-ia-compania-americana-2295625/" xr:uid="{00000000-0004-0000-0000-00008A040000}"/>
    <hyperlink ref="T580" r:id="rId1164" display="http://www.ms.ro/2020/05/30/buletin-informativ-30-05-2020/" xr:uid="{00000000-0004-0000-0000-00008B040000}"/>
    <hyperlink ref="K581" r:id="rId1165" display="https://www.bihon.ro/stirile-judetului-bihor/rezultatul-testarii-la-plexus-21-de-angajati-pozitivi-covid-19-iata-ce-masuri-ia-compania-americana-2295625/" xr:uid="{00000000-0004-0000-0000-00008C040000}"/>
    <hyperlink ref="T581" r:id="rId1166" display="http://www.ms.ro/2020/05/30/buletin-informativ-30-05-2020/" xr:uid="{00000000-0004-0000-0000-00008D040000}"/>
    <hyperlink ref="K582" r:id="rId1167" display="https://www.bihon.ro/stirile-judetului-bihor/rezultatul-testarii-la-plexus-21-de-angajati-pozitivi-covid-19-iata-ce-masuri-ia-compania-americana-2295625/" xr:uid="{00000000-0004-0000-0000-00008E040000}"/>
    <hyperlink ref="T582" r:id="rId1168" display="http://www.ms.ro/2020/05/30/buletin-informativ-30-05-2020/" xr:uid="{00000000-0004-0000-0000-00008F040000}"/>
    <hyperlink ref="K583" r:id="rId1169" display="https://www.bihon.ro/stirile-judetului-bihor/rezultatul-testarii-la-plexus-21-de-angajati-pozitivi-covid-19-iata-ce-masuri-ia-compania-americana-2295625/" xr:uid="{00000000-0004-0000-0000-000090040000}"/>
    <hyperlink ref="T583" r:id="rId1170" display="http://www.ms.ro/2020/05/30/buletin-informativ-30-05-2020/" xr:uid="{00000000-0004-0000-0000-000091040000}"/>
    <hyperlink ref="K584" r:id="rId1171" display="https://www.bihon.ro/stirile-judetului-bihor/rezultatul-testarii-la-plexus-21-de-angajati-pozitivi-covid-19-iata-ce-masuri-ia-compania-americana-2295625/" xr:uid="{00000000-0004-0000-0000-000092040000}"/>
    <hyperlink ref="T584" r:id="rId1172" display="http://www.ms.ro/2020/05/31/buletin-informativ-31-05-2020/" xr:uid="{00000000-0004-0000-0000-000093040000}"/>
    <hyperlink ref="K585" r:id="rId1173" display="https://www.bihon.ro/stirile-judetului-bihor/rezultatul-testarii-la-plexus-21-de-angajati-pozitivi-covid-19-iata-ce-masuri-ia-compania-americana-2295625/" xr:uid="{00000000-0004-0000-0000-000094040000}"/>
    <hyperlink ref="T585" r:id="rId1174" display="http://www.ms.ro/2020/05/31/buletin-informativ-31-05-2020/" xr:uid="{00000000-0004-0000-0000-000095040000}"/>
    <hyperlink ref="K586" r:id="rId1175" display="https://www.bihon.ro/stirile-judetului-bihor/rezultatul-testarii-la-plexus-21-de-angajati-pozitivi-covid-19-iata-ce-masuri-ia-compania-americana-2295625/" xr:uid="{00000000-0004-0000-0000-000096040000}"/>
    <hyperlink ref="T586" r:id="rId1176" display="http://www.ms.ro/2020/05/31/buletin-informativ-31-05-2020/" xr:uid="{00000000-0004-0000-0000-000097040000}"/>
    <hyperlink ref="K587" r:id="rId1177" display="https://www.bihon.ro/stirile-judetului-bihor/rezultatul-testarii-la-plexus-21-de-angajati-pozitivi-covid-19-iata-ce-masuri-ia-compania-americana-2295625/" xr:uid="{00000000-0004-0000-0000-000098040000}"/>
    <hyperlink ref="T587" r:id="rId1178" display="http://www.ms.ro/2020/05/31/buletin-informativ-31-05-2020/" xr:uid="{00000000-0004-0000-0000-000099040000}"/>
    <hyperlink ref="K588" r:id="rId1179" display="https://www.bihon.ro/stirile-judetului-bihor/rezultatul-testarii-la-plexus-21-de-angajati-pozitivi-covid-19-iata-ce-masuri-ia-compania-americana-2295625/" xr:uid="{00000000-0004-0000-0000-00009A040000}"/>
    <hyperlink ref="T588" r:id="rId1180" display="http://www.ms.ro/2020/05/31/buletin-informativ-31-05-2020/" xr:uid="{00000000-0004-0000-0000-00009B040000}"/>
    <hyperlink ref="K589" r:id="rId1181" display="https://www.bihon.ro/stirile-judetului-bihor/rezultatul-testarii-la-plexus-21-de-angajati-pozitivi-covid-19-iata-ce-masuri-ia-compania-americana-2295625/" xr:uid="{00000000-0004-0000-0000-00009C040000}"/>
    <hyperlink ref="T589" r:id="rId1182" display="http://www.ms.ro/2020/05/31/buletin-informativ-31-05-2020/" xr:uid="{00000000-0004-0000-0000-00009D040000}"/>
    <hyperlink ref="K590" r:id="rId1183" display="https://www.bihon.ro/stirile-judetului-bihor/rezultatul-testarii-la-plexus-21-de-angajati-pozitivi-covid-19-iata-ce-masuri-ia-compania-americana-2295625/" xr:uid="{00000000-0004-0000-0000-00009E040000}"/>
    <hyperlink ref="T590" r:id="rId1184" display="http://www.ms.ro/2020/05/31/buletin-informativ-31-05-2020/" xr:uid="{00000000-0004-0000-0000-00009F040000}"/>
    <hyperlink ref="K591" r:id="rId1185" display="https://www.bihon.ro/stirile-judetului-bihor/rezultatul-testarii-la-plexus-21-de-angajati-pozitivi-covid-19-iata-ce-masuri-ia-compania-americana-2295625/" xr:uid="{00000000-0004-0000-0000-0000A0040000}"/>
    <hyperlink ref="T591" r:id="rId1186" display="http://www.ms.ro/2020/05/31/buletin-informativ-31-05-2020/" xr:uid="{00000000-0004-0000-0000-0000A1040000}"/>
    <hyperlink ref="K592" r:id="rId1187" display="https://www.bihon.ro/stirile-judetului-bihor/rezultatul-testarii-la-plexus-21-de-angajati-pozitivi-covid-19-iata-ce-masuri-ia-compania-americana-2295625/" xr:uid="{00000000-0004-0000-0000-0000A2040000}"/>
    <hyperlink ref="T592" r:id="rId1188" display="http://www.ms.ro/2020/05/31/buletin-informativ-31-05-2020/" xr:uid="{00000000-0004-0000-0000-0000A3040000}"/>
    <hyperlink ref="K593" r:id="rId1189" display="https://www.bihon.ro/stirile-judetului-bihor/rezultatul-testarii-la-plexus-21-de-angajati-pozitivi-covid-19-iata-ce-masuri-ia-compania-americana-2295625/" xr:uid="{00000000-0004-0000-0000-0000A4040000}"/>
    <hyperlink ref="T593" r:id="rId1190" display="http://www.ms.ro/2020/05/31/buletin-informativ-31-05-2020/" xr:uid="{00000000-0004-0000-0000-0000A5040000}"/>
    <hyperlink ref="K594" r:id="rId1191" display="https://stirioficiale.ro/informatii/buletin-de-presa-31-mai-2020-ora-13-00" xr:uid="{00000000-0004-0000-0000-0000A6040000}"/>
    <hyperlink ref="T594" r:id="rId1192" display="http://www.ms.ro/2020/05/31/buletin-informativ-31-05-2020/" xr:uid="{00000000-0004-0000-0000-0000A7040000}"/>
    <hyperlink ref="K595" r:id="rId1193" display="https://stirioficiale.ro/informatii/buletin-de-presa-31-mai-2020-ora-13-00" xr:uid="{00000000-0004-0000-0000-0000A8040000}"/>
    <hyperlink ref="T595" r:id="rId1194" display="http://www.ms.ro/2020/05/31/buletin-informativ-31-05-2020/" xr:uid="{00000000-0004-0000-0000-0000A9040000}"/>
    <hyperlink ref="K596" r:id="rId1195" display="https://stirioficiale.ro/informatii/buletin-de-presa-31-mai-2020-ora-13-00" xr:uid="{00000000-0004-0000-0000-0000AA040000}"/>
    <hyperlink ref="T596" r:id="rId1196" display="http://www.ms.ro/2020/05/31/buletin-informativ-31-05-2020/" xr:uid="{00000000-0004-0000-0000-0000AB040000}"/>
    <hyperlink ref="K597" r:id="rId1197" display="https://stirioficiale.ro/informatii/buletin-de-presa-31-mai-2020-ora-13-00" xr:uid="{00000000-0004-0000-0000-0000AC040000}"/>
    <hyperlink ref="T597" r:id="rId1198" display="http://www.ms.ro/2020/05/31/buletin-informativ-31-05-2020/" xr:uid="{00000000-0004-0000-0000-0000AD040000}"/>
    <hyperlink ref="K598" r:id="rId1199" display="https://stirioficiale.ro/informatii/buletin-de-presa-31-mai-2020-ora-13-00" xr:uid="{00000000-0004-0000-0000-0000AE040000}"/>
    <hyperlink ref="T598" r:id="rId1200" display="http://www.ms.ro/2020/05/31/buletin-informativ-31-05-2020/" xr:uid="{00000000-0004-0000-0000-0000AF040000}"/>
    <hyperlink ref="K599" r:id="rId1201" display="https://stirioficiale.ro/informatii/buletin-de-presa-31-mai-2020-ora-13-00" xr:uid="{00000000-0004-0000-0000-0000B0040000}"/>
    <hyperlink ref="T599" r:id="rId1202" display="http://www.ms.ro/2020/05/31/buletin-informativ-31-05-2020/" xr:uid="{00000000-0004-0000-0000-0000B1040000}"/>
    <hyperlink ref="K600" r:id="rId1203" display="https://stirioficiale.ro/informatii/buletin-de-presa-31-mai-2020-ora-13-00" xr:uid="{00000000-0004-0000-0000-0000B2040000}"/>
    <hyperlink ref="T600" r:id="rId1204" display="http://www.ms.ro/2020/05/31/buletin-informativ-31-05-2020/" xr:uid="{00000000-0004-0000-0000-0000B3040000}"/>
    <hyperlink ref="K601" r:id="rId1205" display="https://stirioficiale.ro/informatii/buletin-de-presa-31-mai-2020-ora-13-00" xr:uid="{00000000-0004-0000-0000-0000B4040000}"/>
    <hyperlink ref="T601" r:id="rId1206" display="http://www.ms.ro/2020/05/31/buletin-informativ-31-05-2020/" xr:uid="{00000000-0004-0000-0000-0000B5040000}"/>
    <hyperlink ref="K602" r:id="rId1207" display="https://stirioficiale.ro/informatii/buletin-de-presa-31-mai-2020-ora-13-00" xr:uid="{00000000-0004-0000-0000-0000B6040000}"/>
    <hyperlink ref="T602" r:id="rId1208" display="http://www.ms.ro/2020/05/31/buletin-informativ-31-05-2020/" xr:uid="{00000000-0004-0000-0000-0000B7040000}"/>
    <hyperlink ref="K603" r:id="rId1209" display="https://stirioficiale.ro/informatii/buletin-de-presa-31-mai-2020-ora-13-00" xr:uid="{00000000-0004-0000-0000-0000B8040000}"/>
    <hyperlink ref="T603" r:id="rId1210" display="http://www.ms.ro/2020/05/31/buletin-informativ-31-05-2020/" xr:uid="{00000000-0004-0000-0000-0000B9040000}"/>
    <hyperlink ref="K604" r:id="rId1211" display="https://stirioficiale.ro/informatii/buletin-de-presa-31-mai-2020-ora-13-00" xr:uid="{00000000-0004-0000-0000-0000BA040000}"/>
    <hyperlink ref="T604" r:id="rId1212" display="http://www.ms.ro/2020/05/31/buletin-informativ-31-05-2020/" xr:uid="{00000000-0004-0000-0000-0000BB040000}"/>
    <hyperlink ref="K605" r:id="rId1213" display="https://stirioficiale.ro/informatii/buletin-de-presa-31-mai-2020-ora-13-00" xr:uid="{00000000-0004-0000-0000-0000BC040000}"/>
    <hyperlink ref="T605" r:id="rId1214" display="http://www.ms.ro/2020/05/31/buletin-informativ-31-05-2020/" xr:uid="{00000000-0004-0000-0000-0000BD040000}"/>
    <hyperlink ref="K606" r:id="rId1215" display="https://stirioficiale.ro/informatii/buletin-de-presa-1-iunie-2020-ora-13-00" xr:uid="{00000000-0004-0000-0000-0000BE040000}"/>
    <hyperlink ref="T606" r:id="rId1216" display="http://www.ms.ro/2020/06/01/buletin-informativ-01-06-2020/" xr:uid="{00000000-0004-0000-0000-0000BF040000}"/>
    <hyperlink ref="K607" r:id="rId1217" display="https://stirioficiale.ro/informatii/buletin-de-presa-1-iunie-2020-ora-13-00" xr:uid="{00000000-0004-0000-0000-0000C0040000}"/>
    <hyperlink ref="T607" r:id="rId1218" display="http://www.ms.ro/2020/06/01/buletin-informativ-01-06-2020/" xr:uid="{00000000-0004-0000-0000-0000C1040000}"/>
    <hyperlink ref="K608" r:id="rId1219" display="https://stirioficiale.ro/informatii/buletin-de-presa-1-iunie-2020-ora-13-00" xr:uid="{00000000-0004-0000-0000-0000C2040000}"/>
    <hyperlink ref="T608" r:id="rId1220" display="http://www.ms.ro/2020/06/01/buletin-informativ-01-06-2020/" xr:uid="{00000000-0004-0000-0000-0000C3040000}"/>
    <hyperlink ref="K609" r:id="rId1221" display="https://stirioficiale.ro/informatii/buletin-de-presa-1-iunie-2020-ora-13-00" xr:uid="{00000000-0004-0000-0000-0000C4040000}"/>
    <hyperlink ref="T609" r:id="rId1222" display="http://www.ms.ro/2020/06/01/buletin-informativ-01-06-2020/" xr:uid="{00000000-0004-0000-0000-0000C5040000}"/>
    <hyperlink ref="K610" r:id="rId1223" display="https://stirioficiale.ro/informatii/buletin-de-presa-2-iunie-2020-ora-13-00" xr:uid="{00000000-0004-0000-0000-0000C6040000}"/>
    <hyperlink ref="T610" r:id="rId1224" display="http://www.ms.ro/2020/06/02/buletin-informativ-02-06-2020/" xr:uid="{00000000-0004-0000-0000-0000C7040000}"/>
    <hyperlink ref="K611" r:id="rId1225" display="https://stirioficiale.ro/informatii/buletin-de-presa-2-iunie-2020-ora-13-00" xr:uid="{00000000-0004-0000-0000-0000C8040000}"/>
    <hyperlink ref="T611" r:id="rId1226" display="http://www.ms.ro/2020/06/02/buletin-informativ-02-06-2020/" xr:uid="{00000000-0004-0000-0000-0000C9040000}"/>
    <hyperlink ref="K612" r:id="rId1227" display="https://stirioficiale.ro/informatii/buletin-de-presa-2-iunie-2020-ora-13-00" xr:uid="{00000000-0004-0000-0000-0000CA040000}"/>
    <hyperlink ref="T612" r:id="rId1228" display="http://www.ms.ro/2020/06/02/buletin-informativ-02-06-2020/" xr:uid="{00000000-0004-0000-0000-0000CB040000}"/>
    <hyperlink ref="K613" r:id="rId1229" display="https://stirioficiale.ro/informatii/buletin-de-presa-2-iunie-2020-ora-13-00" xr:uid="{00000000-0004-0000-0000-0000CC040000}"/>
    <hyperlink ref="T613" r:id="rId1230" display="http://www.ms.ro/2020/06/02/buletin-informativ-02-06-2020/" xr:uid="{00000000-0004-0000-0000-0000CD040000}"/>
    <hyperlink ref="K614" r:id="rId1231" display="https://stirioficiale.ro/informatii/buletin-de-presa-2-iunie-2020-ora-13-00" xr:uid="{00000000-0004-0000-0000-0000CE040000}"/>
    <hyperlink ref="T614" r:id="rId1232" display="http://www.ms.ro/2020/06/02/buletin-informativ-02-06-2020/" xr:uid="{00000000-0004-0000-0000-0000CF040000}"/>
    <hyperlink ref="K615" r:id="rId1233" display="https://stirioficiale.ro/informatii/buletin-de-presa-2-iunie-2020-ora-13-00" xr:uid="{00000000-0004-0000-0000-0000D0040000}"/>
    <hyperlink ref="T615" r:id="rId1234" display="http://www.ms.ro/2020/06/02/buletin-informativ-02-06-2020/" xr:uid="{00000000-0004-0000-0000-0000D1040000}"/>
    <hyperlink ref="K616" r:id="rId1235" display="https://stirioficiale.ro/informatii/buletin-de-presa-2-iunie-2020-ora-13-00" xr:uid="{00000000-0004-0000-0000-0000D2040000}"/>
    <hyperlink ref="T616" r:id="rId1236" display="http://www.ms.ro/2020/06/02/buletin-informativ-02-06-2020/" xr:uid="{00000000-0004-0000-0000-0000D3040000}"/>
    <hyperlink ref="K617" r:id="rId1237" display="https://stirioficiale.ro/informatii/buletin-de-presa-2-iunie-2020-ora-13-00" xr:uid="{00000000-0004-0000-0000-0000D4040000}"/>
    <hyperlink ref="T617" r:id="rId1238" display="http://www.ms.ro/2020/06/02/buletin-informativ-02-06-2020/" xr:uid="{00000000-0004-0000-0000-0000D5040000}"/>
    <hyperlink ref="K618" r:id="rId1239" display="https://stirioficiale.ro/informatii/buletin-de-presa-2-iunie-2020-ora-13-00" xr:uid="{00000000-0004-0000-0000-0000D6040000}"/>
    <hyperlink ref="T618" r:id="rId1240" display="http://www.ms.ro/2020/06/02/buletin-informativ-02-06-2020/" xr:uid="{00000000-0004-0000-0000-0000D7040000}"/>
    <hyperlink ref="K619" r:id="rId1241" display="https://stirioficiale.ro/informatii/buletin-de-presa-2-iunie-2020-ora-13-00" xr:uid="{00000000-0004-0000-0000-0000D8040000}"/>
    <hyperlink ref="T619" r:id="rId1242" display="http://www.ms.ro/2020/06/02/buletin-informativ-02-06-2020/" xr:uid="{00000000-0004-0000-0000-0000D9040000}"/>
    <hyperlink ref="K620" r:id="rId1243" display="https://stirioficiale.ro/informatii/buletin-de-presa-2-iunie-2020-ora-13-00" xr:uid="{00000000-0004-0000-0000-0000DA040000}"/>
    <hyperlink ref="T620" r:id="rId1244" display="http://www.ms.ro/2020/06/02/buletin-informativ-02-06-2020/" xr:uid="{00000000-0004-0000-0000-0000DB040000}"/>
    <hyperlink ref="K621" r:id="rId1245" display="https://stirioficiale.ro/informatii/buletin-de-presa-2-iunie-2020-ora-13-00" xr:uid="{00000000-0004-0000-0000-0000DC040000}"/>
    <hyperlink ref="T621" r:id="rId1246" display="http://www.ms.ro/2020/06/02/buletin-informativ-02-06-2020/" xr:uid="{00000000-0004-0000-0000-0000DD040000}"/>
    <hyperlink ref="K622" r:id="rId1247" display="https://stirioficiale.ro/informatii/buletin-de-presa-3-iunie-2020-ora-13-00" xr:uid="{00000000-0004-0000-0000-0000DE040000}"/>
    <hyperlink ref="T622" r:id="rId1248" display="http://www.ms.ro/2020/06/03/buletin-informativ-03-06-2020/" xr:uid="{00000000-0004-0000-0000-0000DF040000}"/>
    <hyperlink ref="K623" r:id="rId1249" display="https://stirioficiale.ro/informatii/buletin-de-presa-3-iunie-2020-ora-13-00" xr:uid="{00000000-0004-0000-0000-0000E0040000}"/>
    <hyperlink ref="T623" r:id="rId1250" display="http://www.ms.ro/2020/06/03/buletin-informativ-03-06-2020/" xr:uid="{00000000-0004-0000-0000-0000E1040000}"/>
    <hyperlink ref="K624" r:id="rId1251" display="https://stirioficiale.ro/informatii/buletin-de-presa-3-iunie-2020-ora-13-00" xr:uid="{00000000-0004-0000-0000-0000E2040000}"/>
    <hyperlink ref="T624" r:id="rId1252" display="http://www.ms.ro/2020/06/03/buletin-informativ-03-06-2020/" xr:uid="{00000000-0004-0000-0000-0000E3040000}"/>
    <hyperlink ref="K625" r:id="rId1253" display="https://stirioficiale.ro/informatii/buletin-de-presa-4-iunie-2020-ora-13-00" xr:uid="{00000000-0004-0000-0000-0000E4040000}"/>
    <hyperlink ref="K626" r:id="rId1254" display="https://stirioficiale.ro/informatii/buletin-de-presa-4-iunie-2020-ora-13-00" xr:uid="{00000000-0004-0000-0000-0000E5040000}"/>
    <hyperlink ref="K627" r:id="rId1255" display="https://stirioficiale.ro/informatii/buletin-de-presa-4-iunie-2020-ora-13-00" xr:uid="{00000000-0004-0000-0000-0000E6040000}"/>
    <hyperlink ref="K628" r:id="rId1256" display="https://stirioficiale.ro/informatii/buletin-de-presa-4-iunie-2020-ora-13-00" xr:uid="{00000000-0004-0000-0000-0000E7040000}"/>
    <hyperlink ref="K629" r:id="rId1257" display="https://stirioficiale.ro/informatii/buletin-de-presa-4-iunie-2020-ora-13-00" xr:uid="{00000000-0004-0000-0000-0000E8040000}"/>
    <hyperlink ref="K630" r:id="rId1258" display="https://stirioficiale.ro/informatii/buletin-de-presa-5-iunie-2020-ora-13-00" xr:uid="{00000000-0004-0000-0000-0000E9040000}"/>
    <hyperlink ref="T630" r:id="rId1259" display="http://www.ms.ro/2020/06/05/buletin-informativ-05-06-2020/" xr:uid="{00000000-0004-0000-0000-0000EA040000}"/>
    <hyperlink ref="K631" r:id="rId1260" display="https://stirioficiale.ro/informatii/buletin-de-presa-5-iunie-2020-ora-13-00" xr:uid="{00000000-0004-0000-0000-0000EB040000}"/>
    <hyperlink ref="T631" r:id="rId1261" display="http://www.ms.ro/2020/06/05/buletin-informativ-05-06-2020/" xr:uid="{00000000-0004-0000-0000-0000EC040000}"/>
    <hyperlink ref="K632" r:id="rId1262" display="https://stirioficiale.ro/informatii/buletin-de-presa-5-iunie-2020-ora-13-00" xr:uid="{00000000-0004-0000-0000-0000ED040000}"/>
    <hyperlink ref="T632" r:id="rId1263" display="http://www.ms.ro/2020/06/05/buletin-informativ-05-06-2020/" xr:uid="{00000000-0004-0000-0000-0000EE040000}"/>
    <hyperlink ref="K633" r:id="rId1264" display="https://stirioficiale.ro/informatii/buletin-de-presa-6-iunie-2020-ora-13-00" xr:uid="{00000000-0004-0000-0000-0000EF040000}"/>
    <hyperlink ref="T633" r:id="rId1265" display="http://www.ms.ro/2020/06/06/buletin-informativ-06-06-2020/" xr:uid="{00000000-0004-0000-0000-0000F0040000}"/>
    <hyperlink ref="K634" r:id="rId1266" display="https://stirioficiale.ro/informatii/buletin-de-presa-6-iunie-2020-ora-13-00" xr:uid="{00000000-0004-0000-0000-0000F1040000}"/>
    <hyperlink ref="T634" r:id="rId1267" display="http://www.ms.ro/2020/06/06/buletin-informativ-06-06-2020/" xr:uid="{00000000-0004-0000-0000-0000F2040000}"/>
    <hyperlink ref="K635" r:id="rId1268" display="https://stirioficiale.ro/informatii/buletin-de-presa-6-iunie-2020-ora-13-00" xr:uid="{00000000-0004-0000-0000-0000F3040000}"/>
    <hyperlink ref="T635" r:id="rId1269" display="http://www.ms.ro/2020/06/06/buletin-informativ-06-06-2020/" xr:uid="{00000000-0004-0000-0000-0000F4040000}"/>
    <hyperlink ref="K636" r:id="rId1270" display="https://stirioficiale.ro/informatii/buletin-de-presa-6-iunie-2020-ora-13-00" xr:uid="{00000000-0004-0000-0000-0000F5040000}"/>
    <hyperlink ref="T636" r:id="rId1271" display="http://www.ms.ro/2020/06/06/buletin-informativ-06-06-2020/" xr:uid="{00000000-0004-0000-0000-0000F6040000}"/>
    <hyperlink ref="K637" r:id="rId1272" display="https://stirioficiale.ro/informatii/buletin-de-presa-6-iunie-2020-ora-13-00" xr:uid="{00000000-0004-0000-0000-0000F7040000}"/>
    <hyperlink ref="T637" r:id="rId1273" display="http://www.ms.ro/2020/06/06/buletin-informativ-06-06-2020/" xr:uid="{00000000-0004-0000-0000-0000F8040000}"/>
    <hyperlink ref="K638" r:id="rId1274" display="https://stirioficiale.ro/informatii/buletin-de-presa-6-iunie-2020-ora-13-00" xr:uid="{00000000-0004-0000-0000-0000F9040000}"/>
    <hyperlink ref="T638" r:id="rId1275" display="http://www.ms.ro/2020/06/06/buletin-informativ-06-06-2020/" xr:uid="{00000000-0004-0000-0000-0000FA040000}"/>
    <hyperlink ref="K639" r:id="rId1276" display="https://stirioficiale.ro/informatii/buletin-de-presa-6-iunie-2020-ora-13-00" xr:uid="{00000000-0004-0000-0000-0000FB040000}"/>
    <hyperlink ref="T639" r:id="rId1277" display="http://www.ms.ro/2020/06/06/buletin-informativ-06-06-2020/" xr:uid="{00000000-0004-0000-0000-0000FC040000}"/>
    <hyperlink ref="K640" r:id="rId1278" display="https://stirioficiale.ro/informatii/buletin-de-presa-6-iunie-2020-ora-13-00" xr:uid="{00000000-0004-0000-0000-0000FD040000}"/>
    <hyperlink ref="T640" r:id="rId1279" display="http://www.ms.ro/2020/06/06/buletin-informativ-06-06-2020/" xr:uid="{00000000-0004-0000-0000-0000FE040000}"/>
    <hyperlink ref="K641" r:id="rId1280" display="https://stirioficiale.ro/informatii/buletin-de-presa-7-iunie-2020-ora-13-00" xr:uid="{00000000-0004-0000-0000-0000FF040000}"/>
    <hyperlink ref="T641" r:id="rId1281" display="http://www.ms.ro/2020/06/07/buletin-informativ-07-06-2020/" xr:uid="{00000000-0004-0000-0000-000000050000}"/>
    <hyperlink ref="K642" r:id="rId1282" display="https://stirioficiale.ro/informatii/buletin-de-presa-7-iunie-2020-ora-13-00" xr:uid="{00000000-0004-0000-0000-000001050000}"/>
    <hyperlink ref="T642" r:id="rId1283" display="http://www.ms.ro/2020/06/07/buletin-informativ-07-06-2020/" xr:uid="{00000000-0004-0000-0000-000002050000}"/>
    <hyperlink ref="K643" r:id="rId1284" display="https://stirioficiale.ro/informatii/buletin-de-presa-7-iunie-2020-ora-13-00" xr:uid="{00000000-0004-0000-0000-000003050000}"/>
    <hyperlink ref="T643" r:id="rId1285" display="http://www.ms.ro/2020/06/07/buletin-informativ-07-06-2020/" xr:uid="{00000000-0004-0000-0000-000004050000}"/>
    <hyperlink ref="K644" r:id="rId1286" display="https://stirioficiale.ro/informatii/buletin-de-presa-10-iunie-2020-ora-13-00" xr:uid="{00000000-0004-0000-0000-000005050000}"/>
    <hyperlink ref="T644" r:id="rId1287" display="http://www.ms.ro/2020/06/10/buletin-informativ-10-06-2020/" xr:uid="{00000000-0004-0000-0000-000006050000}"/>
    <hyperlink ref="K645" r:id="rId1288" display="https://stirioficiale.ro/informatii/buletin-de-presa-11-iunie-2020-ora-13-00" xr:uid="{00000000-0004-0000-0000-000007050000}"/>
    <hyperlink ref="T645" r:id="rId1289" display="http://www.ms.ro/2020/06/11/buletin-informativ-11-06-2020/" xr:uid="{00000000-0004-0000-0000-000008050000}"/>
    <hyperlink ref="K646" r:id="rId1290" display="https://stirioficiale.ro/informatii/buletin-de-presa-11-iunie-2020-ora-13-00" xr:uid="{00000000-0004-0000-0000-000009050000}"/>
    <hyperlink ref="T646" r:id="rId1291" display="http://www.ms.ro/2020/06/11/buletin-informativ-11-06-2020/" xr:uid="{00000000-0004-0000-0000-00000A050000}"/>
    <hyperlink ref="K647" r:id="rId1292" display="https://stirioficiale.ro/informatii/buletin-de-presa-12-iunie-2020-ora-13-00" xr:uid="{00000000-0004-0000-0000-00000B050000}"/>
    <hyperlink ref="T647" r:id="rId1293" display="http://www.ms.ro/2020/06/12/buletin-informativ-12-06-2020/" xr:uid="{00000000-0004-0000-0000-00000C050000}"/>
    <hyperlink ref="K648" r:id="rId1294" display="https://stirioficiale.ro/informatii/buletin-de-presa-12-iunie-2020-ora-13-00" xr:uid="{00000000-0004-0000-0000-00000D050000}"/>
    <hyperlink ref="T648" r:id="rId1295" display="http://www.ms.ro/2020/06/12/buletin-informativ-12-06-2020/" xr:uid="{00000000-0004-0000-0000-00000E050000}"/>
    <hyperlink ref="K649" r:id="rId1296" display="https://stirioficiale.ro/informatii/buletin-de-presa-13-iunie-2020-ora-13-00" xr:uid="{00000000-0004-0000-0000-00000F050000}"/>
    <hyperlink ref="T649" r:id="rId1297" display="http://www.ms.ro/2020/06/13/buletin-informativ-13-06-2020/" xr:uid="{00000000-0004-0000-0000-000010050000}"/>
    <hyperlink ref="K650" r:id="rId1298" display="https://stirioficiale.ro/informatii/buletin-de-presa-13-iunie-2020-ora-13-00" xr:uid="{00000000-0004-0000-0000-000011050000}"/>
    <hyperlink ref="T650" r:id="rId1299" display="http://www.ms.ro/2020/06/13/buletin-informativ-13-06-2020/" xr:uid="{00000000-0004-0000-0000-000012050000}"/>
    <hyperlink ref="K651" r:id="rId1300" display="https://stirioficiale.ro/informatii/buletin-de-presa-14-iunie-2020-ora-13-00" xr:uid="{00000000-0004-0000-0000-000013050000}"/>
    <hyperlink ref="T651" r:id="rId1301" display="http://www.ms.ro/2020/06/14/buletin-informativ-14-06-2020/" xr:uid="{00000000-0004-0000-0000-000014050000}"/>
    <hyperlink ref="K652" r:id="rId1302" display="https://stirioficiale.ro/informatii/buletin-de-presa-14-iunie-2020-ora-13-00" xr:uid="{00000000-0004-0000-0000-000015050000}"/>
    <hyperlink ref="T652" r:id="rId1303" display="http://www.ms.ro/2020/06/14/buletin-informativ-14-06-2020/" xr:uid="{00000000-0004-0000-0000-000016050000}"/>
    <hyperlink ref="K653" r:id="rId1304" display="https://stirioficiale.ro/informatii/buletin-de-presa-14-iunie-2020-ora-13-00" xr:uid="{00000000-0004-0000-0000-000017050000}"/>
    <hyperlink ref="T653" r:id="rId1305" display="http://www.ms.ro/2020/06/14/buletin-informativ-14-06-2020/" xr:uid="{00000000-0004-0000-0000-000018050000}"/>
    <hyperlink ref="K654" r:id="rId1306" display="https://stirioficiale.ro/informatii/buletin-de-presa-14-iunie-2020-ora-13-00" xr:uid="{00000000-0004-0000-0000-000019050000}"/>
    <hyperlink ref="T654" r:id="rId1307" display="http://www.ms.ro/2020/06/14/buletin-informativ-14-06-2020/" xr:uid="{00000000-0004-0000-0000-00001A050000}"/>
    <hyperlink ref="K655" r:id="rId1308" display="https://stirioficiale.ro/informatii/buletin-de-presa-14-iunie-2020-ora-13-00" xr:uid="{00000000-0004-0000-0000-00001B050000}"/>
    <hyperlink ref="T655" r:id="rId1309" display="http://www.ms.ro/2020/06/14/buletin-informativ-14-06-2020/" xr:uid="{00000000-0004-0000-0000-00001C050000}"/>
    <hyperlink ref="K656" r:id="rId1310" display="https://stirioficiale.ro/informatii/buletin-de-presa-15-iunie-2020-ora-13-00" xr:uid="{00000000-0004-0000-0000-00001D050000}"/>
    <hyperlink ref="T656" r:id="rId1311" display="http://www.ms.ro/2020/06/15/buletin-informativ-15-06-2020/" xr:uid="{00000000-0004-0000-0000-00001E050000}"/>
    <hyperlink ref="K657" r:id="rId1312" display="https://stirioficiale.ro/informatii/buletin-de-presa-17-iunie-2020-ora-13-00" xr:uid="{00000000-0004-0000-0000-00001F050000}"/>
    <hyperlink ref="T657" r:id="rId1313" display="http://www.ms.ro/2020/06/17/buletin-informativ-17-06-2020/" xr:uid="{00000000-0004-0000-0000-000020050000}"/>
    <hyperlink ref="K658" r:id="rId1314" display="https://www.ebihoreanul.ro/stiri/inca-patru-bihoreni-infectati-cu-coronavirus-intre-care-si-un-copil-157134.html" xr:uid="{00000000-0004-0000-0000-000021050000}"/>
    <hyperlink ref="T658" r:id="rId1315" display="http://www.ms.ro/2020/06/19/buletin-informativ-19-06-2020/" xr:uid="{00000000-0004-0000-0000-000022050000}"/>
    <hyperlink ref="K659" r:id="rId1316" display="https://stirioficiale.ro/informatii/buletin-de-presa-19-iunie-2020-ora-13-00" xr:uid="{00000000-0004-0000-0000-000023050000}"/>
    <hyperlink ref="T659" r:id="rId1317" display="http://www.ms.ro/2020/06/19/buletin-informativ-19-06-2020/" xr:uid="{00000000-0004-0000-0000-000024050000}"/>
    <hyperlink ref="K660" r:id="rId1318" display="https://stirioficiale.ro/informatii/buletin-de-presa-19-iunie-2020-ora-13-00" xr:uid="{00000000-0004-0000-0000-000025050000}"/>
    <hyperlink ref="T660" r:id="rId1319" display="http://www.ms.ro/2020/06/19/buletin-informativ-19-06-2020/" xr:uid="{00000000-0004-0000-0000-000026050000}"/>
    <hyperlink ref="K661" r:id="rId1320" display="https://stirioficiale.ro/informatii/buletin-de-presa-19-iunie-2020-ora-13-00" xr:uid="{00000000-0004-0000-0000-000027050000}"/>
    <hyperlink ref="T661" r:id="rId1321" display="http://www.ms.ro/2020/06/19/buletin-informativ-19-06-2020/" xr:uid="{00000000-0004-0000-0000-000028050000}"/>
    <hyperlink ref="K662" r:id="rId1322" display="https://stirioficiale.ro/informatii/buletin-de-presa-23-iunie-2020-ora-13-00" xr:uid="{00000000-0004-0000-0000-000029050000}"/>
    <hyperlink ref="T662" r:id="rId1323" display="http://www.ms.ro/2020/06/23/buletin-informativ-23-06-2020/" xr:uid="{00000000-0004-0000-0000-00002A050000}"/>
    <hyperlink ref="K663" r:id="rId1324" display="https://stirioficiale.ro/informatii/buletin-de-presa-24-iunie-2020-ora-13-00" xr:uid="{00000000-0004-0000-0000-00002B050000}"/>
    <hyperlink ref="T663" r:id="rId1325" display="http://www.ms.ro/2020/06/24/buletin-informativ-24-06-2020/" xr:uid="{00000000-0004-0000-0000-00002C050000}"/>
    <hyperlink ref="K664" r:id="rId1326" display="https://stirioficiale.ro/informatii/buletin-de-presa-24-iunie-2020-ora-13-00" xr:uid="{00000000-0004-0000-0000-00002D050000}"/>
    <hyperlink ref="T664" r:id="rId1327" display="http://www.ms.ro/2020/06/24/buletin-informativ-24-06-2020/" xr:uid="{00000000-0004-0000-0000-00002E050000}"/>
    <hyperlink ref="K665" r:id="rId1328" display="https://stirioficiale.ro/informatii/buletin-de-presa-26-iunie-2020-ora-13-00" xr:uid="{00000000-0004-0000-0000-00002F050000}"/>
    <hyperlink ref="T665" r:id="rId1329" display="http://www.ms.ro/2020/06/26/buletin-informativ-26-06-2020/" xr:uid="{00000000-0004-0000-0000-000030050000}"/>
    <hyperlink ref="K666" r:id="rId1330" display="https://stirioficiale.ro/informatii/buletin-de-presa-27-iunie-2020-ora-13-00" xr:uid="{00000000-0004-0000-0000-000031050000}"/>
    <hyperlink ref="T666" r:id="rId1331" display="http://www.ms.ro/2020/06/27/buletin-informativ-27-06-2020/" xr:uid="{00000000-0004-0000-0000-000032050000}"/>
    <hyperlink ref="K667" r:id="rId1332" display="https://stirioficiale.ro/informatii/buletin-de-presa-27-iunie-2020-ora-13-00" xr:uid="{00000000-0004-0000-0000-000033050000}"/>
    <hyperlink ref="T667" r:id="rId1333" display="http://www.ms.ro/2020/06/27/buletin-informativ-27-06-2020/" xr:uid="{00000000-0004-0000-0000-000034050000}"/>
    <hyperlink ref="K668" r:id="rId1334" display="https://stirioficiale.ro/informatii/buletin-de-presa-29-iunie-2020-ora-13-00" xr:uid="{00000000-0004-0000-0000-000035050000}"/>
    <hyperlink ref="T668" r:id="rId1335" display="http://www.ms.ro/2020/06/29/buletin-informativ-28-06-2020-2/" xr:uid="{00000000-0004-0000-0000-000036050000}"/>
    <hyperlink ref="K669" r:id="rId1336" display="https://www.ebihoreanul.ro/stiri/inca-doi-bihoreni-confirmati-cu-coronavirus-intre-care-un-pacient-oncologic-si-altul-cu-afectiuni-pulmonare-157379.html" xr:uid="{00000000-0004-0000-0000-000037050000}"/>
    <hyperlink ref="T669" r:id="rId1337" display="http://www.ms.ro/2020/07/02/buletin-informativ-02-07-2020/" xr:uid="{00000000-0004-0000-0000-000038050000}"/>
    <hyperlink ref="K670" r:id="rId1338" display="https://www.ebihoreanul.ro/stiri/inca-doi-bihoreni-confirmati-cu-coronavirus-intre-care-un-pacient-oncologic-si-altul-cu-afectiuni-pulmonare-157379.html" xr:uid="{00000000-0004-0000-0000-000039050000}"/>
    <hyperlink ref="T670" r:id="rId1339" display="http://www.ms.ro/2020/07/02/buletin-informativ-02-07-2020/" xr:uid="{00000000-0004-0000-0000-00003A050000}"/>
    <hyperlink ref="K671" r:id="rId1340" display="https://stirioficiale.ro/informatii/buletin-de-presa-4-iulie-2020-ora-13-00" xr:uid="{00000000-0004-0000-0000-00003B050000}"/>
    <hyperlink ref="T671" r:id="rId1341" display="http://www.ms.ro/2020/07/04/buletin-informativ-04-07-2020/" xr:uid="{00000000-0004-0000-0000-00003C050000}"/>
    <hyperlink ref="K672" r:id="rId1342" display="https://stirioficiale.ro/informatii/buletin-de-presa-4-iulie-2020-ora-13-00" xr:uid="{00000000-0004-0000-0000-00003D050000}"/>
    <hyperlink ref="T672" r:id="rId1343" display="http://www.ms.ro/2020/07/04/buletin-informativ-04-07-2020/" xr:uid="{00000000-0004-0000-0000-00003E050000}"/>
    <hyperlink ref="K673" r:id="rId1344" display="https://stirioficiale.ro/informatii/buletin-de-presa-4-iulie-2020-ora-13-00" xr:uid="{00000000-0004-0000-0000-00003F050000}"/>
    <hyperlink ref="T673" r:id="rId1345" display="http://www.ms.ro/2020/07/04/buletin-informativ-04-07-2020/" xr:uid="{00000000-0004-0000-0000-000040050000}"/>
    <hyperlink ref="K674" r:id="rId1346" display="https://stirioficiale.ro/informatii/buletin-de-presa-4-iulie-2020-ora-13-00" xr:uid="{00000000-0004-0000-0000-000041050000}"/>
    <hyperlink ref="T674" r:id="rId1347" display="http://www.ms.ro/2020/07/04/buletin-informativ-04-07-2020/" xr:uid="{00000000-0004-0000-0000-000042050000}"/>
    <hyperlink ref="K675" r:id="rId1348" display="https://stirioficiale.ro/informatii/buletin-de-presa-4-iulie-2020-ora-13-00" xr:uid="{00000000-0004-0000-0000-000043050000}"/>
    <hyperlink ref="T675" r:id="rId1349" display="http://www.ms.ro/2020/07/04/buletin-informativ-04-07-2020/" xr:uid="{00000000-0004-0000-0000-000044050000}"/>
    <hyperlink ref="K676" r:id="rId1350" display="https://stirioficiale.ro/informatii/buletin-de-presa-4-iulie-2020-ora-13-00" xr:uid="{00000000-0004-0000-0000-000045050000}"/>
    <hyperlink ref="T676" r:id="rId1351" display="http://www.ms.ro/2020/07/04/buletin-informativ-04-07-2020/" xr:uid="{00000000-0004-0000-0000-000046050000}"/>
    <hyperlink ref="K677" r:id="rId1352" display="https://stirioficiale.ro/informatii/buletin-de-presa-5-iulie-2020-ora-13-00" xr:uid="{00000000-0004-0000-0000-000047050000}"/>
    <hyperlink ref="T677" r:id="rId1353" display="http://www.ms.ro/2020/07/05/buletin-informativ-05-07-2020/" xr:uid="{00000000-0004-0000-0000-000048050000}"/>
    <hyperlink ref="K678" r:id="rId1354" display="https://stirioficiale.ro/informatii/buletin-de-presa-5-iulie-2020-ora-13-00" xr:uid="{00000000-0004-0000-0000-000049050000}"/>
    <hyperlink ref="T678" r:id="rId1355" display="http://www.ms.ro/2020/07/05/buletin-informativ-05-07-2020/" xr:uid="{00000000-0004-0000-0000-00004A050000}"/>
    <hyperlink ref="K679" r:id="rId1356" display="https://stirioficiale.ro/informatii/buletin-de-presa-5-iulie-2020-ora-13-00" xr:uid="{00000000-0004-0000-0000-00004B050000}"/>
    <hyperlink ref="T679" r:id="rId1357" display="http://www.ms.ro/2020/07/05/buletin-informativ-05-07-2020/" xr:uid="{00000000-0004-0000-0000-00004C050000}"/>
    <hyperlink ref="K680" r:id="rId1358" display="https://stirioficiale.ro/informatii/buletin-de-presa-5-iulie-2020-ora-13-00" xr:uid="{00000000-0004-0000-0000-00004D050000}"/>
    <hyperlink ref="T680" r:id="rId1359" display="http://www.ms.ro/2020/07/05/buletin-informativ-05-07-2020/" xr:uid="{00000000-0004-0000-0000-00004E050000}"/>
    <hyperlink ref="K681" r:id="rId1360" display="https://stirioficiale.ro/informatii/buletin-de-presa-5-iulie-2020-ora-13-00" xr:uid="{00000000-0004-0000-0000-00004F050000}"/>
    <hyperlink ref="T681" r:id="rId1361" display="http://www.ms.ro/2020/07/05/buletin-informativ-05-07-2020/" xr:uid="{00000000-0004-0000-0000-000050050000}"/>
    <hyperlink ref="K682" r:id="rId1362" display="https://stirioficiale.ro/informatii/buletin-de-presa-5-iulie-2020-ora-13-00" xr:uid="{00000000-0004-0000-0000-000051050000}"/>
    <hyperlink ref="T682" r:id="rId1363" display="http://www.ms.ro/2020/07/05/buletin-informativ-05-07-2020/" xr:uid="{00000000-0004-0000-0000-000052050000}"/>
    <hyperlink ref="K683" r:id="rId1364" display="https://stirioficiale.ro/informatii/buletin-de-presa-5-iulie-2020-ora-13-00" xr:uid="{00000000-0004-0000-0000-000053050000}"/>
    <hyperlink ref="T683" r:id="rId1365" display="http://www.ms.ro/2020/07/05/buletin-informativ-05-07-2020/" xr:uid="{00000000-0004-0000-0000-000054050000}"/>
    <hyperlink ref="K684" r:id="rId1366" display="https://stirioficiale.ro/informatii/buletin-de-presa-5-iulie-2020-ora-13-00" xr:uid="{00000000-0004-0000-0000-000055050000}"/>
    <hyperlink ref="T684" r:id="rId1367" display="http://www.ms.ro/2020/07/05/buletin-informativ-05-07-2020/" xr:uid="{00000000-0004-0000-0000-000056050000}"/>
    <hyperlink ref="K685" r:id="rId1368" display="https://stirioficiale.ro/informatii/buletin-de-presa-5-iulie-2020-ora-13-00" xr:uid="{00000000-0004-0000-0000-000057050000}"/>
    <hyperlink ref="T685" r:id="rId1369" display="http://www.ms.ro/2020/07/05/buletin-informativ-05-07-2020/" xr:uid="{00000000-0004-0000-0000-000058050000}"/>
    <hyperlink ref="K686" r:id="rId1370" display="https://stirioficiale.ro/informatii/buletin-de-presa-5-iulie-2020-ora-13-00" xr:uid="{00000000-0004-0000-0000-000059050000}"/>
    <hyperlink ref="T686" r:id="rId1371" display="http://www.ms.ro/2020/07/05/buletin-informativ-05-07-2020/" xr:uid="{00000000-0004-0000-0000-00005A050000}"/>
    <hyperlink ref="K687" r:id="rId1372" display="https://stirioficiale.ro/informatii/buletin-de-presa-5-iulie-2020-ora-13-00" xr:uid="{00000000-0004-0000-0000-00005B050000}"/>
    <hyperlink ref="T687" r:id="rId1373" display="http://www.ms.ro/2020/07/05/buletin-informativ-05-07-2020/" xr:uid="{00000000-0004-0000-0000-00005C050000}"/>
    <hyperlink ref="K688" r:id="rId1374" display="https://stirioficiale.ro/informatii/buletin-de-presa-5-iulie-2020-ora-13-00" xr:uid="{00000000-0004-0000-0000-00005D050000}"/>
    <hyperlink ref="T688" r:id="rId1375" display="http://www.ms.ro/2020/07/05/buletin-informativ-05-07-2020/" xr:uid="{00000000-0004-0000-0000-00005E050000}"/>
    <hyperlink ref="K689" r:id="rId1376" display="https://stirioficiale.ro/informatii/buletin-de-presa-5-iulie-2020-ora-13-00" xr:uid="{00000000-0004-0000-0000-00005F050000}"/>
    <hyperlink ref="T689" r:id="rId1377" display="http://www.ms.ro/2020/07/05/buletin-informativ-05-07-2020/" xr:uid="{00000000-0004-0000-0000-000060050000}"/>
    <hyperlink ref="K690" r:id="rId1378" display="https://stirioficiale.ro/informatii/buletin-de-presa-5-iulie-2020-ora-13-00" xr:uid="{00000000-0004-0000-0000-000061050000}"/>
    <hyperlink ref="T690" r:id="rId1379" display="http://www.ms.ro/2020/07/05/buletin-informativ-05-07-2020/" xr:uid="{00000000-0004-0000-0000-000062050000}"/>
    <hyperlink ref="K691" r:id="rId1380" display="https://stirioficiale.ro/informatii/buletin-de-presa-5-iulie-2020-ora-13-00" xr:uid="{00000000-0004-0000-0000-000063050000}"/>
    <hyperlink ref="T691" r:id="rId1381" display="http://www.ms.ro/2020/07/05/buletin-informativ-05-07-2020/" xr:uid="{00000000-0004-0000-0000-000064050000}"/>
    <hyperlink ref="K692" r:id="rId1382" display="https://stirioficiale.ro/informatii/buletin-de-presa-6-iulie-2020-ora-13-00" xr:uid="{00000000-0004-0000-0000-000065050000}"/>
    <hyperlink ref="T692" r:id="rId1383" display="http://www.ms.ro/2020/07/06/buletin-informativ-06-07-2020/" xr:uid="{00000000-0004-0000-0000-000066050000}"/>
    <hyperlink ref="K693" r:id="rId1384" display="https://stirioficiale.ro/informatii/buletin-de-presa-6-iulie-2020-ora-13-00" xr:uid="{00000000-0004-0000-0000-000067050000}"/>
    <hyperlink ref="T693" r:id="rId1385" display="http://www.ms.ro/2020/07/06/buletin-informativ-06-07-2020/" xr:uid="{00000000-0004-0000-0000-000068050000}"/>
    <hyperlink ref="K694" r:id="rId1386" display="https://stirioficiale.ro/informatii/buletin-de-presa-7-iulie-2020-ora-13-00" xr:uid="{00000000-0004-0000-0000-000069050000}"/>
    <hyperlink ref="T694" r:id="rId1387" display="http://www.ms.ro/2020/07/07/buletin-informativ-07-07-2020/" xr:uid="{00000000-0004-0000-0000-00006A050000}"/>
    <hyperlink ref="K695" r:id="rId1388" display="https://stirioficiale.ro/informatii/buletin-de-presa-8-iulie-2020-ora-13-00" xr:uid="{00000000-0004-0000-0000-00006B050000}"/>
    <hyperlink ref="T695" r:id="rId1389" display="http://www.ms.ro/2020/07/08/buletin-informativ-07-08-2020/" xr:uid="{00000000-0004-0000-0000-00006C050000}"/>
    <hyperlink ref="K696" r:id="rId1390" display="https://stirioficiale.ro/informatii/buletin-de-presa-8-iulie-2020-ora-13-00" xr:uid="{00000000-0004-0000-0000-00006D050000}"/>
    <hyperlink ref="T696" r:id="rId1391" display="http://www.ms.ro/2020/07/08/buletin-informativ-07-08-2020/" xr:uid="{00000000-0004-0000-0000-00006E050000}"/>
    <hyperlink ref="K697" r:id="rId1392" display="https://stirioficiale.ro/informatii/buletin-de-presa-8-iulie-2020-ora-13-00" xr:uid="{00000000-0004-0000-0000-00006F050000}"/>
    <hyperlink ref="T697" r:id="rId1393" display="http://www.ms.ro/2020/07/08/buletin-informativ-07-08-2020/" xr:uid="{00000000-0004-0000-0000-000070050000}"/>
    <hyperlink ref="K698" r:id="rId1394" display="https://stirioficiale.ro/informatii/buletin-de-presa-8-iulie-2020-ora-13-00" xr:uid="{00000000-0004-0000-0000-000071050000}"/>
    <hyperlink ref="T698" r:id="rId1395" display="http://www.ms.ro/2020/07/08/buletin-informativ-07-08-2020/" xr:uid="{00000000-0004-0000-0000-000072050000}"/>
    <hyperlink ref="K699" r:id="rId1396" display="https://stirioficiale.ro/informatii/buletin-de-presa-9-iulie-2020-ora-13-00" xr:uid="{00000000-0004-0000-0000-000073050000}"/>
    <hyperlink ref="T699" r:id="rId1397" display="http://www.ms.ro/2020/07/09/buletin-informativ-09-07-2020/" xr:uid="{00000000-0004-0000-0000-000074050000}"/>
    <hyperlink ref="K700" r:id="rId1398" display="https://stirioficiale.ro/informatii/buletin-de-presa-9-iulie-2020-ora-13-00" xr:uid="{00000000-0004-0000-0000-000075050000}"/>
    <hyperlink ref="T700" r:id="rId1399" display="http://www.ms.ro/2020/07/09/buletin-informativ-09-07-2020/" xr:uid="{00000000-0004-0000-0000-000076050000}"/>
    <hyperlink ref="K701" r:id="rId1400" display="https://stirioficiale.ro/informatii/buletin-de-presa-9-iulie-2020-ora-13-00" xr:uid="{00000000-0004-0000-0000-000077050000}"/>
    <hyperlink ref="T701" r:id="rId1401" display="http://www.ms.ro/2020/07/09/buletin-informativ-09-07-2020/" xr:uid="{00000000-0004-0000-0000-000078050000}"/>
    <hyperlink ref="K702" r:id="rId1402" display="https://www.ebihoreanul.ro/stiri/un-nou-caz-coronavirus-in-bihor-fiica-unui-pacient-internat-luna-trecuta-la-sectia-ati-a-spitalului-municipal-din-oradea-157554.html" xr:uid="{00000000-0004-0000-0000-000079050000}"/>
    <hyperlink ref="T702" r:id="rId1403" display="http://www.ms.ro/2020/07/10/buletin-informativ-10-07-2020/" xr:uid="{00000000-0004-0000-0000-00007A050000}"/>
    <hyperlink ref="K703" r:id="rId1404" display="https://www.ebihoreanul.ro/stiri/doua-noi-cazuri-covid-in-bihor-descoperite-la-persoane-internate-in-spitalul-municipal-din-oradea-157581.html" xr:uid="{00000000-0004-0000-0000-00007B050000}"/>
    <hyperlink ref="T703" r:id="rId1405" display="http://www.ms.ro/2020/07/11/buletin-informativ-11-07-2020/" xr:uid="{00000000-0004-0000-0000-00007C050000}"/>
    <hyperlink ref="K704" r:id="rId1406" display="https://www.ebihoreanul.ro/stiri/doua-noi-cazuri-covid-in-bihor-descoperite-la-persoane-internate-in-spitalul-municipal-din-oradea-157581.html" xr:uid="{00000000-0004-0000-0000-00007D050000}"/>
    <hyperlink ref="T704" r:id="rId1407" display="http://www.ms.ro/2020/07/11/buletin-informativ-11-07-2020/" xr:uid="{00000000-0004-0000-0000-00007E050000}"/>
    <hyperlink ref="K705" r:id="rId1408" display="https://stirioficiale.ro/informatii/buletin-de-presa-12-iulie-2020-ora-13-00" xr:uid="{00000000-0004-0000-0000-00007F050000}"/>
    <hyperlink ref="T705" r:id="rId1409" display="http://www.ms.ro/2020/07/12/buletin-informativ-12-07-2020/" xr:uid="{00000000-0004-0000-0000-000080050000}"/>
    <hyperlink ref="K706" r:id="rId1410" display="https://stirioficiale.ro/informatii/buletin-de-presa-13-iulie-2020-ora-13-00" xr:uid="{00000000-0004-0000-0000-000081050000}"/>
    <hyperlink ref="T706" r:id="rId1411" display="http://www.ms.ro/2020/07/13/buletin-informativ-13-07-2020/" xr:uid="{00000000-0004-0000-0000-000082050000}"/>
    <hyperlink ref="K707" r:id="rId1412" display="https://stirioficiale.ro/informatii/buletin-de-presa-13-iulie-2020-ora-13-00" xr:uid="{00000000-0004-0000-0000-000083050000}"/>
    <hyperlink ref="T707" r:id="rId1413" display="http://www.ms.ro/2020/07/13/buletin-informativ-13-07-2020/" xr:uid="{00000000-0004-0000-0000-000084050000}"/>
    <hyperlink ref="K708" r:id="rId1414" display="https://stirioficiale.ro/informatii/buletin-de-presa-13-iulie-2020-ora-13-00" xr:uid="{00000000-0004-0000-0000-000085050000}"/>
    <hyperlink ref="T708" r:id="rId1415" display="http://www.ms.ro/2020/07/13/buletin-informativ-13-07-2020/" xr:uid="{00000000-0004-0000-0000-000086050000}"/>
    <hyperlink ref="K709" r:id="rId1416" display="https://www.alesdonline.ro/local/lugasu-de-jos/levente-sorban-avem-primul-caz-confirmat-de-coronavirus-la-lugasu-de-jos/" xr:uid="{00000000-0004-0000-0000-000087050000}"/>
    <hyperlink ref="T709" r:id="rId1417" display="http://www.ms.ro/2020/07/14/buletin-informativ-14-07-2020/" xr:uid="{00000000-0004-0000-0000-000088050000}"/>
    <hyperlink ref="K710" r:id="rId1418" display="https://stirioficiale.ro/informatii/buletin-de-presa-14-iulie-2020-ora-13-00" xr:uid="{00000000-0004-0000-0000-000089050000}"/>
    <hyperlink ref="T710" r:id="rId1419" display="http://www.ms.ro/2020/07/14/buletin-informativ-14-07-2020/" xr:uid="{00000000-0004-0000-0000-00008A050000}"/>
    <hyperlink ref="K711" r:id="rId1420" display="https://stirioficiale.ro/informatii/buletin-de-presa-14-iulie-2020-ora-13-00" xr:uid="{00000000-0004-0000-0000-00008B050000}"/>
    <hyperlink ref="T711" r:id="rId1421" display="http://www.ms.ro/2020/07/14/buletin-informativ-14-07-2020/" xr:uid="{00000000-0004-0000-0000-00008C050000}"/>
    <hyperlink ref="K712" r:id="rId1422" display="https://stirioficiale.ro/informatii/buletin-de-presa-14-iulie-2020-ora-13-00" xr:uid="{00000000-0004-0000-0000-00008D050000}"/>
    <hyperlink ref="T712" r:id="rId1423" display="http://www.ms.ro/2020/07/14/buletin-informativ-14-07-2020/" xr:uid="{00000000-0004-0000-0000-00008E050000}"/>
    <hyperlink ref="K713" r:id="rId1424" display="https://stirioficiale.ro/informatii/buletin-de-presa-16-iulie-2020-ora-13-00" xr:uid="{00000000-0004-0000-0000-00008F050000}"/>
    <hyperlink ref="T713" r:id="rId1425" display="http://www.ms.ro/2020/07/16/buletin-informativ-16-07-2020/" xr:uid="{00000000-0004-0000-0000-000090050000}"/>
    <hyperlink ref="K714" r:id="rId1426" display="https://stirioficiale.ro/informatii/buletin-de-presa-16-iulie-2020-ora-13-00" xr:uid="{00000000-0004-0000-0000-000091050000}"/>
    <hyperlink ref="T714" r:id="rId1427" display="http://www.ms.ro/2020/07/16/buletin-informativ-16-07-2020/" xr:uid="{00000000-0004-0000-0000-000092050000}"/>
    <hyperlink ref="K715" r:id="rId1428" display="https://stirioficiale.ro/informatii/buletin-de-presa-16-iulie-2020-ora-13-00" xr:uid="{00000000-0004-0000-0000-000093050000}"/>
    <hyperlink ref="T715" r:id="rId1429" display="http://www.ms.ro/2020/07/16/buletin-informativ-16-07-2020/" xr:uid="{00000000-0004-0000-0000-000094050000}"/>
    <hyperlink ref="K716" r:id="rId1430" display="https://www.ebihoreanul.ro/stiri/doua-noi-cazuri-de-coronavirus-in-bihor-o-fetita-de-12-ani-si-o-femeie-internata-direct-la-terapie-intensiva-157694.html" xr:uid="{00000000-0004-0000-0000-000095050000}"/>
    <hyperlink ref="T716" r:id="rId1431" display="http://www.ms.ro/2020/07/17/buletin-informati-17-07-2020/" xr:uid="{00000000-0004-0000-0000-000096050000}"/>
    <hyperlink ref="K717" r:id="rId1432" display="https://www.ebihoreanul.ro/stiri/doua-noi-cazuri-de-coronavirus-in-bihor-o-fetita-de-12-ani-si-o-femeie-internata-direct-la-terapie-intensiva-157694.html" xr:uid="{00000000-0004-0000-0000-000097050000}"/>
    <hyperlink ref="T717" r:id="rId1433" display="http://www.ms.ro/2020/07/17/buletin-informati-17-07-2020/" xr:uid="{00000000-0004-0000-0000-000098050000}"/>
    <hyperlink ref="K718" r:id="rId1434" display="https://www.ebihoreanul.ro/stiri/un-nou-caz-covid-in-bihor-o-asistenta-la-sectia-ati-a-spitalului-judetean-revenita-din-concediu-157712.html" xr:uid="{00000000-0004-0000-0000-000099050000}"/>
    <hyperlink ref="T718" r:id="rId1435" display="http://www.ms.ro/2020/07/18/buletin-informativ-18-07-2020/" xr:uid="{00000000-0004-0000-0000-00009A050000}"/>
    <hyperlink ref="K719" r:id="rId1436" display="https://www.ebihoreanul.ro/stiri/doua-noi-cazuri-covid-in-bihor-socrii-unui-medic-oradean-care-s-au-testat-la-cerere-si-apoi-au-acceptat-spitalizarea-157723.html" xr:uid="{00000000-0004-0000-0000-00009B050000}"/>
    <hyperlink ref="T719" r:id="rId1437" display="http://www.ms.ro/2020/07/19/buletin-informativ-19-07-2020/" xr:uid="{00000000-0004-0000-0000-00009C050000}"/>
    <hyperlink ref="K720" r:id="rId1438" display="https://www.ebihoreanul.ro/stiri/doua-noi-cazuri-covid-in-bihor-socrii-unui-medic-oradean-care-s-au-testat-la-cerere-si-apoi-au-acceptat-spitalizarea-157723.html" xr:uid="{00000000-0004-0000-0000-00009D050000}"/>
    <hyperlink ref="T720" r:id="rId1439" display="http://www.ms.ro/2020/07/19/buletin-informativ-19-07-2020/" xr:uid="{00000000-0004-0000-0000-00009E050000}"/>
    <hyperlink ref="K721" r:id="rId1440" display="https://www.ebihoreanul.ro/stiri/inca-5-persoane-din-bihor-diagnosticate-cu-coronavirus-dintre-care-trei-au-fost-testate-la-cerere-157757.html" xr:uid="{00000000-0004-0000-0000-00009F050000}"/>
    <hyperlink ref="T721" r:id="rId1441" display="http://www.ms.ro/2020/07/21/buletin-informativ-21-07-2020/" xr:uid="{00000000-0004-0000-0000-0000A0050000}"/>
    <hyperlink ref="K722" r:id="rId1442" display="https://www.ebihoreanul.ro/stiri/inca-5-persoane-din-bihor-diagnosticate-cu-coronavirus-dintre-care-trei-au-fost-testate-la-cerere-157757.html" xr:uid="{00000000-0004-0000-0000-0000A1050000}"/>
    <hyperlink ref="T722" r:id="rId1443" display="http://www.ms.ro/2020/07/21/buletin-informativ-21-07-2020/" xr:uid="{00000000-0004-0000-0000-0000A2050000}"/>
    <hyperlink ref="K723" r:id="rId1444" display="https://stirioficiale.ro/informatii/buletin-de-presa-21-iulie-2020-ora-13-00" xr:uid="{00000000-0004-0000-0000-0000A3050000}"/>
    <hyperlink ref="T723" r:id="rId1445" display="http://www.ms.ro/2020/07/21/buletin-informativ-21-07-2020/" xr:uid="{00000000-0004-0000-0000-0000A4050000}"/>
    <hyperlink ref="K724" r:id="rId1446" display="https://stirioficiale.ro/informatii/buletin-de-presa-21-iulie-2020-ora-13-00" xr:uid="{00000000-0004-0000-0000-0000A5050000}"/>
    <hyperlink ref="T724" r:id="rId1447" display="http://www.ms.ro/2020/07/21/buletin-informativ-21-07-2020/" xr:uid="{00000000-0004-0000-0000-0000A6050000}"/>
    <hyperlink ref="K725" r:id="rId1448" display="https://stirioficiale.ro/informatii/buletin-de-presa-21-iulie-2020-ora-13-00" xr:uid="{00000000-0004-0000-0000-0000A7050000}"/>
    <hyperlink ref="T725" r:id="rId1449" display="http://www.ms.ro/2020/07/21/buletin-informativ-21-07-2020/" xr:uid="{00000000-0004-0000-0000-0000A8050000}"/>
    <hyperlink ref="K726" r:id="rId1450" display="https://stirioficiale.ro/informatii/buletin-de-presa-21-iulie-2020-ora-13-00" xr:uid="{00000000-0004-0000-0000-0000A9050000}"/>
    <hyperlink ref="T726" r:id="rId1451" display="http://www.ms.ro/2020/07/21/buletin-informativ-21-07-2020/" xr:uid="{00000000-0004-0000-0000-0000AA050000}"/>
    <hyperlink ref="K727" r:id="rId1452" display="https://stirioficiale.ro/informatii/buletin-de-presa-22-iulie-2020-ora-13-00" xr:uid="{00000000-0004-0000-0000-0000AB050000}"/>
    <hyperlink ref="T727" r:id="rId1453" display="http://www.ms.ro/2020/07/22/buletin-informativ-22-07-2020/" xr:uid="{00000000-0004-0000-0000-0000AC050000}"/>
    <hyperlink ref="K728" r:id="rId1454" display="https://stirioficiale.ro/informatii/buletin-de-presa-22-iulie-2020-ora-13-00" xr:uid="{00000000-0004-0000-0000-0000AD050000}"/>
    <hyperlink ref="T728" r:id="rId1455" display="http://www.ms.ro/2020/07/22/buletin-informativ-22-07-2020/" xr:uid="{00000000-0004-0000-0000-0000AE050000}"/>
    <hyperlink ref="K729" r:id="rId1456" display="https://stirioficiale.ro/informatii/buletin-de-presa-22-iulie-2020-ora-13-00" xr:uid="{00000000-0004-0000-0000-0000AF050000}"/>
    <hyperlink ref="T729" r:id="rId1457" display="http://www.ms.ro/2020/07/22/buletin-informativ-22-07-2020/" xr:uid="{00000000-0004-0000-0000-0000B0050000}"/>
    <hyperlink ref="K730" r:id="rId1458" display="https://stirioficiale.ro/informatii/buletin-de-presa-22-iulie-2020-ora-13-00" xr:uid="{00000000-0004-0000-0000-0000B1050000}"/>
    <hyperlink ref="T730" r:id="rId1459" display="http://www.ms.ro/2020/07/22/buletin-informativ-22-07-2020/" xr:uid="{00000000-0004-0000-0000-0000B2050000}"/>
    <hyperlink ref="K731" r:id="rId1460" display="https://stirioficiale.ro/informatii/buletin-de-presa-22-iulie-2020-ora-13-00" xr:uid="{00000000-0004-0000-0000-0000B3050000}"/>
    <hyperlink ref="T731" r:id="rId1461" display="http://www.ms.ro/2020/07/22/buletin-informativ-22-07-2020/" xr:uid="{00000000-0004-0000-0000-0000B4050000}"/>
    <hyperlink ref="K732" r:id="rId1462" display="https://stirioficiale.ro/informatii/buletin-de-presa-22-iulie-2020-ora-13-00" xr:uid="{00000000-0004-0000-0000-0000B5050000}"/>
    <hyperlink ref="T732" r:id="rId1463" display="http://www.ms.ro/2020/07/22/buletin-informativ-22-07-2020/" xr:uid="{00000000-0004-0000-0000-0000B6050000}"/>
    <hyperlink ref="K733" r:id="rId1464" display="https://stirioficiale.ro/informatii/buletin-de-presa-22-iulie-2020-ora-13-00" xr:uid="{00000000-0004-0000-0000-0000B7050000}"/>
    <hyperlink ref="T733" r:id="rId1465" display="http://www.ms.ro/2020/07/22/buletin-informativ-22-07-2020/" xr:uid="{00000000-0004-0000-0000-0000B8050000}"/>
    <hyperlink ref="K734" r:id="rId1466" display="https://stirioficiale.ro/informatii/buletin-de-presa-22-iulie-2020-ora-13-00" xr:uid="{00000000-0004-0000-0000-0000B9050000}"/>
    <hyperlink ref="T734" r:id="rId1467" display="http://www.ms.ro/2020/07/22/buletin-informativ-22-07-2020/" xr:uid="{00000000-0004-0000-0000-0000BA050000}"/>
    <hyperlink ref="K735" r:id="rId1468" display="https://stirioficiale.ro/informatii/buletin-de-presa-22-iulie-2020-ora-13-00" xr:uid="{00000000-0004-0000-0000-0000BB050000}"/>
    <hyperlink ref="T735" r:id="rId1469" display="http://www.ms.ro/2020/07/22/buletin-informativ-22-07-2020/" xr:uid="{00000000-0004-0000-0000-0000BC050000}"/>
    <hyperlink ref="K736" r:id="rId1470" display="https://www.alesdonline.ro/local/alesd/todoca-ioan-aveam-un-nou-caz-de-coronavirus-in-alesd/" xr:uid="{00000000-0004-0000-0000-0000BD050000}"/>
    <hyperlink ref="T736" r:id="rId1471" display="http://www.ms.ro/2020/07/23/buletin-informativ-23-07-2020/" xr:uid="{00000000-0004-0000-0000-0000BE050000}"/>
    <hyperlink ref="K737" r:id="rId1472" display="https://stirioficiale.ro/informatii/buletin-de-presa-23-iulie-2020-ora-13-00" xr:uid="{00000000-0004-0000-0000-0000BF050000}"/>
    <hyperlink ref="T737" r:id="rId1473" display="http://www.ms.ro/2020/07/23/buletin-informativ-23-07-2020/" xr:uid="{00000000-0004-0000-0000-0000C0050000}"/>
    <hyperlink ref="K738" r:id="rId1474" display="https://stirioficiale.ro/informatii/buletin-de-presa-23-iulie-2020-ora-13-00" xr:uid="{00000000-0004-0000-0000-0000C1050000}"/>
    <hyperlink ref="T738" r:id="rId1475" display="http://www.ms.ro/2020/07/23/buletin-informativ-23-07-2020/" xr:uid="{00000000-0004-0000-0000-0000C2050000}"/>
    <hyperlink ref="K739" r:id="rId1476" display="https://stirioficiale.ro/informatii/buletin-de-presa-23-iulie-2020-ora-13-00" xr:uid="{00000000-0004-0000-0000-0000C3050000}"/>
    <hyperlink ref="T739" r:id="rId1477" display="http://www.ms.ro/2020/07/23/buletin-informativ-23-07-2020/" xr:uid="{00000000-0004-0000-0000-0000C4050000}"/>
    <hyperlink ref="K740" r:id="rId1478" display="https://stirioficiale.ro/informatii/buletin-de-presa-23-iulie-2020-ora-13-00" xr:uid="{00000000-0004-0000-0000-0000C5050000}"/>
    <hyperlink ref="T740" r:id="rId1479" display="http://www.ms.ro/2020/07/23/buletin-informativ-23-07-2020/" xr:uid="{00000000-0004-0000-0000-0000C6050000}"/>
    <hyperlink ref="K741" r:id="rId1480" display="https://stirioficiale.ro/informatii/buletin-de-presa-23-iulie-2020-ora-13-00" xr:uid="{00000000-0004-0000-0000-0000C7050000}"/>
    <hyperlink ref="T741" r:id="rId1481" display="http://www.ms.ro/2020/07/23/buletin-informativ-23-07-2020/" xr:uid="{00000000-0004-0000-0000-0000C8050000}"/>
    <hyperlink ref="K742" r:id="rId1482" display="https://stirioficiale.ro/informatii/buletin-de-presa-23-iulie-2020-ora-13-00" xr:uid="{00000000-0004-0000-0000-0000C9050000}"/>
    <hyperlink ref="T742" r:id="rId1483" display="http://www.ms.ro/2020/07/23/buletin-informativ-23-07-2020/" xr:uid="{00000000-0004-0000-0000-0000CA050000}"/>
    <hyperlink ref="K743" r:id="rId1484" display="https://stirioficiale.ro/informatii/buletin-de-presa-23-iulie-2020-ora-13-00" xr:uid="{00000000-0004-0000-0000-0000CB050000}"/>
    <hyperlink ref="T743" r:id="rId1485" display="http://www.ms.ro/2020/07/23/buletin-informativ-23-07-2020/" xr:uid="{00000000-0004-0000-0000-0000CC050000}"/>
    <hyperlink ref="K744" r:id="rId1486" display="https://stirioficiale.ro/informatii/buletin-de-presa-23-iulie-2020-ora-13-00" xr:uid="{00000000-0004-0000-0000-0000CD050000}"/>
    <hyperlink ref="T744" r:id="rId1487" display="http://www.ms.ro/2020/07/23/buletin-informativ-23-07-2020/" xr:uid="{00000000-0004-0000-0000-0000CE050000}"/>
    <hyperlink ref="K745" r:id="rId1488" display="https://stirioficiale.ro/informatii/buletin-de-presa-23-iulie-2020-ora-13-00" xr:uid="{00000000-0004-0000-0000-0000CF050000}"/>
    <hyperlink ref="T745" r:id="rId1489" display="http://www.ms.ro/2020/07/23/buletin-informativ-23-07-2020/" xr:uid="{00000000-0004-0000-0000-0000D0050000}"/>
    <hyperlink ref="K746" r:id="rId1490" display="https://stirioficiale.ro/informatii/buletin-de-presa-23-iulie-2020-ora-13-00" xr:uid="{00000000-0004-0000-0000-0000D1050000}"/>
    <hyperlink ref="T746" r:id="rId1491" display="http://www.ms.ro/2020/07/23/buletin-informativ-23-07-2020/" xr:uid="{00000000-0004-0000-0000-0000D2050000}"/>
    <hyperlink ref="K747" r:id="rId1492" display="https://stirioficiale.ro/informatii/buletin-de-presa-23-iulie-2020-ora-13-00" xr:uid="{00000000-0004-0000-0000-0000D3050000}"/>
    <hyperlink ref="T747" r:id="rId1493" display="http://www.ms.ro/2020/07/23/buletin-informativ-23-07-2020/" xr:uid="{00000000-0004-0000-0000-0000D4050000}"/>
    <hyperlink ref="K748" r:id="rId1494" display="https://stirioficiale.ro/informatii/buletin-de-presa-23-iulie-2020-ora-13-00" xr:uid="{00000000-0004-0000-0000-0000D5050000}"/>
    <hyperlink ref="T748" r:id="rId1495" display="http://www.ms.ro/2020/07/23/buletin-informativ-23-07-2020/" xr:uid="{00000000-0004-0000-0000-0000D6050000}"/>
    <hyperlink ref="K749" r:id="rId1496" display="https://stirioficiale.ro/informatii/buletin-de-presa-23-iulie-2020-ora-13-00" xr:uid="{00000000-0004-0000-0000-0000D7050000}"/>
    <hyperlink ref="T749" r:id="rId1497" display="http://www.ms.ro/2020/07/23/buletin-informativ-23-07-2020/" xr:uid="{00000000-0004-0000-0000-0000D8050000}"/>
    <hyperlink ref="K750" r:id="rId1498" display="https://stirioficiale.ro/informatii/buletin-de-presa-23-iulie-2020-ora-13-00" xr:uid="{00000000-0004-0000-0000-0000D9050000}"/>
    <hyperlink ref="T750" r:id="rId1499" display="http://www.ms.ro/2020/07/23/buletin-informativ-23-07-2020/" xr:uid="{00000000-0004-0000-0000-0000DA050000}"/>
    <hyperlink ref="K751" r:id="rId1500" display="https://stirioficiale.ro/informatii/buletin-de-presa-23-iulie-2020-ora-13-00" xr:uid="{00000000-0004-0000-0000-0000DB050000}"/>
    <hyperlink ref="T751" r:id="rId1501" display="http://www.ms.ro/2020/07/23/buletin-informativ-23-07-2020/" xr:uid="{00000000-0004-0000-0000-0000DC050000}"/>
    <hyperlink ref="K752" r:id="rId1502" display="https://stirioficiale.ro/informatii/buletin-de-presa-24-iulie-2020-ora-13-00" xr:uid="{00000000-0004-0000-0000-0000DD050000}"/>
    <hyperlink ref="T752" r:id="rId1503" display="http://www.ms.ro/2020/07/24/buletin-informativ-24-07-2020/" xr:uid="{00000000-0004-0000-0000-0000DE050000}"/>
    <hyperlink ref="K753" r:id="rId1504" display="https://stirioficiale.ro/informatii/buletin-de-presa-24-iulie-2020-ora-13-00" xr:uid="{00000000-0004-0000-0000-0000DF050000}"/>
    <hyperlink ref="T753" r:id="rId1505" display="http://www.ms.ro/2020/07/24/buletin-informativ-24-07-2020/" xr:uid="{00000000-0004-0000-0000-0000E0050000}"/>
    <hyperlink ref="K754" r:id="rId1506" display="https://stirioficiale.ro/informatii/buletin-de-presa-24-iulie-2020-ora-13-00" xr:uid="{00000000-0004-0000-0000-0000E1050000}"/>
    <hyperlink ref="T754" r:id="rId1507" display="http://www.ms.ro/2020/07/24/buletin-informativ-24-07-2020/" xr:uid="{00000000-0004-0000-0000-0000E2050000}"/>
    <hyperlink ref="K755" r:id="rId1508" display="https://stirioficiale.ro/informatii/buletin-de-presa-24-iulie-2020-ora-13-00" xr:uid="{00000000-0004-0000-0000-0000E3050000}"/>
    <hyperlink ref="T755" r:id="rId1509" display="http://www.ms.ro/2020/07/24/buletin-informativ-24-07-2020/" xr:uid="{00000000-0004-0000-0000-0000E4050000}"/>
    <hyperlink ref="K756" r:id="rId1510" display="https://stirioficiale.ro/informatii/buletin-de-presa-24-iulie-2020-ora-13-00" xr:uid="{00000000-0004-0000-0000-0000E5050000}"/>
    <hyperlink ref="T756" r:id="rId1511" display="http://www.ms.ro/2020/07/24/buletin-informativ-24-07-2020/" xr:uid="{00000000-0004-0000-0000-0000E6050000}"/>
    <hyperlink ref="K757" r:id="rId1512" display="https://stirioficiale.ro/informatii/buletin-de-presa-24-iulie-2020-ora-13-00" xr:uid="{00000000-0004-0000-0000-0000E7050000}"/>
    <hyperlink ref="T757" r:id="rId1513" display="http://www.ms.ro/2020/07/24/buletin-informativ-24-07-2020/" xr:uid="{00000000-0004-0000-0000-0000E8050000}"/>
    <hyperlink ref="K758" r:id="rId1514" display="https://stirioficiale.ro/informatii/buletin-de-presa-24-iulie-2020-ora-13-00" xr:uid="{00000000-0004-0000-0000-0000E9050000}"/>
    <hyperlink ref="T758" r:id="rId1515" display="http://www.ms.ro/2020/07/24/buletin-informativ-24-07-2020/" xr:uid="{00000000-0004-0000-0000-0000EA050000}"/>
    <hyperlink ref="K759" r:id="rId1516" display="https://stirioficiale.ro/informatii/buletin-de-presa-24-iulie-2020-ora-13-00" xr:uid="{00000000-0004-0000-0000-0000EB050000}"/>
    <hyperlink ref="T759" r:id="rId1517" display="http://www.ms.ro/2020/07/24/buletin-informativ-24-07-2020/" xr:uid="{00000000-0004-0000-0000-0000EC050000}"/>
    <hyperlink ref="K760" r:id="rId1518" display="https://stirioficiale.ro/informatii/buletin-de-presa-24-iulie-2020-ora-13-00" xr:uid="{00000000-0004-0000-0000-0000ED050000}"/>
    <hyperlink ref="T760" r:id="rId1519" display="http://www.ms.ro/2020/07/24/buletin-informativ-24-07-2020/" xr:uid="{00000000-0004-0000-0000-0000EE050000}"/>
    <hyperlink ref="K761" r:id="rId1520" display="https://stirioficiale.ro/informatii/buletin-de-presa-24-iulie-2020-ora-13-00" xr:uid="{00000000-0004-0000-0000-0000EF050000}"/>
    <hyperlink ref="T761" r:id="rId1521" display="http://www.ms.ro/2020/07/24/buletin-informativ-24-07-2020/" xr:uid="{00000000-0004-0000-0000-0000F0050000}"/>
    <hyperlink ref="K762" r:id="rId1522" display="https://stirioficiale.ro/informatii/buletin-de-presa-24-iulie-2020-ora-13-00" xr:uid="{00000000-0004-0000-0000-0000F1050000}"/>
    <hyperlink ref="T762" r:id="rId1523" display="http://www.ms.ro/2020/07/24/buletin-informativ-24-07-2020/" xr:uid="{00000000-0004-0000-0000-0000F2050000}"/>
    <hyperlink ref="K763" r:id="rId1524" display="https://stirioficiale.ro/informatii/buletin-de-presa-25-iulie-2020-ora-13-00" xr:uid="{00000000-0004-0000-0000-0000F3050000}"/>
    <hyperlink ref="T763" r:id="rId1525" display="http://www.ms.ro/2020/07/25/buletin-informativ-25-07-2020/" xr:uid="{00000000-0004-0000-0000-0000F4050000}"/>
    <hyperlink ref="K764" r:id="rId1526" display="https://stirioficiale.ro/informatii/buletin-de-presa-25-iulie-2020-ora-13-00" xr:uid="{00000000-0004-0000-0000-0000F5050000}"/>
    <hyperlink ref="T764" r:id="rId1527" display="http://www.ms.ro/2020/07/25/buletin-informativ-25-07-2020/" xr:uid="{00000000-0004-0000-0000-0000F6050000}"/>
    <hyperlink ref="K765" r:id="rId1528" display="https://stirioficiale.ro/informatii/buletin-de-presa-25-iulie-2020-ora-13-00" xr:uid="{00000000-0004-0000-0000-0000F7050000}"/>
    <hyperlink ref="T765" r:id="rId1529" display="http://www.ms.ro/2020/07/25/buletin-informativ-25-07-2020/" xr:uid="{00000000-0004-0000-0000-0000F8050000}"/>
    <hyperlink ref="K766" r:id="rId1530" display="https://stirioficiale.ro/informatii/buletin-de-presa-25-iulie-2020-ora-13-00" xr:uid="{00000000-0004-0000-0000-0000F9050000}"/>
    <hyperlink ref="T766" r:id="rId1531" display="http://www.ms.ro/2020/07/25/buletin-informativ-25-07-2020/" xr:uid="{00000000-0004-0000-0000-0000FA050000}"/>
    <hyperlink ref="K767" r:id="rId1532" display="https://stirioficiale.ro/informatii/buletin-de-presa-25-iulie-2020-ora-13-00" xr:uid="{00000000-0004-0000-0000-0000FB050000}"/>
    <hyperlink ref="T767" r:id="rId1533" display="http://www.ms.ro/2020/07/25/buletin-informativ-25-07-2020/" xr:uid="{00000000-0004-0000-0000-0000FC050000}"/>
    <hyperlink ref="K768" r:id="rId1534" display="https://stirioficiale.ro/informatii/buletin-de-presa-25-iulie-2020-ora-13-00" xr:uid="{00000000-0004-0000-0000-0000FD050000}"/>
    <hyperlink ref="T768" r:id="rId1535" display="http://www.ms.ro/2020/07/25/buletin-informativ-25-07-2020/" xr:uid="{00000000-0004-0000-0000-0000FE050000}"/>
    <hyperlink ref="K769" r:id="rId1536" display="https://stirioficiale.ro/informatii/buletin-de-presa-25-iulie-2020-ora-13-00" xr:uid="{00000000-0004-0000-0000-0000FF050000}"/>
    <hyperlink ref="T769" r:id="rId1537" display="http://www.ms.ro/2020/07/25/buletin-informativ-25-07-2020/" xr:uid="{00000000-0004-0000-0000-000000060000}"/>
    <hyperlink ref="K770" r:id="rId1538" display="https://stirioficiale.ro/informatii/buletin-de-presa-25-iulie-2020-ora-13-00" xr:uid="{00000000-0004-0000-0000-000001060000}"/>
    <hyperlink ref="T770" r:id="rId1539" display="http://www.ms.ro/2020/07/25/buletin-informativ-25-07-2020/" xr:uid="{00000000-0004-0000-0000-000002060000}"/>
    <hyperlink ref="K771" r:id="rId1540" display="https://stirioficiale.ro/informatii/buletin-de-presa-25-iulie-2020-ora-13-00" xr:uid="{00000000-0004-0000-0000-000003060000}"/>
    <hyperlink ref="T771" r:id="rId1541" display="http://www.ms.ro/2020/07/25/buletin-informativ-25-07-2020/" xr:uid="{00000000-0004-0000-0000-000004060000}"/>
    <hyperlink ref="K772" r:id="rId1542" display="https://stirioficiale.ro/informatii/buletin-de-presa-25-iulie-2020-ora-13-00" xr:uid="{00000000-0004-0000-0000-000005060000}"/>
    <hyperlink ref="T772" r:id="rId1543" display="http://www.ms.ro/2020/07/25/buletin-informativ-25-07-2020/" xr:uid="{00000000-0004-0000-0000-000006060000}"/>
    <hyperlink ref="K773" r:id="rId1544" display="https://stirioficiale.ro/informatii/buletin-de-presa-25-iulie-2020-ora-13-00" xr:uid="{00000000-0004-0000-0000-000007060000}"/>
    <hyperlink ref="T773" r:id="rId1545" display="http://www.ms.ro/2020/07/25/buletin-informativ-25-07-2020/" xr:uid="{00000000-0004-0000-0000-000008060000}"/>
    <hyperlink ref="K774" r:id="rId1546" display="https://stirioficiale.ro/informatii/buletin-de-presa-25-iulie-2020-ora-13-00" xr:uid="{00000000-0004-0000-0000-000009060000}"/>
    <hyperlink ref="T774" r:id="rId1547" display="http://www.ms.ro/2020/07/25/buletin-informativ-25-07-2020/" xr:uid="{00000000-0004-0000-0000-00000A060000}"/>
    <hyperlink ref="K775" r:id="rId1548" display="https://stirioficiale.ro/informatii/buletin-de-presa-25-iulie-2020-ora-13-00" xr:uid="{00000000-0004-0000-0000-00000B060000}"/>
    <hyperlink ref="T775" r:id="rId1549" display="http://www.ms.ro/2020/07/25/buletin-informativ-25-07-2020/" xr:uid="{00000000-0004-0000-0000-00000C060000}"/>
    <hyperlink ref="K776" r:id="rId1550" display="https://stirioficiale.ro/informatii/buletin-de-presa-25-iulie-2020-ora-13-00" xr:uid="{00000000-0004-0000-0000-00000D060000}"/>
    <hyperlink ref="T776" r:id="rId1551" display="http://www.ms.ro/2020/07/25/buletin-informativ-25-07-2020/" xr:uid="{00000000-0004-0000-0000-00000E060000}"/>
    <hyperlink ref="K777" r:id="rId1552" display="https://stirioficiale.ro/informatii/buletin-de-presa-26-iulie-2020-ora-13-00" xr:uid="{00000000-0004-0000-0000-00000F060000}"/>
    <hyperlink ref="T777" r:id="rId1553" display="http://www.ms.ro/2020/07/26/buletin-informativ-26-07-2020/" xr:uid="{00000000-0004-0000-0000-000010060000}"/>
    <hyperlink ref="K778" r:id="rId1554" display="https://stirioficiale.ro/informatii/buletin-de-presa-26-iulie-2020-ora-13-00" xr:uid="{00000000-0004-0000-0000-000011060000}"/>
    <hyperlink ref="T778" r:id="rId1555" display="http://www.ms.ro/2020/07/26/buletin-informativ-26-07-2020/" xr:uid="{00000000-0004-0000-0000-000012060000}"/>
    <hyperlink ref="K779" r:id="rId1556" display="https://stirioficiale.ro/informatii/buletin-de-presa-26-iulie-2020-ora-13-00" xr:uid="{00000000-0004-0000-0000-000013060000}"/>
    <hyperlink ref="T779" r:id="rId1557" display="http://www.ms.ro/2020/07/26/buletin-informativ-26-07-2020/" xr:uid="{00000000-0004-0000-0000-000014060000}"/>
    <hyperlink ref="K780" r:id="rId1558" display="https://stirioficiale.ro/informatii/buletin-de-presa-26-iulie-2020-ora-13-00" xr:uid="{00000000-0004-0000-0000-000015060000}"/>
    <hyperlink ref="T780" r:id="rId1559" display="http://www.ms.ro/2020/07/26/buletin-informativ-26-07-2020/" xr:uid="{00000000-0004-0000-0000-000016060000}"/>
    <hyperlink ref="K781" r:id="rId1560" display="https://stirioficiale.ro/informatii/buletin-de-presa-26-iulie-2020-ora-13-00" xr:uid="{00000000-0004-0000-0000-000017060000}"/>
    <hyperlink ref="T781" r:id="rId1561" display="http://www.ms.ro/2020/07/26/buletin-informativ-26-07-2020/" xr:uid="{00000000-0004-0000-0000-000018060000}"/>
    <hyperlink ref="K782" r:id="rId1562" display="https://stirioficiale.ro/informatii/buletin-de-presa-26-iulie-2020-ora-13-00" xr:uid="{00000000-0004-0000-0000-000019060000}"/>
    <hyperlink ref="T782" r:id="rId1563" display="http://www.ms.ro/2020/07/26/buletin-informativ-26-07-2020/" xr:uid="{00000000-0004-0000-0000-00001A060000}"/>
    <hyperlink ref="K783" r:id="rId1564" display="https://stirioficiale.ro/informatii/buletin-de-presa-27-iulie-2020-ora-13-00" xr:uid="{00000000-0004-0000-0000-00001B060000}"/>
    <hyperlink ref="T783" r:id="rId1565" display="http://www.ms.ro/2020/07/27/buletin-informativ-27-07-2020/" xr:uid="{00000000-0004-0000-0000-00001C060000}"/>
    <hyperlink ref="K784" r:id="rId1566" display="https://www.ebihoreanul.ro/stiri/inca-26-noi-cazuri-covid-depistate-in-bihor-intre-care-un-brancardier-si-o-asistenta-revenita-dupa-un-concediu-in-grecia-157871.html" xr:uid="{00000000-0004-0000-0000-00001D060000}"/>
    <hyperlink ref="T784" r:id="rId1567" display="http://www.ms.ro/2020/07/27/buletin-informativ-27-07-2020/" xr:uid="{00000000-0004-0000-0000-00001E060000}"/>
    <hyperlink ref="K785" r:id="rId1568" display="https://www.ebihoreanul.ro/stiri/inca-26-noi-cazuri-covid-depistate-in-bihor-intre-care-un-brancardier-si-o-asistenta-revenita-dupa-un-concediu-in-grecia-157871.html" xr:uid="{00000000-0004-0000-0000-00001F060000}"/>
    <hyperlink ref="T785" r:id="rId1569" display="http://www.ms.ro/2020/07/27/buletin-informativ-27-07-2020/" xr:uid="{00000000-0004-0000-0000-000020060000}"/>
    <hyperlink ref="K786" r:id="rId1570" display="https://www.ebihoreanul.ro/stiri/inca-26-noi-cazuri-covid-depistate-in-bihor-intre-care-un-brancardier-si-o-asistenta-revenita-dupa-un-concediu-in-grecia-157871.html" xr:uid="{00000000-0004-0000-0000-000021060000}"/>
    <hyperlink ref="T786" r:id="rId1571" display="http://www.ms.ro/2020/07/27/buletin-informativ-27-07-2020/" xr:uid="{00000000-0004-0000-0000-000022060000}"/>
    <hyperlink ref="K787" r:id="rId1572" display="https://www.ebihoreanul.ro/stiri/inca-26-noi-cazuri-covid-depistate-in-bihor-intre-care-un-brancardier-si-o-asistenta-revenita-dupa-un-concediu-in-grecia-157871.html" xr:uid="{00000000-0004-0000-0000-000023060000}"/>
    <hyperlink ref="T787" r:id="rId1573" display="http://www.ms.ro/2020/07/27/buletin-informativ-27-07-2020/" xr:uid="{00000000-0004-0000-0000-000024060000}"/>
    <hyperlink ref="K788" r:id="rId1574" display="https://www.ebihoreanul.ro/stiri/inca-26-noi-cazuri-covid-depistate-in-bihor-intre-care-un-brancardier-si-o-asistenta-revenita-dupa-un-concediu-in-grecia-157871.html" xr:uid="{00000000-0004-0000-0000-000025060000}"/>
    <hyperlink ref="T788" r:id="rId1575" display="http://www.ms.ro/2020/07/27/buletin-informativ-27-07-2020/" xr:uid="{00000000-0004-0000-0000-000026060000}"/>
    <hyperlink ref="K789" r:id="rId1576" display="https://www.ebihoreanul.ro/stiri/inca-26-noi-cazuri-covid-depistate-in-bihor-intre-care-un-brancardier-si-o-asistenta-revenita-dupa-un-concediu-in-grecia-157871.html" xr:uid="{00000000-0004-0000-0000-000027060000}"/>
    <hyperlink ref="T789" r:id="rId1577" display="http://www.ms.ro/2020/07/27/buletin-informativ-27-07-2020/" xr:uid="{00000000-0004-0000-0000-000028060000}"/>
    <hyperlink ref="K790" r:id="rId1578" display="https://www.ebihoreanul.ro/stiri/inca-26-noi-cazuri-covid-depistate-in-bihor-intre-care-un-brancardier-si-o-asistenta-revenita-dupa-un-concediu-in-grecia-157871.html" xr:uid="{00000000-0004-0000-0000-000029060000}"/>
    <hyperlink ref="T790" r:id="rId1579" display="http://www.ms.ro/2020/07/27/buletin-informativ-27-07-2020/" xr:uid="{00000000-0004-0000-0000-00002A060000}"/>
    <hyperlink ref="K791" r:id="rId1580" display="https://www.ebihoreanul.ro/stiri/inca-26-noi-cazuri-covid-depistate-in-bihor-intre-care-un-brancardier-si-o-asistenta-revenita-dupa-un-concediu-in-grecia-157871.html" xr:uid="{00000000-0004-0000-0000-00002B060000}"/>
    <hyperlink ref="T791" r:id="rId1581" display="http://www.ms.ro/2020/07/27/buletin-informativ-27-07-2020/" xr:uid="{00000000-0004-0000-0000-00002C060000}"/>
    <hyperlink ref="K792" r:id="rId1582" display="https://www.ebihoreanul.ro/stiri/inca-26-noi-cazuri-covid-depistate-in-bihor-intre-care-un-brancardier-si-o-asistenta-revenita-dupa-un-concediu-in-grecia-157871.html" xr:uid="{00000000-0004-0000-0000-00002D060000}"/>
    <hyperlink ref="T792" r:id="rId1583" display="http://www.ms.ro/2020/07/27/buletin-informativ-27-07-2020/" xr:uid="{00000000-0004-0000-0000-00002E060000}"/>
    <hyperlink ref="K793" r:id="rId1584" display="https://www.ebihoreanul.ro/stiri/inca-26-noi-cazuri-covid-depistate-in-bihor-intre-care-un-brancardier-si-o-asistenta-revenita-dupa-un-concediu-in-grecia-157871.html" xr:uid="{00000000-0004-0000-0000-00002F060000}"/>
    <hyperlink ref="T793" r:id="rId1585" display="http://www.ms.ro/2020/07/27/buletin-informativ-27-07-2020/" xr:uid="{00000000-0004-0000-0000-000030060000}"/>
    <hyperlink ref="K794" r:id="rId1586" display="https://www.ebihoreanul.ro/stiri/inca-26-noi-cazuri-covid-depistate-in-bihor-intre-care-un-brancardier-si-o-asistenta-revenita-dupa-un-concediu-in-grecia-157871.html" xr:uid="{00000000-0004-0000-0000-000031060000}"/>
    <hyperlink ref="T794" r:id="rId1587" display="http://www.ms.ro/2020/07/27/buletin-informativ-27-07-2020/" xr:uid="{00000000-0004-0000-0000-000032060000}"/>
    <hyperlink ref="K795" r:id="rId1588" display="https://www.ebihoreanul.ro/stiri/inca-26-noi-cazuri-covid-depistate-in-bihor-intre-care-un-brancardier-si-o-asistenta-revenita-dupa-un-concediu-in-grecia-157871.html" xr:uid="{00000000-0004-0000-0000-000033060000}"/>
    <hyperlink ref="T795" r:id="rId1589" display="http://www.ms.ro/2020/07/27/buletin-informativ-27-07-2020/" xr:uid="{00000000-0004-0000-0000-000034060000}"/>
    <hyperlink ref="K796" r:id="rId1590" display="https://www.ebihoreanul.ro/stiri/inca-26-noi-cazuri-covid-depistate-in-bihor-intre-care-un-brancardier-si-o-asistenta-revenita-dupa-un-concediu-in-grecia-157871.html" xr:uid="{00000000-0004-0000-0000-000035060000}"/>
    <hyperlink ref="T796" r:id="rId1591" display="http://www.ms.ro/2020/07/27/buletin-informativ-27-07-2020/" xr:uid="{00000000-0004-0000-0000-000036060000}"/>
    <hyperlink ref="K797" r:id="rId1592" display="https://www.ebihoreanul.ro/stiri/inca-26-noi-cazuri-covid-depistate-in-bihor-intre-care-un-brancardier-si-o-asistenta-revenita-dupa-un-concediu-in-grecia-157871.html" xr:uid="{00000000-0004-0000-0000-000037060000}"/>
    <hyperlink ref="T797" r:id="rId1593" display="http://www.ms.ro/2020/07/27/buletin-informativ-27-07-2020/" xr:uid="{00000000-0004-0000-0000-000038060000}"/>
    <hyperlink ref="K798" r:id="rId1594" display="https://www.ebihoreanul.ro/stiri/inca-26-noi-cazuri-covid-depistate-in-bihor-intre-care-un-brancardier-si-o-asistenta-revenita-dupa-un-concediu-in-grecia-157871.html" xr:uid="{00000000-0004-0000-0000-000039060000}"/>
    <hyperlink ref="T798" r:id="rId1595" display="http://www.ms.ro/2020/07/27/buletin-informativ-27-07-2020/" xr:uid="{00000000-0004-0000-0000-00003A060000}"/>
    <hyperlink ref="K799" r:id="rId1596" display="https://www.ebihoreanul.ro/stiri/inca-26-noi-cazuri-covid-depistate-in-bihor-intre-care-un-brancardier-si-o-asistenta-revenita-dupa-un-concediu-in-grecia-157871.html" xr:uid="{00000000-0004-0000-0000-00003B060000}"/>
    <hyperlink ref="T799" r:id="rId1597" display="http://www.ms.ro/2020/07/27/buletin-informativ-27-07-2020/" xr:uid="{00000000-0004-0000-0000-00003C060000}"/>
    <hyperlink ref="K800" r:id="rId1598" display="https://www.ebihoreanul.ro/stiri/inca-26-noi-cazuri-covid-depistate-in-bihor-intre-care-un-brancardier-si-o-asistenta-revenita-dupa-un-concediu-in-grecia-157871.html" xr:uid="{00000000-0004-0000-0000-00003D060000}"/>
    <hyperlink ref="T800" r:id="rId1599" display="http://www.ms.ro/2020/07/27/buletin-informativ-27-07-2020/" xr:uid="{00000000-0004-0000-0000-00003E060000}"/>
    <hyperlink ref="K801" r:id="rId1600" display="https://www.ebihoreanul.ro/stiri/inca-26-noi-cazuri-covid-depistate-in-bihor-intre-care-un-brancardier-si-o-asistenta-revenita-dupa-un-concediu-in-grecia-157871.html" xr:uid="{00000000-0004-0000-0000-00003F060000}"/>
    <hyperlink ref="T801" r:id="rId1601" display="http://www.ms.ro/2020/07/27/buletin-informativ-27-07-2020/" xr:uid="{00000000-0004-0000-0000-000040060000}"/>
    <hyperlink ref="K802" r:id="rId1602" display="https://www.ebihoreanul.ro/stiri/inca-26-noi-cazuri-covid-depistate-in-bihor-intre-care-un-brancardier-si-o-asistenta-revenita-dupa-un-concediu-in-grecia-157871.html" xr:uid="{00000000-0004-0000-0000-000041060000}"/>
    <hyperlink ref="T802" r:id="rId1603" display="http://www.ms.ro/2020/07/27/buletin-informativ-27-07-2020/" xr:uid="{00000000-0004-0000-0000-000042060000}"/>
    <hyperlink ref="K803" r:id="rId1604" display="https://www.ebihoreanul.ro/stiri/inca-26-noi-cazuri-covid-depistate-in-bihor-intre-care-un-brancardier-si-o-asistenta-revenita-dupa-un-concediu-in-grecia-157871.html" xr:uid="{00000000-0004-0000-0000-000043060000}"/>
    <hyperlink ref="T803" r:id="rId1605" display="http://www.ms.ro/2020/07/27/buletin-informativ-27-07-2020/" xr:uid="{00000000-0004-0000-0000-000044060000}"/>
    <hyperlink ref="K804" r:id="rId1606" display="https://www.ebihoreanul.ro/stiri/inca-26-noi-cazuri-covid-depistate-in-bihor-intre-care-un-brancardier-si-o-asistenta-revenita-dupa-un-concediu-in-grecia-157871.html" xr:uid="{00000000-0004-0000-0000-000045060000}"/>
    <hyperlink ref="T804" r:id="rId1607" display="http://www.ms.ro/2020/07/27/buletin-informativ-27-07-2020/" xr:uid="{00000000-0004-0000-0000-000046060000}"/>
    <hyperlink ref="K805" r:id="rId1608" display="https://www.ebihoreanul.ro/stiri/inca-26-noi-cazuri-covid-depistate-in-bihor-intre-care-un-brancardier-si-o-asistenta-revenita-dupa-un-concediu-in-grecia-157871.html" xr:uid="{00000000-0004-0000-0000-000047060000}"/>
    <hyperlink ref="T805" r:id="rId1609" display="http://www.ms.ro/2020/07/27/buletin-informativ-27-07-2020/" xr:uid="{00000000-0004-0000-0000-000048060000}"/>
    <hyperlink ref="K806" r:id="rId1610" display="https://www.ebihoreanul.ro/stiri/inca-26-noi-cazuri-covid-depistate-in-bihor-intre-care-un-brancardier-si-o-asistenta-revenita-dupa-un-concediu-in-grecia-157871.html" xr:uid="{00000000-0004-0000-0000-000049060000}"/>
    <hyperlink ref="T806" r:id="rId1611" display="http://www.ms.ro/2020/07/27/buletin-informativ-27-07-2020/" xr:uid="{00000000-0004-0000-0000-00004A060000}"/>
    <hyperlink ref="K807" r:id="rId1612" display="https://www.ebihoreanul.ro/stiri/inca-26-noi-cazuri-covid-depistate-in-bihor-intre-care-un-brancardier-si-o-asistenta-revenita-dupa-un-concediu-in-grecia-157871.html" xr:uid="{00000000-0004-0000-0000-00004B060000}"/>
    <hyperlink ref="T807" r:id="rId1613" display="http://www.ms.ro/2020/07/27/buletin-informativ-27-07-2020/" xr:uid="{00000000-0004-0000-0000-00004C060000}"/>
    <hyperlink ref="K808" r:id="rId1614" display="https://www.ebihoreanul.ro/stiri/inca-26-noi-cazuri-covid-depistate-in-bihor-intre-care-un-brancardier-si-o-asistenta-revenita-dupa-un-concediu-in-grecia-157871.html" xr:uid="{00000000-0004-0000-0000-00004D060000}"/>
    <hyperlink ref="T808" r:id="rId1615" display="http://www.ms.ro/2020/07/27/buletin-informativ-27-07-2020/" xr:uid="{00000000-0004-0000-0000-00004E060000}"/>
    <hyperlink ref="K809" r:id="rId1616" display="https://stirioficiale.ro/informatii/buletin-de-presa-28-iulie-2020-ora-13-00" xr:uid="{00000000-0004-0000-0000-00004F060000}"/>
    <hyperlink ref="T809" r:id="rId1617" display="http://www.ms.ro/2020/07/28/buletin-informativ-28-07-2020/" xr:uid="{00000000-0004-0000-0000-000050060000}"/>
    <hyperlink ref="K810" r:id="rId1618" display="https://stirioficiale.ro/informatii/buletin-de-presa-28-iulie-2020-ora-13-00" xr:uid="{00000000-0004-0000-0000-000051060000}"/>
    <hyperlink ref="T810" r:id="rId1619" display="http://www.ms.ro/2020/07/28/buletin-informativ-28-07-2020/" xr:uid="{00000000-0004-0000-0000-000052060000}"/>
    <hyperlink ref="K811" r:id="rId1620" display="https://stirioficiale.ro/informatii/buletin-de-presa-28-iulie-2020-ora-13-00" xr:uid="{00000000-0004-0000-0000-000053060000}"/>
    <hyperlink ref="T811" r:id="rId1621" display="http://www.ms.ro/2020/07/28/buletin-informativ-28-07-2020/" xr:uid="{00000000-0004-0000-0000-000054060000}"/>
    <hyperlink ref="K812" r:id="rId1622" display="https://stirioficiale.ro/informatii/buletin-de-presa-28-iulie-2020-ora-13-00" xr:uid="{00000000-0004-0000-0000-000055060000}"/>
    <hyperlink ref="T812" r:id="rId1623" display="http://www.ms.ro/2020/07/28/buletin-informativ-28-07-2020/" xr:uid="{00000000-0004-0000-0000-000056060000}"/>
    <hyperlink ref="K813" r:id="rId1624" display="https://stirioficiale.ro/informatii/buletin-de-presa-28-iulie-2020-ora-13-00" xr:uid="{00000000-0004-0000-0000-000057060000}"/>
    <hyperlink ref="T813" r:id="rId1625" display="http://www.ms.ro/2020/07/28/buletin-informativ-28-07-2020/" xr:uid="{00000000-0004-0000-0000-000058060000}"/>
    <hyperlink ref="K814" r:id="rId1626" display="https://stirioficiale.ro/informatii/buletin-de-presa-28-iulie-2020-ora-13-00" xr:uid="{00000000-0004-0000-0000-000059060000}"/>
    <hyperlink ref="T814" r:id="rId1627" display="http://www.ms.ro/2020/07/28/buletin-informativ-28-07-2020/" xr:uid="{00000000-0004-0000-0000-00005A060000}"/>
    <hyperlink ref="K815" r:id="rId1628" display="https://stirioficiale.ro/informatii/buletin-de-presa-28-iulie-2020-ora-13-00" xr:uid="{00000000-0004-0000-0000-00005B060000}"/>
    <hyperlink ref="T815" r:id="rId1629" display="http://www.ms.ro/2020/07/28/buletin-informativ-28-07-2020/" xr:uid="{00000000-0004-0000-0000-00005C060000}"/>
    <hyperlink ref="K816" r:id="rId1630" display="https://stirioficiale.ro/informatii/buletin-de-presa-28-iulie-2020-ora-13-00" xr:uid="{00000000-0004-0000-0000-00005D060000}"/>
    <hyperlink ref="T816" r:id="rId1631" display="http://www.ms.ro/2020/07/28/buletin-informativ-28-07-2020/" xr:uid="{00000000-0004-0000-0000-00005E060000}"/>
    <hyperlink ref="K817" r:id="rId1632" display="https://stirioficiale.ro/informatii/buletin-de-presa-28-iulie-2020-ora-13-00" xr:uid="{00000000-0004-0000-0000-00005F060000}"/>
    <hyperlink ref="T817" r:id="rId1633" display="http://www.ms.ro/2020/07/28/buletin-informativ-28-07-2020/" xr:uid="{00000000-0004-0000-0000-000060060000}"/>
    <hyperlink ref="K818" r:id="rId1634" display="https://stirioficiale.ro/informatii/buletin-de-presa-28-iulie-2020-ora-13-00" xr:uid="{00000000-0004-0000-0000-000061060000}"/>
    <hyperlink ref="T818" r:id="rId1635" display="http://www.ms.ro/2020/07/28/buletin-informativ-28-07-2020/" xr:uid="{00000000-0004-0000-0000-000062060000}"/>
    <hyperlink ref="K819" r:id="rId1636" display="https://stirioficiale.ro/informatii/buletin-de-presa-28-iulie-2020-ora-13-00" xr:uid="{00000000-0004-0000-0000-000063060000}"/>
    <hyperlink ref="T819" r:id="rId1637" display="http://www.ms.ro/2020/07/28/buletin-informativ-28-07-2020/" xr:uid="{00000000-0004-0000-0000-000064060000}"/>
    <hyperlink ref="K820" r:id="rId1638" display="https://stirioficiale.ro/informatii/buletin-de-presa-28-iulie-2020-ora-13-00" xr:uid="{00000000-0004-0000-0000-000065060000}"/>
    <hyperlink ref="T820" r:id="rId1639" display="http://www.ms.ro/2020/07/28/buletin-informativ-28-07-2020/" xr:uid="{00000000-0004-0000-0000-000066060000}"/>
    <hyperlink ref="K821" r:id="rId1640" display="https://stirioficiale.ro/informatii/buletin-de-presa-28-iulie-2020-ora-13-00" xr:uid="{00000000-0004-0000-0000-000067060000}"/>
    <hyperlink ref="T821" r:id="rId1641" display="http://www.ms.ro/2020/07/28/buletin-informativ-28-07-2020/" xr:uid="{00000000-0004-0000-0000-000068060000}"/>
    <hyperlink ref="K822" r:id="rId1642" display="https://stirioficiale.ro/informatii/buletin-de-presa-28-iulie-2020-ora-13-00" xr:uid="{00000000-0004-0000-0000-000069060000}"/>
    <hyperlink ref="T822" r:id="rId1643" display="http://www.ms.ro/2020/07/28/buletin-informativ-28-07-2020/" xr:uid="{00000000-0004-0000-0000-00006A060000}"/>
    <hyperlink ref="K823" r:id="rId1644" display="https://stirioficiale.ro/informatii/buletin-de-presa-28-iulie-2020-ora-13-00" xr:uid="{00000000-0004-0000-0000-00006B060000}"/>
    <hyperlink ref="T823" r:id="rId1645" display="http://www.ms.ro/2020/07/28/buletin-informativ-28-07-2020/" xr:uid="{00000000-0004-0000-0000-00006C060000}"/>
    <hyperlink ref="K824" r:id="rId1646" display="https://stirioficiale.ro/informatii/buletin-de-presa-28-iulie-2020-ora-13-00" xr:uid="{00000000-0004-0000-0000-00006D060000}"/>
    <hyperlink ref="T824" r:id="rId1647" display="http://www.ms.ro/2020/07/28/buletin-informativ-28-07-2020/" xr:uid="{00000000-0004-0000-0000-00006E060000}"/>
    <hyperlink ref="K825" r:id="rId1648" display="https://stirioficiale.ro/informatii/buletin-de-presa-28-iulie-2020-ora-13-00" xr:uid="{00000000-0004-0000-0000-00006F060000}"/>
    <hyperlink ref="T825" r:id="rId1649" display="http://www.ms.ro/2020/07/28/buletin-informativ-28-07-2020/" xr:uid="{00000000-0004-0000-0000-000070060000}"/>
    <hyperlink ref="K826" r:id="rId1650" display="https://stirioficiale.ro/informatii/buletin-de-presa-28-iulie-2020-ora-13-00" xr:uid="{00000000-0004-0000-0000-000071060000}"/>
    <hyperlink ref="T826" r:id="rId1651" display="http://www.ms.ro/2020/07/28/buletin-informativ-28-07-2020/" xr:uid="{00000000-0004-0000-0000-000072060000}"/>
    <hyperlink ref="K827" r:id="rId1652" display="https://stirioficiale.ro/informatii/buletin-de-presa-29-iulie-2020-ora-13-00" xr:uid="{00000000-0004-0000-0000-000073060000}"/>
    <hyperlink ref="T827" r:id="rId1653" display="http://www.ms.ro/2020/07/29/buletin-informativ-29-07-2020/" xr:uid="{00000000-0004-0000-0000-000074060000}"/>
    <hyperlink ref="K828" r:id="rId1654" display="https://stirioficiale.ro/informatii/buletin-de-presa-29-iulie-2020-ora-13-00" xr:uid="{00000000-0004-0000-0000-000075060000}"/>
    <hyperlink ref="T828" r:id="rId1655" display="http://www.ms.ro/2020/07/29/buletin-informativ-29-07-2020/" xr:uid="{00000000-0004-0000-0000-000076060000}"/>
    <hyperlink ref="K829" r:id="rId1656" display="https://stirioficiale.ro/informatii/buletin-de-presa-29-iulie-2020-ora-13-00" xr:uid="{00000000-0004-0000-0000-000077060000}"/>
    <hyperlink ref="T829" r:id="rId1657" display="http://www.ms.ro/2020/07/29/buletin-informativ-29-07-2020/" xr:uid="{00000000-0004-0000-0000-000078060000}"/>
    <hyperlink ref="K830" r:id="rId1658" display="https://stirioficiale.ro/informatii/buletin-de-presa-29-iulie-2020-ora-13-00" xr:uid="{00000000-0004-0000-0000-000079060000}"/>
    <hyperlink ref="T830" r:id="rId1659" display="http://www.ms.ro/2020/07/29/buletin-informativ-29-07-2020/" xr:uid="{00000000-0004-0000-0000-00007A060000}"/>
    <hyperlink ref="K831" r:id="rId1660" display="https://stirioficiale.ro/informatii/buletin-de-presa-29-iulie-2020-ora-13-00" xr:uid="{00000000-0004-0000-0000-00007B060000}"/>
    <hyperlink ref="T831" r:id="rId1661" display="http://www.ms.ro/2020/07/29/buletin-informativ-29-07-2020/" xr:uid="{00000000-0004-0000-0000-00007C060000}"/>
    <hyperlink ref="K832" r:id="rId1662" display="https://stirioficiale.ro/informatii/buletin-de-presa-29-iulie-2020-ora-13-00" xr:uid="{00000000-0004-0000-0000-00007D060000}"/>
    <hyperlink ref="T832" r:id="rId1663" display="http://www.ms.ro/2020/07/29/buletin-informativ-29-07-2020/" xr:uid="{00000000-0004-0000-0000-00007E060000}"/>
    <hyperlink ref="K833" r:id="rId1664" display="https://stirioficiale.ro/informatii/buletin-de-presa-29-iulie-2020-ora-13-00" xr:uid="{00000000-0004-0000-0000-00007F060000}"/>
    <hyperlink ref="T833" r:id="rId1665" display="http://www.ms.ro/2020/07/29/buletin-informativ-29-07-2020/" xr:uid="{00000000-0004-0000-0000-000080060000}"/>
    <hyperlink ref="K834" r:id="rId1666" display="https://stirioficiale.ro/informatii/buletin-de-presa-29-iulie-2020-ora-13-00" xr:uid="{00000000-0004-0000-0000-000081060000}"/>
    <hyperlink ref="T834" r:id="rId1667" display="http://www.ms.ro/2020/07/29/buletin-informativ-29-07-2020/" xr:uid="{00000000-0004-0000-0000-000082060000}"/>
    <hyperlink ref="K835" r:id="rId1668" display="https://stirioficiale.ro/informatii/buletin-de-presa-29-iulie-2020-ora-13-00" xr:uid="{00000000-0004-0000-0000-000083060000}"/>
    <hyperlink ref="T835" r:id="rId1669" display="http://www.ms.ro/2020/07/29/buletin-informativ-29-07-2020/" xr:uid="{00000000-0004-0000-0000-000084060000}"/>
    <hyperlink ref="K836" r:id="rId1670" display="https://stirioficiale.ro/informatii/buletin-de-presa-29-iulie-2020-ora-13-00" xr:uid="{00000000-0004-0000-0000-000085060000}"/>
    <hyperlink ref="T836" r:id="rId1671" display="http://www.ms.ro/2020/07/29/buletin-informativ-29-07-2020/" xr:uid="{00000000-0004-0000-0000-000086060000}"/>
    <hyperlink ref="K837" r:id="rId1672" display="https://stirioficiale.ro/informatii/buletin-de-presa-29-iulie-2020-ora-13-00" xr:uid="{00000000-0004-0000-0000-000087060000}"/>
    <hyperlink ref="T837" r:id="rId1673" display="http://www.ms.ro/2020/07/29/buletin-informativ-29-07-2020/" xr:uid="{00000000-0004-0000-0000-000088060000}"/>
    <hyperlink ref="K838" r:id="rId1674" display="https://stirioficiale.ro/informatii/buletin-de-presa-29-iulie-2020-ora-13-00" xr:uid="{00000000-0004-0000-0000-000089060000}"/>
    <hyperlink ref="T838" r:id="rId1675" display="http://www.ms.ro/2020/07/29/buletin-informativ-29-07-2020/" xr:uid="{00000000-0004-0000-0000-00008A060000}"/>
    <hyperlink ref="K839" r:id="rId1676" display="https://stirioficiale.ro/informatii/buletin-de-presa-29-iulie-2020-ora-13-00" xr:uid="{00000000-0004-0000-0000-00008B060000}"/>
    <hyperlink ref="T839" r:id="rId1677" display="http://www.ms.ro/2020/07/29/buletin-informativ-29-07-2020/" xr:uid="{00000000-0004-0000-0000-00008C060000}"/>
    <hyperlink ref="K840" r:id="rId1678" display="https://stirioficiale.ro/informatii/buletin-de-presa-29-iulie-2020-ora-13-00" xr:uid="{00000000-0004-0000-0000-00008D060000}"/>
    <hyperlink ref="T840" r:id="rId1679" display="http://www.ms.ro/2020/07/29/buletin-informativ-29-07-2020/" xr:uid="{00000000-0004-0000-0000-00008E060000}"/>
    <hyperlink ref="K841" r:id="rId1680" display="https://stirioficiale.ro/informatii/buletin-de-presa-29-iulie-2020-ora-13-00" xr:uid="{00000000-0004-0000-0000-00008F060000}"/>
    <hyperlink ref="T841" r:id="rId1681" display="http://www.ms.ro/2020/07/29/buletin-informativ-29-07-2020/" xr:uid="{00000000-0004-0000-0000-000090060000}"/>
    <hyperlink ref="K842" r:id="rId1682" display="https://stirioficiale.ro/informatii/buletin-de-presa-29-iulie-2020-ora-13-00" xr:uid="{00000000-0004-0000-0000-000091060000}"/>
    <hyperlink ref="T842" r:id="rId1683" display="http://www.ms.ro/2020/07/29/buletin-informativ-29-07-2020/" xr:uid="{00000000-0004-0000-0000-000092060000}"/>
    <hyperlink ref="K843" r:id="rId1684" display="https://stirioficiale.ro/informatii/buletin-de-presa-29-iulie-2020-ora-13-00" xr:uid="{00000000-0004-0000-0000-000093060000}"/>
    <hyperlink ref="T843" r:id="rId1685" display="http://www.ms.ro/2020/07/29/buletin-informativ-29-07-2020/" xr:uid="{00000000-0004-0000-0000-000094060000}"/>
    <hyperlink ref="K844" r:id="rId1686" display="https://stirioficiale.ro/informatii/buletin-de-presa-29-iulie-2020-ora-13-00" xr:uid="{00000000-0004-0000-0000-000095060000}"/>
    <hyperlink ref="T844" r:id="rId1687" display="http://www.ms.ro/2020/07/29/buletin-informativ-29-07-2020/" xr:uid="{00000000-0004-0000-0000-000096060000}"/>
    <hyperlink ref="K845" r:id="rId1688" display="https://stirioficiale.ro/informatii/buletin-de-presa-29-iulie-2020-ora-13-00" xr:uid="{00000000-0004-0000-0000-000097060000}"/>
    <hyperlink ref="T845" r:id="rId1689" display="http://www.ms.ro/2020/07/29/buletin-informativ-29-07-2020/" xr:uid="{00000000-0004-0000-0000-000098060000}"/>
    <hyperlink ref="K846" r:id="rId1690" display="https://stirioficiale.ro/informatii/buletin-de-presa-29-iulie-2020-ora-13-00" xr:uid="{00000000-0004-0000-0000-000099060000}"/>
    <hyperlink ref="T846" r:id="rId1691" display="http://www.ms.ro/2020/07/29/buletin-informativ-29-07-2020/" xr:uid="{00000000-0004-0000-0000-00009A060000}"/>
    <hyperlink ref="K847" r:id="rId1692" display="https://stirioficiale.ro/informatii/buletin-de-presa-29-iulie-2020-ora-13-00" xr:uid="{00000000-0004-0000-0000-00009B060000}"/>
    <hyperlink ref="T847" r:id="rId1693" display="http://www.ms.ro/2020/07/29/buletin-informativ-29-07-2020/" xr:uid="{00000000-0004-0000-0000-00009C060000}"/>
    <hyperlink ref="K848" r:id="rId1694" display="https://stirioficiale.ro/informatii/buletin-de-presa-29-iulie-2020-ora-13-00" xr:uid="{00000000-0004-0000-0000-00009D060000}"/>
    <hyperlink ref="T848" r:id="rId1695" display="http://www.ms.ro/2020/07/29/buletin-informativ-29-07-2020/" xr:uid="{00000000-0004-0000-0000-00009E060000}"/>
    <hyperlink ref="K849" r:id="rId1696" display="https://stirioficiale.ro/informatii/buletin-de-presa-29-iulie-2020-ora-13-00" xr:uid="{00000000-0004-0000-0000-00009F060000}"/>
    <hyperlink ref="T849" r:id="rId1697" display="http://www.ms.ro/2020/07/29/buletin-informativ-29-07-2020/" xr:uid="{00000000-0004-0000-0000-0000A0060000}"/>
    <hyperlink ref="K850" r:id="rId1698" display="https://stirioficiale.ro/informatii/buletin-de-presa-30-iulie-2020-ora-13-00" xr:uid="{00000000-0004-0000-0000-0000A1060000}"/>
    <hyperlink ref="T850" r:id="rId1699" display="http://www.ms.ro/2020/07/30/buletin-informativ-30-07-2020/" xr:uid="{00000000-0004-0000-0000-0000A2060000}"/>
    <hyperlink ref="K851" r:id="rId1700" display="https://stirioficiale.ro/informatii/buletin-de-presa-30-iulie-2020-ora-13-00" xr:uid="{00000000-0004-0000-0000-0000A3060000}"/>
    <hyperlink ref="T851" r:id="rId1701" display="http://www.ms.ro/2020/07/30/buletin-informativ-30-07-2020/" xr:uid="{00000000-0004-0000-0000-0000A4060000}"/>
    <hyperlink ref="K852" r:id="rId1702" display="https://stirioficiale.ro/informatii/buletin-de-presa-30-iulie-2020-ora-13-00" xr:uid="{00000000-0004-0000-0000-0000A5060000}"/>
    <hyperlink ref="T852" r:id="rId1703" display="http://www.ms.ro/2020/07/30/buletin-informativ-30-07-2020/" xr:uid="{00000000-0004-0000-0000-0000A6060000}"/>
    <hyperlink ref="K853" r:id="rId1704" display="https://stirioficiale.ro/informatii/buletin-de-presa-30-iulie-2020-ora-13-00" xr:uid="{00000000-0004-0000-0000-0000A7060000}"/>
    <hyperlink ref="T853" r:id="rId1705" display="http://www.ms.ro/2020/07/30/buletin-informativ-30-07-2020/" xr:uid="{00000000-0004-0000-0000-0000A8060000}"/>
    <hyperlink ref="K854" r:id="rId1706" display="https://stirioficiale.ro/informatii/buletin-de-presa-30-iulie-2020-ora-13-00" xr:uid="{00000000-0004-0000-0000-0000A9060000}"/>
    <hyperlink ref="T854" r:id="rId1707" display="http://www.ms.ro/2020/07/30/buletin-informativ-30-07-2020/" xr:uid="{00000000-0004-0000-0000-0000AA060000}"/>
    <hyperlink ref="K855" r:id="rId1708" display="https://stirioficiale.ro/informatii/buletin-de-presa-30-iulie-2020-ora-13-00" xr:uid="{00000000-0004-0000-0000-0000AB060000}"/>
    <hyperlink ref="T855" r:id="rId1709" display="http://www.ms.ro/2020/07/30/buletin-informativ-30-07-2020/" xr:uid="{00000000-0004-0000-0000-0000AC060000}"/>
    <hyperlink ref="K856" r:id="rId1710" display="https://stirioficiale.ro/informatii/buletin-de-presa-30-iulie-2020-ora-13-00" xr:uid="{00000000-0004-0000-0000-0000AD060000}"/>
    <hyperlink ref="T856" r:id="rId1711" display="http://www.ms.ro/2020/07/30/buletin-informativ-30-07-2020/" xr:uid="{00000000-0004-0000-0000-0000AE060000}"/>
    <hyperlink ref="K857" r:id="rId1712" display="https://stirioficiale.ro/informatii/buletin-de-presa-30-iulie-2020-ora-13-00" xr:uid="{00000000-0004-0000-0000-0000AF060000}"/>
    <hyperlink ref="T857" r:id="rId1713" display="http://www.ms.ro/2020/07/30/buletin-informativ-30-07-2020/" xr:uid="{00000000-0004-0000-0000-0000B0060000}"/>
    <hyperlink ref="K858" r:id="rId1714" display="https://stirioficiale.ro/informatii/buletin-de-presa-30-iulie-2020-ora-13-00" xr:uid="{00000000-0004-0000-0000-0000B1060000}"/>
    <hyperlink ref="T858" r:id="rId1715" display="http://www.ms.ro/2020/07/30/buletin-informativ-30-07-2020/" xr:uid="{00000000-0004-0000-0000-0000B2060000}"/>
    <hyperlink ref="K859" r:id="rId1716" display="https://stirioficiale.ro/informatii/buletin-de-presa-30-iulie-2020-ora-13-00" xr:uid="{00000000-0004-0000-0000-0000B3060000}"/>
    <hyperlink ref="T859" r:id="rId1717" display="http://www.ms.ro/2020/07/30/buletin-informativ-30-07-2020/" xr:uid="{00000000-0004-0000-0000-0000B4060000}"/>
    <hyperlink ref="K860" r:id="rId1718" display="https://stirioficiale.ro/informatii/buletin-de-presa-30-iulie-2020-ora-13-00" xr:uid="{00000000-0004-0000-0000-0000B5060000}"/>
    <hyperlink ref="T860" r:id="rId1719" display="http://www.ms.ro/2020/07/30/buletin-informativ-30-07-2020/" xr:uid="{00000000-0004-0000-0000-0000B6060000}"/>
    <hyperlink ref="K861" r:id="rId1720" display="https://stirioficiale.ro/informatii/buletin-de-presa-30-iulie-2020-ora-13-00" xr:uid="{00000000-0004-0000-0000-0000B7060000}"/>
    <hyperlink ref="T861" r:id="rId1721" display="http://www.ms.ro/2020/07/30/buletin-informativ-30-07-2020/" xr:uid="{00000000-0004-0000-0000-0000B8060000}"/>
    <hyperlink ref="K862" r:id="rId1722" display="https://stirioficiale.ro/informatii/buletin-de-presa-30-iulie-2020-ora-13-00" xr:uid="{00000000-0004-0000-0000-0000B9060000}"/>
    <hyperlink ref="T862" r:id="rId1723" display="http://www.ms.ro/2020/07/30/buletin-informativ-30-07-2020/" xr:uid="{00000000-0004-0000-0000-0000BA060000}"/>
    <hyperlink ref="K863" r:id="rId1724" display="https://stirioficiale.ro/informatii/buletin-de-presa-30-iulie-2020-ora-13-00" xr:uid="{00000000-0004-0000-0000-0000BB060000}"/>
    <hyperlink ref="T863" r:id="rId1725" display="http://www.ms.ro/2020/07/30/buletin-informativ-30-07-2020/" xr:uid="{00000000-0004-0000-0000-0000BC060000}"/>
    <hyperlink ref="K864" r:id="rId1726" display="https://stirioficiale.ro/informatii/buletin-de-presa-30-iulie-2020-ora-13-00" xr:uid="{00000000-0004-0000-0000-0000BD060000}"/>
    <hyperlink ref="T864" r:id="rId1727" display="http://www.ms.ro/2020/07/30/buletin-informativ-30-07-2020/" xr:uid="{00000000-0004-0000-0000-0000BE060000}"/>
    <hyperlink ref="K865" r:id="rId1728" display="https://stirioficiale.ro/informatii/buletin-de-presa-30-iulie-2020-ora-13-00" xr:uid="{00000000-0004-0000-0000-0000BF060000}"/>
    <hyperlink ref="T865" r:id="rId1729" display="http://www.ms.ro/2020/07/30/buletin-informativ-30-07-2020/" xr:uid="{00000000-0004-0000-0000-0000C0060000}"/>
    <hyperlink ref="K866" r:id="rId1730" display="https://stirioficiale.ro/informatii/buletin-de-presa-30-iulie-2020-ora-13-00" xr:uid="{00000000-0004-0000-0000-0000C1060000}"/>
    <hyperlink ref="T866" r:id="rId1731" display="http://www.ms.ro/2020/07/30/buletin-informativ-30-07-2020/" xr:uid="{00000000-0004-0000-0000-0000C2060000}"/>
    <hyperlink ref="K867" r:id="rId1732" display="https://stirioficiale.ro/informatii/buletin-de-presa-30-iulie-2020-ora-13-00" xr:uid="{00000000-0004-0000-0000-0000C3060000}"/>
    <hyperlink ref="T867" r:id="rId1733" display="http://www.ms.ro/2020/07/30/buletin-informativ-30-07-2020/" xr:uid="{00000000-0004-0000-0000-0000C4060000}"/>
    <hyperlink ref="K868" r:id="rId1734" display="https://stirioficiale.ro/informatii/buletin-de-presa-30-iulie-2020-ora-13-00" xr:uid="{00000000-0004-0000-0000-0000C5060000}"/>
    <hyperlink ref="T868" r:id="rId1735" display="http://www.ms.ro/2020/07/30/buletin-informativ-30-07-2020/" xr:uid="{00000000-0004-0000-0000-0000C6060000}"/>
    <hyperlink ref="K869" r:id="rId1736" display="https://stirioficiale.ro/informatii/buletin-de-presa-30-iulie-2020-ora-13-00" xr:uid="{00000000-0004-0000-0000-0000C7060000}"/>
    <hyperlink ref="T869" r:id="rId1737" display="http://www.ms.ro/2020/07/30/buletin-informativ-30-07-2020/" xr:uid="{00000000-0004-0000-0000-0000C8060000}"/>
    <hyperlink ref="K870" r:id="rId1738" display="https://stirioficiale.ro/informatii/buletin-de-presa-30-iulie-2020-ora-13-00" xr:uid="{00000000-0004-0000-0000-0000C9060000}"/>
    <hyperlink ref="T870" r:id="rId1739" display="http://www.ms.ro/2020/07/30/buletin-informativ-30-07-2020/" xr:uid="{00000000-0004-0000-0000-0000CA060000}"/>
    <hyperlink ref="K871" r:id="rId1740" display="https://stirioficiale.ro/informatii/buletin-de-presa-30-iulie-2020-ora-13-00" xr:uid="{00000000-0004-0000-0000-0000CB060000}"/>
    <hyperlink ref="T871" r:id="rId1741" display="http://www.ms.ro/2020/07/30/buletin-informativ-30-07-2020/" xr:uid="{00000000-0004-0000-0000-0000CC060000}"/>
    <hyperlink ref="K872" r:id="rId1742" display="https://stirioficiale.ro/informatii/buletin-de-presa-30-iulie-2020-ora-13-00" xr:uid="{00000000-0004-0000-0000-0000CD060000}"/>
    <hyperlink ref="T872" r:id="rId1743" display="http://www.ms.ro/2020/07/30/buletin-informativ-30-07-2020/" xr:uid="{00000000-0004-0000-0000-0000CE060000}"/>
    <hyperlink ref="K873" r:id="rId1744" display="https://stirioficiale.ro/informatii/buletin-de-presa-30-iulie-2020-ora-13-00" xr:uid="{00000000-0004-0000-0000-0000CF060000}"/>
    <hyperlink ref="T873" r:id="rId1745" display="http://www.ms.ro/2020/07/30/buletin-informativ-30-07-2020/" xr:uid="{00000000-0004-0000-0000-0000D0060000}"/>
    <hyperlink ref="K874" r:id="rId1746" display="https://stirioficiale.ro/informatii/buletin-de-presa-30-iulie-2020-ora-13-00" xr:uid="{00000000-0004-0000-0000-0000D1060000}"/>
    <hyperlink ref="T874" r:id="rId1747" display="http://www.ms.ro/2020/07/30/buletin-informativ-30-07-2020/" xr:uid="{00000000-0004-0000-0000-0000D2060000}"/>
    <hyperlink ref="K875" r:id="rId1748" display="https://stirioficiale.ro/informatii/buletin-de-presa-30-iulie-2020-ora-13-00" xr:uid="{00000000-0004-0000-0000-0000D3060000}"/>
    <hyperlink ref="T875" r:id="rId1749" display="http://www.ms.ro/2020/07/30/buletin-informativ-30-07-2020/" xr:uid="{00000000-0004-0000-0000-0000D4060000}"/>
    <hyperlink ref="K876" r:id="rId1750" display="https://stirioficiale.ro/informatii/buletin-de-presa-30-iulie-2020-ora-13-00" xr:uid="{00000000-0004-0000-0000-0000D5060000}"/>
    <hyperlink ref="T876" r:id="rId1751" display="http://www.ms.ro/2020/07/30/buletin-informativ-30-07-2020/" xr:uid="{00000000-0004-0000-0000-0000D6060000}"/>
    <hyperlink ref="K877" r:id="rId1752" display="https://stirioficiale.ro/informatii/buletin-de-presa-30-iulie-2020-ora-13-00" xr:uid="{00000000-0004-0000-0000-0000D7060000}"/>
    <hyperlink ref="T877" r:id="rId1753" display="http://www.ms.ro/2020/07/30/buletin-informativ-30-07-2020/" xr:uid="{00000000-0004-0000-0000-0000D8060000}"/>
    <hyperlink ref="K878" r:id="rId1754" display="https://stirioficiale.ro/informatii/buletin-de-presa-30-iulie-2020-ora-13-00" xr:uid="{00000000-0004-0000-0000-0000D9060000}"/>
    <hyperlink ref="T878" r:id="rId1755" display="http://www.ms.ro/2020/07/30/buletin-informativ-30-07-2020/" xr:uid="{00000000-0004-0000-0000-0000DA060000}"/>
    <hyperlink ref="K879" r:id="rId1756" display="https://stirioficiale.ro/informatii/buletin-de-presa-30-iulie-2020-ora-13-00" xr:uid="{00000000-0004-0000-0000-0000DB060000}"/>
    <hyperlink ref="T879" r:id="rId1757" display="http://www.ms.ro/2020/07/30/buletin-informativ-30-07-2020/" xr:uid="{00000000-0004-0000-0000-0000DC060000}"/>
    <hyperlink ref="K880" r:id="rId1758" display="https://stirioficiale.ro/informatii/buletin-de-presa-30-iulie-2020-ora-13-00" xr:uid="{00000000-0004-0000-0000-0000DD060000}"/>
    <hyperlink ref="T880" r:id="rId1759" display="http://www.ms.ro/2020/07/30/buletin-informativ-30-07-2020/" xr:uid="{00000000-0004-0000-0000-0000DE060000}"/>
    <hyperlink ref="K881" r:id="rId1760" display="https://stirioficiale.ro/informatii/buletin-de-presa-30-iulie-2020-ora-13-00" xr:uid="{00000000-0004-0000-0000-0000DF060000}"/>
    <hyperlink ref="T881" r:id="rId1761" display="http://www.ms.ro/2020/07/30/buletin-informativ-30-07-2020/" xr:uid="{00000000-0004-0000-0000-0000E0060000}"/>
    <hyperlink ref="K882" r:id="rId1762" display="https://stirioficiale.ro/informatii/buletin-de-presa-30-iulie-2020-ora-13-00" xr:uid="{00000000-0004-0000-0000-0000E1060000}"/>
    <hyperlink ref="T882" r:id="rId1763" display="http://www.ms.ro/2020/07/30/buletin-informativ-30-07-2020/" xr:uid="{00000000-0004-0000-0000-0000E2060000}"/>
    <hyperlink ref="K883" r:id="rId1764" display="https://stirioficiale.ro/informatii/buletin-de-presa-30-iulie-2020-ora-13-00" xr:uid="{00000000-0004-0000-0000-0000E3060000}"/>
    <hyperlink ref="T883" r:id="rId1765" display="http://www.ms.ro/2020/07/30/buletin-informativ-30-07-2020/" xr:uid="{00000000-0004-0000-0000-0000E4060000}"/>
    <hyperlink ref="K884" r:id="rId1766" display="https://stirioficiale.ro/informatii/buletin-de-presa-30-iulie-2020-ora-13-00" xr:uid="{00000000-0004-0000-0000-0000E5060000}"/>
    <hyperlink ref="T884" r:id="rId1767" display="http://www.ms.ro/2020/07/30/buletin-informativ-30-07-2020/" xr:uid="{00000000-0004-0000-0000-0000E6060000}"/>
    <hyperlink ref="K885" r:id="rId1768" display="https://stirioficiale.ro/informatii/buletin-de-presa-30-iulie-2020-ora-13-00" xr:uid="{00000000-0004-0000-0000-0000E7060000}"/>
    <hyperlink ref="T885" r:id="rId1769" display="http://www.ms.ro/2020/07/30/buletin-informativ-30-07-2020/" xr:uid="{00000000-0004-0000-0000-0000E8060000}"/>
    <hyperlink ref="K886" r:id="rId1770" display="https://stirioficiale.ro/informatii/buletin-de-presa-30-iulie-2020-ora-13-00" xr:uid="{00000000-0004-0000-0000-0000E9060000}"/>
    <hyperlink ref="T886" r:id="rId1771" display="http://www.ms.ro/2020/07/30/buletin-informativ-30-07-2020/" xr:uid="{00000000-0004-0000-0000-0000EA060000}"/>
    <hyperlink ref="K887" r:id="rId1772" display="https://stirioficiale.ro/informatii/buletin-de-presa-30-iulie-2020-ora-13-00" xr:uid="{00000000-0004-0000-0000-0000EB060000}"/>
    <hyperlink ref="T887" r:id="rId1773" display="http://www.ms.ro/2020/07/30/buletin-informativ-30-07-2020/" xr:uid="{00000000-0004-0000-0000-0000EC060000}"/>
    <hyperlink ref="K888" r:id="rId1774" display="https://stirioficiale.ro/informatii/buletin-de-presa-30-iulie-2020-ora-13-00" xr:uid="{00000000-0004-0000-0000-0000ED060000}"/>
    <hyperlink ref="T888" r:id="rId1775" display="http://www.ms.ro/2020/07/30/buletin-informativ-30-07-2020/" xr:uid="{00000000-0004-0000-0000-0000EE060000}"/>
    <hyperlink ref="K889" r:id="rId1776" display="https://stirioficiale.ro/informatii/buletin-de-presa-30-iulie-2020-ora-13-00" xr:uid="{00000000-0004-0000-0000-0000EF060000}"/>
    <hyperlink ref="T889" r:id="rId1777" display="http://www.ms.ro/2020/07/30/buletin-informativ-30-07-2020/" xr:uid="{00000000-0004-0000-0000-0000F0060000}"/>
    <hyperlink ref="K890" r:id="rId1778" display="https://stirioficiale.ro/informatii/buletin-de-presa-30-iulie-2020-ora-13-00" xr:uid="{00000000-0004-0000-0000-0000F1060000}"/>
    <hyperlink ref="T890" r:id="rId1779" display="http://www.ms.ro/2020/07/30/buletin-informativ-30-07-2020/" xr:uid="{00000000-0004-0000-0000-0000F2060000}"/>
    <hyperlink ref="K891" r:id="rId1780" display="https://stirioficiale.ro/informatii/buletin-de-presa-30-iulie-2020-ora-13-00" xr:uid="{00000000-0004-0000-0000-0000F3060000}"/>
    <hyperlink ref="T891" r:id="rId1781" display="http://www.ms.ro/2020/07/30/buletin-informativ-30-07-2020/" xr:uid="{00000000-0004-0000-0000-0000F4060000}"/>
    <hyperlink ref="K892" r:id="rId1782" display="https://stirioficiale.ro/informatii/buletin-de-presa-30-iulie-2020-ora-13-00" xr:uid="{00000000-0004-0000-0000-0000F5060000}"/>
    <hyperlink ref="T892" r:id="rId1783" display="http://www.ms.ro/2020/07/30/buletin-informativ-30-07-2020/" xr:uid="{00000000-0004-0000-0000-0000F6060000}"/>
    <hyperlink ref="K893" r:id="rId1784" display="https://stirioficiale.ro/informatii/buletin-de-presa-30-iulie-2020-ora-13-00" xr:uid="{00000000-0004-0000-0000-0000F7060000}"/>
    <hyperlink ref="T893" r:id="rId1785" display="http://www.ms.ro/2020/07/30/buletin-informativ-30-07-2020/" xr:uid="{00000000-0004-0000-0000-0000F8060000}"/>
    <hyperlink ref="K894" r:id="rId1786" display="https://www.bihon.ro/stirile-judetului-bihor/caz-de-coronavirus-la-curtea-de-apel-oradea-2342142/" xr:uid="{00000000-0004-0000-0000-0000F9060000}"/>
    <hyperlink ref="T894" r:id="rId1787" display="http://www.ms.ro/2020/07/31/buletin-informativ-31-07-2020/" xr:uid="{00000000-0004-0000-0000-0000FA060000}"/>
    <hyperlink ref="K895" r:id="rId1788" display="https://stirioficiale.ro/informatii/buletin-de-presa-31-iulie-2020-ora-13-00" xr:uid="{00000000-0004-0000-0000-0000FB060000}"/>
    <hyperlink ref="T895" r:id="rId1789" display="http://www.ms.ro/2020/07/31/buletin-informativ-31-07-2020/" xr:uid="{00000000-0004-0000-0000-0000FC060000}"/>
    <hyperlink ref="K896" r:id="rId1790" display="https://stirioficiale.ro/informatii/buletin-de-presa-31-iulie-2020-ora-13-00" xr:uid="{00000000-0004-0000-0000-0000FD060000}"/>
    <hyperlink ref="T896" r:id="rId1791" display="http://www.ms.ro/2020/07/31/buletin-informativ-31-07-2020/" xr:uid="{00000000-0004-0000-0000-0000FE060000}"/>
    <hyperlink ref="K897" r:id="rId1792" display="https://stirioficiale.ro/informatii/buletin-de-presa-31-iulie-2020-ora-13-00" xr:uid="{00000000-0004-0000-0000-0000FF060000}"/>
    <hyperlink ref="T897" r:id="rId1793" display="http://www.ms.ro/2020/07/31/buletin-informativ-31-07-2020/" xr:uid="{00000000-0004-0000-0000-000000070000}"/>
    <hyperlink ref="K898" r:id="rId1794" display="https://stirioficiale.ro/informatii/buletin-de-presa-31-iulie-2020-ora-13-00" xr:uid="{00000000-0004-0000-0000-000001070000}"/>
    <hyperlink ref="T898" r:id="rId1795" display="http://www.ms.ro/2020/07/31/buletin-informativ-31-07-2020/" xr:uid="{00000000-0004-0000-0000-000002070000}"/>
    <hyperlink ref="K899" r:id="rId1796" display="https://stirioficiale.ro/informatii/buletin-de-presa-31-iulie-2020-ora-13-00" xr:uid="{00000000-0004-0000-0000-000003070000}"/>
    <hyperlink ref="T899" r:id="rId1797" display="http://www.ms.ro/2020/07/31/buletin-informativ-31-07-2020/" xr:uid="{00000000-0004-0000-0000-000004070000}"/>
    <hyperlink ref="K900" r:id="rId1798" display="https://stirioficiale.ro/informatii/buletin-de-presa-31-iulie-2020-ora-13-00" xr:uid="{00000000-0004-0000-0000-000005070000}"/>
    <hyperlink ref="T900" r:id="rId1799" display="http://www.ms.ro/2020/07/31/buletin-informativ-31-07-2020/" xr:uid="{00000000-0004-0000-0000-000006070000}"/>
    <hyperlink ref="K901" r:id="rId1800" display="https://stirioficiale.ro/informatii/buletin-de-presa-31-iulie-2020-ora-13-00" xr:uid="{00000000-0004-0000-0000-000007070000}"/>
    <hyperlink ref="T901" r:id="rId1801" display="http://www.ms.ro/2020/07/31/buletin-informativ-31-07-2020/" xr:uid="{00000000-0004-0000-0000-000008070000}"/>
    <hyperlink ref="K902" r:id="rId1802" display="https://stirioficiale.ro/informatii/buletin-de-presa-31-iulie-2020-ora-13-00" xr:uid="{00000000-0004-0000-0000-000009070000}"/>
    <hyperlink ref="T902" r:id="rId1803" display="http://www.ms.ro/2020/07/31/buletin-informativ-31-07-2020/" xr:uid="{00000000-0004-0000-0000-00000A070000}"/>
    <hyperlink ref="K903" r:id="rId1804" display="https://stirioficiale.ro/informatii/buletin-de-presa-31-iulie-2020-ora-13-00" xr:uid="{00000000-0004-0000-0000-00000B070000}"/>
    <hyperlink ref="T903" r:id="rId1805" display="http://www.ms.ro/2020/07/31/buletin-informativ-31-07-2020/" xr:uid="{00000000-0004-0000-0000-00000C070000}"/>
    <hyperlink ref="K904" r:id="rId1806" display="https://stirioficiale.ro/informatii/buletin-de-presa-31-iulie-2020-ora-13-00" xr:uid="{00000000-0004-0000-0000-00000D070000}"/>
    <hyperlink ref="T904" r:id="rId1807" display="http://www.ms.ro/2020/07/31/buletin-informativ-31-07-2020/" xr:uid="{00000000-0004-0000-0000-00000E070000}"/>
    <hyperlink ref="K905" r:id="rId1808" display="https://stirioficiale.ro/informatii/buletin-de-presa-31-iulie-2020-ora-13-00" xr:uid="{00000000-0004-0000-0000-00000F070000}"/>
    <hyperlink ref="T905" r:id="rId1809" display="http://www.ms.ro/2020/07/31/buletin-informativ-31-07-2020/" xr:uid="{00000000-0004-0000-0000-000010070000}"/>
    <hyperlink ref="K906" r:id="rId1810" display="https://stirioficiale.ro/informatii/buletin-de-presa-31-iulie-2020-ora-13-00" xr:uid="{00000000-0004-0000-0000-000011070000}"/>
    <hyperlink ref="T906" r:id="rId1811" display="http://www.ms.ro/2020/07/31/buletin-informativ-31-07-2020/" xr:uid="{00000000-0004-0000-0000-000012070000}"/>
    <hyperlink ref="K907" r:id="rId1812" display="https://stirioficiale.ro/informatii/buletin-de-presa-31-iulie-2020-ora-13-00" xr:uid="{00000000-0004-0000-0000-000013070000}"/>
    <hyperlink ref="T907" r:id="rId1813" display="http://www.ms.ro/2020/07/31/buletin-informativ-31-07-2020/" xr:uid="{00000000-0004-0000-0000-000014070000}"/>
    <hyperlink ref="K908" r:id="rId1814" display="https://stirioficiale.ro/informatii/buletin-de-presa-31-iulie-2020-ora-13-00" xr:uid="{00000000-0004-0000-0000-000015070000}"/>
    <hyperlink ref="T908" r:id="rId1815" display="http://www.ms.ro/2020/07/31/buletin-informativ-31-07-2020/" xr:uid="{00000000-0004-0000-0000-000016070000}"/>
    <hyperlink ref="K909" r:id="rId1816" display="https://stirioficiale.ro/informatii/buletin-de-presa-31-iulie-2020-ora-13-00" xr:uid="{00000000-0004-0000-0000-000017070000}"/>
    <hyperlink ref="T909" r:id="rId1817" display="http://www.ms.ro/2020/07/31/buletin-informativ-31-07-2020/" xr:uid="{00000000-0004-0000-0000-000018070000}"/>
    <hyperlink ref="K910" r:id="rId1818" display="https://stirioficiale.ro/informatii/buletin-de-presa-31-iulie-2020-ora-13-00" xr:uid="{00000000-0004-0000-0000-000019070000}"/>
    <hyperlink ref="T910" r:id="rId1819" display="http://www.ms.ro/2020/07/31/buletin-informativ-31-07-2020/" xr:uid="{00000000-0004-0000-0000-00001A070000}"/>
    <hyperlink ref="K911" r:id="rId1820" display="https://stirioficiale.ro/informatii/buletin-de-presa-31-iulie-2020-ora-13-00" xr:uid="{00000000-0004-0000-0000-00001B070000}"/>
    <hyperlink ref="T911" r:id="rId1821" display="http://www.ms.ro/2020/07/31/buletin-informativ-31-07-2020/" xr:uid="{00000000-0004-0000-0000-00001C070000}"/>
    <hyperlink ref="K912" r:id="rId1822" display="https://stirioficiale.ro/informatii/buletin-de-presa-31-iulie-2020-ora-13-00" xr:uid="{00000000-0004-0000-0000-00001D070000}"/>
    <hyperlink ref="T912" r:id="rId1823" display="http://www.ms.ro/2020/07/31/buletin-informativ-31-07-2020/" xr:uid="{00000000-0004-0000-0000-00001E070000}"/>
    <hyperlink ref="K913" r:id="rId1824" display="https://stirioficiale.ro/informatii/buletin-de-presa-31-iulie-2020-ora-13-00" xr:uid="{00000000-0004-0000-0000-00001F070000}"/>
    <hyperlink ref="T913" r:id="rId1825" display="http://www.ms.ro/2020/07/31/buletin-informativ-31-07-2020/" xr:uid="{00000000-0004-0000-0000-000020070000}"/>
    <hyperlink ref="K914" r:id="rId1826" display="https://stirioficiale.ro/informatii/buletin-de-presa-31-iulie-2020-ora-13-00" xr:uid="{00000000-0004-0000-0000-000021070000}"/>
    <hyperlink ref="T914" r:id="rId1827" display="http://www.ms.ro/2020/07/31/buletin-informativ-31-07-2020/" xr:uid="{00000000-0004-0000-0000-000022070000}"/>
    <hyperlink ref="K915" r:id="rId1828" display="https://stirioficiale.ro/informatii/buletin-de-presa-31-iulie-2020-ora-13-00" xr:uid="{00000000-0004-0000-0000-000023070000}"/>
    <hyperlink ref="T915" r:id="rId1829" display="http://www.ms.ro/2020/07/31/buletin-informativ-31-07-2020/" xr:uid="{00000000-0004-0000-0000-000024070000}"/>
    <hyperlink ref="K916" r:id="rId1830" display="https://stirioficiale.ro/informatii/buletin-de-presa-31-iulie-2020-ora-13-00" xr:uid="{00000000-0004-0000-0000-000025070000}"/>
    <hyperlink ref="T916" r:id="rId1831" display="http://www.ms.ro/2020/07/31/buletin-informativ-31-07-2020/" xr:uid="{00000000-0004-0000-0000-000026070000}"/>
    <hyperlink ref="K917" r:id="rId1832" display="https://stirioficiale.ro/informatii/buletin-de-presa-31-iulie-2020-ora-13-00" xr:uid="{00000000-0004-0000-0000-000027070000}"/>
    <hyperlink ref="T917" r:id="rId1833" display="http://www.ms.ro/2020/07/31/buletin-informativ-31-07-2020/" xr:uid="{00000000-0004-0000-0000-000028070000}"/>
    <hyperlink ref="K918" r:id="rId1834" display="https://www.ebihoreanul.ro/stiri/nou-record-covid-in-bihor-52-de-cazuri-noi-157971.html" xr:uid="{00000000-0004-0000-0000-000029070000}"/>
    <hyperlink ref="T918" r:id="rId1835" display="http://www.ms.ro/2020/08/01/buletin-informativ-01-08-2020/" xr:uid="{00000000-0004-0000-0000-00002A070000}"/>
    <hyperlink ref="K919" r:id="rId1836" display="https://www.ebihoreanul.ro/stiri/nou-record-covid-in-bihor-52-de-cazuri-noi-157971.html" xr:uid="{00000000-0004-0000-0000-00002B070000}"/>
    <hyperlink ref="T919" r:id="rId1837" display="http://www.ms.ro/2020/08/01/buletin-informativ-01-08-2020/" xr:uid="{00000000-0004-0000-0000-00002C070000}"/>
    <hyperlink ref="K920" r:id="rId1838" display="https://www.ebihoreanul.ro/stiri/nou-record-covid-in-bihor-52-de-cazuri-noi-157971.html" xr:uid="{00000000-0004-0000-0000-00002D070000}"/>
    <hyperlink ref="T920" r:id="rId1839" display="http://www.ms.ro/2020/08/01/buletin-informativ-01-08-2020/" xr:uid="{00000000-0004-0000-0000-00002E070000}"/>
    <hyperlink ref="K921" r:id="rId1840" display="https://www.ebihoreanul.ro/stiri/nou-record-covid-in-bihor-52-de-cazuri-noi-157971.html" xr:uid="{00000000-0004-0000-0000-00002F070000}"/>
    <hyperlink ref="T921" r:id="rId1841" display="http://www.ms.ro/2020/08/01/buletin-informativ-01-08-2020/" xr:uid="{00000000-0004-0000-0000-000030070000}"/>
    <hyperlink ref="K922" r:id="rId1842" display="https://www.ebihoreanul.ro/stiri/nou-record-covid-in-bihor-52-de-cazuri-noi-157971.html" xr:uid="{00000000-0004-0000-0000-000031070000}"/>
    <hyperlink ref="T922" r:id="rId1843" display="http://www.ms.ro/2020/08/01/buletin-informativ-01-08-2020/" xr:uid="{00000000-0004-0000-0000-000032070000}"/>
    <hyperlink ref="K923" r:id="rId1844" display="https://www.ebihoreanul.ro/stiri/nou-record-covid-in-bihor-52-de-cazuri-noi-157971.html" xr:uid="{00000000-0004-0000-0000-000033070000}"/>
    <hyperlink ref="T923" r:id="rId1845" display="http://www.ms.ro/2020/08/01/buletin-informativ-01-08-2020/" xr:uid="{00000000-0004-0000-0000-000034070000}"/>
    <hyperlink ref="K924" r:id="rId1846" display="https://www.ebihoreanul.ro/stiri/nou-record-covid-in-bihor-52-de-cazuri-noi-157971.html" xr:uid="{00000000-0004-0000-0000-000035070000}"/>
    <hyperlink ref="T924" r:id="rId1847" display="http://www.ms.ro/2020/08/01/buletin-informativ-01-08-2020/" xr:uid="{00000000-0004-0000-0000-000036070000}"/>
    <hyperlink ref="K925" r:id="rId1848" display="https://www.ebihoreanul.ro/stiri/nou-record-covid-in-bihor-52-de-cazuri-noi-157971.html" xr:uid="{00000000-0004-0000-0000-000037070000}"/>
    <hyperlink ref="T925" r:id="rId1849" display="http://www.ms.ro/2020/08/01/buletin-informativ-01-08-2020/" xr:uid="{00000000-0004-0000-0000-000038070000}"/>
    <hyperlink ref="K926" r:id="rId1850" display="https://www.ebihoreanul.ro/stiri/nou-record-covid-in-bihor-52-de-cazuri-noi-157971.html" xr:uid="{00000000-0004-0000-0000-000039070000}"/>
    <hyperlink ref="T926" r:id="rId1851" display="http://www.ms.ro/2020/08/01/buletin-informativ-01-08-2020/" xr:uid="{00000000-0004-0000-0000-00003A070000}"/>
    <hyperlink ref="K927" r:id="rId1852" display="https://www.ebihoreanul.ro/stiri/nou-record-covid-in-bihor-52-de-cazuri-noi-157971.html" xr:uid="{00000000-0004-0000-0000-00003B070000}"/>
    <hyperlink ref="T927" r:id="rId1853" display="http://www.ms.ro/2020/08/01/buletin-informativ-01-08-2020/" xr:uid="{00000000-0004-0000-0000-00003C070000}"/>
    <hyperlink ref="K928" r:id="rId1854" display="https://www.ebihoreanul.ro/stiri/nou-record-covid-in-bihor-52-de-cazuri-noi-157971.html" xr:uid="{00000000-0004-0000-0000-00003D070000}"/>
    <hyperlink ref="T928" r:id="rId1855" display="http://www.ms.ro/2020/08/01/buletin-informativ-01-08-2020/" xr:uid="{00000000-0004-0000-0000-00003E070000}"/>
    <hyperlink ref="K929" r:id="rId1856" display="https://www.ebihoreanul.ro/stiri/nou-record-covid-in-bihor-52-de-cazuri-noi-157971.html" xr:uid="{00000000-0004-0000-0000-00003F070000}"/>
    <hyperlink ref="T929" r:id="rId1857" display="http://www.ms.ro/2020/08/01/buletin-informativ-01-08-2020/" xr:uid="{00000000-0004-0000-0000-000040070000}"/>
    <hyperlink ref="K930" r:id="rId1858" display="https://stirioficiale.ro/informatii/informare-de-presa-01-august-2020" xr:uid="{00000000-0004-0000-0000-000041070000}"/>
    <hyperlink ref="T930" r:id="rId1859" display="http://www.ms.ro/2020/08/01/buletin-informativ-01-08-2020/" xr:uid="{00000000-0004-0000-0000-000042070000}"/>
    <hyperlink ref="K931" r:id="rId1860" display="https://stirioficiale.ro/informatii/informare-de-presa-01-august-2020" xr:uid="{00000000-0004-0000-0000-000043070000}"/>
    <hyperlink ref="T931" r:id="rId1861" display="http://www.ms.ro/2020/08/01/buletin-informativ-01-08-2020/" xr:uid="{00000000-0004-0000-0000-000044070000}"/>
    <hyperlink ref="K932" r:id="rId1862" display="https://stirioficiale.ro/informatii/informare-de-presa-01-august-2020" xr:uid="{00000000-0004-0000-0000-000045070000}"/>
    <hyperlink ref="T932" r:id="rId1863" display="http://www.ms.ro/2020/08/01/buletin-informativ-01-08-2020/" xr:uid="{00000000-0004-0000-0000-000046070000}"/>
    <hyperlink ref="K933" r:id="rId1864" display="https://stirioficiale.ro/informatii/informare-de-presa-01-august-2020" xr:uid="{00000000-0004-0000-0000-000047070000}"/>
    <hyperlink ref="T933" r:id="rId1865" display="http://www.ms.ro/2020/08/01/buletin-informativ-01-08-2020/" xr:uid="{00000000-0004-0000-0000-000048070000}"/>
    <hyperlink ref="K934" r:id="rId1866" display="https://stirioficiale.ro/informatii/informare-de-presa-01-august-2020" xr:uid="{00000000-0004-0000-0000-000049070000}"/>
    <hyperlink ref="T934" r:id="rId1867" display="http://www.ms.ro/2020/08/01/buletin-informativ-01-08-2020/" xr:uid="{00000000-0004-0000-0000-00004A070000}"/>
    <hyperlink ref="K935" r:id="rId1868" display="https://stirioficiale.ro/informatii/informare-de-presa-01-august-2020" xr:uid="{00000000-0004-0000-0000-00004B070000}"/>
    <hyperlink ref="T935" r:id="rId1869" display="http://www.ms.ro/2020/08/01/buletin-informativ-01-08-2020/" xr:uid="{00000000-0004-0000-0000-00004C070000}"/>
    <hyperlink ref="K936" r:id="rId1870" display="https://stirioficiale.ro/informatii/informare-de-presa-01-august-2020" xr:uid="{00000000-0004-0000-0000-00004D070000}"/>
    <hyperlink ref="T936" r:id="rId1871" display="http://www.ms.ro/2020/08/01/buletin-informativ-01-08-2020/" xr:uid="{00000000-0004-0000-0000-00004E070000}"/>
    <hyperlink ref="K937" r:id="rId1872" display="https://stirioficiale.ro/informatii/informare-de-presa-01-august-2020" xr:uid="{00000000-0004-0000-0000-00004F070000}"/>
    <hyperlink ref="T937" r:id="rId1873" display="http://www.ms.ro/2020/08/01/buletin-informativ-01-08-2020/" xr:uid="{00000000-0004-0000-0000-000050070000}"/>
    <hyperlink ref="K938" r:id="rId1874" display="https://stirioficiale.ro/informatii/informare-de-presa-01-august-2020" xr:uid="{00000000-0004-0000-0000-000051070000}"/>
    <hyperlink ref="T938" r:id="rId1875" display="http://www.ms.ro/2020/08/01/buletin-informativ-01-08-2020/" xr:uid="{00000000-0004-0000-0000-000052070000}"/>
    <hyperlink ref="K939" r:id="rId1876" display="https://stirioficiale.ro/informatii/informare-de-presa-01-august-2020" xr:uid="{00000000-0004-0000-0000-000053070000}"/>
    <hyperlink ref="T939" r:id="rId1877" display="http://www.ms.ro/2020/08/01/buletin-informativ-01-08-2020/" xr:uid="{00000000-0004-0000-0000-000054070000}"/>
    <hyperlink ref="K940" r:id="rId1878" display="https://stirioficiale.ro/informatii/informare-de-presa-01-august-2020" xr:uid="{00000000-0004-0000-0000-000055070000}"/>
    <hyperlink ref="T940" r:id="rId1879" display="http://www.ms.ro/2020/08/01/buletin-informativ-01-08-2020/" xr:uid="{00000000-0004-0000-0000-000056070000}"/>
    <hyperlink ref="K941" r:id="rId1880" display="https://stirioficiale.ro/informatii/informare-de-presa-01-august-2020" xr:uid="{00000000-0004-0000-0000-000057070000}"/>
    <hyperlink ref="T941" r:id="rId1881" display="http://www.ms.ro/2020/08/01/buletin-informativ-01-08-2020/" xr:uid="{00000000-0004-0000-0000-000058070000}"/>
    <hyperlink ref="K942" r:id="rId1882" display="https://stirioficiale.ro/informatii/informare-de-presa-01-august-2020" xr:uid="{00000000-0004-0000-0000-000059070000}"/>
    <hyperlink ref="T942" r:id="rId1883" display="http://www.ms.ro/2020/08/01/buletin-informativ-01-08-2020/" xr:uid="{00000000-0004-0000-0000-00005A070000}"/>
    <hyperlink ref="K943" r:id="rId1884" display="https://stirioficiale.ro/informatii/informare-de-presa-01-august-2020" xr:uid="{00000000-0004-0000-0000-00005B070000}"/>
    <hyperlink ref="T943" r:id="rId1885" display="http://www.ms.ro/2020/08/01/buletin-informativ-01-08-2020/" xr:uid="{00000000-0004-0000-0000-00005C070000}"/>
    <hyperlink ref="K944" r:id="rId1886" display="https://stirioficiale.ro/informatii/informare-de-presa-01-august-2020" xr:uid="{00000000-0004-0000-0000-00005D070000}"/>
    <hyperlink ref="T944" r:id="rId1887" display="http://www.ms.ro/2020/08/01/buletin-informativ-01-08-2020/" xr:uid="{00000000-0004-0000-0000-00005E070000}"/>
    <hyperlink ref="K945" r:id="rId1888" display="https://stirioficiale.ro/informatii/informare-de-presa-01-august-2020" xr:uid="{00000000-0004-0000-0000-00005F070000}"/>
    <hyperlink ref="T945" r:id="rId1889" display="http://www.ms.ro/2020/08/01/buletin-informativ-01-08-2020/" xr:uid="{00000000-0004-0000-0000-000060070000}"/>
    <hyperlink ref="K946" r:id="rId1890" display="https://stirioficiale.ro/informatii/informare-de-presa-01-august-2020" xr:uid="{00000000-0004-0000-0000-000061070000}"/>
    <hyperlink ref="T946" r:id="rId1891" display="http://www.ms.ro/2020/08/01/buletin-informativ-01-08-2020/" xr:uid="{00000000-0004-0000-0000-000062070000}"/>
    <hyperlink ref="K947" r:id="rId1892" display="https://stirioficiale.ro/informatii/informare-de-presa-01-august-2020" xr:uid="{00000000-0004-0000-0000-000063070000}"/>
    <hyperlink ref="T947" r:id="rId1893" display="http://www.ms.ro/2020/08/01/buletin-informativ-01-08-2020/" xr:uid="{00000000-0004-0000-0000-000064070000}"/>
    <hyperlink ref="K948" r:id="rId1894" display="https://stirioficiale.ro/informatii/informare-de-presa-01-august-2020" xr:uid="{00000000-0004-0000-0000-000065070000}"/>
    <hyperlink ref="T948" r:id="rId1895" display="http://www.ms.ro/2020/08/01/buletin-informativ-01-08-2020/" xr:uid="{00000000-0004-0000-0000-000066070000}"/>
    <hyperlink ref="K949" r:id="rId1896" display="https://stirioficiale.ro/informatii/informare-de-presa-01-august-2020" xr:uid="{00000000-0004-0000-0000-000067070000}"/>
    <hyperlink ref="T949" r:id="rId1897" display="http://www.ms.ro/2020/08/01/buletin-informativ-01-08-2020/" xr:uid="{00000000-0004-0000-0000-000068070000}"/>
    <hyperlink ref="K950" r:id="rId1898" display="https://stirioficiale.ro/informatii/informare-de-presa-01-august-2020" xr:uid="{00000000-0004-0000-0000-000069070000}"/>
    <hyperlink ref="T950" r:id="rId1899" display="http://www.ms.ro/2020/08/01/buletin-informativ-01-08-2020/" xr:uid="{00000000-0004-0000-0000-00006A070000}"/>
    <hyperlink ref="K951" r:id="rId1900" display="https://stirioficiale.ro/informatii/informare-de-presa-01-august-2020" xr:uid="{00000000-0004-0000-0000-00006B070000}"/>
    <hyperlink ref="T951" r:id="rId1901" display="http://www.ms.ro/2020/08/01/buletin-informativ-01-08-2020/" xr:uid="{00000000-0004-0000-0000-00006C070000}"/>
    <hyperlink ref="K952" r:id="rId1902" display="https://stirioficiale.ro/informatii/informare-de-presa-01-august-2020" xr:uid="{00000000-0004-0000-0000-00006D070000}"/>
    <hyperlink ref="T952" r:id="rId1903" display="http://www.ms.ro/2020/08/01/buletin-informativ-01-08-2020/" xr:uid="{00000000-0004-0000-0000-00006E070000}"/>
    <hyperlink ref="K953" r:id="rId1904" display="https://stirioficiale.ro/informatii/informare-de-presa-01-august-2020" xr:uid="{00000000-0004-0000-0000-00006F070000}"/>
    <hyperlink ref="T953" r:id="rId1905" display="http://www.ms.ro/2020/08/01/buletin-informativ-01-08-2020/" xr:uid="{00000000-0004-0000-0000-000070070000}"/>
    <hyperlink ref="K954" r:id="rId1906" display="https://stirioficiale.ro/informatii/informare-de-presa-01-august-2020" xr:uid="{00000000-0004-0000-0000-000071070000}"/>
    <hyperlink ref="T954" r:id="rId1907" display="http://www.ms.ro/2020/08/01/buletin-informativ-01-08-2020/" xr:uid="{00000000-0004-0000-0000-000072070000}"/>
    <hyperlink ref="K955" r:id="rId1908" display="https://stirioficiale.ro/informatii/informare-de-presa-01-august-2020" xr:uid="{00000000-0004-0000-0000-000073070000}"/>
    <hyperlink ref="T955" r:id="rId1909" display="http://www.ms.ro/2020/08/01/buletin-informativ-01-08-2020/" xr:uid="{00000000-0004-0000-0000-000074070000}"/>
    <hyperlink ref="K956" r:id="rId1910" display="https://stirioficiale.ro/informatii/buletin-de-presa-2-august-2020-ora-13-00" xr:uid="{00000000-0004-0000-0000-000075070000}"/>
    <hyperlink ref="T956" r:id="rId1911" display="http://www.ms.ro/2020/08/02/buletin-informativ-02-08-2020/" xr:uid="{00000000-0004-0000-0000-000076070000}"/>
    <hyperlink ref="K957" r:id="rId1912" display="https://stirioficiale.ro/informatii/buletin-de-presa-2-august-2020-ora-13-00" xr:uid="{00000000-0004-0000-0000-000077070000}"/>
    <hyperlink ref="T957" r:id="rId1913" display="http://www.ms.ro/2020/08/02/buletin-informativ-02-08-2020/" xr:uid="{00000000-0004-0000-0000-000078070000}"/>
    <hyperlink ref="K958" r:id="rId1914" display="https://stirioficiale.ro/informatii/buletin-de-presa-2-august-2020-ora-13-00" xr:uid="{00000000-0004-0000-0000-000079070000}"/>
    <hyperlink ref="T958" r:id="rId1915" display="http://www.ms.ro/2020/08/02/buletin-informativ-02-08-2020/" xr:uid="{00000000-0004-0000-0000-00007A070000}"/>
    <hyperlink ref="K959" r:id="rId1916" display="https://stirioficiale.ro/informatii/buletin-de-presa-2-august-2020-ora-13-00" xr:uid="{00000000-0004-0000-0000-00007B070000}"/>
    <hyperlink ref="T959" r:id="rId1917" display="http://www.ms.ro/2020/08/02/buletin-informativ-02-08-2020/" xr:uid="{00000000-0004-0000-0000-00007C070000}"/>
    <hyperlink ref="K960" r:id="rId1918" display="https://stirioficiale.ro/informatii/buletin-de-presa-2-august-2020-ora-13-00" xr:uid="{00000000-0004-0000-0000-00007D070000}"/>
    <hyperlink ref="T960" r:id="rId1919" display="http://www.ms.ro/2020/08/02/buletin-informativ-02-08-2020/" xr:uid="{00000000-0004-0000-0000-00007E070000}"/>
    <hyperlink ref="K961" r:id="rId1920" display="https://stirioficiale.ro/informatii/buletin-de-presa-2-august-2020-ora-13-00" xr:uid="{00000000-0004-0000-0000-00007F070000}"/>
    <hyperlink ref="T961" r:id="rId1921" display="http://www.ms.ro/2020/08/02/buletin-informativ-02-08-2020/" xr:uid="{00000000-0004-0000-0000-000080070000}"/>
    <hyperlink ref="K962" r:id="rId1922" display="https://stirioficiale.ro/informatii/buletin-de-presa-2-august-2020-ora-13-00" xr:uid="{00000000-0004-0000-0000-000081070000}"/>
    <hyperlink ref="T962" r:id="rId1923" display="http://www.ms.ro/2020/08/02/buletin-informativ-02-08-2020/" xr:uid="{00000000-0004-0000-0000-000082070000}"/>
    <hyperlink ref="K963" r:id="rId1924" display="https://stirioficiale.ro/informatii/buletin-de-presa-2-august-2020-ora-13-00" xr:uid="{00000000-0004-0000-0000-000083070000}"/>
    <hyperlink ref="T963" r:id="rId1925" display="http://www.ms.ro/2020/08/02/buletin-informativ-02-08-2020/" xr:uid="{00000000-0004-0000-0000-000084070000}"/>
    <hyperlink ref="K964" r:id="rId1926" display="https://stirioficiale.ro/informatii/buletin-de-presa-2-august-2020-ora-13-00" xr:uid="{00000000-0004-0000-0000-000085070000}"/>
    <hyperlink ref="T964" r:id="rId1927" display="http://www.ms.ro/2020/08/02/buletin-informativ-02-08-2020/" xr:uid="{00000000-0004-0000-0000-000086070000}"/>
    <hyperlink ref="K965" r:id="rId1928" display="https://stirioficiale.ro/informatii/buletin-de-presa-2-august-2020-ora-13-00" xr:uid="{00000000-0004-0000-0000-000087070000}"/>
    <hyperlink ref="T965" r:id="rId1929" display="http://www.ms.ro/2020/08/02/buletin-informativ-02-08-2020/" xr:uid="{00000000-0004-0000-0000-000088070000}"/>
    <hyperlink ref="K966" r:id="rId1930" display="https://stirioficiale.ro/informatii/buletin-de-presa-2-august-2020-ora-13-00" xr:uid="{00000000-0004-0000-0000-000089070000}"/>
    <hyperlink ref="T966" r:id="rId1931" display="http://www.ms.ro/2020/08/02/buletin-informativ-02-08-2020/" xr:uid="{00000000-0004-0000-0000-00008A070000}"/>
    <hyperlink ref="K967" r:id="rId1932" display="https://stirioficiale.ro/informatii/buletin-de-presa-2-august-2020-ora-13-00" xr:uid="{00000000-0004-0000-0000-00008B070000}"/>
    <hyperlink ref="T967" r:id="rId1933" display="http://www.ms.ro/2020/08/02/buletin-informativ-02-08-2020/" xr:uid="{00000000-0004-0000-0000-00008C070000}"/>
    <hyperlink ref="K968" r:id="rId1934" display="https://stirioficiale.ro/informatii/buletin-de-presa-2-august-2020-ora-13-00" xr:uid="{00000000-0004-0000-0000-00008D070000}"/>
    <hyperlink ref="T968" r:id="rId1935" display="http://www.ms.ro/2020/08/02/buletin-informativ-02-08-2020/" xr:uid="{00000000-0004-0000-0000-00008E070000}"/>
    <hyperlink ref="K969" r:id="rId1936" display="https://stirioficiale.ro/informatii/buletin-de-presa-2-august-2020-ora-13-00" xr:uid="{00000000-0004-0000-0000-00008F070000}"/>
    <hyperlink ref="T969" r:id="rId1937" display="http://www.ms.ro/2020/08/02/buletin-informativ-02-08-2020/" xr:uid="{00000000-0004-0000-0000-000090070000}"/>
    <hyperlink ref="K970" r:id="rId1938" display="https://stirioficiale.ro/informatii/buletin-de-presa-2-august-2020-ora-13-00" xr:uid="{00000000-0004-0000-0000-000091070000}"/>
    <hyperlink ref="T970" r:id="rId1939" display="http://www.ms.ro/2020/08/02/buletin-informativ-02-08-2020/" xr:uid="{00000000-0004-0000-0000-000092070000}"/>
    <hyperlink ref="K971" r:id="rId1940" display="https://stirioficiale.ro/informatii/buletin-de-presa-2-august-2020-ora-13-00" xr:uid="{00000000-0004-0000-0000-000093070000}"/>
    <hyperlink ref="T971" r:id="rId1941" display="http://www.ms.ro/2020/08/02/buletin-informativ-02-08-2020/" xr:uid="{00000000-0004-0000-0000-000094070000}"/>
    <hyperlink ref="K972" r:id="rId1942" display="https://stirioficiale.ro/informatii/buletin-de-presa-2-august-2020-ora-13-00" xr:uid="{00000000-0004-0000-0000-000095070000}"/>
    <hyperlink ref="T972" r:id="rId1943" display="http://www.ms.ro/2020/08/02/buletin-informativ-02-08-2020/" xr:uid="{00000000-0004-0000-0000-000096070000}"/>
    <hyperlink ref="K973" r:id="rId1944" display="https://stirioficiale.ro/informatii/buletin-de-presa-2-august-2020-ora-13-00" xr:uid="{00000000-0004-0000-0000-000097070000}"/>
    <hyperlink ref="T973" r:id="rId1945" display="http://www.ms.ro/2020/08/02/buletin-informativ-02-08-2020/" xr:uid="{00000000-0004-0000-0000-000098070000}"/>
    <hyperlink ref="K974" r:id="rId1946" display="https://stirioficiale.ro/informatii/buletin-de-presa-2-august-2020-ora-13-00" xr:uid="{00000000-0004-0000-0000-000099070000}"/>
    <hyperlink ref="T974" r:id="rId1947" display="http://www.ms.ro/2020/08/02/buletin-informativ-02-08-2020/" xr:uid="{00000000-0004-0000-0000-00009A070000}"/>
    <hyperlink ref="K975" r:id="rId1948" display="https://stirioficiale.ro/informatii/buletin-de-presa-2-august-2020-ora-13-00" xr:uid="{00000000-0004-0000-0000-00009B070000}"/>
    <hyperlink ref="T975" r:id="rId1949" display="http://www.ms.ro/2020/08/02/buletin-informativ-02-08-2020/" xr:uid="{00000000-0004-0000-0000-00009C070000}"/>
    <hyperlink ref="K976" r:id="rId1950" display="https://stirioficiale.ro/informatii/buletin-de-presa-2-august-2020-ora-13-00" xr:uid="{00000000-0004-0000-0000-00009D070000}"/>
    <hyperlink ref="T976" r:id="rId1951" display="http://www.ms.ro/2020/08/02/buletin-informativ-02-08-2020/" xr:uid="{00000000-0004-0000-0000-00009E070000}"/>
    <hyperlink ref="K977" r:id="rId1952" display="https://stirioficiale.ro/informatii/buletin-de-presa-2-august-2020-ora-13-00" xr:uid="{00000000-0004-0000-0000-00009F070000}"/>
    <hyperlink ref="T977" r:id="rId1953" display="http://www.ms.ro/2020/08/02/buletin-informativ-02-08-2020/" xr:uid="{00000000-0004-0000-0000-0000A0070000}"/>
    <hyperlink ref="K978" r:id="rId1954" display="https://stirioficiale.ro/informatii/buletin-de-presa-2-august-2020-ora-13-00" xr:uid="{00000000-0004-0000-0000-0000A1070000}"/>
    <hyperlink ref="T978" r:id="rId1955" display="http://www.ms.ro/2020/08/02/buletin-informativ-02-08-2020/" xr:uid="{00000000-0004-0000-0000-0000A2070000}"/>
    <hyperlink ref="K979" r:id="rId1956" display="https://stirioficiale.ro/informatii/buletin-de-presa-2-august-2020-ora-13-00" xr:uid="{00000000-0004-0000-0000-0000A3070000}"/>
    <hyperlink ref="T979" r:id="rId1957" display="http://www.ms.ro/2020/08/02/buletin-informativ-02-08-2020/" xr:uid="{00000000-0004-0000-0000-0000A4070000}"/>
    <hyperlink ref="K980" r:id="rId1958" display="https://stirioficiale.ro/informatii/buletin-de-presa-2-august-2020-ora-13-00" xr:uid="{00000000-0004-0000-0000-0000A5070000}"/>
    <hyperlink ref="T980" r:id="rId1959" display="http://www.ms.ro/2020/08/02/buletin-informativ-02-08-2020/" xr:uid="{00000000-0004-0000-0000-0000A6070000}"/>
    <hyperlink ref="K981" r:id="rId1960" display="https://stirioficiale.ro/informatii/buletin-de-presa-2-august-2020-ora-13-00" xr:uid="{00000000-0004-0000-0000-0000A7070000}"/>
    <hyperlink ref="T981" r:id="rId1961" display="http://www.ms.ro/2020/08/02/buletin-informativ-02-08-2020/" xr:uid="{00000000-0004-0000-0000-0000A8070000}"/>
    <hyperlink ref="K982" r:id="rId1962" display="https://stirioficiale.ro/informatii/buletin-de-presa-2-august-2020-ora-13-00" xr:uid="{00000000-0004-0000-0000-0000A9070000}"/>
    <hyperlink ref="T982" r:id="rId1963" display="http://www.ms.ro/2020/08/02/buletin-informativ-02-08-2020/" xr:uid="{00000000-0004-0000-0000-0000AA070000}"/>
    <hyperlink ref="K983" r:id="rId1964" display="https://stirioficiale.ro/informatii/buletin-de-presa-2-august-2020-ora-13-00" xr:uid="{00000000-0004-0000-0000-0000AB070000}"/>
    <hyperlink ref="T983" r:id="rId1965" display="http://www.ms.ro/2020/08/02/buletin-informativ-02-08-2020/" xr:uid="{00000000-0004-0000-0000-0000AC070000}"/>
    <hyperlink ref="K984" r:id="rId1966" display="https://www.ebihoreanul.ro/stiri/inca-50-de-cazuri-de-covid-19-in-bihor-in-urma-testelor-facute-duminica-157998.html" xr:uid="{00000000-0004-0000-0000-0000AD070000}"/>
    <hyperlink ref="T984" r:id="rId1967" display="http://www.ms.ro/2020/08/03/buletin-informativ-03-08-2020/" xr:uid="{00000000-0004-0000-0000-0000AE070000}"/>
    <hyperlink ref="K985" r:id="rId1968" display="https://www.ebihoreanul.ro/stiri/inca-50-de-cazuri-de-covid-19-in-bihor-in-urma-testelor-facute-duminica-157998.html" xr:uid="{00000000-0004-0000-0000-0000AF070000}"/>
    <hyperlink ref="L985" r:id="rId1969" display="https://www.ebihoreanul.ro/stiri/inca-50-de-cazuri-de-covid-19-in-bihor-in-urma-testelor-facute-duminica-157998.html" xr:uid="{00000000-0004-0000-0000-0000B0070000}"/>
    <hyperlink ref="T985" r:id="rId1970" display="http://www.ms.ro/2020/08/03/buletin-informativ-03-08-2020/" xr:uid="{00000000-0004-0000-0000-0000B1070000}"/>
    <hyperlink ref="K986" r:id="rId1971" display="https://www.ebihoreanul.ro/stiri/inca-50-de-cazuri-de-covid-19-in-bihor-in-urma-testelor-facute-duminica-157998.html" xr:uid="{00000000-0004-0000-0000-0000B2070000}"/>
    <hyperlink ref="L986" r:id="rId1972" display="https://www.ebihoreanul.ro/stiri/inca-50-de-cazuri-de-covid-19-in-bihor-in-urma-testelor-facute-duminica-157998.html" xr:uid="{00000000-0004-0000-0000-0000B3070000}"/>
    <hyperlink ref="T986" r:id="rId1973" display="http://www.ms.ro/2020/08/03/buletin-informativ-03-08-2020/" xr:uid="{00000000-0004-0000-0000-0000B4070000}"/>
    <hyperlink ref="K987" r:id="rId1974" display="https://www.ebihoreanul.ro/stiri/inca-50-de-cazuri-de-covid-19-in-bihor-in-urma-testelor-facute-duminica-157998.html" xr:uid="{00000000-0004-0000-0000-0000B5070000}"/>
    <hyperlink ref="L987" r:id="rId1975" display="https://www.ebihoreanul.ro/stiri/inca-50-de-cazuri-de-covid-19-in-bihor-in-urma-testelor-facute-duminica-157998.html" xr:uid="{00000000-0004-0000-0000-0000B6070000}"/>
    <hyperlink ref="T987" r:id="rId1976" display="http://www.ms.ro/2020/08/03/buletin-informativ-03-08-2020/" xr:uid="{00000000-0004-0000-0000-0000B7070000}"/>
    <hyperlink ref="K988" r:id="rId1977" display="https://www.ebihoreanul.ro/stiri/inca-50-de-cazuri-de-covid-19-in-bihor-in-urma-testelor-facute-duminica-157998.html" xr:uid="{00000000-0004-0000-0000-0000B8070000}"/>
    <hyperlink ref="L988" r:id="rId1978" display="https://www.ebihoreanul.ro/stiri/inca-50-de-cazuri-de-covid-19-in-bihor-in-urma-testelor-facute-duminica-157998.html" xr:uid="{00000000-0004-0000-0000-0000B9070000}"/>
    <hyperlink ref="T988" r:id="rId1979" display="http://www.ms.ro/2020/08/03/buletin-informativ-03-08-2020/" xr:uid="{00000000-0004-0000-0000-0000BA070000}"/>
    <hyperlink ref="K989" r:id="rId1980" display="https://www.ebihoreanul.ro/stiri/inca-50-de-cazuri-de-covid-19-in-bihor-in-urma-testelor-facute-duminica-157998.html" xr:uid="{00000000-0004-0000-0000-0000BB070000}"/>
    <hyperlink ref="L989" r:id="rId1981" display="https://www.ebihoreanul.ro/stiri/inca-50-de-cazuri-de-covid-19-in-bihor-in-urma-testelor-facute-duminica-157998.html" xr:uid="{00000000-0004-0000-0000-0000BC070000}"/>
    <hyperlink ref="T989" r:id="rId1982" display="http://www.ms.ro/2020/08/03/buletin-informativ-03-08-2020/" xr:uid="{00000000-0004-0000-0000-0000BD070000}"/>
    <hyperlink ref="K990" r:id="rId1983" display="https://www.ebihoreanul.ro/stiri/inca-50-de-cazuri-de-covid-19-in-bihor-in-urma-testelor-facute-duminica-157998.html" xr:uid="{00000000-0004-0000-0000-0000BE070000}"/>
    <hyperlink ref="L990" r:id="rId1984" display="https://www.ebihoreanul.ro/stiri/inca-50-de-cazuri-de-covid-19-in-bihor-in-urma-testelor-facute-duminica-157998.html" xr:uid="{00000000-0004-0000-0000-0000BF070000}"/>
    <hyperlink ref="T990" r:id="rId1985" display="http://www.ms.ro/2020/08/03/buletin-informativ-03-08-2020/" xr:uid="{00000000-0004-0000-0000-0000C0070000}"/>
    <hyperlink ref="K991" r:id="rId1986" display="https://www.ebihoreanul.ro/stiri/inca-50-de-cazuri-de-covid-19-in-bihor-in-urma-testelor-facute-duminica-157998.html" xr:uid="{00000000-0004-0000-0000-0000C1070000}"/>
    <hyperlink ref="L991" r:id="rId1987" display="https://www.ebihoreanul.ro/stiri/inca-50-de-cazuri-de-covid-19-in-bihor-in-urma-testelor-facute-duminica-157998.html" xr:uid="{00000000-0004-0000-0000-0000C2070000}"/>
    <hyperlink ref="T991" r:id="rId1988" display="http://www.ms.ro/2020/08/03/buletin-informativ-03-08-2020/" xr:uid="{00000000-0004-0000-0000-0000C3070000}"/>
    <hyperlink ref="K992" r:id="rId1989" display="https://www.ebihoreanul.ro/stiri/inca-50-de-cazuri-de-covid-19-in-bihor-in-urma-testelor-facute-duminica-157998.html" xr:uid="{00000000-0004-0000-0000-0000C4070000}"/>
    <hyperlink ref="L992" r:id="rId1990" display="https://www.ebihoreanul.ro/stiri/inca-50-de-cazuri-de-covid-19-in-bihor-in-urma-testelor-facute-duminica-157998.html" xr:uid="{00000000-0004-0000-0000-0000C5070000}"/>
    <hyperlink ref="T992" r:id="rId1991" display="http://www.ms.ro/2020/08/03/buletin-informativ-03-08-2020/" xr:uid="{00000000-0004-0000-0000-0000C6070000}"/>
    <hyperlink ref="K993" r:id="rId1992" display="https://www.ebihoreanul.ro/stiri/inca-50-de-cazuri-de-covid-19-in-bihor-in-urma-testelor-facute-duminica-157998.html" xr:uid="{00000000-0004-0000-0000-0000C7070000}"/>
    <hyperlink ref="L993" r:id="rId1993" display="https://www.ebihoreanul.ro/stiri/inca-50-de-cazuri-de-covid-19-in-bihor-in-urma-testelor-facute-duminica-157998.html" xr:uid="{00000000-0004-0000-0000-0000C8070000}"/>
    <hyperlink ref="T993" r:id="rId1994" display="http://www.ms.ro/2020/08/03/buletin-informativ-03-08-2020/" xr:uid="{00000000-0004-0000-0000-0000C9070000}"/>
    <hyperlink ref="K994" r:id="rId1995" display="https://www.ebihoreanul.ro/stiri/inca-50-de-cazuri-de-covid-19-in-bihor-in-urma-testelor-facute-duminica-157998.html" xr:uid="{00000000-0004-0000-0000-0000CA070000}"/>
    <hyperlink ref="L994" r:id="rId1996" display="https://www.ebihoreanul.ro/stiri/inca-50-de-cazuri-de-covid-19-in-bihor-in-urma-testelor-facute-duminica-157998.html" xr:uid="{00000000-0004-0000-0000-0000CB070000}"/>
    <hyperlink ref="T994" r:id="rId1997" display="http://www.ms.ro/2020/08/03/buletin-informativ-03-08-2020/" xr:uid="{00000000-0004-0000-0000-0000CC070000}"/>
    <hyperlink ref="K995" r:id="rId1998" display="https://www.ebihoreanul.ro/stiri/inca-50-de-cazuri-de-covid-19-in-bihor-in-urma-testelor-facute-duminica-157998.html" xr:uid="{00000000-0004-0000-0000-0000CD070000}"/>
    <hyperlink ref="L995" r:id="rId1999" display="https://www.ebihoreanul.ro/stiri/inca-50-de-cazuri-de-covid-19-in-bihor-in-urma-testelor-facute-duminica-157998.html" xr:uid="{00000000-0004-0000-0000-0000CE070000}"/>
    <hyperlink ref="T995" r:id="rId2000" display="http://www.ms.ro/2020/08/03/buletin-informativ-03-08-2020/" xr:uid="{00000000-0004-0000-0000-0000CF070000}"/>
    <hyperlink ref="K996" r:id="rId2001" display="https://www.ebihoreanul.ro/stiri/inca-50-de-cazuri-de-covid-19-in-bihor-in-urma-testelor-facute-duminica-157998.html" xr:uid="{00000000-0004-0000-0000-0000D0070000}"/>
    <hyperlink ref="L996" r:id="rId2002" display="https://www.ebihoreanul.ro/stiri/inca-50-de-cazuri-de-covid-19-in-bihor-in-urma-testelor-facute-duminica-157998.html" xr:uid="{00000000-0004-0000-0000-0000D1070000}"/>
    <hyperlink ref="T996" r:id="rId2003" display="http://www.ms.ro/2020/08/03/buletin-informativ-03-08-2020/" xr:uid="{00000000-0004-0000-0000-0000D2070000}"/>
    <hyperlink ref="K997" r:id="rId2004" display="https://www.ebihoreanul.ro/stiri/inca-50-de-cazuri-de-covid-19-in-bihor-in-urma-testelor-facute-duminica-157998.html" xr:uid="{00000000-0004-0000-0000-0000D3070000}"/>
    <hyperlink ref="L997" r:id="rId2005" display="https://www.ebihoreanul.ro/stiri/inca-50-de-cazuri-de-covid-19-in-bihor-in-urma-testelor-facute-duminica-157998.html" xr:uid="{00000000-0004-0000-0000-0000D4070000}"/>
    <hyperlink ref="T997" r:id="rId2006" display="http://www.ms.ro/2020/08/03/buletin-informativ-03-08-2020/" xr:uid="{00000000-0004-0000-0000-0000D5070000}"/>
    <hyperlink ref="K998" r:id="rId2007" display="https://www.ebihoreanul.ro/stiri/inca-50-de-cazuri-de-covid-19-in-bihor-in-urma-testelor-facute-duminica-157998.html" xr:uid="{00000000-0004-0000-0000-0000D6070000}"/>
    <hyperlink ref="L998" r:id="rId2008" display="https://www.ebihoreanul.ro/stiri/inca-50-de-cazuri-de-covid-19-in-bihor-in-urma-testelor-facute-duminica-157998.html" xr:uid="{00000000-0004-0000-0000-0000D7070000}"/>
    <hyperlink ref="T998" r:id="rId2009" display="http://www.ms.ro/2020/08/03/buletin-informativ-03-08-2020/" xr:uid="{00000000-0004-0000-0000-0000D8070000}"/>
    <hyperlink ref="K999" r:id="rId2010" display="https://www.ebihoreanul.ro/stiri/inca-50-de-cazuri-de-covid-19-in-bihor-in-urma-testelor-facute-duminica-157998.html" xr:uid="{00000000-0004-0000-0000-0000D9070000}"/>
    <hyperlink ref="L999" r:id="rId2011" display="https://www.ebihoreanul.ro/stiri/inca-50-de-cazuri-de-covid-19-in-bihor-in-urma-testelor-facute-duminica-157998.html" xr:uid="{00000000-0004-0000-0000-0000DA070000}"/>
    <hyperlink ref="T999" r:id="rId2012" display="http://www.ms.ro/2020/08/03/buletin-informativ-03-08-2020/" xr:uid="{00000000-0004-0000-0000-0000DB070000}"/>
    <hyperlink ref="K1000" r:id="rId2013" display="https://www.ebihoreanul.ro/stiri/inca-50-de-cazuri-de-covid-19-in-bihor-in-urma-testelor-facute-duminica-157998.html" xr:uid="{00000000-0004-0000-0000-0000DC070000}"/>
    <hyperlink ref="L1000" r:id="rId2014" display="https://www.ebihoreanul.ro/stiri/inca-50-de-cazuri-de-covid-19-in-bihor-in-urma-testelor-facute-duminica-157998.html" xr:uid="{00000000-0004-0000-0000-0000DD070000}"/>
    <hyperlink ref="T1000" r:id="rId2015" display="http://www.ms.ro/2020/08/03/buletin-informativ-03-08-2020/" xr:uid="{00000000-0004-0000-0000-0000DE070000}"/>
    <hyperlink ref="K1001" r:id="rId2016" display="https://www.ebihoreanul.ro/stiri/inca-50-de-cazuri-de-covid-19-in-bihor-in-urma-testelor-facute-duminica-157998.html" xr:uid="{00000000-0004-0000-0000-0000DF070000}"/>
    <hyperlink ref="L1001" r:id="rId2017" display="https://www.ebihoreanul.ro/stiri/inca-50-de-cazuri-de-covid-19-in-bihor-in-urma-testelor-facute-duminica-157998.html" xr:uid="{00000000-0004-0000-0000-0000E0070000}"/>
    <hyperlink ref="T1001" r:id="rId2018" display="http://www.ms.ro/2020/08/03/buletin-informativ-03-08-2020/" xr:uid="{00000000-0004-0000-0000-0000E1070000}"/>
    <hyperlink ref="K1002" r:id="rId2019" display="https://www.ebihoreanul.ro/stiri/inca-50-de-cazuri-de-covid-19-in-bihor-in-urma-testelor-facute-duminica-157998.html" xr:uid="{00000000-0004-0000-0000-0000E2070000}"/>
    <hyperlink ref="T1002" r:id="rId2020" display="http://www.ms.ro/2020/08/03/buletin-informativ-03-08-2020/" xr:uid="{00000000-0004-0000-0000-0000E3070000}"/>
    <hyperlink ref="K1003" r:id="rId2021" display="https://www.ebihoreanul.ro/stiri/inca-50-de-cazuri-de-covid-19-in-bihor-in-urma-testelor-facute-duminica-157998.html" xr:uid="{00000000-0004-0000-0000-0000E4070000}"/>
    <hyperlink ref="T1003" r:id="rId2022" display="http://www.ms.ro/2020/08/03/buletin-informativ-03-08-2020/" xr:uid="{00000000-0004-0000-0000-0000E5070000}"/>
    <hyperlink ref="K1004" r:id="rId2023" display="https://www.ebihoreanul.ro/stiri/inca-50-de-cazuri-de-covid-19-in-bihor-in-urma-testelor-facute-duminica-157998.html" xr:uid="{00000000-0004-0000-0000-0000E6070000}"/>
    <hyperlink ref="T1004" r:id="rId2024" display="http://www.ms.ro/2020/08/03/buletin-informativ-03-08-2020/" xr:uid="{00000000-0004-0000-0000-0000E7070000}"/>
    <hyperlink ref="K1005" r:id="rId2025" display="https://www.ebihoreanul.ro/stiri/inca-50-de-cazuri-de-covid-19-in-bihor-in-urma-testelor-facute-duminica-157998.html" xr:uid="{00000000-0004-0000-0000-0000E8070000}"/>
    <hyperlink ref="T1005" r:id="rId2026" display="http://www.ms.ro/2020/08/03/buletin-informativ-03-08-2020/" xr:uid="{00000000-0004-0000-0000-0000E9070000}"/>
    <hyperlink ref="K1006" r:id="rId2027" display="https://www.ebihoreanul.ro/stiri/inca-50-de-cazuri-de-covid-19-in-bihor-in-urma-testelor-facute-duminica-157998.html" xr:uid="{00000000-0004-0000-0000-0000EA070000}"/>
    <hyperlink ref="T1006" r:id="rId2028" display="http://www.ms.ro/2020/08/03/buletin-informativ-03-08-2020/" xr:uid="{00000000-0004-0000-0000-0000EB070000}"/>
    <hyperlink ref="K1007" r:id="rId2029" display="https://www.ebihoreanul.ro/stiri/inca-50-de-cazuri-de-covid-19-in-bihor-in-urma-testelor-facute-duminica-157998.html" xr:uid="{00000000-0004-0000-0000-0000EC070000}"/>
    <hyperlink ref="T1007" r:id="rId2030" display="http://www.ms.ro/2020/08/03/buletin-informativ-03-08-2020/" xr:uid="{00000000-0004-0000-0000-0000ED070000}"/>
    <hyperlink ref="K1008" r:id="rId2031" display="https://www.ebihoreanul.ro/stiri/inca-50-de-cazuri-de-covid-19-in-bihor-in-urma-testelor-facute-duminica-157998.html" xr:uid="{00000000-0004-0000-0000-0000EE070000}"/>
    <hyperlink ref="T1008" r:id="rId2032" display="http://www.ms.ro/2020/08/03/buletin-informativ-03-08-2020/" xr:uid="{00000000-0004-0000-0000-0000EF070000}"/>
    <hyperlink ref="K1009" r:id="rId2033" display="https://www.ebihoreanul.ro/stiri/inca-50-de-cazuri-de-covid-19-in-bihor-in-urma-testelor-facute-duminica-157998.html" xr:uid="{00000000-0004-0000-0000-0000F0070000}"/>
    <hyperlink ref="T1009" r:id="rId2034" display="http://www.ms.ro/2020/08/03/buletin-informativ-03-08-2020/" xr:uid="{00000000-0004-0000-0000-0000F1070000}"/>
    <hyperlink ref="K1010" r:id="rId2035" display="https://www.ebihoreanul.ro/stiri/inca-50-de-cazuri-de-covid-19-in-bihor-in-urma-testelor-facute-duminica-157998.html" xr:uid="{00000000-0004-0000-0000-0000F2070000}"/>
    <hyperlink ref="T1010" r:id="rId2036" display="http://www.ms.ro/2020/08/03/buletin-informativ-03-08-2020/" xr:uid="{00000000-0004-0000-0000-0000F3070000}"/>
    <hyperlink ref="K1011" r:id="rId2037" display="https://www.ebihoreanul.ro/stiri/inca-50-de-cazuri-de-covid-19-in-bihor-in-urma-testelor-facute-duminica-157998.html" xr:uid="{00000000-0004-0000-0000-0000F4070000}"/>
    <hyperlink ref="T1011" r:id="rId2038" display="http://www.ms.ro/2020/08/03/buletin-informativ-03-08-2020/" xr:uid="{00000000-0004-0000-0000-0000F5070000}"/>
    <hyperlink ref="K1012" r:id="rId2039" display="https://www.ebihoreanul.ro/stiri/inca-50-de-cazuri-de-covid-19-in-bihor-in-urma-testelor-facute-duminica-157998.html" xr:uid="{00000000-0004-0000-0000-0000F6070000}"/>
    <hyperlink ref="T1012" r:id="rId2040" display="http://www.ms.ro/2020/08/03/buletin-informativ-03-08-2020/" xr:uid="{00000000-0004-0000-0000-0000F7070000}"/>
    <hyperlink ref="K1013" r:id="rId2041" display="https://www.ebihoreanul.ro/stiri/inca-50-de-cazuri-de-covid-19-in-bihor-in-urma-testelor-facute-duminica-157998.html" xr:uid="{00000000-0004-0000-0000-0000F8070000}"/>
    <hyperlink ref="T1013" r:id="rId2042" display="http://www.ms.ro/2020/08/03/buletin-informativ-03-08-2020/" xr:uid="{00000000-0004-0000-0000-0000F9070000}"/>
    <hyperlink ref="K1014" r:id="rId2043" display="https://stirioficiale.ro/informatii/buletin-de-presa-3-august-2020-ora-13-00" xr:uid="{00000000-0004-0000-0000-0000FA070000}"/>
    <hyperlink ref="T1014" r:id="rId2044" display="http://www.ms.ro/2020/08/03/buletin-informativ-03-08-2020/" xr:uid="{00000000-0004-0000-0000-0000FB070000}"/>
    <hyperlink ref="K1015" r:id="rId2045" display="https://stirioficiale.ro/informatii/buletin-de-presa-3-august-2020-ora-13-00" xr:uid="{00000000-0004-0000-0000-0000FC070000}"/>
    <hyperlink ref="T1015" r:id="rId2046" display="http://www.ms.ro/2020/08/03/buletin-informativ-03-08-2020/" xr:uid="{00000000-0004-0000-0000-0000FD070000}"/>
    <hyperlink ref="K1016" r:id="rId2047" display="https://stirioficiale.ro/informatii/buletin-de-presa-3-august-2020-ora-13-00" xr:uid="{00000000-0004-0000-0000-0000FE070000}"/>
    <hyperlink ref="T1016" r:id="rId2048" display="http://www.ms.ro/2020/08/03/buletin-informativ-03-08-2020/" xr:uid="{00000000-0004-0000-0000-0000FF070000}"/>
    <hyperlink ref="K1017" r:id="rId2049" display="https://stirioficiale.ro/informatii/buletin-de-presa-3-august-2020-ora-13-00" xr:uid="{00000000-0004-0000-0000-000000080000}"/>
    <hyperlink ref="T1017" r:id="rId2050" display="http://www.ms.ro/2020/08/03/buletin-informativ-03-08-2020/" xr:uid="{00000000-0004-0000-0000-000001080000}"/>
    <hyperlink ref="K1018" r:id="rId2051" display="https://stirioficiale.ro/informatii/buletin-de-presa-3-august-2020-ora-13-00" xr:uid="{00000000-0004-0000-0000-000002080000}"/>
    <hyperlink ref="T1018" r:id="rId2052" display="http://www.ms.ro/2020/08/03/buletin-informativ-03-08-2020/" xr:uid="{00000000-0004-0000-0000-000003080000}"/>
    <hyperlink ref="K1019" r:id="rId2053" display="https://stirioficiale.ro/informatii/buletin-de-presa-3-august-2020-ora-13-00" xr:uid="{00000000-0004-0000-0000-000004080000}"/>
    <hyperlink ref="T1019" r:id="rId2054" display="http://www.ms.ro/2020/08/03/buletin-informativ-03-08-2020/" xr:uid="{00000000-0004-0000-0000-000005080000}"/>
    <hyperlink ref="K1020" r:id="rId2055" display="https://stirioficiale.ro/informatii/buletin-de-presa-3-august-2020-ora-13-00" xr:uid="{00000000-0004-0000-0000-000006080000}"/>
    <hyperlink ref="T1020" r:id="rId2056" display="http://www.ms.ro/2020/08/03/buletin-informativ-03-08-2020/" xr:uid="{00000000-0004-0000-0000-000007080000}"/>
    <hyperlink ref="K1021" r:id="rId2057" display="https://stirioficiale.ro/informatii/buletin-de-presa-3-august-2020-ora-13-00" xr:uid="{00000000-0004-0000-0000-000008080000}"/>
    <hyperlink ref="T1021" r:id="rId2058" display="http://www.ms.ro/2020/08/03/buletin-informativ-03-08-2020/" xr:uid="{00000000-0004-0000-0000-000009080000}"/>
    <hyperlink ref="K1022" r:id="rId2059" display="https://stirioficiale.ro/informatii/buletin-de-presa-3-august-2020-ora-13-00" xr:uid="{00000000-0004-0000-0000-00000A080000}"/>
    <hyperlink ref="T1022" r:id="rId2060" display="http://www.ms.ro/2020/08/03/buletin-informativ-03-08-2020/" xr:uid="{00000000-0004-0000-0000-00000B080000}"/>
    <hyperlink ref="K1023" r:id="rId2061" display="https://stirioficiale.ro/informatii/buletin-de-presa-3-august-2020-ora-13-00" xr:uid="{00000000-0004-0000-0000-00000C080000}"/>
    <hyperlink ref="T1023" r:id="rId2062" display="http://www.ms.ro/2020/08/03/buletin-informativ-03-08-2020/" xr:uid="{00000000-0004-0000-0000-00000D080000}"/>
    <hyperlink ref="K1024" r:id="rId2063" display="https://stirioficiale.ro/informatii/buletin-de-presa-3-august-2020-ora-13-00" xr:uid="{00000000-0004-0000-0000-00000E080000}"/>
    <hyperlink ref="T1024" r:id="rId2064" display="http://www.ms.ro/2020/08/03/buletin-informativ-03-08-2020/" xr:uid="{00000000-0004-0000-0000-00000F080000}"/>
    <hyperlink ref="K1025" r:id="rId2065" display="https://stirioficiale.ro/informatii/buletin-de-presa-3-august-2020-ora-13-00" xr:uid="{00000000-0004-0000-0000-000010080000}"/>
    <hyperlink ref="T1025" r:id="rId2066" display="http://www.ms.ro/2020/08/03/buletin-informativ-03-08-2020/" xr:uid="{00000000-0004-0000-0000-000011080000}"/>
    <hyperlink ref="K1026" r:id="rId2067" display="https://stirioficiale.ro/informatii/buletin-de-presa-3-august-2020-ora-13-00" xr:uid="{00000000-0004-0000-0000-000012080000}"/>
    <hyperlink ref="T1026" r:id="rId2068" display="http://www.ms.ro/2020/08/03/buletin-informativ-03-08-2020/" xr:uid="{00000000-0004-0000-0000-000013080000}"/>
    <hyperlink ref="K1027" r:id="rId2069" display="https://stirioficiale.ro/informatii/buletin-de-presa-3-august-2020-ora-13-00" xr:uid="{00000000-0004-0000-0000-000014080000}"/>
    <hyperlink ref="T1027" r:id="rId2070" display="http://www.ms.ro/2020/08/03/buletin-informativ-03-08-2020/" xr:uid="{00000000-0004-0000-0000-000015080000}"/>
    <hyperlink ref="K1028" r:id="rId2071" display="https://stirioficiale.ro/informatii/buletin-de-presa-3-august-2020-ora-13-00" xr:uid="{00000000-0004-0000-0000-000016080000}"/>
    <hyperlink ref="T1028" r:id="rId2072" display="http://www.ms.ro/2020/08/03/buletin-informativ-03-08-2020/" xr:uid="{00000000-0004-0000-0000-000017080000}"/>
    <hyperlink ref="K1029" r:id="rId2073" display="https://stirioficiale.ro/informatii/buletin-de-presa-3-august-2020-ora-13-00" xr:uid="{00000000-0004-0000-0000-000018080000}"/>
    <hyperlink ref="T1029" r:id="rId2074" display="http://www.ms.ro/2020/08/03/buletin-informativ-03-08-2020/" xr:uid="{00000000-0004-0000-0000-000019080000}"/>
    <hyperlink ref="K1030" r:id="rId2075" display="https://stirioficiale.ro/informatii/buletin-de-presa-3-august-2020-ora-13-00" xr:uid="{00000000-0004-0000-0000-00001A080000}"/>
    <hyperlink ref="T1030" r:id="rId2076" display="http://www.ms.ro/2020/08/03/buletin-informativ-03-08-2020/" xr:uid="{00000000-0004-0000-0000-00001B080000}"/>
    <hyperlink ref="K1031" r:id="rId2077" display="https://stirioficiale.ro/informatii/buletin-de-presa-3-august-2020-ora-13-00" xr:uid="{00000000-0004-0000-0000-00001C080000}"/>
    <hyperlink ref="T1031" r:id="rId2078" display="http://www.ms.ro/2020/08/03/buletin-informativ-03-08-2020/" xr:uid="{00000000-0004-0000-0000-00001D080000}"/>
    <hyperlink ref="K1032" r:id="rId2079" display="https://stirioficiale.ro/informatii/buletin-de-presa-3-august-2020-ora-13-00" xr:uid="{00000000-0004-0000-0000-00001E080000}"/>
    <hyperlink ref="T1032" r:id="rId2080" display="http://www.ms.ro/2020/08/03/buletin-informativ-03-08-2020/" xr:uid="{00000000-0004-0000-0000-00001F080000}"/>
    <hyperlink ref="K1033" r:id="rId2081" display="https://stirioficiale.ro/informatii/buletin-de-presa-3-august-2020-ora-13-00" xr:uid="{00000000-0004-0000-0000-000020080000}"/>
    <hyperlink ref="T1033" r:id="rId2082" display="http://www.ms.ro/2020/08/03/buletin-informativ-03-08-2020/" xr:uid="{00000000-0004-0000-0000-000021080000}"/>
    <hyperlink ref="K1034" r:id="rId2083" display="https://stirioficiale.ro/informatii/buletin-de-presa-4-august-2020-ora-13-00" xr:uid="{00000000-0004-0000-0000-000022080000}"/>
    <hyperlink ref="T1034" r:id="rId2084" display="http://www.ms.ro/2020/08/04/buletin-informativ-04-08-2020/" xr:uid="{00000000-0004-0000-0000-000023080000}"/>
    <hyperlink ref="K1035" r:id="rId2085" display="https://stirioficiale.ro/informatii/buletin-de-presa-4-august-2020-ora-13-00" xr:uid="{00000000-0004-0000-0000-000024080000}"/>
    <hyperlink ref="T1035" r:id="rId2086" display="http://www.ms.ro/2020/08/04/buletin-informativ-04-08-2020/" xr:uid="{00000000-0004-0000-0000-000025080000}"/>
    <hyperlink ref="K1036" r:id="rId2087" display="https://stirioficiale.ro/informatii/buletin-de-presa-4-august-2020-ora-13-00" xr:uid="{00000000-0004-0000-0000-000026080000}"/>
    <hyperlink ref="T1036" r:id="rId2088" display="http://www.ms.ro/2020/08/04/buletin-informativ-04-08-2020/" xr:uid="{00000000-0004-0000-0000-000027080000}"/>
    <hyperlink ref="K1037" r:id="rId2089" display="https://stirioficiale.ro/informatii/buletin-de-presa-4-august-2020-ora-13-00" xr:uid="{00000000-0004-0000-0000-000028080000}"/>
    <hyperlink ref="T1037" r:id="rId2090" display="http://www.ms.ro/2020/08/04/buletin-informativ-04-08-2020/" xr:uid="{00000000-0004-0000-0000-000029080000}"/>
    <hyperlink ref="K1038" r:id="rId2091" display="https://stirioficiale.ro/informatii/buletin-de-presa-4-august-2020-ora-13-00" xr:uid="{00000000-0004-0000-0000-00002A080000}"/>
    <hyperlink ref="T1038" r:id="rId2092" display="http://www.ms.ro/2020/08/04/buletin-informativ-04-08-2020/" xr:uid="{00000000-0004-0000-0000-00002B080000}"/>
    <hyperlink ref="K1039" r:id="rId2093" display="https://stirioficiale.ro/informatii/buletin-de-presa-4-august-2020-ora-13-00" xr:uid="{00000000-0004-0000-0000-00002C080000}"/>
    <hyperlink ref="T1039" r:id="rId2094" display="http://www.ms.ro/2020/08/04/buletin-informativ-04-08-2020/" xr:uid="{00000000-0004-0000-0000-00002D080000}"/>
    <hyperlink ref="K1040" r:id="rId2095" display="https://stirioficiale.ro/informatii/buletin-de-presa-4-august-2020-ora-13-00" xr:uid="{00000000-0004-0000-0000-00002E080000}"/>
    <hyperlink ref="T1040" r:id="rId2096" display="http://www.ms.ro/2020/08/04/buletin-informativ-04-08-2020/" xr:uid="{00000000-0004-0000-0000-00002F080000}"/>
    <hyperlink ref="K1041" r:id="rId2097" display="https://stirioficiale.ro/informatii/buletin-de-presa-4-august-2020-ora-13-00" xr:uid="{00000000-0004-0000-0000-000030080000}"/>
    <hyperlink ref="T1041" r:id="rId2098" display="http://www.ms.ro/2020/08/04/buletin-informativ-04-08-2020/" xr:uid="{00000000-0004-0000-0000-000031080000}"/>
    <hyperlink ref="K1042" r:id="rId2099" display="https://stirioficiale.ro/informatii/buletin-de-presa-4-august-2020-ora-13-00" xr:uid="{00000000-0004-0000-0000-000032080000}"/>
    <hyperlink ref="T1042" r:id="rId2100" display="http://www.ms.ro/2020/08/04/buletin-informativ-04-08-2020/" xr:uid="{00000000-0004-0000-0000-000033080000}"/>
    <hyperlink ref="K1043" r:id="rId2101" display="https://stirioficiale.ro/informatii/buletin-de-presa-4-august-2020-ora-13-00" xr:uid="{00000000-0004-0000-0000-000034080000}"/>
    <hyperlink ref="T1043" r:id="rId2102" display="http://www.ms.ro/2020/08/04/buletin-informativ-04-08-2020/" xr:uid="{00000000-0004-0000-0000-000035080000}"/>
    <hyperlink ref="K1044" r:id="rId2103" display="https://stirioficiale.ro/informatii/buletin-de-presa-4-august-2020-ora-13-00" xr:uid="{00000000-0004-0000-0000-000036080000}"/>
    <hyperlink ref="T1044" r:id="rId2104" display="http://www.ms.ro/2020/08/04/buletin-informativ-04-08-2020/" xr:uid="{00000000-0004-0000-0000-000037080000}"/>
    <hyperlink ref="K1045" r:id="rId2105" display="https://www.ebihoreanul.ro/stiri/record-dupa-record-in-bihor-intr-o-singura-zi-3-morti-si-59-noi-imbolnaviri-cu-covid-158047.html" xr:uid="{00000000-0004-0000-0000-000038080000}"/>
    <hyperlink ref="T1045" r:id="rId2106" display="http://www.ms.ro/2020/08/05/buletin-informativ-05-08-2020/" xr:uid="{00000000-0004-0000-0000-000039080000}"/>
    <hyperlink ref="K1046" r:id="rId2107" display="https://www.ebihoreanul.ro/stiri/record-dupa-record-in-bihor-intr-o-singura-zi-3-morti-si-59-noi-imbolnaviri-cu-covid-158047.html" xr:uid="{00000000-0004-0000-0000-00003A080000}"/>
    <hyperlink ref="T1046" r:id="rId2108" display="http://www.ms.ro/2020/08/05/buletin-informativ-05-08-2020/" xr:uid="{00000000-0004-0000-0000-00003B080000}"/>
    <hyperlink ref="K1047" r:id="rId2109" display="https://www.ebihoreanul.ro/stiri/record-dupa-record-in-bihor-intr-o-singura-zi-3-morti-si-59-noi-imbolnaviri-cu-covid-158047.html" xr:uid="{00000000-0004-0000-0000-00003C080000}"/>
    <hyperlink ref="T1047" r:id="rId2110" display="http://www.ms.ro/2020/08/05/buletin-informativ-05-08-2020/" xr:uid="{00000000-0004-0000-0000-00003D080000}"/>
    <hyperlink ref="K1048" r:id="rId2111" display="https://www.ebihoreanul.ro/stiri/record-dupa-record-in-bihor-intr-o-singura-zi-3-morti-si-59-noi-imbolnaviri-cu-covid-158047.html" xr:uid="{00000000-0004-0000-0000-00003E080000}"/>
    <hyperlink ref="T1048" r:id="rId2112" display="http://www.ms.ro/2020/08/05/buletin-informativ-05-08-2020/" xr:uid="{00000000-0004-0000-0000-00003F080000}"/>
    <hyperlink ref="K1049" r:id="rId2113" display="https://www.ebihoreanul.ro/stiri/record-dupa-record-in-bihor-intr-o-singura-zi-3-morti-si-59-noi-imbolnaviri-cu-covid-158047.html" xr:uid="{00000000-0004-0000-0000-000040080000}"/>
    <hyperlink ref="T1049" r:id="rId2114" display="http://www.ms.ro/2020/08/05/buletin-informativ-05-08-2020/" xr:uid="{00000000-0004-0000-0000-000041080000}"/>
    <hyperlink ref="K1050" r:id="rId2115" display="https://www.ebihoreanul.ro/stiri/record-dupa-record-in-bihor-intr-o-singura-zi-3-morti-si-59-noi-imbolnaviri-cu-covid-158047.html" xr:uid="{00000000-0004-0000-0000-000042080000}"/>
    <hyperlink ref="T1050" r:id="rId2116" display="http://www.ms.ro/2020/08/05/buletin-informativ-05-08-2020/" xr:uid="{00000000-0004-0000-0000-000043080000}"/>
    <hyperlink ref="K1051" r:id="rId2117" display="https://www.ebihoreanul.ro/stiri/record-dupa-record-in-bihor-intr-o-singura-zi-3-morti-si-59-noi-imbolnaviri-cu-covid-158047.html" xr:uid="{00000000-0004-0000-0000-000044080000}"/>
    <hyperlink ref="T1051" r:id="rId2118" display="http://www.ms.ro/2020/08/05/buletin-informativ-05-08-2020/" xr:uid="{00000000-0004-0000-0000-000045080000}"/>
    <hyperlink ref="K1052" r:id="rId2119" display="https://www.ebihoreanul.ro/stiri/record-dupa-record-in-bihor-intr-o-singura-zi-3-morti-si-59-noi-imbolnaviri-cu-covid-158047.html" xr:uid="{00000000-0004-0000-0000-000046080000}"/>
    <hyperlink ref="T1052" r:id="rId2120" display="http://www.ms.ro/2020/08/05/buletin-informativ-05-08-2020/" xr:uid="{00000000-0004-0000-0000-000047080000}"/>
    <hyperlink ref="K1053" r:id="rId2121" display="https://www.ebihoreanul.ro/stiri/record-dupa-record-in-bihor-intr-o-singura-zi-3-morti-si-59-noi-imbolnaviri-cu-covid-158047.html" xr:uid="{00000000-0004-0000-0000-000048080000}"/>
    <hyperlink ref="T1053" r:id="rId2122" display="http://www.ms.ro/2020/08/05/buletin-informativ-05-08-2020/" xr:uid="{00000000-0004-0000-0000-000049080000}"/>
    <hyperlink ref="K1054" r:id="rId2123" display="https://www.ebihoreanul.ro/stiri/record-dupa-record-in-bihor-intr-o-singura-zi-3-morti-si-59-noi-imbolnaviri-cu-covid-158047.html" xr:uid="{00000000-0004-0000-0000-00004A080000}"/>
    <hyperlink ref="T1054" r:id="rId2124" display="http://www.ms.ro/2020/08/05/buletin-informativ-05-08-2020/" xr:uid="{00000000-0004-0000-0000-00004B080000}"/>
    <hyperlink ref="K1055" r:id="rId2125" display="https://www.ebihoreanul.ro/stiri/record-dupa-record-in-bihor-intr-o-singura-zi-3-morti-si-59-noi-imbolnaviri-cu-covid-158047.html" xr:uid="{00000000-0004-0000-0000-00004C080000}"/>
    <hyperlink ref="T1055" r:id="rId2126" display="http://www.ms.ro/2020/08/05/buletin-informativ-05-08-2020/" xr:uid="{00000000-0004-0000-0000-00004D080000}"/>
    <hyperlink ref="K1056" r:id="rId2127" display="https://www.ebihoreanul.ro/stiri/record-dupa-record-in-bihor-intr-o-singura-zi-3-morti-si-59-noi-imbolnaviri-cu-covid-158047.html" xr:uid="{00000000-0004-0000-0000-00004E080000}"/>
    <hyperlink ref="T1056" r:id="rId2128" display="http://www.ms.ro/2020/08/05/buletin-informativ-05-08-2020/" xr:uid="{00000000-0004-0000-0000-00004F080000}"/>
    <hyperlink ref="K1057" r:id="rId2129" display="https://www.ebihoreanul.ro/stiri/record-dupa-record-in-bihor-intr-o-singura-zi-3-morti-si-59-noi-imbolnaviri-cu-covid-158047.html" xr:uid="{00000000-0004-0000-0000-000050080000}"/>
    <hyperlink ref="T1057" r:id="rId2130" display="http://www.ms.ro/2020/08/05/buletin-informativ-05-08-2020/" xr:uid="{00000000-0004-0000-0000-000051080000}"/>
    <hyperlink ref="K1058" r:id="rId2131" display="https://www.ebihoreanul.ro/stiri/record-dupa-record-in-bihor-intr-o-singura-zi-3-morti-si-59-noi-imbolnaviri-cu-covid-158047.html" xr:uid="{00000000-0004-0000-0000-000052080000}"/>
    <hyperlink ref="T1058" r:id="rId2132" display="http://www.ms.ro/2020/08/05/buletin-informativ-05-08-2020/" xr:uid="{00000000-0004-0000-0000-000053080000}"/>
    <hyperlink ref="K1059" r:id="rId2133" display="https://www.ebihoreanul.ro/stiri/record-dupa-record-in-bihor-intr-o-singura-zi-3-morti-si-59-noi-imbolnaviri-cu-covid-158047.html" xr:uid="{00000000-0004-0000-0000-000054080000}"/>
    <hyperlink ref="T1059" r:id="rId2134" display="http://www.ms.ro/2020/08/05/buletin-informativ-05-08-2020/" xr:uid="{00000000-0004-0000-0000-000055080000}"/>
    <hyperlink ref="K1060" r:id="rId2135" display="https://www.ebihoreanul.ro/stiri/record-dupa-record-in-bihor-intr-o-singura-zi-3-morti-si-59-noi-imbolnaviri-cu-covid-158047.html" xr:uid="{00000000-0004-0000-0000-000056080000}"/>
    <hyperlink ref="T1060" r:id="rId2136" display="http://www.ms.ro/2020/08/05/buletin-informativ-05-08-2020/" xr:uid="{00000000-0004-0000-0000-000057080000}"/>
    <hyperlink ref="K1061" r:id="rId2137" display="https://www.ebihoreanul.ro/stiri/record-dupa-record-in-bihor-intr-o-singura-zi-3-morti-si-59-noi-imbolnaviri-cu-covid-158047.html" xr:uid="{00000000-0004-0000-0000-000058080000}"/>
    <hyperlink ref="T1061" r:id="rId2138" display="http://www.ms.ro/2020/08/05/buletin-informativ-05-08-2020/" xr:uid="{00000000-0004-0000-0000-000059080000}"/>
    <hyperlink ref="K1062" r:id="rId2139" display="https://www.ebihoreanul.ro/stiri/record-dupa-record-in-bihor-intr-o-singura-zi-3-morti-si-59-noi-imbolnaviri-cu-covid-158047.html" xr:uid="{00000000-0004-0000-0000-00005A080000}"/>
    <hyperlink ref="T1062" r:id="rId2140" display="http://www.ms.ro/2020/08/05/buletin-informativ-05-08-2020/" xr:uid="{00000000-0004-0000-0000-00005B080000}"/>
    <hyperlink ref="K1063" r:id="rId2141" display="https://www.ebihoreanul.ro/stiri/record-dupa-record-in-bihor-intr-o-singura-zi-3-morti-si-59-noi-imbolnaviri-cu-covid-158047.html" xr:uid="{00000000-0004-0000-0000-00005C080000}"/>
    <hyperlink ref="T1063" r:id="rId2142" display="http://www.ms.ro/2020/08/05/buletin-informativ-05-08-2020/" xr:uid="{00000000-0004-0000-0000-00005D080000}"/>
    <hyperlink ref="K1064" r:id="rId2143" display="https://www.ebihoreanul.ro/stiri/record-dupa-record-in-bihor-intr-o-singura-zi-3-morti-si-59-noi-imbolnaviri-cu-covid-158047.html" xr:uid="{00000000-0004-0000-0000-00005E080000}"/>
    <hyperlink ref="T1064" r:id="rId2144" display="http://www.ms.ro/2020/08/05/buletin-informativ-05-08-2020/" xr:uid="{00000000-0004-0000-0000-00005F080000}"/>
    <hyperlink ref="K1065" r:id="rId2145" display="https://www.ebihoreanul.ro/stiri/record-dupa-record-in-bihor-intr-o-singura-zi-3-morti-si-59-noi-imbolnaviri-cu-covid-158047.html" xr:uid="{00000000-0004-0000-0000-000060080000}"/>
    <hyperlink ref="T1065" r:id="rId2146" display="http://www.ms.ro/2020/08/05/buletin-informativ-05-08-2020/" xr:uid="{00000000-0004-0000-0000-000061080000}"/>
    <hyperlink ref="K1066" r:id="rId2147" display="https://www.ebihoreanul.ro/stiri/record-dupa-record-in-bihor-intr-o-singura-zi-3-morti-si-59-noi-imbolnaviri-cu-covid-158047.html" xr:uid="{00000000-0004-0000-0000-000062080000}"/>
    <hyperlink ref="T1066" r:id="rId2148" display="http://www.ms.ro/2020/08/05/buletin-informativ-05-08-2020/" xr:uid="{00000000-0004-0000-0000-000063080000}"/>
    <hyperlink ref="K1067" r:id="rId2149" display="https://www.ebihoreanul.ro/stiri/record-dupa-record-in-bihor-intr-o-singura-zi-3-morti-si-59-noi-imbolnaviri-cu-covid-158047.html" xr:uid="{00000000-0004-0000-0000-000064080000}"/>
    <hyperlink ref="T1067" r:id="rId2150" display="http://www.ms.ro/2020/08/05/buletin-informativ-05-08-2020/" xr:uid="{00000000-0004-0000-0000-000065080000}"/>
    <hyperlink ref="K1068" r:id="rId2151" display="https://www.ebihoreanul.ro/stiri/record-dupa-record-in-bihor-intr-o-singura-zi-3-morti-si-59-noi-imbolnaviri-cu-covid-158047.html" xr:uid="{00000000-0004-0000-0000-000066080000}"/>
    <hyperlink ref="T1068" r:id="rId2152" display="http://www.ms.ro/2020/08/05/buletin-informativ-05-08-2020/" xr:uid="{00000000-0004-0000-0000-000067080000}"/>
    <hyperlink ref="K1069" r:id="rId2153" display="https://www.ebihoreanul.ro/stiri/record-dupa-record-in-bihor-intr-o-singura-zi-3-morti-si-59-noi-imbolnaviri-cu-covid-158047.html" xr:uid="{00000000-0004-0000-0000-000068080000}"/>
    <hyperlink ref="T1069" r:id="rId2154" display="http://www.ms.ro/2020/08/05/buletin-informativ-05-08-2020/" xr:uid="{00000000-0004-0000-0000-000069080000}"/>
    <hyperlink ref="K1070" r:id="rId2155" display="https://www.ebihoreanul.ro/stiri/record-dupa-record-in-bihor-intr-o-singura-zi-3-morti-si-59-noi-imbolnaviri-cu-covid-158047.html" xr:uid="{00000000-0004-0000-0000-00006A080000}"/>
    <hyperlink ref="T1070" r:id="rId2156" display="http://www.ms.ro/2020/08/05/buletin-informativ-05-08-2020/" xr:uid="{00000000-0004-0000-0000-00006B080000}"/>
    <hyperlink ref="K1071" r:id="rId2157" display="https://www.ebihoreanul.ro/stiri/record-dupa-record-in-bihor-intr-o-singura-zi-3-morti-si-59-noi-imbolnaviri-cu-covid-158047.html" xr:uid="{00000000-0004-0000-0000-00006C080000}"/>
    <hyperlink ref="T1071" r:id="rId2158" display="http://www.ms.ro/2020/08/05/buletin-informativ-05-08-2020/" xr:uid="{00000000-0004-0000-0000-00006D080000}"/>
    <hyperlink ref="K1072" r:id="rId2159" display="https://www.ebihoreanul.ro/stiri/record-dupa-record-in-bihor-intr-o-singura-zi-3-morti-si-59-noi-imbolnaviri-cu-covid-158047.html" xr:uid="{00000000-0004-0000-0000-00006E080000}"/>
    <hyperlink ref="T1072" r:id="rId2160" display="http://www.ms.ro/2020/08/05/buletin-informativ-05-08-2020/" xr:uid="{00000000-0004-0000-0000-00006F080000}"/>
    <hyperlink ref="K1073" r:id="rId2161" display="https://www.ebihoreanul.ro/stiri/record-dupa-record-in-bihor-intr-o-singura-zi-3-morti-si-59-noi-imbolnaviri-cu-covid-158047.html" xr:uid="{00000000-0004-0000-0000-000070080000}"/>
    <hyperlink ref="T1073" r:id="rId2162" display="http://www.ms.ro/2020/08/05/buletin-informativ-05-08-2020/" xr:uid="{00000000-0004-0000-0000-000071080000}"/>
    <hyperlink ref="K1074" r:id="rId2163" display="https://www.ebihoreanul.ro/stiri/record-dupa-record-in-bihor-intr-o-singura-zi-3-morti-si-59-noi-imbolnaviri-cu-covid-158047.html" xr:uid="{00000000-0004-0000-0000-000072080000}"/>
    <hyperlink ref="T1074" r:id="rId2164" display="http://www.ms.ro/2020/08/05/buletin-informativ-05-08-2020/" xr:uid="{00000000-0004-0000-0000-000073080000}"/>
    <hyperlink ref="K1075" r:id="rId2165" display="https://www.ebihoreanul.ro/stiri/record-dupa-record-in-bihor-intr-o-singura-zi-3-morti-si-59-noi-imbolnaviri-cu-covid-158047.html" xr:uid="{00000000-0004-0000-0000-000074080000}"/>
    <hyperlink ref="T1075" r:id="rId2166" display="http://www.ms.ro/2020/08/05/buletin-informativ-05-08-2020/" xr:uid="{00000000-0004-0000-0000-000075080000}"/>
    <hyperlink ref="K1076" r:id="rId2167" display="https://www.ebihoreanul.ro/stiri/record-dupa-record-in-bihor-intr-o-singura-zi-3-morti-si-59-noi-imbolnaviri-cu-covid-158047.html" xr:uid="{00000000-0004-0000-0000-000076080000}"/>
    <hyperlink ref="T1076" r:id="rId2168" display="http://www.ms.ro/2020/08/05/buletin-informativ-05-08-2020/" xr:uid="{00000000-0004-0000-0000-000077080000}"/>
    <hyperlink ref="K1077" r:id="rId2169" display="https://www.ebihoreanul.ro/stiri/record-dupa-record-in-bihor-intr-o-singura-zi-3-morti-si-59-noi-imbolnaviri-cu-covid-158047.html" xr:uid="{00000000-0004-0000-0000-000078080000}"/>
    <hyperlink ref="T1077" r:id="rId2170" display="http://www.ms.ro/2020/08/05/buletin-informativ-05-08-2020/" xr:uid="{00000000-0004-0000-0000-000079080000}"/>
    <hyperlink ref="K1078" r:id="rId2171" display="https://www.ebihoreanul.ro/stiri/record-dupa-record-in-bihor-intr-o-singura-zi-3-morti-si-59-noi-imbolnaviri-cu-covid-158047.html" xr:uid="{00000000-0004-0000-0000-00007A080000}"/>
    <hyperlink ref="T1078" r:id="rId2172" display="http://www.ms.ro/2020/08/05/buletin-informativ-05-08-2020/" xr:uid="{00000000-0004-0000-0000-00007B080000}"/>
    <hyperlink ref="K1079" r:id="rId2173" display="https://www.ebihoreanul.ro/stiri/record-dupa-record-in-bihor-intr-o-singura-zi-3-morti-si-59-noi-imbolnaviri-cu-covid-158047.html" xr:uid="{00000000-0004-0000-0000-00007C080000}"/>
    <hyperlink ref="T1079" r:id="rId2174" display="http://www.ms.ro/2020/08/05/buletin-informativ-05-08-2020/" xr:uid="{00000000-0004-0000-0000-00007D080000}"/>
    <hyperlink ref="K1080" r:id="rId2175" display="https://www.ebihoreanul.ro/stiri/record-dupa-record-in-bihor-intr-o-singura-zi-3-morti-si-59-noi-imbolnaviri-cu-covid-158047.html" xr:uid="{00000000-0004-0000-0000-00007E080000}"/>
    <hyperlink ref="T1080" r:id="rId2176" display="http://www.ms.ro/2020/08/05/buletin-informativ-05-08-2020/" xr:uid="{00000000-0004-0000-0000-00007F080000}"/>
    <hyperlink ref="K1081" r:id="rId2177" display="https://www.ebihoreanul.ro/stiri/record-dupa-record-in-bihor-intr-o-singura-zi-3-morti-si-59-noi-imbolnaviri-cu-covid-158047.html" xr:uid="{00000000-0004-0000-0000-000080080000}"/>
    <hyperlink ref="T1081" r:id="rId2178" display="http://www.ms.ro/2020/08/05/buletin-informativ-05-08-2020/" xr:uid="{00000000-0004-0000-0000-000081080000}"/>
    <hyperlink ref="K1082" r:id="rId2179" display="https://www.ebihoreanul.ro/stiri/record-dupa-record-in-bihor-intr-o-singura-zi-3-morti-si-59-noi-imbolnaviri-cu-covid-158047.html" xr:uid="{00000000-0004-0000-0000-000082080000}"/>
    <hyperlink ref="T1082" r:id="rId2180" display="http://www.ms.ro/2020/08/05/buletin-informativ-05-08-2020/" xr:uid="{00000000-0004-0000-0000-000083080000}"/>
    <hyperlink ref="K1083" r:id="rId2181" display="https://www.ebihoreanul.ro/stiri/record-dupa-record-in-bihor-intr-o-singura-zi-3-morti-si-59-noi-imbolnaviri-cu-covid-158047.html" xr:uid="{00000000-0004-0000-0000-000084080000}"/>
    <hyperlink ref="T1083" r:id="rId2182" display="http://www.ms.ro/2020/08/05/buletin-informativ-05-08-2020/" xr:uid="{00000000-0004-0000-0000-000085080000}"/>
    <hyperlink ref="K1084" r:id="rId2183" display="https://www.ebihoreanul.ro/stiri/record-dupa-record-in-bihor-intr-o-singura-zi-3-morti-si-59-noi-imbolnaviri-cu-covid-158047.html" xr:uid="{00000000-0004-0000-0000-000086080000}"/>
    <hyperlink ref="T1084" r:id="rId2184" display="http://www.ms.ro/2020/08/05/buletin-informativ-05-08-2020/" xr:uid="{00000000-0004-0000-0000-000087080000}"/>
    <hyperlink ref="K1085" r:id="rId2185" display="https://www.ebihoreanul.ro/stiri/record-dupa-record-in-bihor-intr-o-singura-zi-3-morti-si-59-noi-imbolnaviri-cu-covid-158047.html" xr:uid="{00000000-0004-0000-0000-000088080000}"/>
    <hyperlink ref="T1085" r:id="rId2186" display="http://www.ms.ro/2020/08/05/buletin-informativ-05-08-2020/" xr:uid="{00000000-0004-0000-0000-000089080000}"/>
    <hyperlink ref="K1086" r:id="rId2187" display="https://www.ebihoreanul.ro/stiri/record-dupa-record-in-bihor-intr-o-singura-zi-3-morti-si-59-noi-imbolnaviri-cu-covid-158047.html" xr:uid="{00000000-0004-0000-0000-00008A080000}"/>
    <hyperlink ref="T1086" r:id="rId2188" display="http://www.ms.ro/2020/08/05/buletin-informativ-05-08-2020/" xr:uid="{00000000-0004-0000-0000-00008B080000}"/>
    <hyperlink ref="K1087" r:id="rId2189" display="https://www.ebihoreanul.ro/stiri/record-dupa-record-in-bihor-intr-o-singura-zi-3-morti-si-59-noi-imbolnaviri-cu-covid-158047.html" xr:uid="{00000000-0004-0000-0000-00008C080000}"/>
    <hyperlink ref="T1087" r:id="rId2190" display="http://www.ms.ro/2020/08/05/buletin-informativ-05-08-2020/" xr:uid="{00000000-0004-0000-0000-00008D080000}"/>
    <hyperlink ref="K1088" r:id="rId2191" display="https://www.ebihoreanul.ro/stiri/record-dupa-record-in-bihor-intr-o-singura-zi-3-morti-si-59-noi-imbolnaviri-cu-covid-158047.html" xr:uid="{00000000-0004-0000-0000-00008E080000}"/>
    <hyperlink ref="T1088" r:id="rId2192" display="http://www.ms.ro/2020/08/05/buletin-informativ-05-08-2020/" xr:uid="{00000000-0004-0000-0000-00008F080000}"/>
    <hyperlink ref="K1089" r:id="rId2193" display="https://www.ebihoreanul.ro/stiri/record-dupa-record-in-bihor-intr-o-singura-zi-3-morti-si-59-noi-imbolnaviri-cu-covid-158047.html" xr:uid="{00000000-0004-0000-0000-000090080000}"/>
    <hyperlink ref="T1089" r:id="rId2194" display="http://www.ms.ro/2020/08/05/buletin-informativ-05-08-2020/" xr:uid="{00000000-0004-0000-0000-000091080000}"/>
    <hyperlink ref="K1090" r:id="rId2195" display="https://www.ebihoreanul.ro/stiri/record-dupa-record-in-bihor-intr-o-singura-zi-3-morti-si-59-noi-imbolnaviri-cu-covid-158047.html" xr:uid="{00000000-0004-0000-0000-000092080000}"/>
    <hyperlink ref="T1090" r:id="rId2196" display="http://www.ms.ro/2020/08/05/buletin-informativ-05-08-2020/" xr:uid="{00000000-0004-0000-0000-000093080000}"/>
    <hyperlink ref="K1091" r:id="rId2197" display="https://www.ebihoreanul.ro/stiri/record-dupa-record-in-bihor-intr-o-singura-zi-3-morti-si-59-noi-imbolnaviri-cu-covid-158047.html" xr:uid="{00000000-0004-0000-0000-000094080000}"/>
    <hyperlink ref="T1091" r:id="rId2198" display="http://www.ms.ro/2020/08/05/buletin-informativ-05-08-2020/" xr:uid="{00000000-0004-0000-0000-000095080000}"/>
    <hyperlink ref="K1092" r:id="rId2199" display="https://www.ebihoreanul.ro/stiri/record-dupa-record-in-bihor-intr-o-singura-zi-3-morti-si-59-noi-imbolnaviri-cu-covid-158047.html" xr:uid="{00000000-0004-0000-0000-000096080000}"/>
    <hyperlink ref="T1092" r:id="rId2200" display="http://www.ms.ro/2020/08/05/buletin-informativ-05-08-2020/" xr:uid="{00000000-0004-0000-0000-000097080000}"/>
    <hyperlink ref="K1093" r:id="rId2201" display="https://www.ebihoreanul.ro/stiri/record-dupa-record-in-bihor-intr-o-singura-zi-3-morti-si-59-noi-imbolnaviri-cu-covid-158047.html" xr:uid="{00000000-0004-0000-0000-000098080000}"/>
    <hyperlink ref="T1093" r:id="rId2202" display="http://www.ms.ro/2020/08/05/buletin-informativ-05-08-2020/" xr:uid="{00000000-0004-0000-0000-000099080000}"/>
    <hyperlink ref="K1094" r:id="rId2203" display="https://www.ebihoreanul.ro/stiri/record-dupa-record-in-bihor-intr-o-singura-zi-3-morti-si-59-noi-imbolnaviri-cu-covid-158047.html" xr:uid="{00000000-0004-0000-0000-00009A080000}"/>
    <hyperlink ref="T1094" r:id="rId2204" display="http://www.ms.ro/2020/08/05/buletin-informativ-05-08-2020/" xr:uid="{00000000-0004-0000-0000-00009B080000}"/>
    <hyperlink ref="K1095" r:id="rId2205" display="https://www.ebihoreanul.ro/stiri/record-dupa-record-in-bihor-intr-o-singura-zi-3-morti-si-59-noi-imbolnaviri-cu-covid-158047.html" xr:uid="{00000000-0004-0000-0000-00009C080000}"/>
    <hyperlink ref="T1095" r:id="rId2206" display="http://www.ms.ro/2020/08/05/buletin-informativ-05-08-2020/" xr:uid="{00000000-0004-0000-0000-00009D080000}"/>
    <hyperlink ref="K1096" r:id="rId2207" display="https://www.ebihoreanul.ro/stiri/record-dupa-record-in-bihor-intr-o-singura-zi-3-morti-si-59-noi-imbolnaviri-cu-covid-158047.html" xr:uid="{00000000-0004-0000-0000-00009E080000}"/>
    <hyperlink ref="T1096" r:id="rId2208" display="http://www.ms.ro/2020/08/05/buletin-informativ-05-08-2020/" xr:uid="{00000000-0004-0000-0000-00009F080000}"/>
    <hyperlink ref="K1097" r:id="rId2209" display="https://www.ebihoreanul.ro/stiri/record-dupa-record-in-bihor-intr-o-singura-zi-3-morti-si-59-noi-imbolnaviri-cu-covid-158047.html" xr:uid="{00000000-0004-0000-0000-0000A0080000}"/>
    <hyperlink ref="T1097" r:id="rId2210" display="http://www.ms.ro/2020/08/05/buletin-informativ-05-08-2020/" xr:uid="{00000000-0004-0000-0000-0000A1080000}"/>
    <hyperlink ref="K1098" r:id="rId2211" display="https://www.ebihoreanul.ro/stiri/record-dupa-record-in-bihor-intr-o-singura-zi-3-morti-si-59-noi-imbolnaviri-cu-covid-158047.html" xr:uid="{00000000-0004-0000-0000-0000A2080000}"/>
    <hyperlink ref="T1098" r:id="rId2212" display="http://www.ms.ro/2020/08/05/buletin-informativ-05-08-2020/" xr:uid="{00000000-0004-0000-0000-0000A3080000}"/>
    <hyperlink ref="K1099" r:id="rId2213" display="https://www.ebihoreanul.ro/stiri/record-dupa-record-in-bihor-intr-o-singura-zi-3-morti-si-59-noi-imbolnaviri-cu-covid-158047.html" xr:uid="{00000000-0004-0000-0000-0000A4080000}"/>
    <hyperlink ref="T1099" r:id="rId2214" display="http://www.ms.ro/2020/08/05/buletin-informativ-05-08-2020/" xr:uid="{00000000-0004-0000-0000-0000A5080000}"/>
    <hyperlink ref="K1100" r:id="rId2215" display="https://www.ebihoreanul.ro/stiri/record-dupa-record-in-bihor-intr-o-singura-zi-3-morti-si-59-noi-imbolnaviri-cu-covid-158047.html" xr:uid="{00000000-0004-0000-0000-0000A6080000}"/>
    <hyperlink ref="T1100" r:id="rId2216" display="http://www.ms.ro/2020/08/05/buletin-informativ-05-08-2020/" xr:uid="{00000000-0004-0000-0000-0000A7080000}"/>
    <hyperlink ref="K1101" r:id="rId2217" display="https://www.ebihoreanul.ro/stiri/record-dupa-record-in-bihor-intr-o-singura-zi-3-morti-si-59-noi-imbolnaviri-cu-covid-158047.html" xr:uid="{00000000-0004-0000-0000-0000A8080000}"/>
    <hyperlink ref="T1101" r:id="rId2218" display="http://www.ms.ro/2020/08/05/buletin-informativ-05-08-2020/" xr:uid="{00000000-0004-0000-0000-0000A9080000}"/>
    <hyperlink ref="K1102" r:id="rId2219" display="https://www.ebihoreanul.ro/stiri/record-dupa-record-in-bihor-intr-o-singura-zi-3-morti-si-59-noi-imbolnaviri-cu-covid-158047.html" xr:uid="{00000000-0004-0000-0000-0000AA080000}"/>
    <hyperlink ref="T1102" r:id="rId2220" display="http://www.ms.ro/2020/08/05/buletin-informativ-05-08-2020/" xr:uid="{00000000-0004-0000-0000-0000AB080000}"/>
    <hyperlink ref="K1103" r:id="rId2221" display="https://www.ebihoreanul.ro/stiri/record-dupa-record-in-bihor-intr-o-singura-zi-3-morti-si-59-noi-imbolnaviri-cu-covid-158047.html" xr:uid="{00000000-0004-0000-0000-0000AC080000}"/>
    <hyperlink ref="T1103" r:id="rId2222" display="http://www.ms.ro/2020/08/05/buletin-informativ-05-08-2020/" xr:uid="{00000000-0004-0000-0000-0000AD080000}"/>
    <hyperlink ref="K1104" r:id="rId2223" display="https://www.ebihoreanul.ro/stiri/institutii-si-firme-din-bihor-inchise-dupa-depistarea-unor-angajati-cu-covid-la-electrica-oradea-toata-conducerea-este-in-izolare-158052.html" xr:uid="{00000000-0004-0000-0000-0000AE080000}"/>
    <hyperlink ref="T1104" r:id="rId2224" display="http://www.ms.ro/2020/08/06/buletin-informativ-06-08-2020/" xr:uid="{00000000-0004-0000-0000-0000AF080000}"/>
    <hyperlink ref="K1105" r:id="rId2225" display="https://www.ebihoreanul.ro/stiri/a-treia-zi-consecutiva-cu-decese-covid-in-bihor-si-inca-35-noi-imbolnaviri-raportate-oficial-pentru-ultimele-24-de-ore-158069.html" xr:uid="{00000000-0004-0000-0000-0000B0080000}"/>
    <hyperlink ref="T1105" r:id="rId2226" display="http://www.ms.ro/2020/08/06/buletin-informativ-06-08-2020/" xr:uid="{00000000-0004-0000-0000-0000B1080000}"/>
    <hyperlink ref="K1106" r:id="rId2227" display="https://www.ebihoreanul.ro/stiri/a-treia-zi-consecutiva-cu-decese-covid-in-bihor-si-inca-35-noi-imbolnaviri-raportate-oficial-pentru-ultimele-24-de-ore-158069.html" xr:uid="{00000000-0004-0000-0000-0000B2080000}"/>
    <hyperlink ref="T1106" r:id="rId2228" display="http://www.ms.ro/2020/08/06/buletin-informativ-06-08-2020/" xr:uid="{00000000-0004-0000-0000-0000B3080000}"/>
    <hyperlink ref="K1107" r:id="rId2229" display="https://www.ebihoreanul.ro/stiri/a-treia-zi-consecutiva-cu-decese-covid-in-bihor-si-inca-35-noi-imbolnaviri-raportate-oficial-pentru-ultimele-24-de-ore-158069.html" xr:uid="{00000000-0004-0000-0000-0000B4080000}"/>
    <hyperlink ref="T1107" r:id="rId2230" display="http://www.ms.ro/2020/08/06/buletin-informativ-06-08-2020/" xr:uid="{00000000-0004-0000-0000-0000B5080000}"/>
    <hyperlink ref="K1108" r:id="rId2231" display="https://www.ebihoreanul.ro/stiri/a-treia-zi-consecutiva-cu-decese-covid-in-bihor-si-inca-35-noi-imbolnaviri-raportate-oficial-pentru-ultimele-24-de-ore-158069.html" xr:uid="{00000000-0004-0000-0000-0000B6080000}"/>
    <hyperlink ref="T1108" r:id="rId2232" display="http://www.ms.ro/2020/08/06/buletin-informativ-06-08-2020/" xr:uid="{00000000-0004-0000-0000-0000B7080000}"/>
    <hyperlink ref="K1109" r:id="rId2233" display="https://www.ebihoreanul.ro/stiri/a-treia-zi-consecutiva-cu-decese-covid-in-bihor-si-inca-35-noi-imbolnaviri-raportate-oficial-pentru-ultimele-24-de-ore-158069.html" xr:uid="{00000000-0004-0000-0000-0000B8080000}"/>
    <hyperlink ref="T1109" r:id="rId2234" display="http://www.ms.ro/2020/08/06/buletin-informativ-06-08-2020/" xr:uid="{00000000-0004-0000-0000-0000B9080000}"/>
    <hyperlink ref="K1110" r:id="rId2235" display="https://www.ebihoreanul.ro/stiri/a-treia-zi-consecutiva-cu-decese-covid-in-bihor-si-inca-35-noi-imbolnaviri-raportate-oficial-pentru-ultimele-24-de-ore-158069.html" xr:uid="{00000000-0004-0000-0000-0000BA080000}"/>
    <hyperlink ref="T1110" r:id="rId2236" display="http://www.ms.ro/2020/08/06/buletin-informativ-06-08-2020/" xr:uid="{00000000-0004-0000-0000-0000BB080000}"/>
    <hyperlink ref="K1111" r:id="rId2237" display="https://www.ebihoreanul.ro/stiri/a-treia-zi-consecutiva-cu-decese-covid-in-bihor-si-inca-35-noi-imbolnaviri-raportate-oficial-pentru-ultimele-24-de-ore-158069.html" xr:uid="{00000000-0004-0000-0000-0000BC080000}"/>
    <hyperlink ref="T1111" r:id="rId2238" display="http://www.ms.ro/2020/08/06/buletin-informativ-06-08-2020/" xr:uid="{00000000-0004-0000-0000-0000BD080000}"/>
    <hyperlink ref="K1112" r:id="rId2239" display="https://www.ebihoreanul.ro/stiri/a-treia-zi-consecutiva-cu-decese-covid-in-bihor-si-inca-35-noi-imbolnaviri-raportate-oficial-pentru-ultimele-24-de-ore-158069.html" xr:uid="{00000000-0004-0000-0000-0000BE080000}"/>
    <hyperlink ref="T1112" r:id="rId2240" display="http://www.ms.ro/2020/08/06/buletin-informativ-06-08-2020/" xr:uid="{00000000-0004-0000-0000-0000BF080000}"/>
    <hyperlink ref="K1113" r:id="rId2241" display="https://www.ebihoreanul.ro/stiri/a-treia-zi-consecutiva-cu-decese-covid-in-bihor-si-inca-35-noi-imbolnaviri-raportate-oficial-pentru-ultimele-24-de-ore-158069.html" xr:uid="{00000000-0004-0000-0000-0000C0080000}"/>
    <hyperlink ref="T1113" r:id="rId2242" display="http://www.ms.ro/2020/08/06/buletin-informativ-06-08-2020/" xr:uid="{00000000-0004-0000-0000-0000C1080000}"/>
    <hyperlink ref="K1114" r:id="rId2243" display="https://www.ebihoreanul.ro/stiri/a-treia-zi-consecutiva-cu-decese-covid-in-bihor-si-inca-35-noi-imbolnaviri-raportate-oficial-pentru-ultimele-24-de-ore-158069.html" xr:uid="{00000000-0004-0000-0000-0000C2080000}"/>
    <hyperlink ref="T1114" r:id="rId2244" display="http://www.ms.ro/2020/08/06/buletin-informativ-06-08-2020/" xr:uid="{00000000-0004-0000-0000-0000C3080000}"/>
    <hyperlink ref="K1115" r:id="rId2245" display="https://www.ebihoreanul.ro/stiri/a-treia-zi-consecutiva-cu-decese-covid-in-bihor-si-inca-35-noi-imbolnaviri-raportate-oficial-pentru-ultimele-24-de-ore-158069.html" xr:uid="{00000000-0004-0000-0000-0000C4080000}"/>
    <hyperlink ref="T1115" r:id="rId2246" display="http://www.ms.ro/2020/08/06/buletin-informativ-06-08-2020/" xr:uid="{00000000-0004-0000-0000-0000C5080000}"/>
    <hyperlink ref="K1116" r:id="rId2247" display="https://www.ebihoreanul.ro/stiri/a-treia-zi-consecutiva-cu-decese-covid-in-bihor-si-inca-35-noi-imbolnaviri-raportate-oficial-pentru-ultimele-24-de-ore-158069.html" xr:uid="{00000000-0004-0000-0000-0000C6080000}"/>
    <hyperlink ref="T1116" r:id="rId2248" display="http://www.ms.ro/2020/08/06/buletin-informativ-06-08-2020/" xr:uid="{00000000-0004-0000-0000-0000C7080000}"/>
    <hyperlink ref="K1117" r:id="rId2249" display="https://www.ebihoreanul.ro/stiri/a-treia-zi-consecutiva-cu-decese-covid-in-bihor-si-inca-35-noi-imbolnaviri-raportate-oficial-pentru-ultimele-24-de-ore-158069.html" xr:uid="{00000000-0004-0000-0000-0000C8080000}"/>
    <hyperlink ref="T1117" r:id="rId2250" display="http://www.ms.ro/2020/08/06/buletin-informativ-06-08-2020/" xr:uid="{00000000-0004-0000-0000-0000C9080000}"/>
    <hyperlink ref="K1118" r:id="rId2251" display="https://www.ebihoreanul.ro/stiri/a-treia-zi-consecutiva-cu-decese-covid-in-bihor-si-inca-35-noi-imbolnaviri-raportate-oficial-pentru-ultimele-24-de-ore-158069.html" xr:uid="{00000000-0004-0000-0000-0000CA080000}"/>
    <hyperlink ref="T1118" r:id="rId2252" display="http://www.ms.ro/2020/08/06/buletin-informativ-06-08-2020/" xr:uid="{00000000-0004-0000-0000-0000CB080000}"/>
    <hyperlink ref="K1119" r:id="rId2253" display="https://www.ebihoreanul.ro/stiri/a-treia-zi-consecutiva-cu-decese-covid-in-bihor-si-inca-35-noi-imbolnaviri-raportate-oficial-pentru-ultimele-24-de-ore-158069.html" xr:uid="{00000000-0004-0000-0000-0000CC080000}"/>
    <hyperlink ref="T1119" r:id="rId2254" display="http://www.ms.ro/2020/08/06/buletin-informativ-06-08-2020/" xr:uid="{00000000-0004-0000-0000-0000CD080000}"/>
    <hyperlink ref="K1120" r:id="rId2255" display="https://www.ebihoreanul.ro/stiri/a-treia-zi-consecutiva-cu-decese-covid-in-bihor-si-inca-35-noi-imbolnaviri-raportate-oficial-pentru-ultimele-24-de-ore-158069.html" xr:uid="{00000000-0004-0000-0000-0000CE080000}"/>
    <hyperlink ref="T1120" r:id="rId2256" display="http://www.ms.ro/2020/08/06/buletin-informativ-06-08-2020/" xr:uid="{00000000-0004-0000-0000-0000CF080000}"/>
    <hyperlink ref="K1121" r:id="rId2257" display="https://www.ebihoreanul.ro/stiri/a-treia-zi-consecutiva-cu-decese-covid-in-bihor-si-inca-35-noi-imbolnaviri-raportate-oficial-pentru-ultimele-24-de-ore-158069.html" xr:uid="{00000000-0004-0000-0000-0000D0080000}"/>
    <hyperlink ref="T1121" r:id="rId2258" display="http://www.ms.ro/2020/08/06/buletin-informativ-06-08-2020/" xr:uid="{00000000-0004-0000-0000-0000D1080000}"/>
    <hyperlink ref="K1122" r:id="rId2259" display="https://www.ebihoreanul.ro/stiri/a-treia-zi-consecutiva-cu-decese-covid-in-bihor-si-inca-35-noi-imbolnaviri-raportate-oficial-pentru-ultimele-24-de-ore-158069.html" xr:uid="{00000000-0004-0000-0000-0000D2080000}"/>
    <hyperlink ref="T1122" r:id="rId2260" display="http://www.ms.ro/2020/08/06/buletin-informativ-06-08-2020/" xr:uid="{00000000-0004-0000-0000-0000D3080000}"/>
    <hyperlink ref="K1123" r:id="rId2261" display="https://www.ebihoreanul.ro/stiri/a-treia-zi-consecutiva-cu-decese-covid-in-bihor-si-inca-35-noi-imbolnaviri-raportate-oficial-pentru-ultimele-24-de-ore-158069.html" xr:uid="{00000000-0004-0000-0000-0000D4080000}"/>
    <hyperlink ref="T1123" r:id="rId2262" display="http://www.ms.ro/2020/08/06/buletin-informativ-06-08-2020/" xr:uid="{00000000-0004-0000-0000-0000D5080000}"/>
    <hyperlink ref="K1124" r:id="rId2263" display="https://www.ebihoreanul.ro/stiri/a-treia-zi-consecutiva-cu-decese-covid-in-bihor-si-inca-35-noi-imbolnaviri-raportate-oficial-pentru-ultimele-24-de-ore-158069.html" xr:uid="{00000000-0004-0000-0000-0000D6080000}"/>
    <hyperlink ref="T1124" r:id="rId2264" display="http://www.ms.ro/2020/08/06/buletin-informativ-06-08-2020/" xr:uid="{00000000-0004-0000-0000-0000D7080000}"/>
    <hyperlink ref="K1125" r:id="rId2265" display="https://www.ebihoreanul.ro/stiri/a-treia-zi-consecutiva-cu-decese-covid-in-bihor-si-inca-35-noi-imbolnaviri-raportate-oficial-pentru-ultimele-24-de-ore-158069.html" xr:uid="{00000000-0004-0000-0000-0000D8080000}"/>
    <hyperlink ref="T1125" r:id="rId2266" display="http://www.ms.ro/2020/08/06/buletin-informativ-06-08-2020/" xr:uid="{00000000-0004-0000-0000-0000D9080000}"/>
    <hyperlink ref="K1126" r:id="rId2267" display="https://www.ebihoreanul.ro/stiri/a-treia-zi-consecutiva-cu-decese-covid-in-bihor-si-inca-35-noi-imbolnaviri-raportate-oficial-pentru-ultimele-24-de-ore-158069.html" xr:uid="{00000000-0004-0000-0000-0000DA080000}"/>
    <hyperlink ref="T1126" r:id="rId2268" display="http://www.ms.ro/2020/08/06/buletin-informativ-06-08-2020/" xr:uid="{00000000-0004-0000-0000-0000DB080000}"/>
    <hyperlink ref="K1127" r:id="rId2269" display="https://www.ebihoreanul.ro/stiri/a-treia-zi-consecutiva-cu-decese-covid-in-bihor-si-inca-35-noi-imbolnaviri-raportate-oficial-pentru-ultimele-24-de-ore-158069.html" xr:uid="{00000000-0004-0000-0000-0000DC080000}"/>
    <hyperlink ref="T1127" r:id="rId2270" display="http://www.ms.ro/2020/08/06/buletin-informativ-06-08-2020/" xr:uid="{00000000-0004-0000-0000-0000DD080000}"/>
    <hyperlink ref="K1128" r:id="rId2271" display="https://www.ebihoreanul.ro/stiri/a-treia-zi-consecutiva-cu-decese-covid-in-bihor-si-inca-35-noi-imbolnaviri-raportate-oficial-pentru-ultimele-24-de-ore-158069.html" xr:uid="{00000000-0004-0000-0000-0000DE080000}"/>
    <hyperlink ref="T1128" r:id="rId2272" display="http://www.ms.ro/2020/08/06/buletin-informativ-06-08-2020/" xr:uid="{00000000-0004-0000-0000-0000DF080000}"/>
    <hyperlink ref="K1129" r:id="rId2273" display="https://www.ebihoreanul.ro/stiri/a-treia-zi-consecutiva-cu-decese-covid-in-bihor-si-inca-35-noi-imbolnaviri-raportate-oficial-pentru-ultimele-24-de-ore-158069.html" xr:uid="{00000000-0004-0000-0000-0000E0080000}"/>
    <hyperlink ref="T1129" r:id="rId2274" display="http://www.ms.ro/2020/08/06/buletin-informativ-06-08-2020/" xr:uid="{00000000-0004-0000-0000-0000E1080000}"/>
    <hyperlink ref="K1130" r:id="rId2275" display="https://www.ebihoreanul.ro/stiri/a-treia-zi-consecutiva-cu-decese-covid-in-bihor-si-inca-35-noi-imbolnaviri-raportate-oficial-pentru-ultimele-24-de-ore-158069.html" xr:uid="{00000000-0004-0000-0000-0000E2080000}"/>
    <hyperlink ref="T1130" r:id="rId2276" display="http://www.ms.ro/2020/08/06/buletin-informativ-06-08-2020/" xr:uid="{00000000-0004-0000-0000-0000E3080000}"/>
    <hyperlink ref="K1131" r:id="rId2277" display="https://www.ebihoreanul.ro/stiri/a-treia-zi-consecutiva-cu-decese-covid-in-bihor-si-inca-35-noi-imbolnaviri-raportate-oficial-pentru-ultimele-24-de-ore-158069.html" xr:uid="{00000000-0004-0000-0000-0000E4080000}"/>
    <hyperlink ref="T1131" r:id="rId2278" display="http://www.ms.ro/2020/08/06/buletin-informativ-06-08-2020/" xr:uid="{00000000-0004-0000-0000-0000E5080000}"/>
    <hyperlink ref="K1132" r:id="rId2279" display="https://www.ebihoreanul.ro/stiri/a-treia-zi-consecutiva-cu-decese-covid-in-bihor-si-inca-35-noi-imbolnaviri-raportate-oficial-pentru-ultimele-24-de-ore-158069.html" xr:uid="{00000000-0004-0000-0000-0000E6080000}"/>
    <hyperlink ref="T1132" r:id="rId2280" display="http://www.ms.ro/2020/08/06/buletin-informativ-06-08-2020/" xr:uid="{00000000-0004-0000-0000-0000E7080000}"/>
    <hyperlink ref="K1133" r:id="rId2281" display="https://www.ebihoreanul.ro/stiri/a-treia-zi-consecutiva-cu-decese-covid-in-bihor-si-inca-35-noi-imbolnaviri-raportate-oficial-pentru-ultimele-24-de-ore-158069.html" xr:uid="{00000000-0004-0000-0000-0000E8080000}"/>
    <hyperlink ref="T1133" r:id="rId2282" display="http://www.ms.ro/2020/08/06/buletin-informativ-06-08-2020/" xr:uid="{00000000-0004-0000-0000-0000E9080000}"/>
    <hyperlink ref="K1134" r:id="rId2283" display="https://www.ebihoreanul.ro/stiri/a-treia-zi-consecutiva-cu-decese-covid-in-bihor-si-inca-35-noi-imbolnaviri-raportate-oficial-pentru-ultimele-24-de-ore-158069.html" xr:uid="{00000000-0004-0000-0000-0000EA080000}"/>
    <hyperlink ref="T1134" r:id="rId2284" display="http://www.ms.ro/2020/08/06/buletin-informativ-06-08-2020/" xr:uid="{00000000-0004-0000-0000-0000EB080000}"/>
    <hyperlink ref="K1135" r:id="rId2285" display="https://www.ebihoreanul.ro/stiri/a-treia-zi-consecutiva-cu-decese-covid-in-bihor-si-inca-35-noi-imbolnaviri-raportate-oficial-pentru-ultimele-24-de-ore-158069.html" xr:uid="{00000000-0004-0000-0000-0000EC080000}"/>
    <hyperlink ref="T1135" r:id="rId2286" display="http://www.ms.ro/2020/08/06/buletin-informativ-06-08-2020/" xr:uid="{00000000-0004-0000-0000-0000ED080000}"/>
    <hyperlink ref="K1136" r:id="rId2287" display="https://www.ebihoreanul.ro/stiri/a-treia-zi-consecutiva-cu-decese-covid-in-bihor-si-inca-35-noi-imbolnaviri-raportate-oficial-pentru-ultimele-24-de-ore-158069.html" xr:uid="{00000000-0004-0000-0000-0000EE080000}"/>
    <hyperlink ref="T1136" r:id="rId2288" display="http://www.ms.ro/2020/08/06/buletin-informativ-06-08-2020/" xr:uid="{00000000-0004-0000-0000-0000EF080000}"/>
    <hyperlink ref="K1137" r:id="rId2289" display="https://www.ebihoreanul.ro/stiri/a-treia-zi-consecutiva-cu-decese-covid-in-bihor-si-inca-35-noi-imbolnaviri-raportate-oficial-pentru-ultimele-24-de-ore-158069.html" xr:uid="{00000000-0004-0000-0000-0000F0080000}"/>
    <hyperlink ref="T1137" r:id="rId2290" display="http://www.ms.ro/2020/08/06/buletin-informativ-06-08-2020/" xr:uid="{00000000-0004-0000-0000-0000F1080000}"/>
    <hyperlink ref="K1138" r:id="rId2291" display="https://www.ebihoreanul.ro/stiri/a-treia-zi-consecutiva-cu-decese-covid-in-bihor-si-inca-35-noi-imbolnaviri-raportate-oficial-pentru-ultimele-24-de-ore-158069.html" xr:uid="{00000000-0004-0000-0000-0000F2080000}"/>
    <hyperlink ref="T1138" r:id="rId2292" display="http://www.ms.ro/2020/08/06/buletin-informativ-06-08-2020/" xr:uid="{00000000-0004-0000-0000-0000F3080000}"/>
    <hyperlink ref="K1139" r:id="rId2293" display="https://www.ebihoreanul.ro/stiri/a-patra-zi-la-rand-cu-decese-covid-in-bihor-si-53-noi-imbolnaviri-in-ultimele-24-de-ore-158087.html" xr:uid="{00000000-0004-0000-0000-0000F4080000}"/>
    <hyperlink ref="T1139" r:id="rId2294" display="http://www.ms.ro/2020/08/07/buletin-informativ-07-08-2020/" xr:uid="{00000000-0004-0000-0000-0000F5080000}"/>
    <hyperlink ref="K1140" r:id="rId2295" display="https://www.ebihoreanul.ro/stiri/a-patra-zi-la-rand-cu-decese-covid-in-bihor-si-53-noi-imbolnaviri-in-ultimele-24-de-ore-158087.html" xr:uid="{00000000-0004-0000-0000-0000F6080000}"/>
    <hyperlink ref="T1140" r:id="rId2296" display="http://www.ms.ro/2020/08/07/buletin-informativ-07-08-2020/" xr:uid="{00000000-0004-0000-0000-0000F7080000}"/>
    <hyperlink ref="K1141" r:id="rId2297" display="https://www.ebihoreanul.ro/stiri/a-patra-zi-la-rand-cu-decese-covid-in-bihor-si-53-noi-imbolnaviri-in-ultimele-24-de-ore-158087.html" xr:uid="{00000000-0004-0000-0000-0000F8080000}"/>
    <hyperlink ref="T1141" r:id="rId2298" display="http://www.ms.ro/2020/08/07/buletin-informativ-07-08-2020/" xr:uid="{00000000-0004-0000-0000-0000F9080000}"/>
    <hyperlink ref="K1142" r:id="rId2299" display="https://www.ebihoreanul.ro/stiri/a-patra-zi-la-rand-cu-decese-covid-in-bihor-si-53-noi-imbolnaviri-in-ultimele-24-de-ore-158087.html" xr:uid="{00000000-0004-0000-0000-0000FA080000}"/>
    <hyperlink ref="T1142" r:id="rId2300" display="http://www.ms.ro/2020/08/07/buletin-informativ-07-08-2020/" xr:uid="{00000000-0004-0000-0000-0000FB080000}"/>
    <hyperlink ref="K1143" r:id="rId2301" display="https://www.ebihoreanul.ro/stiri/a-patra-zi-la-rand-cu-decese-covid-in-bihor-si-53-noi-imbolnaviri-in-ultimele-24-de-ore-158087.html" xr:uid="{00000000-0004-0000-0000-0000FC080000}"/>
    <hyperlink ref="T1143" r:id="rId2302" display="http://www.ms.ro/2020/08/07/buletin-informativ-07-08-2020/" xr:uid="{00000000-0004-0000-0000-0000FD080000}"/>
    <hyperlink ref="K1144" r:id="rId2303" display="https://www.ebihoreanul.ro/stiri/a-patra-zi-la-rand-cu-decese-covid-in-bihor-si-53-noi-imbolnaviri-in-ultimele-24-de-ore-158087.html" xr:uid="{00000000-0004-0000-0000-0000FE080000}"/>
    <hyperlink ref="T1144" r:id="rId2304" display="http://www.ms.ro/2020/08/07/buletin-informativ-07-08-2020/" xr:uid="{00000000-0004-0000-0000-0000FF080000}"/>
    <hyperlink ref="K1145" r:id="rId2305" display="https://www.ebihoreanul.ro/stiri/a-patra-zi-la-rand-cu-decese-covid-in-bihor-si-53-noi-imbolnaviri-in-ultimele-24-de-ore-158087.html" xr:uid="{00000000-0004-0000-0000-000000090000}"/>
    <hyperlink ref="T1145" r:id="rId2306" display="http://www.ms.ro/2020/08/07/buletin-informativ-07-08-2020/" xr:uid="{00000000-0004-0000-0000-000001090000}"/>
    <hyperlink ref="K1146" r:id="rId2307" display="https://www.ebihoreanul.ro/stiri/a-patra-zi-la-rand-cu-decese-covid-in-bihor-si-53-noi-imbolnaviri-in-ultimele-24-de-ore-158087.html" xr:uid="{00000000-0004-0000-0000-000002090000}"/>
    <hyperlink ref="T1146" r:id="rId2308" display="http://www.ms.ro/2020/08/07/buletin-informativ-07-08-2020/" xr:uid="{00000000-0004-0000-0000-000003090000}"/>
    <hyperlink ref="K1147" r:id="rId2309" display="https://www.ebihoreanul.ro/stiri/a-patra-zi-la-rand-cu-decese-covid-in-bihor-si-53-noi-imbolnaviri-in-ultimele-24-de-ore-158087.html" xr:uid="{00000000-0004-0000-0000-000004090000}"/>
    <hyperlink ref="T1147" r:id="rId2310" display="http://www.ms.ro/2020/08/07/buletin-informativ-07-08-2020/" xr:uid="{00000000-0004-0000-0000-000005090000}"/>
    <hyperlink ref="K1148" r:id="rId2311" display="https://www.ebihoreanul.ro/stiri/a-patra-zi-la-rand-cu-decese-covid-in-bihor-si-53-noi-imbolnaviri-in-ultimele-24-de-ore-158087.html" xr:uid="{00000000-0004-0000-0000-000006090000}"/>
    <hyperlink ref="T1148" r:id="rId2312" display="http://www.ms.ro/2020/08/07/buletin-informativ-07-08-2020/" xr:uid="{00000000-0004-0000-0000-000007090000}"/>
    <hyperlink ref="K1149" r:id="rId2313" display="https://www.ebihoreanul.ro/stiri/a-patra-zi-la-rand-cu-decese-covid-in-bihor-si-53-noi-imbolnaviri-in-ultimele-24-de-ore-158087.html" xr:uid="{00000000-0004-0000-0000-000008090000}"/>
    <hyperlink ref="T1149" r:id="rId2314" display="http://www.ms.ro/2020/08/07/buletin-informativ-07-08-2020/" xr:uid="{00000000-0004-0000-0000-000009090000}"/>
    <hyperlink ref="K1150" r:id="rId2315" display="https://www.ebihoreanul.ro/stiri/a-patra-zi-la-rand-cu-decese-covid-in-bihor-si-53-noi-imbolnaviri-in-ultimele-24-de-ore-158087.html" xr:uid="{00000000-0004-0000-0000-00000A090000}"/>
    <hyperlink ref="T1150" r:id="rId2316" display="http://www.ms.ro/2020/08/07/buletin-informativ-07-08-2020/" xr:uid="{00000000-0004-0000-0000-00000B090000}"/>
    <hyperlink ref="K1151" r:id="rId2317" display="https://www.ebihoreanul.ro/stiri/a-patra-zi-la-rand-cu-decese-covid-in-bihor-si-53-noi-imbolnaviri-in-ultimele-24-de-ore-158087.html" xr:uid="{00000000-0004-0000-0000-00000C090000}"/>
    <hyperlink ref="T1151" r:id="rId2318" display="http://www.ms.ro/2020/08/07/buletin-informativ-07-08-2020/" xr:uid="{00000000-0004-0000-0000-00000D090000}"/>
    <hyperlink ref="K1152" r:id="rId2319" display="https://www.ebihoreanul.ro/stiri/a-patra-zi-la-rand-cu-decese-covid-in-bihor-si-53-noi-imbolnaviri-in-ultimele-24-de-ore-158087.html" xr:uid="{00000000-0004-0000-0000-00000E090000}"/>
    <hyperlink ref="T1152" r:id="rId2320" display="http://www.ms.ro/2020/08/07/buletin-informativ-07-08-2020/" xr:uid="{00000000-0004-0000-0000-00000F090000}"/>
    <hyperlink ref="K1153" r:id="rId2321" display="https://www.ebihoreanul.ro/stiri/a-patra-zi-la-rand-cu-decese-covid-in-bihor-si-53-noi-imbolnaviri-in-ultimele-24-de-ore-158087.html" xr:uid="{00000000-0004-0000-0000-000010090000}"/>
    <hyperlink ref="T1153" r:id="rId2322" display="http://www.ms.ro/2020/08/07/buletin-informativ-07-08-2020/" xr:uid="{00000000-0004-0000-0000-000011090000}"/>
    <hyperlink ref="K1154" r:id="rId2323" display="https://www.ebihoreanul.ro/stiri/a-patra-zi-la-rand-cu-decese-covid-in-bihor-si-53-noi-imbolnaviri-in-ultimele-24-de-ore-158087.html" xr:uid="{00000000-0004-0000-0000-000012090000}"/>
    <hyperlink ref="T1154" r:id="rId2324" display="http://www.ms.ro/2020/08/07/buletin-informativ-07-08-2020/" xr:uid="{00000000-0004-0000-0000-000013090000}"/>
    <hyperlink ref="K1155" r:id="rId2325" display="https://www.ebihoreanul.ro/stiri/a-patra-zi-la-rand-cu-decese-covid-in-bihor-si-53-noi-imbolnaviri-in-ultimele-24-de-ore-158087.html" xr:uid="{00000000-0004-0000-0000-000014090000}"/>
    <hyperlink ref="T1155" r:id="rId2326" display="http://www.ms.ro/2020/08/07/buletin-informativ-07-08-2020/" xr:uid="{00000000-0004-0000-0000-000015090000}"/>
    <hyperlink ref="K1156" r:id="rId2327" display="https://www.ebihoreanul.ro/stiri/a-patra-zi-la-rand-cu-decese-covid-in-bihor-si-53-noi-imbolnaviri-in-ultimele-24-de-ore-158087.html" xr:uid="{00000000-0004-0000-0000-000016090000}"/>
    <hyperlink ref="T1156" r:id="rId2328" display="http://www.ms.ro/2020/08/07/buletin-informativ-07-08-2020/" xr:uid="{00000000-0004-0000-0000-000017090000}"/>
    <hyperlink ref="K1157" r:id="rId2329" display="https://www.ebihoreanul.ro/stiri/a-patra-zi-la-rand-cu-decese-covid-in-bihor-si-53-noi-imbolnaviri-in-ultimele-24-de-ore-158087.html" xr:uid="{00000000-0004-0000-0000-000018090000}"/>
    <hyperlink ref="T1157" r:id="rId2330" display="http://www.ms.ro/2020/08/07/buletin-informativ-07-08-2020/" xr:uid="{00000000-0004-0000-0000-000019090000}"/>
    <hyperlink ref="K1158" r:id="rId2331" display="https://www.ebihoreanul.ro/stiri/a-patra-zi-la-rand-cu-decese-covid-in-bihor-si-53-noi-imbolnaviri-in-ultimele-24-de-ore-158087.html" xr:uid="{00000000-0004-0000-0000-00001A090000}"/>
    <hyperlink ref="T1158" r:id="rId2332" display="http://www.ms.ro/2020/08/07/buletin-informativ-07-08-2020/" xr:uid="{00000000-0004-0000-0000-00001B090000}"/>
    <hyperlink ref="K1159" r:id="rId2333" display="https://www.ebihoreanul.ro/stiri/a-patra-zi-la-rand-cu-decese-covid-in-bihor-si-53-noi-imbolnaviri-in-ultimele-24-de-ore-158087.html" xr:uid="{00000000-0004-0000-0000-00001C090000}"/>
    <hyperlink ref="T1159" r:id="rId2334" display="http://www.ms.ro/2020/08/07/buletin-informativ-07-08-2020/" xr:uid="{00000000-0004-0000-0000-00001D090000}"/>
    <hyperlink ref="K1160" r:id="rId2335" display="https://www.ebihoreanul.ro/stiri/a-patra-zi-la-rand-cu-decese-covid-in-bihor-si-53-noi-imbolnaviri-in-ultimele-24-de-ore-158087.html" xr:uid="{00000000-0004-0000-0000-00001E090000}"/>
    <hyperlink ref="T1160" r:id="rId2336" display="http://www.ms.ro/2020/08/07/buletin-informativ-07-08-2020/" xr:uid="{00000000-0004-0000-0000-00001F090000}"/>
    <hyperlink ref="K1161" r:id="rId2337" display="https://www.ebihoreanul.ro/stiri/a-patra-zi-la-rand-cu-decese-covid-in-bihor-si-53-noi-imbolnaviri-in-ultimele-24-de-ore-158087.html" xr:uid="{00000000-0004-0000-0000-000020090000}"/>
    <hyperlink ref="T1161" r:id="rId2338" display="http://www.ms.ro/2020/08/07/buletin-informativ-07-08-2020/" xr:uid="{00000000-0004-0000-0000-000021090000}"/>
    <hyperlink ref="K1162" r:id="rId2339" display="https://www.ebihoreanul.ro/stiri/a-patra-zi-la-rand-cu-decese-covid-in-bihor-si-53-noi-imbolnaviri-in-ultimele-24-de-ore-158087.html" xr:uid="{00000000-0004-0000-0000-000022090000}"/>
    <hyperlink ref="T1162" r:id="rId2340" display="http://www.ms.ro/2020/08/07/buletin-informativ-07-08-2020/" xr:uid="{00000000-0004-0000-0000-000023090000}"/>
    <hyperlink ref="K1163" r:id="rId2341" display="https://www.ebihoreanul.ro/stiri/a-patra-zi-la-rand-cu-decese-covid-in-bihor-si-53-noi-imbolnaviri-in-ultimele-24-de-ore-158087.html" xr:uid="{00000000-0004-0000-0000-000024090000}"/>
    <hyperlink ref="T1163" r:id="rId2342" display="http://www.ms.ro/2020/08/07/buletin-informativ-07-08-2020/" xr:uid="{00000000-0004-0000-0000-000025090000}"/>
    <hyperlink ref="K1164" r:id="rId2343" display="https://www.ebihoreanul.ro/stiri/a-patra-zi-la-rand-cu-decese-covid-in-bihor-si-53-noi-imbolnaviri-in-ultimele-24-de-ore-158087.html" xr:uid="{00000000-0004-0000-0000-000026090000}"/>
    <hyperlink ref="T1164" r:id="rId2344" display="http://www.ms.ro/2020/08/07/buletin-informativ-07-08-2020/" xr:uid="{00000000-0004-0000-0000-000027090000}"/>
    <hyperlink ref="K1165" r:id="rId2345" display="https://www.ebihoreanul.ro/stiri/a-patra-zi-la-rand-cu-decese-covid-in-bihor-si-53-noi-imbolnaviri-in-ultimele-24-de-ore-158087.html" xr:uid="{00000000-0004-0000-0000-000028090000}"/>
    <hyperlink ref="T1165" r:id="rId2346" display="http://www.ms.ro/2020/08/07/buletin-informativ-07-08-2020/" xr:uid="{00000000-0004-0000-0000-000029090000}"/>
    <hyperlink ref="K1166" r:id="rId2347" display="https://www.ebihoreanul.ro/stiri/a-patra-zi-la-rand-cu-decese-covid-in-bihor-si-53-noi-imbolnaviri-in-ultimele-24-de-ore-158087.html" xr:uid="{00000000-0004-0000-0000-00002A090000}"/>
    <hyperlink ref="T1166" r:id="rId2348" display="http://www.ms.ro/2020/08/07/buletin-informativ-07-08-2020/" xr:uid="{00000000-0004-0000-0000-00002B090000}"/>
    <hyperlink ref="K1167" r:id="rId2349" display="https://www.ebihoreanul.ro/stiri/a-patra-zi-la-rand-cu-decese-covid-in-bihor-si-53-noi-imbolnaviri-in-ultimele-24-de-ore-158087.html" xr:uid="{00000000-0004-0000-0000-00002C090000}"/>
    <hyperlink ref="T1167" r:id="rId2350" display="http://www.ms.ro/2020/08/07/buletin-informativ-07-08-2020/" xr:uid="{00000000-0004-0000-0000-00002D090000}"/>
    <hyperlink ref="K1168" r:id="rId2351" display="https://www.ebihoreanul.ro/stiri/a-patra-zi-la-rand-cu-decese-covid-in-bihor-si-53-noi-imbolnaviri-in-ultimele-24-de-ore-158087.html" xr:uid="{00000000-0004-0000-0000-00002E090000}"/>
    <hyperlink ref="T1168" r:id="rId2352" display="http://www.ms.ro/2020/08/07/buletin-informativ-07-08-2020/" xr:uid="{00000000-0004-0000-0000-00002F090000}"/>
    <hyperlink ref="K1169" r:id="rId2353" display="https://www.ebihoreanul.ro/stiri/a-patra-zi-la-rand-cu-decese-covid-in-bihor-si-53-noi-imbolnaviri-in-ultimele-24-de-ore-158087.html" xr:uid="{00000000-0004-0000-0000-000030090000}"/>
    <hyperlink ref="T1169" r:id="rId2354" display="http://www.ms.ro/2020/08/07/buletin-informativ-07-08-2020/" xr:uid="{00000000-0004-0000-0000-000031090000}"/>
    <hyperlink ref="K1170" r:id="rId2355" display="https://www.ebihoreanul.ro/stiri/a-patra-zi-la-rand-cu-decese-covid-in-bihor-si-53-noi-imbolnaviri-in-ultimele-24-de-ore-158087.html" xr:uid="{00000000-0004-0000-0000-000032090000}"/>
    <hyperlink ref="T1170" r:id="rId2356" display="http://www.ms.ro/2020/08/07/buletin-informativ-07-08-2020/" xr:uid="{00000000-0004-0000-0000-000033090000}"/>
    <hyperlink ref="K1171" r:id="rId2357" display="https://www.ebihoreanul.ro/stiri/a-patra-zi-la-rand-cu-decese-covid-in-bihor-si-53-noi-imbolnaviri-in-ultimele-24-de-ore-158087.html" xr:uid="{00000000-0004-0000-0000-000034090000}"/>
    <hyperlink ref="T1171" r:id="rId2358" display="http://www.ms.ro/2020/08/07/buletin-informativ-07-08-2020/" xr:uid="{00000000-0004-0000-0000-000035090000}"/>
    <hyperlink ref="K1172" r:id="rId2359" display="https://www.ebihoreanul.ro/stiri/a-patra-zi-la-rand-cu-decese-covid-in-bihor-si-53-noi-imbolnaviri-in-ultimele-24-de-ore-158087.html" xr:uid="{00000000-0004-0000-0000-000036090000}"/>
    <hyperlink ref="T1172" r:id="rId2360" display="http://www.ms.ro/2020/08/07/buletin-informativ-07-08-2020/" xr:uid="{00000000-0004-0000-0000-000037090000}"/>
    <hyperlink ref="K1173" r:id="rId2361" display="https://www.ebihoreanul.ro/stiri/a-patra-zi-la-rand-cu-decese-covid-in-bihor-si-53-noi-imbolnaviri-in-ultimele-24-de-ore-158087.html" xr:uid="{00000000-0004-0000-0000-000038090000}"/>
    <hyperlink ref="T1173" r:id="rId2362" display="http://www.ms.ro/2020/08/07/buletin-informativ-07-08-2020/" xr:uid="{00000000-0004-0000-0000-000039090000}"/>
    <hyperlink ref="K1174" r:id="rId2363" display="https://www.ebihoreanul.ro/stiri/a-patra-zi-la-rand-cu-decese-covid-in-bihor-si-53-noi-imbolnaviri-in-ultimele-24-de-ore-158087.html" xr:uid="{00000000-0004-0000-0000-00003A090000}"/>
    <hyperlink ref="T1174" r:id="rId2364" display="http://www.ms.ro/2020/08/07/buletin-informativ-07-08-2020/" xr:uid="{00000000-0004-0000-0000-00003B090000}"/>
    <hyperlink ref="K1175" r:id="rId2365" display="https://www.ebihoreanul.ro/stiri/a-patra-zi-la-rand-cu-decese-covid-in-bihor-si-53-noi-imbolnaviri-in-ultimele-24-de-ore-158087.html" xr:uid="{00000000-0004-0000-0000-00003C090000}"/>
    <hyperlink ref="T1175" r:id="rId2366" display="http://www.ms.ro/2020/08/07/buletin-informativ-07-08-2020/" xr:uid="{00000000-0004-0000-0000-00003D090000}"/>
    <hyperlink ref="K1176" r:id="rId2367" display="https://www.ebihoreanul.ro/stiri/a-patra-zi-la-rand-cu-decese-covid-in-bihor-si-53-noi-imbolnaviri-in-ultimele-24-de-ore-158087.html" xr:uid="{00000000-0004-0000-0000-00003E090000}"/>
    <hyperlink ref="T1176" r:id="rId2368" display="http://www.ms.ro/2020/08/07/buletin-informativ-07-08-2020/" xr:uid="{00000000-0004-0000-0000-00003F090000}"/>
    <hyperlink ref="K1177" r:id="rId2369" display="https://www.ebihoreanul.ro/stiri/a-patra-zi-la-rand-cu-decese-covid-in-bihor-si-53-noi-imbolnaviri-in-ultimele-24-de-ore-158087.html" xr:uid="{00000000-0004-0000-0000-000040090000}"/>
    <hyperlink ref="T1177" r:id="rId2370" display="http://www.ms.ro/2020/08/07/buletin-informativ-07-08-2020/" xr:uid="{00000000-0004-0000-0000-000041090000}"/>
    <hyperlink ref="K1178" r:id="rId2371" display="https://www.ebihoreanul.ro/stiri/a-patra-zi-la-rand-cu-decese-covid-in-bihor-si-53-noi-imbolnaviri-in-ultimele-24-de-ore-158087.html" xr:uid="{00000000-0004-0000-0000-000042090000}"/>
    <hyperlink ref="T1178" r:id="rId2372" display="http://www.ms.ro/2020/08/07/buletin-informativ-07-08-2020/" xr:uid="{00000000-0004-0000-0000-000043090000}"/>
    <hyperlink ref="K1179" r:id="rId2373" display="https://www.ebihoreanul.ro/stiri/a-patra-zi-la-rand-cu-decese-covid-in-bihor-si-53-noi-imbolnaviri-in-ultimele-24-de-ore-158087.html" xr:uid="{00000000-0004-0000-0000-000044090000}"/>
    <hyperlink ref="T1179" r:id="rId2374" display="http://www.ms.ro/2020/08/07/buletin-informativ-07-08-2020/" xr:uid="{00000000-0004-0000-0000-000045090000}"/>
    <hyperlink ref="K1180" r:id="rId2375" display="https://www.ebihoreanul.ro/stiri/a-patra-zi-la-rand-cu-decese-covid-in-bihor-si-53-noi-imbolnaviri-in-ultimele-24-de-ore-158087.html" xr:uid="{00000000-0004-0000-0000-000046090000}"/>
    <hyperlink ref="T1180" r:id="rId2376" display="http://www.ms.ro/2020/08/07/buletin-informativ-07-08-2020/" xr:uid="{00000000-0004-0000-0000-000047090000}"/>
    <hyperlink ref="K1181" r:id="rId2377" display="https://www.ebihoreanul.ro/stiri/a-patra-zi-la-rand-cu-decese-covid-in-bihor-si-53-noi-imbolnaviri-in-ultimele-24-de-ore-158087.html" xr:uid="{00000000-0004-0000-0000-000048090000}"/>
    <hyperlink ref="T1181" r:id="rId2378" display="http://www.ms.ro/2020/08/07/buletin-informativ-07-08-2020/" xr:uid="{00000000-0004-0000-0000-000049090000}"/>
    <hyperlink ref="K1182" r:id="rId2379" display="https://www.ebihoreanul.ro/stiri/a-patra-zi-la-rand-cu-decese-covid-in-bihor-si-53-noi-imbolnaviri-in-ultimele-24-de-ore-158087.html" xr:uid="{00000000-0004-0000-0000-00004A090000}"/>
    <hyperlink ref="T1182" r:id="rId2380" display="http://www.ms.ro/2020/08/07/buletin-informativ-07-08-2020/" xr:uid="{00000000-0004-0000-0000-00004B090000}"/>
    <hyperlink ref="K1183" r:id="rId2381" display="https://www.ebihoreanul.ro/stiri/a-patra-zi-la-rand-cu-decese-covid-in-bihor-si-53-noi-imbolnaviri-in-ultimele-24-de-ore-158087.html" xr:uid="{00000000-0004-0000-0000-00004C090000}"/>
    <hyperlink ref="T1183" r:id="rId2382" display="http://www.ms.ro/2020/08/07/buletin-informativ-07-08-2020/" xr:uid="{00000000-0004-0000-0000-00004D090000}"/>
    <hyperlink ref="K1184" r:id="rId2383" display="https://www.ebihoreanul.ro/stiri/a-patra-zi-la-rand-cu-decese-covid-in-bihor-si-53-noi-imbolnaviri-in-ultimele-24-de-ore-158087.html" xr:uid="{00000000-0004-0000-0000-00004E090000}"/>
    <hyperlink ref="T1184" r:id="rId2384" display="http://www.ms.ro/2020/08/07/buletin-informativ-07-08-2020/" xr:uid="{00000000-0004-0000-0000-00004F090000}"/>
    <hyperlink ref="K1185" r:id="rId2385" display="https://www.ebihoreanul.ro/stiri/a-patra-zi-la-rand-cu-decese-covid-in-bihor-si-53-noi-imbolnaviri-in-ultimele-24-de-ore-158087.html" xr:uid="{00000000-0004-0000-0000-000050090000}"/>
    <hyperlink ref="T1185" r:id="rId2386" display="http://www.ms.ro/2020/08/07/buletin-informativ-07-08-2020/" xr:uid="{00000000-0004-0000-0000-000051090000}"/>
    <hyperlink ref="K1186" r:id="rId2387" display="https://www.ebihoreanul.ro/stiri/a-patra-zi-la-rand-cu-decese-covid-in-bihor-si-53-noi-imbolnaviri-in-ultimele-24-de-ore-158087.html" xr:uid="{00000000-0004-0000-0000-000052090000}"/>
    <hyperlink ref="T1186" r:id="rId2388" display="http://www.ms.ro/2020/08/07/buletin-informativ-07-08-2020/" xr:uid="{00000000-0004-0000-0000-000053090000}"/>
    <hyperlink ref="K1187" r:id="rId2389" display="https://www.ebihoreanul.ro/stiri/a-patra-zi-la-rand-cu-decese-covid-in-bihor-si-53-noi-imbolnaviri-in-ultimele-24-de-ore-158087.html" xr:uid="{00000000-0004-0000-0000-000054090000}"/>
    <hyperlink ref="T1187" r:id="rId2390" display="http://www.ms.ro/2020/08/07/buletin-informativ-07-08-2020/" xr:uid="{00000000-0004-0000-0000-000055090000}"/>
    <hyperlink ref="K1188" r:id="rId2391" display="https://www.ebihoreanul.ro/stiri/a-patra-zi-la-rand-cu-decese-covid-in-bihor-si-53-noi-imbolnaviri-in-ultimele-24-de-ore-158087.html" xr:uid="{00000000-0004-0000-0000-000056090000}"/>
    <hyperlink ref="T1188" r:id="rId2392" display="http://www.ms.ro/2020/08/07/buletin-informativ-07-08-2020/" xr:uid="{00000000-0004-0000-0000-000057090000}"/>
    <hyperlink ref="K1189" r:id="rId2393" display="https://www.ebihoreanul.ro/stiri/a-patra-zi-la-rand-cu-decese-covid-in-bihor-si-53-noi-imbolnaviri-in-ultimele-24-de-ore-158087.html" xr:uid="{00000000-0004-0000-0000-000058090000}"/>
    <hyperlink ref="T1189" r:id="rId2394" display="http://www.ms.ro/2020/08/07/buletin-informativ-07-08-2020/" xr:uid="{00000000-0004-0000-0000-000059090000}"/>
    <hyperlink ref="K1190" r:id="rId2395" display="https://www.ebihoreanul.ro/stiri/a-patra-zi-la-rand-cu-decese-covid-in-bihor-si-53-noi-imbolnaviri-in-ultimele-24-de-ore-158087.html" xr:uid="{00000000-0004-0000-0000-00005A090000}"/>
    <hyperlink ref="T1190" r:id="rId2396" display="http://www.ms.ro/2020/08/07/buletin-informativ-07-08-2020/" xr:uid="{00000000-0004-0000-0000-00005B090000}"/>
    <hyperlink ref="K1191" r:id="rId2397" display="https://www.ebihoreanul.ro/stiri/a-patra-zi-la-rand-cu-decese-covid-in-bihor-si-53-noi-imbolnaviri-in-ultimele-24-de-ore-158087.html" xr:uid="{00000000-0004-0000-0000-00005C090000}"/>
    <hyperlink ref="T1191" r:id="rId2398" display="http://www.ms.ro/2020/08/07/buletin-informativ-07-08-2020/" xr:uid="{00000000-0004-0000-0000-00005D090000}"/>
    <hyperlink ref="K1192" r:id="rId2399" display="https://stirioficiale.ro/informatii/buletin-de-presa-8-august-2020-ora-13-00" xr:uid="{00000000-0004-0000-0000-00005E090000}"/>
    <hyperlink ref="T1192" r:id="rId2400" display="http://www.ms.ro/2020/08/08/buletin-informativ-08-08-2020" xr:uid="{00000000-0004-0000-0000-00005F090000}"/>
    <hyperlink ref="K1193" r:id="rId2401" display="https://stirioficiale.ro/informatii/buletin-de-presa-8-august-2020-ora-13-00" xr:uid="{00000000-0004-0000-0000-000060090000}"/>
    <hyperlink ref="T1193" r:id="rId2402" display="http://www.ms.ro/2020/08/08/buletin-informativ-08-08-2020" xr:uid="{00000000-0004-0000-0000-000061090000}"/>
    <hyperlink ref="K1194" r:id="rId2403" display="https://stirioficiale.ro/informatii/buletin-de-presa-8-august-2020-ora-13-00" xr:uid="{00000000-0004-0000-0000-000062090000}"/>
    <hyperlink ref="T1194" r:id="rId2404" display="http://www.ms.ro/2020/08/08/buletin-informativ-08-08-2020" xr:uid="{00000000-0004-0000-0000-000063090000}"/>
    <hyperlink ref="K1195" r:id="rId2405" display="https://stirioficiale.ro/informatii/buletin-de-presa-8-august-2020-ora-13-00" xr:uid="{00000000-0004-0000-0000-000064090000}"/>
    <hyperlink ref="T1195" r:id="rId2406" display="http://www.ms.ro/2020/08/08/buletin-informativ-08-08-2020" xr:uid="{00000000-0004-0000-0000-000065090000}"/>
    <hyperlink ref="K1196" r:id="rId2407" display="https://stirioficiale.ro/informatii/buletin-de-presa-8-august-2020-ora-13-00" xr:uid="{00000000-0004-0000-0000-000066090000}"/>
    <hyperlink ref="T1196" r:id="rId2408" display="http://www.ms.ro/2020/08/08/buletin-informativ-08-08-2020" xr:uid="{00000000-0004-0000-0000-000067090000}"/>
    <hyperlink ref="K1197" r:id="rId2409" display="https://stirioficiale.ro/informatii/buletin-de-presa-8-august-2020-ora-13-00" xr:uid="{00000000-0004-0000-0000-000068090000}"/>
    <hyperlink ref="T1197" r:id="rId2410" display="http://www.ms.ro/2020/08/08/buletin-informativ-08-08-2020" xr:uid="{00000000-0004-0000-0000-000069090000}"/>
    <hyperlink ref="K1198" r:id="rId2411" display="https://stirioficiale.ro/informatii/buletin-de-presa-8-august-2020-ora-13-00" xr:uid="{00000000-0004-0000-0000-00006A090000}"/>
    <hyperlink ref="T1198" r:id="rId2412" display="http://www.ms.ro/2020/08/08/buletin-informativ-08-08-2020" xr:uid="{00000000-0004-0000-0000-00006B090000}"/>
    <hyperlink ref="K1199" r:id="rId2413" display="https://stirioficiale.ro/informatii/buletin-de-presa-8-august-2020-ora-13-00" xr:uid="{00000000-0004-0000-0000-00006C090000}"/>
    <hyperlink ref="T1199" r:id="rId2414" display="http://www.ms.ro/2020/08/08/buletin-informativ-08-08-2020" xr:uid="{00000000-0004-0000-0000-00006D090000}"/>
    <hyperlink ref="K1200" r:id="rId2415" display="https://stirioficiale.ro/informatii/buletin-de-presa-8-august-2020-ora-13-00" xr:uid="{00000000-0004-0000-0000-00006E090000}"/>
    <hyperlink ref="T1200" r:id="rId2416" display="http://www.ms.ro/2020/08/08/buletin-informativ-08-08-2020" xr:uid="{00000000-0004-0000-0000-00006F090000}"/>
    <hyperlink ref="K1201" r:id="rId2417" display="https://stirioficiale.ro/informatii/buletin-de-presa-8-august-2020-ora-13-00" xr:uid="{00000000-0004-0000-0000-000070090000}"/>
    <hyperlink ref="T1201" r:id="rId2418" display="http://www.ms.ro/2020/08/08/buletin-informativ-08-08-2020" xr:uid="{00000000-0004-0000-0000-000071090000}"/>
    <hyperlink ref="K1202" r:id="rId2419" display="https://stirioficiale.ro/informatii/buletin-de-presa-8-august-2020-ora-13-00" xr:uid="{00000000-0004-0000-0000-000072090000}"/>
    <hyperlink ref="T1202" r:id="rId2420" display="http://www.ms.ro/2020/08/08/buletin-informativ-08-08-2020" xr:uid="{00000000-0004-0000-0000-000073090000}"/>
    <hyperlink ref="K1203" r:id="rId2421" display="https://stirioficiale.ro/informatii/buletin-de-presa-8-august-2020-ora-13-00" xr:uid="{00000000-0004-0000-0000-000074090000}"/>
    <hyperlink ref="T1203" r:id="rId2422" display="http://www.ms.ro/2020/08/08/buletin-informativ-08-08-2020" xr:uid="{00000000-0004-0000-0000-000075090000}"/>
    <hyperlink ref="K1204" r:id="rId2423" display="https://stirioficiale.ro/informatii/buletin-de-presa-8-august-2020-ora-13-00" xr:uid="{00000000-0004-0000-0000-000076090000}"/>
    <hyperlink ref="T1204" r:id="rId2424" display="http://www.ms.ro/2020/08/08/buletin-informativ-08-08-2020" xr:uid="{00000000-0004-0000-0000-000077090000}"/>
    <hyperlink ref="K1205" r:id="rId2425" display="https://stirioficiale.ro/informatii/buletin-de-presa-8-august-2020-ora-13-00" xr:uid="{00000000-0004-0000-0000-000078090000}"/>
    <hyperlink ref="T1205" r:id="rId2426" display="http://www.ms.ro/2020/08/08/buletin-informativ-08-08-2020" xr:uid="{00000000-0004-0000-0000-000079090000}"/>
    <hyperlink ref="K1206" r:id="rId2427" display="https://stirioficiale.ro/informatii/buletin-de-presa-8-august-2020-ora-13-00" xr:uid="{00000000-0004-0000-0000-00007A090000}"/>
    <hyperlink ref="T1206" r:id="rId2428" display="http://www.ms.ro/2020/08/08/buletin-informativ-08-08-2020" xr:uid="{00000000-0004-0000-0000-00007B090000}"/>
    <hyperlink ref="K1207" r:id="rId2429" display="https://stirioficiale.ro/informatii/buletin-de-presa-8-august-2020-ora-13-00" xr:uid="{00000000-0004-0000-0000-00007C090000}"/>
    <hyperlink ref="T1207" r:id="rId2430" display="http://www.ms.ro/2020/08/08/buletin-informativ-08-08-2020" xr:uid="{00000000-0004-0000-0000-00007D090000}"/>
    <hyperlink ref="K1208" r:id="rId2431" display="https://stirioficiale.ro/informatii/buletin-de-presa-8-august-2020-ora-13-00" xr:uid="{00000000-0004-0000-0000-00007E090000}"/>
    <hyperlink ref="T1208" r:id="rId2432" display="http://www.ms.ro/2020/08/08/buletin-informativ-08-08-2020" xr:uid="{00000000-0004-0000-0000-00007F090000}"/>
    <hyperlink ref="K1209" r:id="rId2433" display="https://stirioficiale.ro/informatii/buletin-de-presa-8-august-2020-ora-13-00" xr:uid="{00000000-0004-0000-0000-000080090000}"/>
    <hyperlink ref="T1209" r:id="rId2434" display="http://www.ms.ro/2020/08/08/buletin-informativ-08-08-2020" xr:uid="{00000000-0004-0000-0000-000081090000}"/>
    <hyperlink ref="K1210" r:id="rId2435" display="https://stirioficiale.ro/informatii/buletin-de-presa-8-august-2020-ora-13-00" xr:uid="{00000000-0004-0000-0000-000082090000}"/>
    <hyperlink ref="T1210" r:id="rId2436" display="http://www.ms.ro/2020/08/08/buletin-informativ-08-08-2020" xr:uid="{00000000-0004-0000-0000-000083090000}"/>
    <hyperlink ref="K1211" r:id="rId2437" display="https://stirioficiale.ro/informatii/buletin-de-presa-8-august-2020-ora-13-00" xr:uid="{00000000-0004-0000-0000-000084090000}"/>
    <hyperlink ref="T1211" r:id="rId2438" display="http://www.ms.ro/2020/08/08/buletin-informativ-08-08-2020" xr:uid="{00000000-0004-0000-0000-000085090000}"/>
    <hyperlink ref="K1212" r:id="rId2439" display="https://stirioficiale.ro/informatii/buletin-de-presa-8-august-2020-ora-13-00" xr:uid="{00000000-0004-0000-0000-000086090000}"/>
    <hyperlink ref="T1212" r:id="rId2440" display="http://www.ms.ro/2020/08/08/buletin-informativ-08-08-2020" xr:uid="{00000000-0004-0000-0000-000087090000}"/>
    <hyperlink ref="K1213" r:id="rId2441" display="https://stirioficiale.ro/informatii/buletin-de-presa-8-august-2020-ora-13-00" xr:uid="{00000000-0004-0000-0000-000088090000}"/>
    <hyperlink ref="T1213" r:id="rId2442" display="http://www.ms.ro/2020/08/08/buletin-informativ-08-08-2020" xr:uid="{00000000-0004-0000-0000-000089090000}"/>
    <hyperlink ref="K1214" r:id="rId2443" display="https://stirioficiale.ro/informatii/buletin-de-presa-8-august-2020-ora-13-00" xr:uid="{00000000-0004-0000-0000-00008A090000}"/>
    <hyperlink ref="T1214" r:id="rId2444" display="http://www.ms.ro/2020/08/08/buletin-informativ-08-08-2020" xr:uid="{00000000-0004-0000-0000-00008B090000}"/>
    <hyperlink ref="K1215" r:id="rId2445" display="https://stirioficiale.ro/informatii/buletin-de-presa-8-august-2020-ora-13-00" xr:uid="{00000000-0004-0000-0000-00008C090000}"/>
    <hyperlink ref="T1215" r:id="rId2446" display="http://www.ms.ro/2020/08/08/buletin-informativ-08-08-2020" xr:uid="{00000000-0004-0000-0000-00008D090000}"/>
    <hyperlink ref="K1216" r:id="rId2447" display="https://stirioficiale.ro/informatii/buletin-de-presa-8-august-2020-ora-13-00" xr:uid="{00000000-0004-0000-0000-00008E090000}"/>
    <hyperlink ref="T1216" r:id="rId2448" display="http://www.ms.ro/2020/08/08/buletin-informativ-08-08-2020" xr:uid="{00000000-0004-0000-0000-00008F090000}"/>
    <hyperlink ref="K1217" r:id="rId2449" display="https://stirioficiale.ro/informatii/buletin-de-presa-8-august-2020-ora-13-00" xr:uid="{00000000-0004-0000-0000-000090090000}"/>
    <hyperlink ref="T1217" r:id="rId2450" display="http://www.ms.ro/2020/08/08/buletin-informativ-08-08-2020" xr:uid="{00000000-0004-0000-0000-000091090000}"/>
    <hyperlink ref="K1218" r:id="rId2451" display="https://stirioficiale.ro/informatii/buletin-de-presa-8-august-2020-ora-13-00" xr:uid="{00000000-0004-0000-0000-000092090000}"/>
    <hyperlink ref="T1218" r:id="rId2452" display="http://www.ms.ro/2020/08/08/buletin-informativ-08-08-2020" xr:uid="{00000000-0004-0000-0000-000093090000}"/>
    <hyperlink ref="K1219" r:id="rId2453" display="https://stirioficiale.ro/informatii/buletin-de-presa-8-august-2020-ora-13-00" xr:uid="{00000000-0004-0000-0000-000094090000}"/>
    <hyperlink ref="T1219" r:id="rId2454" display="http://www.ms.ro/2020/08/08/buletin-informativ-08-08-2020" xr:uid="{00000000-0004-0000-0000-000095090000}"/>
    <hyperlink ref="K1220" r:id="rId2455" display="https://stirioficiale.ro/informatii/buletin-de-presa-8-august-2020-ora-13-00" xr:uid="{00000000-0004-0000-0000-000096090000}"/>
    <hyperlink ref="T1220" r:id="rId2456" display="http://www.ms.ro/2020/08/08/buletin-informativ-08-08-2020" xr:uid="{00000000-0004-0000-0000-000097090000}"/>
    <hyperlink ref="K1221" r:id="rId2457" display="https://stirioficiale.ro/informatii/buletin-de-presa-8-august-2020-ora-13-00" xr:uid="{00000000-0004-0000-0000-000098090000}"/>
    <hyperlink ref="T1221" r:id="rId2458" display="http://www.ms.ro/2020/08/08/buletin-informativ-08-08-2020" xr:uid="{00000000-0004-0000-0000-000099090000}"/>
    <hyperlink ref="K1222" r:id="rId2459" display="https://stirioficiale.ro/informatii/buletin-de-presa-8-august-2020-ora-13-00" xr:uid="{00000000-0004-0000-0000-00009A090000}"/>
    <hyperlink ref="T1222" r:id="rId2460" display="http://www.ms.ro/2020/08/08/buletin-informativ-08-08-2020" xr:uid="{00000000-0004-0000-0000-00009B090000}"/>
    <hyperlink ref="K1223" r:id="rId2461" display="https://stirioficiale.ro/informatii/buletin-de-presa-8-august-2020-ora-13-00" xr:uid="{00000000-0004-0000-0000-00009C090000}"/>
    <hyperlink ref="T1223" r:id="rId2462" display="http://www.ms.ro/2020/08/08/buletin-informativ-08-08-2020" xr:uid="{00000000-0004-0000-0000-00009D090000}"/>
    <hyperlink ref="K1224" r:id="rId2463" display="https://stirioficiale.ro/informatii/buletin-de-presa-8-august-2020-ora-13-00" xr:uid="{00000000-0004-0000-0000-00009E090000}"/>
    <hyperlink ref="T1224" r:id="rId2464" display="http://www.ms.ro/2020/08/08/buletin-informativ-08-08-2020" xr:uid="{00000000-0004-0000-0000-00009F090000}"/>
    <hyperlink ref="K1225" r:id="rId2465" display="https://stirioficiale.ro/informatii/buletin-de-presa-8-august-2020-ora-13-00" xr:uid="{00000000-0004-0000-0000-0000A0090000}"/>
    <hyperlink ref="T1225" r:id="rId2466" display="http://www.ms.ro/2020/08/08/buletin-informativ-08-08-2020" xr:uid="{00000000-0004-0000-0000-0000A1090000}"/>
    <hyperlink ref="K1226" r:id="rId2467" display="https://stirioficiale.ro/informatii/buletin-de-presa-8-august-2020-ora-13-00" xr:uid="{00000000-0004-0000-0000-0000A2090000}"/>
    <hyperlink ref="T1226" r:id="rId2468" display="http://www.ms.ro/2020/08/08/buletin-informativ-08-08-2020" xr:uid="{00000000-0004-0000-0000-0000A3090000}"/>
    <hyperlink ref="K1227" r:id="rId2469" display="https://stirioficiale.ro/informatii/buletin-de-presa-8-august-2020-ora-13-00" xr:uid="{00000000-0004-0000-0000-0000A4090000}"/>
    <hyperlink ref="T1227" r:id="rId2470" display="http://www.ms.ro/2020/08/08/buletin-informativ-08-08-2020" xr:uid="{00000000-0004-0000-0000-0000A5090000}"/>
    <hyperlink ref="K1228" r:id="rId2471" display="https://stirioficiale.ro/informatii/buletin-de-presa-8-august-2020-ora-13-00" xr:uid="{00000000-0004-0000-0000-0000A6090000}"/>
    <hyperlink ref="T1228" r:id="rId2472" display="http://www.ms.ro/2020/08/08/buletin-informativ-08-08-2020" xr:uid="{00000000-0004-0000-0000-0000A7090000}"/>
    <hyperlink ref="K1229" r:id="rId2473" display="https://stirioficiale.ro/informatii/buletin-de-presa-8-august-2020-ora-13-00" xr:uid="{00000000-0004-0000-0000-0000A8090000}"/>
    <hyperlink ref="T1229" r:id="rId2474" display="http://www.ms.ro/2020/08/08/buletin-informativ-08-08-2020" xr:uid="{00000000-0004-0000-0000-0000A9090000}"/>
    <hyperlink ref="K1230" r:id="rId2475" display="https://stirioficiale.ro/informatii/buletin-de-presa-8-august-2020-ora-13-00" xr:uid="{00000000-0004-0000-0000-0000AA090000}"/>
    <hyperlink ref="T1230" r:id="rId2476" display="http://www.ms.ro/2020/08/08/buletin-informativ-08-08-2020" xr:uid="{00000000-0004-0000-0000-0000AB090000}"/>
    <hyperlink ref="K1231" r:id="rId2477" display="https://stirioficiale.ro/informatii/buletin-de-presa-8-august-2020-ora-13-00" xr:uid="{00000000-0004-0000-0000-0000AC090000}"/>
    <hyperlink ref="T1231" r:id="rId2478" display="http://www.ms.ro/2020/08/08/buletin-informativ-08-08-2020" xr:uid="{00000000-0004-0000-0000-0000AD090000}"/>
    <hyperlink ref="K1232" r:id="rId2479" display="https://stirioficiale.ro/informatii/buletin-de-presa-8-august-2020-ora-13-00" xr:uid="{00000000-0004-0000-0000-0000AE090000}"/>
    <hyperlink ref="T1232" r:id="rId2480" display="http://www.ms.ro/2020/08/08/buletin-informativ-08-08-2020" xr:uid="{00000000-0004-0000-0000-0000AF090000}"/>
    <hyperlink ref="K1233" r:id="rId2481" display="https://stirioficiale.ro/informatii/buletin-de-presa-8-august-2020-ora-13-00" xr:uid="{00000000-0004-0000-0000-0000B0090000}"/>
    <hyperlink ref="T1233" r:id="rId2482" display="http://www.ms.ro/2020/08/08/buletin-informativ-08-08-2020" xr:uid="{00000000-0004-0000-0000-0000B1090000}"/>
    <hyperlink ref="K1234" r:id="rId2483" display="https://stirioficiale.ro/informatii/buletin-de-presa-8-august-2020-ora-13-00" xr:uid="{00000000-0004-0000-0000-0000B2090000}"/>
    <hyperlink ref="T1234" r:id="rId2484" display="http://www.ms.ro/2020/08/08/buletin-informativ-08-08-2020" xr:uid="{00000000-0004-0000-0000-0000B3090000}"/>
    <hyperlink ref="K1235" r:id="rId2485" display="https://stirioficiale.ro/informatii/buletin-de-presa-8-august-2020-ora-13-00" xr:uid="{00000000-0004-0000-0000-0000B4090000}"/>
    <hyperlink ref="T1235" r:id="rId2486" display="http://www.ms.ro/2020/08/08/buletin-informativ-08-08-2020" xr:uid="{00000000-0004-0000-0000-0000B5090000}"/>
    <hyperlink ref="K1236" r:id="rId2487" display="https://stirioficiale.ro/informatii/buletin-de-presa-8-august-2020-ora-13-00" xr:uid="{00000000-0004-0000-0000-0000B6090000}"/>
    <hyperlink ref="T1236" r:id="rId2488" display="http://www.ms.ro/2020/08/08/buletin-informativ-08-08-2020" xr:uid="{00000000-0004-0000-0000-0000B7090000}"/>
    <hyperlink ref="K1237" r:id="rId2489" display="https://stirioficiale.ro/informatii/buletin-de-presa-8-august-2020-ora-13-00" xr:uid="{00000000-0004-0000-0000-0000B8090000}"/>
    <hyperlink ref="T1237" r:id="rId2490" display="http://www.ms.ro/2020/08/08/buletin-informativ-08-08-2020" xr:uid="{00000000-0004-0000-0000-0000B9090000}"/>
    <hyperlink ref="K1238" r:id="rId2491" display="https://stirioficiale.ro/informatii/buletin-de-presa-8-august-2020-ora-13-00" xr:uid="{00000000-0004-0000-0000-0000BA090000}"/>
    <hyperlink ref="T1238" r:id="rId2492" display="http://www.ms.ro/2020/08/08/buletin-informativ-08-08-2020" xr:uid="{00000000-0004-0000-0000-0000BB090000}"/>
    <hyperlink ref="K1239" r:id="rId2493" display="https://stirioficiale.ro/informatii/buletin-de-presa-8-august-2020-ora-13-00" xr:uid="{00000000-0004-0000-0000-0000BC090000}"/>
    <hyperlink ref="T1239" r:id="rId2494" display="http://www.ms.ro/2020/08/08/buletin-informativ-08-08-2020" xr:uid="{00000000-0004-0000-0000-0000BD090000}"/>
    <hyperlink ref="K1240" r:id="rId2495" display="https://stirioficiale.ro/informatii/buletin-de-presa-9-august-2020-ora-13-00" xr:uid="{00000000-0004-0000-0000-0000BE090000}"/>
    <hyperlink ref="T1240" r:id="rId2496" display="http://www.ms.ro/2020/08/09/buletin-informativ-09-08-2020" xr:uid="{00000000-0004-0000-0000-0000BF090000}"/>
    <hyperlink ref="K1241" r:id="rId2497" display="https://stirioficiale.ro/informatii/buletin-de-presa-9-august-2020-ora-13-00" xr:uid="{00000000-0004-0000-0000-0000C0090000}"/>
    <hyperlink ref="T1241" r:id="rId2498" display="http://www.ms.ro/2020/08/09/buletin-informativ-09-08-2020" xr:uid="{00000000-0004-0000-0000-0000C1090000}"/>
    <hyperlink ref="K1242" r:id="rId2499" display="https://stirioficiale.ro/informatii/buletin-de-presa-9-august-2020-ora-13-00" xr:uid="{00000000-0004-0000-0000-0000C2090000}"/>
    <hyperlink ref="T1242" r:id="rId2500" display="http://www.ms.ro/2020/08/09/buletin-informativ-09-08-2020" xr:uid="{00000000-0004-0000-0000-0000C3090000}"/>
    <hyperlink ref="K1243" r:id="rId2501" display="https://stirioficiale.ro/informatii/buletin-de-presa-9-august-2020-ora-13-00" xr:uid="{00000000-0004-0000-0000-0000C4090000}"/>
    <hyperlink ref="T1243" r:id="rId2502" display="http://www.ms.ro/2020/08/09/buletin-informativ-09-08-2020" xr:uid="{00000000-0004-0000-0000-0000C5090000}"/>
    <hyperlink ref="K1244" r:id="rId2503" display="https://stirioficiale.ro/informatii/buletin-de-presa-9-august-2020-ora-13-00" xr:uid="{00000000-0004-0000-0000-0000C6090000}"/>
    <hyperlink ref="T1244" r:id="rId2504" display="http://www.ms.ro/2020/08/09/buletin-informativ-09-08-2020" xr:uid="{00000000-0004-0000-0000-0000C7090000}"/>
    <hyperlink ref="K1245" r:id="rId2505" display="https://stirioficiale.ro/informatii/buletin-de-presa-9-august-2020-ora-13-00" xr:uid="{00000000-0004-0000-0000-0000C8090000}"/>
    <hyperlink ref="T1245" r:id="rId2506" display="http://www.ms.ro/2020/08/09/buletin-informativ-09-08-2020" xr:uid="{00000000-0004-0000-0000-0000C9090000}"/>
    <hyperlink ref="K1246" r:id="rId2507" display="https://stirioficiale.ro/informatii/buletin-de-presa-9-august-2020-ora-13-00" xr:uid="{00000000-0004-0000-0000-0000CA090000}"/>
    <hyperlink ref="T1246" r:id="rId2508" display="http://www.ms.ro/2020/08/09/buletin-informativ-09-08-2020" xr:uid="{00000000-0004-0000-0000-0000CB090000}"/>
    <hyperlink ref="K1247" r:id="rId2509" display="https://stirioficiale.ro/informatii/buletin-de-presa-9-august-2020-ora-13-00" xr:uid="{00000000-0004-0000-0000-0000CC090000}"/>
    <hyperlink ref="T1247" r:id="rId2510" display="http://www.ms.ro/2020/08/09/buletin-informativ-09-08-2020" xr:uid="{00000000-0004-0000-0000-0000CD090000}"/>
    <hyperlink ref="K1248" r:id="rId2511" display="https://stirioficiale.ro/informatii/buletin-de-presa-9-august-2020-ora-13-00" xr:uid="{00000000-0004-0000-0000-0000CE090000}"/>
    <hyperlink ref="T1248" r:id="rId2512" display="http://www.ms.ro/2020/08/09/buletin-informativ-09-08-2020" xr:uid="{00000000-0004-0000-0000-0000CF090000}"/>
    <hyperlink ref="K1249" r:id="rId2513" display="https://stirioficiale.ro/informatii/buletin-de-presa-9-august-2020-ora-13-00" xr:uid="{00000000-0004-0000-0000-0000D0090000}"/>
    <hyperlink ref="T1249" r:id="rId2514" display="http://www.ms.ro/2020/08/09/buletin-informativ-09-08-2020" xr:uid="{00000000-0004-0000-0000-0000D1090000}"/>
    <hyperlink ref="K1250" r:id="rId2515" display="https://stirioficiale.ro/informatii/buletin-de-presa-9-august-2020-ora-13-00" xr:uid="{00000000-0004-0000-0000-0000D2090000}"/>
    <hyperlink ref="T1250" r:id="rId2516" display="http://www.ms.ro/2020/08/09/buletin-informativ-09-08-2020" xr:uid="{00000000-0004-0000-0000-0000D3090000}"/>
    <hyperlink ref="K1251" r:id="rId2517" display="https://stirioficiale.ro/informatii/buletin-de-presa-9-august-2020-ora-13-00" xr:uid="{00000000-0004-0000-0000-0000D4090000}"/>
    <hyperlink ref="T1251" r:id="rId2518" display="http://www.ms.ro/2020/08/09/buletin-informativ-09-08-2020" xr:uid="{00000000-0004-0000-0000-0000D5090000}"/>
    <hyperlink ref="K1252" r:id="rId2519" display="https://stirioficiale.ro/informatii/buletin-de-presa-9-august-2020-ora-13-00" xr:uid="{00000000-0004-0000-0000-0000D6090000}"/>
    <hyperlink ref="T1252" r:id="rId2520" display="http://www.ms.ro/2020/08/09/buletin-informativ-09-08-2020" xr:uid="{00000000-0004-0000-0000-0000D7090000}"/>
    <hyperlink ref="K1253" r:id="rId2521" display="https://stirioficiale.ro/informatii/buletin-de-presa-9-august-2020-ora-13-00" xr:uid="{00000000-0004-0000-0000-0000D8090000}"/>
    <hyperlink ref="T1253" r:id="rId2522" display="http://www.ms.ro/2020/08/09/buletin-informativ-09-08-2020" xr:uid="{00000000-0004-0000-0000-0000D9090000}"/>
    <hyperlink ref="K1254" r:id="rId2523" display="https://stirioficiale.ro/informatii/buletin-de-presa-9-august-2020-ora-13-00" xr:uid="{00000000-0004-0000-0000-0000DA090000}"/>
    <hyperlink ref="T1254" r:id="rId2524" display="http://www.ms.ro/2020/08/09/buletin-informativ-09-08-2020" xr:uid="{00000000-0004-0000-0000-0000DB090000}"/>
    <hyperlink ref="K1255" r:id="rId2525" display="https://stirioficiale.ro/informatii/buletin-de-presa-9-august-2020-ora-13-00" xr:uid="{00000000-0004-0000-0000-0000DC090000}"/>
    <hyperlink ref="T1255" r:id="rId2526" display="http://www.ms.ro/2020/08/09/buletin-informativ-09-08-2020" xr:uid="{00000000-0004-0000-0000-0000DD090000}"/>
    <hyperlink ref="K1256" r:id="rId2527" display="https://stirioficiale.ro/informatii/buletin-de-presa-9-august-2020-ora-13-00" xr:uid="{00000000-0004-0000-0000-0000DE090000}"/>
    <hyperlink ref="T1256" r:id="rId2528" display="http://www.ms.ro/2020/08/09/buletin-informativ-09-08-2020" xr:uid="{00000000-0004-0000-0000-0000DF090000}"/>
    <hyperlink ref="K1257" r:id="rId2529" display="https://stirioficiale.ro/informatii/buletin-de-presa-9-august-2020-ora-13-00" xr:uid="{00000000-0004-0000-0000-0000E0090000}"/>
    <hyperlink ref="T1257" r:id="rId2530" display="http://www.ms.ro/2020/08/09/buletin-informativ-09-08-2020" xr:uid="{00000000-0004-0000-0000-0000E1090000}"/>
    <hyperlink ref="K1258" r:id="rId2531" display="https://stirioficiale.ro/informatii/buletin-de-presa-9-august-2020-ora-13-00" xr:uid="{00000000-0004-0000-0000-0000E2090000}"/>
    <hyperlink ref="T1258" r:id="rId2532" display="http://www.ms.ro/2020/08/09/buletin-informativ-09-08-2020" xr:uid="{00000000-0004-0000-0000-0000E3090000}"/>
    <hyperlink ref="K1259" r:id="rId2533" display="https://stirioficiale.ro/informatii/buletin-de-presa-9-august-2020-ora-13-00" xr:uid="{00000000-0004-0000-0000-0000E4090000}"/>
    <hyperlink ref="T1259" r:id="rId2534" display="http://www.ms.ro/2020/08/09/buletin-informativ-09-08-2020" xr:uid="{00000000-0004-0000-0000-0000E5090000}"/>
    <hyperlink ref="K1260" r:id="rId2535" display="https://stirioficiale.ro/informatii/buletin-de-presa-9-august-2020-ora-13-00" xr:uid="{00000000-0004-0000-0000-0000E6090000}"/>
    <hyperlink ref="T1260" r:id="rId2536" display="http://www.ms.ro/2020/08/09/buletin-informativ-09-08-2020" xr:uid="{00000000-0004-0000-0000-0000E7090000}"/>
    <hyperlink ref="K1261" r:id="rId2537" display="https://stirioficiale.ro/informatii/buletin-de-presa-9-august-2020-ora-13-00" xr:uid="{00000000-0004-0000-0000-0000E8090000}"/>
    <hyperlink ref="T1261" r:id="rId2538" display="http://www.ms.ro/2020/08/09/buletin-informativ-09-08-2020" xr:uid="{00000000-0004-0000-0000-0000E9090000}"/>
    <hyperlink ref="K1262" r:id="rId2539" display="https://stirioficiale.ro/informatii/buletin-de-presa-9-august-2020-ora-13-00" xr:uid="{00000000-0004-0000-0000-0000EA090000}"/>
    <hyperlink ref="T1262" r:id="rId2540" display="http://www.ms.ro/2020/08/09/buletin-informativ-09-08-2020" xr:uid="{00000000-0004-0000-0000-0000EB090000}"/>
    <hyperlink ref="K1263" r:id="rId2541" display="https://stirioficiale.ro/informatii/buletin-de-presa-9-august-2020-ora-13-00" xr:uid="{00000000-0004-0000-0000-0000EC090000}"/>
    <hyperlink ref="T1263" r:id="rId2542" display="http://www.ms.ro/2020/08/09/buletin-informativ-09-08-2020" xr:uid="{00000000-0004-0000-0000-0000ED090000}"/>
    <hyperlink ref="K1264" r:id="rId2543" display="https://stirioficiale.ro/informatii/buletin-de-presa-9-august-2020-ora-13-00" xr:uid="{00000000-0004-0000-0000-0000EE090000}"/>
    <hyperlink ref="T1264" r:id="rId2544" display="http://www.ms.ro/2020/08/09/buletin-informativ-09-08-2020" xr:uid="{00000000-0004-0000-0000-0000EF090000}"/>
    <hyperlink ref="K1265" r:id="rId2545" display="https://stirioficiale.ro/informatii/buletin-de-presa-9-august-2020-ora-13-00" xr:uid="{00000000-0004-0000-0000-0000F0090000}"/>
    <hyperlink ref="T1265" r:id="rId2546" display="http://www.ms.ro/2020/08/09/buletin-informativ-09-08-2020" xr:uid="{00000000-0004-0000-0000-0000F1090000}"/>
    <hyperlink ref="K1266" r:id="rId2547" display="https://stirioficiale.ro/informatii/buletin-de-presa-9-august-2020-ora-13-00" xr:uid="{00000000-0004-0000-0000-0000F2090000}"/>
    <hyperlink ref="T1266" r:id="rId2548" display="http://www.ms.ro/2020/08/09/buletin-informativ-09-08-2020" xr:uid="{00000000-0004-0000-0000-0000F3090000}"/>
    <hyperlink ref="K1267" r:id="rId2549" display="https://stirioficiale.ro/informatii/buletin-de-presa-9-august-2020-ora-13-00" xr:uid="{00000000-0004-0000-0000-0000F4090000}"/>
    <hyperlink ref="T1267" r:id="rId2550" display="http://www.ms.ro/2020/08/09/buletin-informativ-09-08-2020" xr:uid="{00000000-0004-0000-0000-0000F5090000}"/>
    <hyperlink ref="K1268" r:id="rId2551" display="https://stirioficiale.ro/informatii/buletin-de-presa-9-august-2020-ora-13-00" xr:uid="{00000000-0004-0000-0000-0000F6090000}"/>
    <hyperlink ref="T1268" r:id="rId2552" display="http://www.ms.ro/2020/08/09/buletin-informativ-09-08-2020" xr:uid="{00000000-0004-0000-0000-0000F7090000}"/>
    <hyperlink ref="K1269" r:id="rId2553" display="https://stirioficiale.ro/informatii/buletin-de-presa-9-august-2020-ora-13-00" xr:uid="{00000000-0004-0000-0000-0000F8090000}"/>
    <hyperlink ref="T1269" r:id="rId2554" display="http://www.ms.ro/2020/08/09/buletin-informativ-09-08-2020" xr:uid="{00000000-0004-0000-0000-0000F9090000}"/>
    <hyperlink ref="K1270" r:id="rId2555" display="https://stirioficiale.ro/informatii/buletin-de-presa-9-august-2020-ora-13-00" xr:uid="{00000000-0004-0000-0000-0000FA090000}"/>
    <hyperlink ref="T1270" r:id="rId2556" display="http://www.ms.ro/2020/08/09/buletin-informativ-09-08-2020" xr:uid="{00000000-0004-0000-0000-0000FB090000}"/>
    <hyperlink ref="K1271" r:id="rId2557" display="https://stirioficiale.ro/informatii/buletin-de-presa-9-august-2020-ora-13-00" xr:uid="{00000000-0004-0000-0000-0000FC090000}"/>
    <hyperlink ref="T1271" r:id="rId2558" display="http://www.ms.ro/2020/08/09/buletin-informativ-09-08-2020" xr:uid="{00000000-0004-0000-0000-0000FD090000}"/>
    <hyperlink ref="K1272" r:id="rId2559" display="https://stirioficiale.ro/informatii/buletin-de-presa-9-august-2020-ora-13-00" xr:uid="{00000000-0004-0000-0000-0000FE090000}"/>
    <hyperlink ref="T1272" r:id="rId2560" display="http://www.ms.ro/2020/08/09/buletin-informativ-09-08-2020" xr:uid="{00000000-0004-0000-0000-0000FF090000}"/>
    <hyperlink ref="K1273" r:id="rId2561" display="https://stirioficiale.ro/informatii/buletin-de-presa-9-august-2020-ora-13-00" xr:uid="{00000000-0004-0000-0000-0000000A0000}"/>
    <hyperlink ref="T1273" r:id="rId2562" display="http://www.ms.ro/2020/08/09/buletin-informativ-09-08-2020" xr:uid="{00000000-0004-0000-0000-0000010A0000}"/>
    <hyperlink ref="K1274" r:id="rId2563" display="https://stirioficiale.ro/informatii/buletin-de-presa-9-august-2020-ora-13-00" xr:uid="{00000000-0004-0000-0000-0000020A0000}"/>
    <hyperlink ref="T1274" r:id="rId2564" display="http://www.ms.ro/2020/08/09/buletin-informativ-09-08-2020" xr:uid="{00000000-0004-0000-0000-0000030A0000}"/>
    <hyperlink ref="K1275" r:id="rId2565" display="https://stirioficiale.ro/informatii/buletin-de-presa-9-august-2020-ora-13-00" xr:uid="{00000000-0004-0000-0000-0000040A0000}"/>
    <hyperlink ref="T1275" r:id="rId2566" display="http://www.ms.ro/2020/08/09/buletin-informativ-09-08-2020" xr:uid="{00000000-0004-0000-0000-0000050A0000}"/>
    <hyperlink ref="K1276" r:id="rId2567" display="https://stirioficiale.ro/informatii/buletin-de-presa-9-august-2020-ora-13-00" xr:uid="{00000000-0004-0000-0000-0000060A0000}"/>
    <hyperlink ref="T1276" r:id="rId2568" display="http://www.ms.ro/2020/08/09/buletin-informativ-09-08-2020" xr:uid="{00000000-0004-0000-0000-0000070A0000}"/>
    <hyperlink ref="K1277" r:id="rId2569" display="https://stirioficiale.ro/informatii/buletin-de-presa-9-august-2020-ora-13-00" xr:uid="{00000000-0004-0000-0000-0000080A0000}"/>
    <hyperlink ref="T1277" r:id="rId2570" display="http://www.ms.ro/2020/08/09/buletin-informativ-09-08-2020" xr:uid="{00000000-0004-0000-0000-0000090A0000}"/>
    <hyperlink ref="K1278" r:id="rId2571" display="https://stirioficiale.ro/informatii/buletin-de-presa-9-august-2020-ora-13-00" xr:uid="{00000000-0004-0000-0000-00000A0A0000}"/>
    <hyperlink ref="T1278" r:id="rId2572" display="http://www.ms.ro/2020/08/09/buletin-informativ-09-08-2020" xr:uid="{00000000-0004-0000-0000-00000B0A0000}"/>
    <hyperlink ref="K1279" r:id="rId2573" display="https://stirioficiale.ro/informatii/buletin-de-presa-9-august-2020-ora-13-00" xr:uid="{00000000-0004-0000-0000-00000C0A0000}"/>
    <hyperlink ref="T1279" r:id="rId2574" display="http://www.ms.ro/2020/08/09/buletin-informativ-09-08-2020" xr:uid="{00000000-0004-0000-0000-00000D0A0000}"/>
    <hyperlink ref="K1280" r:id="rId2575" display="https://stirioficiale.ro/informatii/buletin-de-presa-9-august-2020-ora-13-00" xr:uid="{00000000-0004-0000-0000-00000E0A0000}"/>
    <hyperlink ref="T1280" r:id="rId2576" display="http://www.ms.ro/2020/08/09/buletin-informativ-09-08-2020" xr:uid="{00000000-0004-0000-0000-00000F0A0000}"/>
    <hyperlink ref="K1281" r:id="rId2577" display="https://stirioficiale.ro/informatii/buletin-de-presa-9-august-2020-ora-13-00" xr:uid="{00000000-0004-0000-0000-0000100A0000}"/>
    <hyperlink ref="T1281" r:id="rId2578" display="http://www.ms.ro/2020/08/09/buletin-informativ-09-08-2020" xr:uid="{00000000-0004-0000-0000-0000110A0000}"/>
    <hyperlink ref="K1282" r:id="rId2579" display="https://stirioficiale.ro/informatii/buletin-de-presa-9-august-2020-ora-13-00" xr:uid="{00000000-0004-0000-0000-0000120A0000}"/>
    <hyperlink ref="T1282" r:id="rId2580" display="http://www.ms.ro/2020/08/09/buletin-informativ-09-08-2020" xr:uid="{00000000-0004-0000-0000-0000130A0000}"/>
    <hyperlink ref="K1283" r:id="rId2581" display="https://stirioficiale.ro/informatii/buletin-de-presa-9-august-2020-ora-13-00" xr:uid="{00000000-0004-0000-0000-0000140A0000}"/>
    <hyperlink ref="T1283" r:id="rId2582" display="http://www.ms.ro/2020/08/09/buletin-informativ-09-08-2020" xr:uid="{00000000-0004-0000-0000-0000150A0000}"/>
    <hyperlink ref="K1284" r:id="rId2583" display="https://stirioficiale.ro/informatii/buletin-de-presa-9-august-2020-ora-13-00" xr:uid="{00000000-0004-0000-0000-0000160A0000}"/>
    <hyperlink ref="T1284" r:id="rId2584" display="http://www.ms.ro/2020/08/09/buletin-informativ-09-08-2020" xr:uid="{00000000-0004-0000-0000-0000170A0000}"/>
    <hyperlink ref="K1285" r:id="rId2585" display="https://stirioficiale.ro/informatii/buletin-de-presa-9-august-2020-ora-13-00" xr:uid="{00000000-0004-0000-0000-0000180A0000}"/>
    <hyperlink ref="T1285" r:id="rId2586" display="http://www.ms.ro/2020/08/09/buletin-informativ-09-08-2020" xr:uid="{00000000-0004-0000-0000-0000190A0000}"/>
    <hyperlink ref="K1286" r:id="rId2587" display="https://stirioficiale.ro/informatii/buletin-de-presa-9-august-2020-ora-13-00" xr:uid="{00000000-0004-0000-0000-00001A0A0000}"/>
    <hyperlink ref="T1286" r:id="rId2588" display="http://www.ms.ro/2020/08/09/buletin-informativ-09-08-2020" xr:uid="{00000000-0004-0000-0000-00001B0A0000}"/>
    <hyperlink ref="K1287" r:id="rId2589" display="https://stirioficiale.ro/informatii/buletin-de-presa-9-august-2020-ora-13-00" xr:uid="{00000000-0004-0000-0000-00001C0A0000}"/>
    <hyperlink ref="T1287" r:id="rId2590" display="http://www.ms.ro/2020/08/09/buletin-informativ-09-08-2020" xr:uid="{00000000-0004-0000-0000-00001D0A0000}"/>
    <hyperlink ref="K1288" r:id="rId2591" display="https://stirioficiale.ro/informatii/buletin-de-presa-9-august-2020-ora-13-00" xr:uid="{00000000-0004-0000-0000-00001E0A0000}"/>
    <hyperlink ref="T1288" r:id="rId2592" display="http://www.ms.ro/2020/08/09/buletin-informativ-09-08-2020" xr:uid="{00000000-0004-0000-0000-00001F0A0000}"/>
    <hyperlink ref="K1289" r:id="rId2593" display="https://stirioficiale.ro/informatii/buletin-de-presa-9-august-2020-ora-13-00" xr:uid="{00000000-0004-0000-0000-0000200A0000}"/>
    <hyperlink ref="T1289" r:id="rId2594" display="http://www.ms.ro/2020/08/09/buletin-informativ-09-08-2020" xr:uid="{00000000-0004-0000-0000-0000210A0000}"/>
    <hyperlink ref="K1290" r:id="rId2595" display="https://stirioficiale.ro/informatii/buletin-de-presa-9-august-2020-ora-13-00" xr:uid="{00000000-0004-0000-0000-0000220A0000}"/>
    <hyperlink ref="T1290" r:id="rId2596" display="http://www.ms.ro/2020/08/09/buletin-informativ-09-08-2020" xr:uid="{00000000-0004-0000-0000-0000230A0000}"/>
    <hyperlink ref="K1291" r:id="rId2597" display="https://stirioficiale.ro/informatii/buletin-de-presa-9-august-2020-ora-13-00" xr:uid="{00000000-0004-0000-0000-0000240A0000}"/>
    <hyperlink ref="T1291" r:id="rId2598" display="http://www.ms.ro/2020/08/09/buletin-informativ-09-08-2020" xr:uid="{00000000-0004-0000-0000-0000250A0000}"/>
    <hyperlink ref="K1292" r:id="rId2599" display="https://www.ebihoreanul.ro/stiri/nc-un-deces-i-37-de-noi-mbolnviri-de-covid-19-n-bihor-o-parte-a-spitalului-din-beiu-va-trata-bolnavi-cu-covid-din-cauza-cazurilor-multe-din-zon-158138.html" xr:uid="{00000000-0004-0000-0000-0000260A0000}"/>
    <hyperlink ref="T1292" r:id="rId2600" display="http://www.ms.ro/2020/08/10/buletin-informativ-10-08-2020" xr:uid="{00000000-0004-0000-0000-0000270A0000}"/>
    <hyperlink ref="K1293" r:id="rId2601" display="https://www.ebihoreanul.ro/stiri/nc-un-deces-i-37-de-noi-mbolnviri-de-covid-19-n-bihor-o-parte-a-spitalului-din-beiu-va-trata-bolnavi-cu-covid-din-cauza-cazurilor-multe-din-zon-158138.html" xr:uid="{00000000-0004-0000-0000-0000280A0000}"/>
    <hyperlink ref="T1293" r:id="rId2602" display="http://www.ms.ro/2020/08/10/buletin-informativ-10-08-2020" xr:uid="{00000000-0004-0000-0000-0000290A0000}"/>
    <hyperlink ref="K1294" r:id="rId2603" display="https://www.ebihoreanul.ro/stiri/nc-un-deces-i-37-de-noi-mbolnviri-de-covid-19-n-bihor-o-parte-a-spitalului-din-beiu-va-trata-bolnavi-cu-covid-din-cauza-cazurilor-multe-din-zon-158138.html" xr:uid="{00000000-0004-0000-0000-00002A0A0000}"/>
    <hyperlink ref="T1294" r:id="rId2604" display="http://www.ms.ro/2020/08/10/buletin-informativ-10-08-2020" xr:uid="{00000000-0004-0000-0000-00002B0A0000}"/>
    <hyperlink ref="K1295" r:id="rId2605" display="https://www.ebihoreanul.ro/stiri/nc-un-deces-i-37-de-noi-mbolnviri-de-covid-19-n-bihor-o-parte-a-spitalului-din-beiu-va-trata-bolnavi-cu-covid-din-cauza-cazurilor-multe-din-zon-158138.html" xr:uid="{00000000-0004-0000-0000-00002C0A0000}"/>
    <hyperlink ref="T1295" r:id="rId2606" display="http://www.ms.ro/2020/08/10/buletin-informativ-10-08-2020" xr:uid="{00000000-0004-0000-0000-00002D0A0000}"/>
    <hyperlink ref="K1296" r:id="rId2607" display="https://www.ebihoreanul.ro/stiri/nc-un-deces-i-37-de-noi-mbolnviri-de-covid-19-n-bihor-o-parte-a-spitalului-din-beiu-va-trata-bolnavi-cu-covid-din-cauza-cazurilor-multe-din-zon-158138.html" xr:uid="{00000000-0004-0000-0000-00002E0A0000}"/>
    <hyperlink ref="T1296" r:id="rId2608" display="http://www.ms.ro/2020/08/10/buletin-informativ-10-08-2020" xr:uid="{00000000-0004-0000-0000-00002F0A0000}"/>
    <hyperlink ref="K1297" r:id="rId2609" display="https://www.ebihoreanul.ro/stiri/nc-un-deces-i-37-de-noi-mbolnviri-de-covid-19-n-bihor-o-parte-a-spitalului-din-beiu-va-trata-bolnavi-cu-covid-din-cauza-cazurilor-multe-din-zon-158138.html" xr:uid="{00000000-0004-0000-0000-0000300A0000}"/>
    <hyperlink ref="T1297" r:id="rId2610" display="http://www.ms.ro/2020/08/10/buletin-informativ-10-08-2020" xr:uid="{00000000-0004-0000-0000-0000310A0000}"/>
    <hyperlink ref="K1298" r:id="rId2611" display="https://www.ebihoreanul.ro/stiri/nc-un-deces-i-37-de-noi-mbolnviri-de-covid-19-n-bihor-o-parte-a-spitalului-din-beiu-va-trata-bolnavi-cu-covid-din-cauza-cazurilor-multe-din-zon-158138.html" xr:uid="{00000000-0004-0000-0000-0000320A0000}"/>
    <hyperlink ref="T1298" r:id="rId2612" display="http://www.ms.ro/2020/08/10/buletin-informativ-10-08-2020" xr:uid="{00000000-0004-0000-0000-0000330A0000}"/>
    <hyperlink ref="K1299" r:id="rId2613" display="https://www.ebihoreanul.ro/stiri/nc-un-deces-i-37-de-noi-mbolnviri-de-covid-19-n-bihor-o-parte-a-spitalului-din-beiu-va-trata-bolnavi-cu-covid-din-cauza-cazurilor-multe-din-zon-158138.html" xr:uid="{00000000-0004-0000-0000-0000340A0000}"/>
    <hyperlink ref="T1299" r:id="rId2614" display="http://www.ms.ro/2020/08/10/buletin-informativ-10-08-2020" xr:uid="{00000000-0004-0000-0000-0000350A0000}"/>
    <hyperlink ref="K1300" r:id="rId2615" display="https://www.ebihoreanul.ro/stiri/nc-un-deces-i-37-de-noi-mbolnviri-de-covid-19-n-bihor-o-parte-a-spitalului-din-beiu-va-trata-bolnavi-cu-covid-din-cauza-cazurilor-multe-din-zon-158138.html" xr:uid="{00000000-0004-0000-0000-0000360A0000}"/>
    <hyperlink ref="T1300" r:id="rId2616" display="http://www.ms.ro/2020/08/10/buletin-informativ-10-08-2020" xr:uid="{00000000-0004-0000-0000-0000370A0000}"/>
    <hyperlink ref="K1301" r:id="rId2617" display="https://www.ebihoreanul.ro/stiri/nc-un-deces-i-37-de-noi-mbolnviri-de-covid-19-n-bihor-o-parte-a-spitalului-din-beiu-va-trata-bolnavi-cu-covid-din-cauza-cazurilor-multe-din-zon-158138.html" xr:uid="{00000000-0004-0000-0000-0000380A0000}"/>
    <hyperlink ref="T1301" r:id="rId2618" display="http://www.ms.ro/2020/08/10/buletin-informativ-10-08-2020" xr:uid="{00000000-0004-0000-0000-0000390A0000}"/>
    <hyperlink ref="K1302" r:id="rId2619" display="https://www.ebihoreanul.ro/stiri/nc-un-deces-i-37-de-noi-mbolnviri-de-covid-19-n-bihor-o-parte-a-spitalului-din-beiu-va-trata-bolnavi-cu-covid-din-cauza-cazurilor-multe-din-zon-158138.html" xr:uid="{00000000-0004-0000-0000-00003A0A0000}"/>
    <hyperlink ref="T1302" r:id="rId2620" display="http://www.ms.ro/2020/08/10/buletin-informativ-10-08-2020" xr:uid="{00000000-0004-0000-0000-00003B0A0000}"/>
    <hyperlink ref="K1303" r:id="rId2621" display="https://www.ebihoreanul.ro/stiri/nc-un-deces-i-37-de-noi-mbolnviri-de-covid-19-n-bihor-o-parte-a-spitalului-din-beiu-va-trata-bolnavi-cu-covid-din-cauza-cazurilor-multe-din-zon-158138.html" xr:uid="{00000000-0004-0000-0000-00003C0A0000}"/>
    <hyperlink ref="T1303" r:id="rId2622" display="http://www.ms.ro/2020/08/10/buletin-informativ-10-08-2020" xr:uid="{00000000-0004-0000-0000-00003D0A0000}"/>
    <hyperlink ref="K1304" r:id="rId2623" display="https://www.ebihoreanul.ro/stiri/nc-un-deces-i-37-de-noi-mbolnviri-de-covid-19-n-bihor-o-parte-a-spitalului-din-beiu-va-trata-bolnavi-cu-covid-din-cauza-cazurilor-multe-din-zon-158138.html" xr:uid="{00000000-0004-0000-0000-00003E0A0000}"/>
    <hyperlink ref="T1304" r:id="rId2624" display="http://www.ms.ro/2020/08/10/buletin-informativ-10-08-2020" xr:uid="{00000000-0004-0000-0000-00003F0A0000}"/>
    <hyperlink ref="K1305" r:id="rId2625" display="https://www.ebihoreanul.ro/stiri/nc-un-deces-i-37-de-noi-mbolnviri-de-covid-19-n-bihor-o-parte-a-spitalului-din-beiu-va-trata-bolnavi-cu-covid-din-cauza-cazurilor-multe-din-zon-158138.html" xr:uid="{00000000-0004-0000-0000-0000400A0000}"/>
    <hyperlink ref="T1305" r:id="rId2626" display="http://www.ms.ro/2020/08/10/buletin-informativ-10-08-2020" xr:uid="{00000000-0004-0000-0000-0000410A0000}"/>
    <hyperlink ref="K1306" r:id="rId2627" display="https://www.ebihoreanul.ro/stiri/nc-un-deces-i-37-de-noi-mbolnviri-de-covid-19-n-bihor-o-parte-a-spitalului-din-beiu-va-trata-bolnavi-cu-covid-din-cauza-cazurilor-multe-din-zon-158138.html" xr:uid="{00000000-0004-0000-0000-0000420A0000}"/>
    <hyperlink ref="T1306" r:id="rId2628" display="http://www.ms.ro/2020/08/10/buletin-informativ-10-08-2020" xr:uid="{00000000-0004-0000-0000-0000430A0000}"/>
    <hyperlink ref="K1307" r:id="rId2629" display="https://www.ebihoreanul.ro/stiri/nc-un-deces-i-37-de-noi-mbolnviri-de-covid-19-n-bihor-o-parte-a-spitalului-din-beiu-va-trata-bolnavi-cu-covid-din-cauza-cazurilor-multe-din-zon-158138.html" xr:uid="{00000000-0004-0000-0000-0000440A0000}"/>
    <hyperlink ref="T1307" r:id="rId2630" display="http://www.ms.ro/2020/08/10/buletin-informativ-10-08-2020" xr:uid="{00000000-0004-0000-0000-0000450A0000}"/>
    <hyperlink ref="K1308" r:id="rId2631" display="https://www.ebihoreanul.ro/stiri/nc-un-deces-i-37-de-noi-mbolnviri-de-covid-19-n-bihor-o-parte-a-spitalului-din-beiu-va-trata-bolnavi-cu-covid-din-cauza-cazurilor-multe-din-zon-158138.html" xr:uid="{00000000-0004-0000-0000-0000460A0000}"/>
    <hyperlink ref="T1308" r:id="rId2632" display="http://www.ms.ro/2020/08/10/buletin-informativ-10-08-2020" xr:uid="{00000000-0004-0000-0000-0000470A0000}"/>
    <hyperlink ref="K1309" r:id="rId2633" display="https://www.ebihoreanul.ro/stiri/nc-un-deces-i-37-de-noi-mbolnviri-de-covid-19-n-bihor-o-parte-a-spitalului-din-beiu-va-trata-bolnavi-cu-covid-din-cauza-cazurilor-multe-din-zon-158138.html" xr:uid="{00000000-0004-0000-0000-0000480A0000}"/>
    <hyperlink ref="T1309" r:id="rId2634" display="http://www.ms.ro/2020/08/10/buletin-informativ-10-08-2020" xr:uid="{00000000-0004-0000-0000-0000490A0000}"/>
    <hyperlink ref="K1310" r:id="rId2635" display="https://www.ebihoreanul.ro/stiri/nc-un-deces-i-37-de-noi-mbolnviri-de-covid-19-n-bihor-o-parte-a-spitalului-din-beiu-va-trata-bolnavi-cu-covid-din-cauza-cazurilor-multe-din-zon-158138.html" xr:uid="{00000000-0004-0000-0000-00004A0A0000}"/>
    <hyperlink ref="T1310" r:id="rId2636" display="http://www.ms.ro/2020/08/10/buletin-informativ-10-08-2020" xr:uid="{00000000-0004-0000-0000-00004B0A0000}"/>
    <hyperlink ref="K1311" r:id="rId2637" display="https://www.ebihoreanul.ro/stiri/nc-un-deces-i-37-de-noi-mbolnviri-de-covid-19-n-bihor-o-parte-a-spitalului-din-beiu-va-trata-bolnavi-cu-covid-din-cauza-cazurilor-multe-din-zon-158138.html" xr:uid="{00000000-0004-0000-0000-00004C0A0000}"/>
    <hyperlink ref="T1311" r:id="rId2638" display="http://www.ms.ro/2020/08/10/buletin-informativ-10-08-2020" xr:uid="{00000000-0004-0000-0000-00004D0A0000}"/>
    <hyperlink ref="K1312" r:id="rId2639" display="https://www.ebihoreanul.ro/stiri/nc-un-deces-i-37-de-noi-mbolnviri-de-covid-19-n-bihor-o-parte-a-spitalului-din-beiu-va-trata-bolnavi-cu-covid-din-cauza-cazurilor-multe-din-zon-158138.html" xr:uid="{00000000-0004-0000-0000-00004E0A0000}"/>
    <hyperlink ref="T1312" r:id="rId2640" display="http://www.ms.ro/2020/08/10/buletin-informativ-10-08-2020" xr:uid="{00000000-0004-0000-0000-00004F0A0000}"/>
    <hyperlink ref="K1313" r:id="rId2641" display="https://www.ebihoreanul.ro/stiri/nc-un-deces-i-37-de-noi-mbolnviri-de-covid-19-n-bihor-o-parte-a-spitalului-din-beiu-va-trata-bolnavi-cu-covid-din-cauza-cazurilor-multe-din-zon-158138.html" xr:uid="{00000000-0004-0000-0000-0000500A0000}"/>
    <hyperlink ref="T1313" r:id="rId2642" display="http://www.ms.ro/2020/08/10/buletin-informativ-10-08-2020" xr:uid="{00000000-0004-0000-0000-0000510A0000}"/>
    <hyperlink ref="K1314" r:id="rId2643" display="https://www.ebihoreanul.ro/stiri/nc-un-deces-i-37-de-noi-mbolnviri-de-covid-19-n-bihor-o-parte-a-spitalului-din-beiu-va-trata-bolnavi-cu-covid-din-cauza-cazurilor-multe-din-zon-158138.html" xr:uid="{00000000-0004-0000-0000-0000520A0000}"/>
    <hyperlink ref="T1314" r:id="rId2644" display="http://www.ms.ro/2020/08/10/buletin-informativ-10-08-2020" xr:uid="{00000000-0004-0000-0000-0000530A0000}"/>
    <hyperlink ref="K1315" r:id="rId2645" display="https://www.ebihoreanul.ro/stiri/nc-un-deces-i-37-de-noi-mbolnviri-de-covid-19-n-bihor-o-parte-a-spitalului-din-beiu-va-trata-bolnavi-cu-covid-din-cauza-cazurilor-multe-din-zon-158138.html" xr:uid="{00000000-0004-0000-0000-0000540A0000}"/>
    <hyperlink ref="T1315" r:id="rId2646" display="http://www.ms.ro/2020/08/10/buletin-informativ-10-08-2020" xr:uid="{00000000-0004-0000-0000-0000550A0000}"/>
    <hyperlink ref="K1316" r:id="rId2647" display="https://www.ebihoreanul.ro/stiri/nc-un-deces-i-37-de-noi-mbolnviri-de-covid-19-n-bihor-o-parte-a-spitalului-din-beiu-va-trata-bolnavi-cu-covid-din-cauza-cazurilor-multe-din-zon-158138.html" xr:uid="{00000000-0004-0000-0000-0000560A0000}"/>
    <hyperlink ref="T1316" r:id="rId2648" display="http://www.ms.ro/2020/08/10/buletin-informativ-10-08-2020" xr:uid="{00000000-0004-0000-0000-0000570A0000}"/>
    <hyperlink ref="K1317" r:id="rId2649" display="https://www.ebihoreanul.ro/stiri/nc-un-deces-i-37-de-noi-mbolnviri-de-covid-19-n-bihor-o-parte-a-spitalului-din-beiu-va-trata-bolnavi-cu-covid-din-cauza-cazurilor-multe-din-zon-158138.html" xr:uid="{00000000-0004-0000-0000-0000580A0000}"/>
    <hyperlink ref="T1317" r:id="rId2650" display="http://www.ms.ro/2020/08/10/buletin-informativ-10-08-2020" xr:uid="{00000000-0004-0000-0000-0000590A0000}"/>
    <hyperlink ref="K1318" r:id="rId2651" display="https://www.ebihoreanul.ro/stiri/nc-un-deces-i-37-de-noi-mbolnviri-de-covid-19-n-bihor-o-parte-a-spitalului-din-beiu-va-trata-bolnavi-cu-covid-din-cauza-cazurilor-multe-din-zon-158138.html" xr:uid="{00000000-0004-0000-0000-00005A0A0000}"/>
    <hyperlink ref="T1318" r:id="rId2652" display="http://www.ms.ro/2020/08/10/buletin-informativ-10-08-2020" xr:uid="{00000000-0004-0000-0000-00005B0A0000}"/>
    <hyperlink ref="K1319" r:id="rId2653" display="https://www.ebihoreanul.ro/stiri/nc-un-deces-i-37-de-noi-mbolnviri-de-covid-19-n-bihor-o-parte-a-spitalului-din-beiu-va-trata-bolnavi-cu-covid-din-cauza-cazurilor-multe-din-zon-158138.html" xr:uid="{00000000-0004-0000-0000-00005C0A0000}"/>
    <hyperlink ref="T1319" r:id="rId2654" display="http://www.ms.ro/2020/08/10/buletin-informativ-10-08-2020" xr:uid="{00000000-0004-0000-0000-00005D0A0000}"/>
    <hyperlink ref="K1320" r:id="rId2655" display="https://www.ebihoreanul.ro/stiri/nc-un-deces-i-37-de-noi-mbolnviri-de-covid-19-n-bihor-o-parte-a-spitalului-din-beiu-va-trata-bolnavi-cu-covid-din-cauza-cazurilor-multe-din-zon-158138.html" xr:uid="{00000000-0004-0000-0000-00005E0A0000}"/>
    <hyperlink ref="T1320" r:id="rId2656" display="http://www.ms.ro/2020/08/10/buletin-informativ-10-08-2020" xr:uid="{00000000-0004-0000-0000-00005F0A0000}"/>
    <hyperlink ref="K1321" r:id="rId2657" display="https://www.ebihoreanul.ro/stiri/nc-un-deces-i-37-de-noi-mbolnviri-de-covid-19-n-bihor-o-parte-a-spitalului-din-beiu-va-trata-bolnavi-cu-covid-din-cauza-cazurilor-multe-din-zon-158138.html" xr:uid="{00000000-0004-0000-0000-0000600A0000}"/>
    <hyperlink ref="T1321" r:id="rId2658" display="http://www.ms.ro/2020/08/10/buletin-informativ-10-08-2020" xr:uid="{00000000-0004-0000-0000-0000610A0000}"/>
    <hyperlink ref="K1322" r:id="rId2659" display="https://www.ebihoreanul.ro/stiri/nc-un-deces-i-37-de-noi-mbolnviri-de-covid-19-n-bihor-o-parte-a-spitalului-din-beiu-va-trata-bolnavi-cu-covid-din-cauza-cazurilor-multe-din-zon-158138.html" xr:uid="{00000000-0004-0000-0000-0000620A0000}"/>
    <hyperlink ref="T1322" r:id="rId2660" display="http://www.ms.ro/2020/08/10/buletin-informativ-10-08-2020" xr:uid="{00000000-0004-0000-0000-0000630A0000}"/>
    <hyperlink ref="K1323" r:id="rId2661" display="https://www.ebihoreanul.ro/stiri/nc-un-deces-i-37-de-noi-mbolnviri-de-covid-19-n-bihor-o-parte-a-spitalului-din-beiu-va-trata-bolnavi-cu-covid-din-cauza-cazurilor-multe-din-zon-158138.html" xr:uid="{00000000-0004-0000-0000-0000640A0000}"/>
    <hyperlink ref="T1323" r:id="rId2662" display="http://www.ms.ro/2020/08/10/buletin-informativ-10-08-2020" xr:uid="{00000000-0004-0000-0000-0000650A0000}"/>
    <hyperlink ref="K1324" r:id="rId2663" display="https://www.ebihoreanul.ro/stiri/nc-un-deces-i-37-de-noi-mbolnviri-de-covid-19-n-bihor-o-parte-a-spitalului-din-beiu-va-trata-bolnavi-cu-covid-din-cauza-cazurilor-multe-din-zon-158138.html" xr:uid="{00000000-0004-0000-0000-0000660A0000}"/>
    <hyperlink ref="T1324" r:id="rId2664" display="http://www.ms.ro/2020/08/10/buletin-informativ-10-08-2020" xr:uid="{00000000-0004-0000-0000-0000670A0000}"/>
    <hyperlink ref="K1325" r:id="rId2665" display="https://www.ebihoreanul.ro/stiri/nc-un-deces-i-37-de-noi-mbolnviri-de-covid-19-n-bihor-o-parte-a-spitalului-din-beiu-va-trata-bolnavi-cu-covid-din-cauza-cazurilor-multe-din-zon-158138.html" xr:uid="{00000000-0004-0000-0000-0000680A0000}"/>
    <hyperlink ref="T1325" r:id="rId2666" display="http://www.ms.ro/2020/08/10/buletin-informativ-10-08-2020" xr:uid="{00000000-0004-0000-0000-0000690A0000}"/>
    <hyperlink ref="K1326" r:id="rId2667" display="https://www.ebihoreanul.ro/stiri/nc-un-deces-i-37-de-noi-mbolnviri-de-covid-19-n-bihor-o-parte-a-spitalului-din-beiu-va-trata-bolnavi-cu-covid-din-cauza-cazurilor-multe-din-zon-158138.html" xr:uid="{00000000-0004-0000-0000-00006A0A0000}"/>
    <hyperlink ref="T1326" r:id="rId2668" display="http://www.ms.ro/2020/08/10/buletin-informativ-10-08-2020" xr:uid="{00000000-0004-0000-0000-00006B0A0000}"/>
    <hyperlink ref="K1327" r:id="rId2669" display="https://www.ebihoreanul.ro/stiri/nc-un-deces-i-37-de-noi-mbolnviri-de-covid-19-n-bihor-o-parte-a-spitalului-din-beiu-va-trata-bolnavi-cu-covid-din-cauza-cazurilor-multe-din-zon-158138.html" xr:uid="{00000000-0004-0000-0000-00006C0A0000}"/>
    <hyperlink ref="T1327" r:id="rId2670" display="http://www.ms.ro/2020/08/10/buletin-informativ-10-08-2020" xr:uid="{00000000-0004-0000-0000-00006D0A0000}"/>
    <hyperlink ref="K1328" r:id="rId2671" display="https://www.ebihoreanul.ro/stiri/nc-un-deces-i-37-de-noi-mbolnviri-de-covid-19-n-bihor-o-parte-a-spitalului-din-beiu-va-trata-bolnavi-cu-covid-din-cauza-cazurilor-multe-din-zon-158138.html" xr:uid="{00000000-0004-0000-0000-00006E0A0000}"/>
    <hyperlink ref="T1328" r:id="rId2672" display="http://www.ms.ro/2020/08/10/buletin-informativ-10-08-2020" xr:uid="{00000000-0004-0000-0000-00006F0A0000}"/>
    <hyperlink ref="K1329" r:id="rId2673" display="https://www.ebihoreanul.ro/stiri/pandemia-in-bihor-inca-un-deces-si-peste-50-de-cazuri-noi-de-covid-19-au-fost-raportate-si-multe-vindecari-158157.html" xr:uid="{00000000-0004-0000-0000-0000700A0000}"/>
    <hyperlink ref="T1329" r:id="rId2674" display="http://www.ms.ro/2020/08/11/buletin-informativ-11-08-2020" xr:uid="{00000000-0004-0000-0000-0000710A0000}"/>
    <hyperlink ref="K1330" r:id="rId2675" display="https://www.ebihoreanul.ro/stiri/pandemia-in-bihor-inca-un-deces-si-peste-50-de-cazuri-noi-de-covid-19-au-fost-raportate-si-multe-vindecari-158157.html" xr:uid="{00000000-0004-0000-0000-0000720A0000}"/>
    <hyperlink ref="T1330" r:id="rId2676" display="http://www.ms.ro/2020/08/11/buletin-informativ-11-08-2020" xr:uid="{00000000-0004-0000-0000-0000730A0000}"/>
    <hyperlink ref="K1331" r:id="rId2677" display="https://www.ebihoreanul.ro/stiri/pandemia-in-bihor-inca-un-deces-si-peste-50-de-cazuri-noi-de-covid-19-au-fost-raportate-si-multe-vindecari-158157.html" xr:uid="{00000000-0004-0000-0000-0000740A0000}"/>
    <hyperlink ref="T1331" r:id="rId2678" display="http://www.ms.ro/2020/08/11/buletin-informativ-11-08-2020" xr:uid="{00000000-0004-0000-0000-0000750A0000}"/>
    <hyperlink ref="K1332" r:id="rId2679" display="https://www.ebihoreanul.ro/stiri/pandemia-in-bihor-inca-un-deces-si-peste-50-de-cazuri-noi-de-covid-19-au-fost-raportate-si-multe-vindecari-158157.html" xr:uid="{00000000-0004-0000-0000-0000760A0000}"/>
    <hyperlink ref="T1332" r:id="rId2680" display="http://www.ms.ro/2020/08/11/buletin-informativ-11-08-2020" xr:uid="{00000000-0004-0000-0000-0000770A0000}"/>
    <hyperlink ref="K1333" r:id="rId2681" display="https://www.ebihoreanul.ro/stiri/pandemia-in-bihor-inca-un-deces-si-peste-50-de-cazuri-noi-de-covid-19-au-fost-raportate-si-multe-vindecari-158157.html" xr:uid="{00000000-0004-0000-0000-0000780A0000}"/>
    <hyperlink ref="T1333" r:id="rId2682" display="http://www.ms.ro/2020/08/11/buletin-informativ-11-08-2020" xr:uid="{00000000-0004-0000-0000-0000790A0000}"/>
    <hyperlink ref="K1334" r:id="rId2683" display="https://www.ebihoreanul.ro/stiri/pandemia-in-bihor-inca-un-deces-si-peste-50-de-cazuri-noi-de-covid-19-au-fost-raportate-si-multe-vindecari-158157.html" xr:uid="{00000000-0004-0000-0000-00007A0A0000}"/>
    <hyperlink ref="T1334" r:id="rId2684" display="http://www.ms.ro/2020/08/11/buletin-informativ-11-08-2020" xr:uid="{00000000-0004-0000-0000-00007B0A0000}"/>
    <hyperlink ref="K1335" r:id="rId2685" display="https://www.ebihoreanul.ro/stiri/pandemia-in-bihor-inca-un-deces-si-peste-50-de-cazuri-noi-de-covid-19-au-fost-raportate-si-multe-vindecari-158157.html" xr:uid="{00000000-0004-0000-0000-00007C0A0000}"/>
    <hyperlink ref="T1335" r:id="rId2686" display="http://www.ms.ro/2020/08/11/buletin-informativ-11-08-2020" xr:uid="{00000000-0004-0000-0000-00007D0A0000}"/>
    <hyperlink ref="K1336" r:id="rId2687" display="https://www.ebihoreanul.ro/stiri/pandemia-in-bihor-inca-un-deces-si-peste-50-de-cazuri-noi-de-covid-19-au-fost-raportate-si-multe-vindecari-158157.html" xr:uid="{00000000-0004-0000-0000-00007E0A0000}"/>
    <hyperlink ref="T1336" r:id="rId2688" display="http://www.ms.ro/2020/08/11/buletin-informativ-11-08-2020" xr:uid="{00000000-0004-0000-0000-00007F0A0000}"/>
    <hyperlink ref="K1337" r:id="rId2689" display="https://www.ebihoreanul.ro/stiri/pandemia-in-bihor-inca-un-deces-si-peste-50-de-cazuri-noi-de-covid-19-au-fost-raportate-si-multe-vindecari-158157.html" xr:uid="{00000000-0004-0000-0000-0000800A0000}"/>
    <hyperlink ref="T1337" r:id="rId2690" display="http://www.ms.ro/2020/08/11/buletin-informativ-11-08-2020" xr:uid="{00000000-0004-0000-0000-0000810A0000}"/>
    <hyperlink ref="K1338" r:id="rId2691" display="https://www.ebihoreanul.ro/stiri/pandemia-in-bihor-inca-un-deces-si-peste-50-de-cazuri-noi-de-covid-19-au-fost-raportate-si-multe-vindecari-158157.html" xr:uid="{00000000-0004-0000-0000-0000820A0000}"/>
    <hyperlink ref="T1338" r:id="rId2692" display="http://www.ms.ro/2020/08/11/buletin-informativ-11-08-2020" xr:uid="{00000000-0004-0000-0000-0000830A0000}"/>
    <hyperlink ref="K1339" r:id="rId2693" display="https://www.ebihoreanul.ro/stiri/pandemia-in-bihor-inca-un-deces-si-peste-50-de-cazuri-noi-de-covid-19-au-fost-raportate-si-multe-vindecari-158157.html" xr:uid="{00000000-0004-0000-0000-0000840A0000}"/>
    <hyperlink ref="T1339" r:id="rId2694" display="http://www.ms.ro/2020/08/11/buletin-informativ-11-08-2020" xr:uid="{00000000-0004-0000-0000-0000850A0000}"/>
    <hyperlink ref="K1340" r:id="rId2695" display="https://www.ebihoreanul.ro/stiri/pandemia-in-bihor-inca-un-deces-si-peste-50-de-cazuri-noi-de-covid-19-au-fost-raportate-si-multe-vindecari-158157.html" xr:uid="{00000000-0004-0000-0000-0000860A0000}"/>
    <hyperlink ref="T1340" r:id="rId2696" display="http://www.ms.ro/2020/08/11/buletin-informativ-11-08-2020" xr:uid="{00000000-0004-0000-0000-0000870A0000}"/>
    <hyperlink ref="K1341" r:id="rId2697" display="https://www.ebihoreanul.ro/stiri/pandemia-in-bihor-inca-un-deces-si-peste-50-de-cazuri-noi-de-covid-19-au-fost-raportate-si-multe-vindecari-158157.html" xr:uid="{00000000-0004-0000-0000-0000880A0000}"/>
    <hyperlink ref="T1341" r:id="rId2698" display="http://www.ms.ro/2020/08/11/buletin-informativ-11-08-2020" xr:uid="{00000000-0004-0000-0000-0000890A0000}"/>
    <hyperlink ref="K1342" r:id="rId2699" display="https://www.ebihoreanul.ro/stiri/pandemia-in-bihor-inca-un-deces-si-peste-50-de-cazuri-noi-de-covid-19-au-fost-raportate-si-multe-vindecari-158157.html" xr:uid="{00000000-0004-0000-0000-00008A0A0000}"/>
    <hyperlink ref="T1342" r:id="rId2700" display="http://www.ms.ro/2020/08/11/buletin-informativ-11-08-2020" xr:uid="{00000000-0004-0000-0000-00008B0A0000}"/>
    <hyperlink ref="K1343" r:id="rId2701" display="https://www.ebihoreanul.ro/stiri/pandemia-in-bihor-inca-un-deces-si-peste-50-de-cazuri-noi-de-covid-19-au-fost-raportate-si-multe-vindecari-158157.html" xr:uid="{00000000-0004-0000-0000-00008C0A0000}"/>
    <hyperlink ref="T1343" r:id="rId2702" display="http://www.ms.ro/2020/08/11/buletin-informativ-11-08-2020" xr:uid="{00000000-0004-0000-0000-00008D0A0000}"/>
    <hyperlink ref="K1344" r:id="rId2703" display="https://www.ebihoreanul.ro/stiri/pandemia-in-bihor-inca-un-deces-si-peste-50-de-cazuri-noi-de-covid-19-au-fost-raportate-si-multe-vindecari-158157.html" xr:uid="{00000000-0004-0000-0000-00008E0A0000}"/>
    <hyperlink ref="T1344" r:id="rId2704" display="http://www.ms.ro/2020/08/11/buletin-informativ-11-08-2020" xr:uid="{00000000-0004-0000-0000-00008F0A0000}"/>
    <hyperlink ref="K1345" r:id="rId2705" display="https://www.ebihoreanul.ro/stiri/pandemia-in-bihor-inca-un-deces-si-peste-50-de-cazuri-noi-de-covid-19-au-fost-raportate-si-multe-vindecari-158157.html" xr:uid="{00000000-0004-0000-0000-0000900A0000}"/>
    <hyperlink ref="T1345" r:id="rId2706" display="http://www.ms.ro/2020/08/11/buletin-informativ-11-08-2020" xr:uid="{00000000-0004-0000-0000-0000910A0000}"/>
    <hyperlink ref="K1346" r:id="rId2707" display="https://www.ebihoreanul.ro/stiri/pandemia-in-bihor-inca-un-deces-si-peste-50-de-cazuri-noi-de-covid-19-au-fost-raportate-si-multe-vindecari-158157.html" xr:uid="{00000000-0004-0000-0000-0000920A0000}"/>
    <hyperlink ref="T1346" r:id="rId2708" display="http://www.ms.ro/2020/08/11/buletin-informativ-11-08-2020" xr:uid="{00000000-0004-0000-0000-0000930A0000}"/>
    <hyperlink ref="K1347" r:id="rId2709" display="https://www.ebihoreanul.ro/stiri/pandemia-in-bihor-inca-un-deces-si-peste-50-de-cazuri-noi-de-covid-19-au-fost-raportate-si-multe-vindecari-158157.html" xr:uid="{00000000-0004-0000-0000-0000940A0000}"/>
    <hyperlink ref="T1347" r:id="rId2710" display="http://www.ms.ro/2020/08/11/buletin-informativ-11-08-2020" xr:uid="{00000000-0004-0000-0000-0000950A0000}"/>
    <hyperlink ref="K1348" r:id="rId2711" display="https://www.ebihoreanul.ro/stiri/pandemia-in-bihor-inca-un-deces-si-peste-50-de-cazuri-noi-de-covid-19-au-fost-raportate-si-multe-vindecari-158157.html" xr:uid="{00000000-0004-0000-0000-0000960A0000}"/>
    <hyperlink ref="T1348" r:id="rId2712" display="http://www.ms.ro/2020/08/11/buletin-informativ-11-08-2020" xr:uid="{00000000-0004-0000-0000-0000970A0000}"/>
    <hyperlink ref="K1349" r:id="rId2713" display="https://www.ebihoreanul.ro/stiri/pandemia-in-bihor-inca-un-deces-si-peste-50-de-cazuri-noi-de-covid-19-au-fost-raportate-si-multe-vindecari-158157.html" xr:uid="{00000000-0004-0000-0000-0000980A0000}"/>
    <hyperlink ref="T1349" r:id="rId2714" display="http://www.ms.ro/2020/08/11/buletin-informativ-11-08-2020" xr:uid="{00000000-0004-0000-0000-0000990A0000}"/>
    <hyperlink ref="K1350" r:id="rId2715" display="https://www.ebihoreanul.ro/stiri/pandemia-in-bihor-inca-un-deces-si-peste-50-de-cazuri-noi-de-covid-19-au-fost-raportate-si-multe-vindecari-158157.html" xr:uid="{00000000-0004-0000-0000-00009A0A0000}"/>
    <hyperlink ref="T1350" r:id="rId2716" display="http://www.ms.ro/2020/08/11/buletin-informativ-11-08-2020" xr:uid="{00000000-0004-0000-0000-00009B0A0000}"/>
    <hyperlink ref="K1351" r:id="rId2717" display="https://www.ebihoreanul.ro/stiri/pandemia-in-bihor-inca-un-deces-si-peste-50-de-cazuri-noi-de-covid-19-au-fost-raportate-si-multe-vindecari-158157.html" xr:uid="{00000000-0004-0000-0000-00009C0A0000}"/>
    <hyperlink ref="T1351" r:id="rId2718" display="http://www.ms.ro/2020/08/11/buletin-informativ-11-08-2020" xr:uid="{00000000-0004-0000-0000-00009D0A0000}"/>
    <hyperlink ref="K1352" r:id="rId2719" display="https://www.ebihoreanul.ro/stiri/pandemia-in-bihor-inca-un-deces-si-peste-50-de-cazuri-noi-de-covid-19-au-fost-raportate-si-multe-vindecari-158157.html" xr:uid="{00000000-0004-0000-0000-00009E0A0000}"/>
    <hyperlink ref="T1352" r:id="rId2720" display="http://www.ms.ro/2020/08/11/buletin-informativ-11-08-2020" xr:uid="{00000000-0004-0000-0000-00009F0A0000}"/>
    <hyperlink ref="K1353" r:id="rId2721" display="https://www.ebihoreanul.ro/stiri/pandemia-in-bihor-inca-un-deces-si-peste-50-de-cazuri-noi-de-covid-19-au-fost-raportate-si-multe-vindecari-158157.html" xr:uid="{00000000-0004-0000-0000-0000A00A0000}"/>
    <hyperlink ref="T1353" r:id="rId2722" display="http://www.ms.ro/2020/08/11/buletin-informativ-11-08-2020" xr:uid="{00000000-0004-0000-0000-0000A10A0000}"/>
    <hyperlink ref="K1354" r:id="rId2723" display="https://www.ebihoreanul.ro/stiri/pandemia-in-bihor-inca-un-deces-si-peste-50-de-cazuri-noi-de-covid-19-au-fost-raportate-si-multe-vindecari-158157.html" xr:uid="{00000000-0004-0000-0000-0000A20A0000}"/>
    <hyperlink ref="T1354" r:id="rId2724" display="http://www.ms.ro/2020/08/11/buletin-informativ-11-08-2020" xr:uid="{00000000-0004-0000-0000-0000A30A0000}"/>
    <hyperlink ref="K1355" r:id="rId2725" display="https://www.ebihoreanul.ro/stiri/pandemia-in-bihor-inca-un-deces-si-peste-50-de-cazuri-noi-de-covid-19-au-fost-raportate-si-multe-vindecari-158157.html" xr:uid="{00000000-0004-0000-0000-0000A40A0000}"/>
    <hyperlink ref="T1355" r:id="rId2726" display="http://www.ms.ro/2020/08/11/buletin-informativ-11-08-2020" xr:uid="{00000000-0004-0000-0000-0000A50A0000}"/>
    <hyperlink ref="K1356" r:id="rId2727" display="https://www.ebihoreanul.ro/stiri/pandemia-in-bihor-inca-un-deces-si-peste-50-de-cazuri-noi-de-covid-19-au-fost-raportate-si-multe-vindecari-158157.html" xr:uid="{00000000-0004-0000-0000-0000A60A0000}"/>
    <hyperlink ref="T1356" r:id="rId2728" display="http://www.ms.ro/2020/08/11/buletin-informativ-11-08-2020" xr:uid="{00000000-0004-0000-0000-0000A70A0000}"/>
    <hyperlink ref="K1357" r:id="rId2729" display="https://www.ebihoreanul.ro/stiri/pandemia-in-bihor-inca-un-deces-si-peste-50-de-cazuri-noi-de-covid-19-au-fost-raportate-si-multe-vindecari-158157.html" xr:uid="{00000000-0004-0000-0000-0000A80A0000}"/>
    <hyperlink ref="T1357" r:id="rId2730" display="http://www.ms.ro/2020/08/11/buletin-informativ-11-08-2020" xr:uid="{00000000-0004-0000-0000-0000A90A0000}"/>
    <hyperlink ref="K1358" r:id="rId2731" display="https://www.ebihoreanul.ro/stiri/pandemia-in-bihor-inca-un-deces-si-peste-50-de-cazuri-noi-de-covid-19-au-fost-raportate-si-multe-vindecari-158157.html" xr:uid="{00000000-0004-0000-0000-0000AA0A0000}"/>
    <hyperlink ref="T1358" r:id="rId2732" display="http://www.ms.ro/2020/08/11/buletin-informativ-11-08-2020" xr:uid="{00000000-0004-0000-0000-0000AB0A0000}"/>
    <hyperlink ref="K1359" r:id="rId2733" display="https://www.ebihoreanul.ro/stiri/pandemia-in-bihor-inca-un-deces-si-peste-50-de-cazuri-noi-de-covid-19-au-fost-raportate-si-multe-vindecari-158157.html" xr:uid="{00000000-0004-0000-0000-0000AC0A0000}"/>
    <hyperlink ref="T1359" r:id="rId2734" display="http://www.ms.ro/2020/08/11/buletin-informativ-11-08-2020" xr:uid="{00000000-0004-0000-0000-0000AD0A0000}"/>
    <hyperlink ref="K1360" r:id="rId2735" display="https://www.ebihoreanul.ro/stiri/pandemia-in-bihor-inca-un-deces-si-peste-50-de-cazuri-noi-de-covid-19-au-fost-raportate-si-multe-vindecari-158157.html" xr:uid="{00000000-0004-0000-0000-0000AE0A0000}"/>
    <hyperlink ref="T1360" r:id="rId2736" display="http://www.ms.ro/2020/08/11/buletin-informativ-11-08-2020" xr:uid="{00000000-0004-0000-0000-0000AF0A0000}"/>
    <hyperlink ref="K1361" r:id="rId2737" display="https://www.ebihoreanul.ro/stiri/pandemia-in-bihor-inca-un-deces-si-peste-50-de-cazuri-noi-de-covid-19-au-fost-raportate-si-multe-vindecari-158157.html" xr:uid="{00000000-0004-0000-0000-0000B00A0000}"/>
    <hyperlink ref="T1361" r:id="rId2738" display="http://www.ms.ro/2020/08/11/buletin-informativ-11-08-2020" xr:uid="{00000000-0004-0000-0000-0000B10A0000}"/>
    <hyperlink ref="K1362" r:id="rId2739" display="https://www.ebihoreanul.ro/stiri/pandemia-in-bihor-inca-un-deces-si-peste-50-de-cazuri-noi-de-covid-19-au-fost-raportate-si-multe-vindecari-158157.html" xr:uid="{00000000-0004-0000-0000-0000B20A0000}"/>
    <hyperlink ref="T1362" r:id="rId2740" display="http://www.ms.ro/2020/08/11/buletin-informativ-11-08-2020" xr:uid="{00000000-0004-0000-0000-0000B30A0000}"/>
    <hyperlink ref="K1363" r:id="rId2741" display="https://www.ebihoreanul.ro/stiri/pandemia-in-bihor-inca-un-deces-si-peste-50-de-cazuri-noi-de-covid-19-au-fost-raportate-si-multe-vindecari-158157.html" xr:uid="{00000000-0004-0000-0000-0000B40A0000}"/>
    <hyperlink ref="T1363" r:id="rId2742" display="http://www.ms.ro/2020/08/11/buletin-informativ-11-08-2020" xr:uid="{00000000-0004-0000-0000-0000B50A0000}"/>
    <hyperlink ref="K1364" r:id="rId2743" display="https://www.ebihoreanul.ro/stiri/pandemia-in-bihor-inca-un-deces-si-peste-50-de-cazuri-noi-de-covid-19-au-fost-raportate-si-multe-vindecari-158157.html" xr:uid="{00000000-0004-0000-0000-0000B60A0000}"/>
    <hyperlink ref="T1364" r:id="rId2744" display="http://www.ms.ro/2020/08/11/buletin-informativ-11-08-2020" xr:uid="{00000000-0004-0000-0000-0000B70A0000}"/>
    <hyperlink ref="K1365" r:id="rId2745" display="https://www.ebihoreanul.ro/stiri/pandemia-in-bihor-inca-un-deces-si-peste-50-de-cazuri-noi-de-covid-19-au-fost-raportate-si-multe-vindecari-158157.html" xr:uid="{00000000-0004-0000-0000-0000B80A0000}"/>
    <hyperlink ref="T1365" r:id="rId2746" display="http://www.ms.ro/2020/08/11/buletin-informativ-11-08-2020" xr:uid="{00000000-0004-0000-0000-0000B90A0000}"/>
    <hyperlink ref="K1366" r:id="rId2747" display="https://www.ebihoreanul.ro/stiri/pandemia-in-bihor-inca-un-deces-si-peste-50-de-cazuri-noi-de-covid-19-au-fost-raportate-si-multe-vindecari-158157.html" xr:uid="{00000000-0004-0000-0000-0000BA0A0000}"/>
    <hyperlink ref="T1366" r:id="rId2748" display="http://www.ms.ro/2020/08/11/buletin-informativ-11-08-2020" xr:uid="{00000000-0004-0000-0000-0000BB0A0000}"/>
    <hyperlink ref="K1367" r:id="rId2749" display="https://www.ebihoreanul.ro/stiri/pandemia-in-bihor-inca-un-deces-si-peste-50-de-cazuri-noi-de-covid-19-au-fost-raportate-si-multe-vindecari-158157.html" xr:uid="{00000000-0004-0000-0000-0000BC0A0000}"/>
    <hyperlink ref="T1367" r:id="rId2750" display="http://www.ms.ro/2020/08/11/buletin-informativ-11-08-2020" xr:uid="{00000000-0004-0000-0000-0000BD0A0000}"/>
    <hyperlink ref="K1368" r:id="rId2751" display="https://www.ebihoreanul.ro/stiri/pandemia-in-bihor-inca-un-deces-si-peste-50-de-cazuri-noi-de-covid-19-au-fost-raportate-si-multe-vindecari-158157.html" xr:uid="{00000000-0004-0000-0000-0000BE0A0000}"/>
    <hyperlink ref="T1368" r:id="rId2752" display="http://www.ms.ro/2020/08/11/buletin-informativ-11-08-2020" xr:uid="{00000000-0004-0000-0000-0000BF0A0000}"/>
    <hyperlink ref="K1369" r:id="rId2753" display="https://www.ebihoreanul.ro/stiri/pandemia-in-bihor-inca-un-deces-si-peste-50-de-cazuri-noi-de-covid-19-au-fost-raportate-si-multe-vindecari-158157.html" xr:uid="{00000000-0004-0000-0000-0000C00A0000}"/>
    <hyperlink ref="T1369" r:id="rId2754" display="http://www.ms.ro/2020/08/11/buletin-informativ-11-08-2020" xr:uid="{00000000-0004-0000-0000-0000C10A0000}"/>
    <hyperlink ref="K1370" r:id="rId2755" display="https://www.ebihoreanul.ro/stiri/pandemia-in-bihor-inca-un-deces-si-peste-50-de-cazuri-noi-de-covid-19-au-fost-raportate-si-multe-vindecari-158157.html" xr:uid="{00000000-0004-0000-0000-0000C20A0000}"/>
    <hyperlink ref="T1370" r:id="rId2756" display="http://www.ms.ro/2020/08/11/buletin-informativ-11-08-2020" xr:uid="{00000000-0004-0000-0000-0000C30A0000}"/>
    <hyperlink ref="K1371" r:id="rId2757" display="https://www.ebihoreanul.ro/stiri/pandemia-in-bihor-inca-un-deces-si-peste-50-de-cazuri-noi-de-covid-19-au-fost-raportate-si-multe-vindecari-158157.html" xr:uid="{00000000-0004-0000-0000-0000C40A0000}"/>
    <hyperlink ref="T1371" r:id="rId2758" display="http://www.ms.ro/2020/08/11/buletin-informativ-11-08-2020" xr:uid="{00000000-0004-0000-0000-0000C50A0000}"/>
    <hyperlink ref="K1372" r:id="rId2759" display="https://www.ebihoreanul.ro/stiri/pandemia-in-bihor-inca-un-deces-si-peste-50-de-cazuri-noi-de-covid-19-au-fost-raportate-si-multe-vindecari-158157.html" xr:uid="{00000000-0004-0000-0000-0000C60A0000}"/>
    <hyperlink ref="T1372" r:id="rId2760" display="http://www.ms.ro/2020/08/11/buletin-informativ-11-08-2020" xr:uid="{00000000-0004-0000-0000-0000C70A0000}"/>
    <hyperlink ref="K1373" r:id="rId2761" display="https://www.ebihoreanul.ro/stiri/pandemia-in-bihor-inca-un-deces-si-peste-50-de-cazuri-noi-de-covid-19-au-fost-raportate-si-multe-vindecari-158157.html" xr:uid="{00000000-0004-0000-0000-0000C80A0000}"/>
    <hyperlink ref="T1373" r:id="rId2762" display="http://www.ms.ro/2020/08/11/buletin-informativ-11-08-2020" xr:uid="{00000000-0004-0000-0000-0000C90A0000}"/>
    <hyperlink ref="K1374" r:id="rId2763" display="https://www.ebihoreanul.ro/stiri/pandemia-in-bihor-inca-un-deces-si-peste-50-de-cazuri-noi-de-covid-19-au-fost-raportate-si-multe-vindecari-158157.html" xr:uid="{00000000-0004-0000-0000-0000CA0A0000}"/>
    <hyperlink ref="T1374" r:id="rId2764" display="http://www.ms.ro/2020/08/11/buletin-informativ-11-08-2020" xr:uid="{00000000-0004-0000-0000-0000CB0A0000}"/>
    <hyperlink ref="K1375" r:id="rId2765" display="https://www.ebihoreanul.ro/stiri/pandemia-in-bihor-inca-un-deces-si-peste-50-de-cazuri-noi-de-covid-19-au-fost-raportate-si-multe-vindecari-158157.html" xr:uid="{00000000-0004-0000-0000-0000CC0A0000}"/>
    <hyperlink ref="T1375" r:id="rId2766" display="http://www.ms.ro/2020/08/11/buletin-informativ-11-08-2020" xr:uid="{00000000-0004-0000-0000-0000CD0A0000}"/>
    <hyperlink ref="K1376" r:id="rId2767" display="https://www.ebihoreanul.ro/stiri/pandemia-in-bihor-inca-un-deces-si-peste-50-de-cazuri-noi-de-covid-19-au-fost-raportate-si-multe-vindecari-158157.html" xr:uid="{00000000-0004-0000-0000-0000CE0A0000}"/>
    <hyperlink ref="T1376" r:id="rId2768" display="http://www.ms.ro/2020/08/11/buletin-informativ-11-08-2020" xr:uid="{00000000-0004-0000-0000-0000CF0A0000}"/>
    <hyperlink ref="K1377" r:id="rId2769" display="https://www.ebihoreanul.ro/stiri/pandemia-in-bihor-inca-un-deces-si-peste-50-de-cazuri-noi-de-covid-19-au-fost-raportate-si-multe-vindecari-158157.html" xr:uid="{00000000-0004-0000-0000-0000D00A0000}"/>
    <hyperlink ref="T1377" r:id="rId2770" display="http://www.ms.ro/2020/08/11/buletin-informativ-11-08-2020" xr:uid="{00000000-0004-0000-0000-0000D10A0000}"/>
    <hyperlink ref="K1378" r:id="rId2771" display="https://www.ebihoreanul.ro/stiri/pandemia-in-bihor-inca-un-deces-si-peste-50-de-cazuri-noi-de-covid-19-au-fost-raportate-si-multe-vindecari-158157.html" xr:uid="{00000000-0004-0000-0000-0000D20A0000}"/>
    <hyperlink ref="T1378" r:id="rId2772" display="http://www.ms.ro/2020/08/11/buletin-informativ-11-08-2020" xr:uid="{00000000-0004-0000-0000-0000D30A0000}"/>
    <hyperlink ref="K1379" r:id="rId2773" display="https://www.ebihoreanul.ro/stiri/pandemia-in-bihor-inca-un-deces-si-peste-50-de-cazuri-noi-de-covid-19-au-fost-raportate-si-multe-vindecari-158157.html" xr:uid="{00000000-0004-0000-0000-0000D40A0000}"/>
    <hyperlink ref="T1379" r:id="rId2774" display="http://www.ms.ro/2020/08/11/buletin-informativ-11-08-2020" xr:uid="{00000000-0004-0000-0000-0000D50A0000}"/>
    <hyperlink ref="K1380" r:id="rId2775" display="https://www.ebihoreanul.ro/stiri/pandemia-in-bihor-inca-un-deces-si-peste-50-de-cazuri-noi-de-covid-19-au-fost-raportate-si-multe-vindecari-158157.html" xr:uid="{00000000-0004-0000-0000-0000D60A0000}"/>
    <hyperlink ref="T1380" r:id="rId2776" display="http://www.ms.ro/2020/08/11/buletin-informativ-11-08-2020" xr:uid="{00000000-0004-0000-0000-0000D70A0000}"/>
    <hyperlink ref="K1381" r:id="rId2777" display="https://www.ebihoreanul.ro/stiri/pandemia-in-bihor-inca-un-deces-si-peste-50-de-cazuri-noi-de-covid-19-au-fost-raportate-si-multe-vindecari-158157.html" xr:uid="{00000000-0004-0000-0000-0000D80A0000}"/>
    <hyperlink ref="T1381" r:id="rId2778" display="http://www.ms.ro/2020/08/11/buletin-informativ-11-08-2020" xr:uid="{00000000-0004-0000-0000-0000D90A0000}"/>
    <hyperlink ref="K1382" r:id="rId2779" display="https://www.ebihoreanul.ro/stiri/ziua-si-decesul-inca-un-bihorean-infectat-cu-covid-19-a-murit-55-de-noi-imbolnaviri-inclusiv-in-randul-angajatilor-spitalului-privat-pelican-158174.html" xr:uid="{00000000-0004-0000-0000-0000DA0A0000}"/>
    <hyperlink ref="T1382" r:id="rId2780" display="http://www.ms.ro/2020/08/12/buletin-informativ-12-08-2020" xr:uid="{00000000-0004-0000-0000-0000DB0A0000}"/>
    <hyperlink ref="K1383" r:id="rId2781" display="https://www.ebihoreanul.ro/stiri/ziua-si-decesul-inca-un-bihorean-infectat-cu-covid-19-a-murit-55-de-noi-imbolnaviri-inclusiv-in-randul-angajatilor-spitalului-privat-pelican-158174.html" xr:uid="{00000000-0004-0000-0000-0000DC0A0000}"/>
    <hyperlink ref="T1383" r:id="rId2782" display="http://www.ms.ro/2020/08/12/buletin-informativ-12-08-2020" xr:uid="{00000000-0004-0000-0000-0000DD0A0000}"/>
    <hyperlink ref="K1384" r:id="rId2783" display="https://www.ebihoreanul.ro/stiri/ziua-si-decesul-inca-un-bihorean-infectat-cu-covid-19-a-murit-55-de-noi-imbolnaviri-inclusiv-in-randul-angajatilor-spitalului-privat-pelican-158174.html" xr:uid="{00000000-0004-0000-0000-0000DE0A0000}"/>
    <hyperlink ref="T1384" r:id="rId2784" display="http://www.ms.ro/2020/08/12/buletin-informativ-12-08-2020" xr:uid="{00000000-0004-0000-0000-0000DF0A0000}"/>
    <hyperlink ref="K1385" r:id="rId2785" display="https://www.ebihoreanul.ro/stiri/ziua-si-decesul-inca-un-bihorean-infectat-cu-covid-19-a-murit-55-de-noi-imbolnaviri-inclusiv-in-randul-angajatilor-spitalului-privat-pelican-158174.html" xr:uid="{00000000-0004-0000-0000-0000E00A0000}"/>
    <hyperlink ref="T1385" r:id="rId2786" display="http://www.ms.ro/2020/08/12/buletin-informativ-12-08-2020" xr:uid="{00000000-0004-0000-0000-0000E10A0000}"/>
    <hyperlink ref="K1386" r:id="rId2787" display="https://www.ebihoreanul.ro/stiri/ziua-si-decesul-inca-un-bihorean-infectat-cu-covid-19-a-murit-55-de-noi-imbolnaviri-inclusiv-in-randul-angajatilor-spitalului-privat-pelican-158174.html" xr:uid="{00000000-0004-0000-0000-0000E20A0000}"/>
    <hyperlink ref="T1386" r:id="rId2788" display="http://www.ms.ro/2020/08/12/buletin-informativ-12-08-2020" xr:uid="{00000000-0004-0000-0000-0000E30A0000}"/>
    <hyperlink ref="K1387" r:id="rId2789" display="https://www.ebihoreanul.ro/stiri/ziua-si-decesul-inca-un-bihorean-infectat-cu-covid-19-a-murit-55-de-noi-imbolnaviri-inclusiv-in-randul-angajatilor-spitalului-privat-pelican-158174.html" xr:uid="{00000000-0004-0000-0000-0000E40A0000}"/>
    <hyperlink ref="T1387" r:id="rId2790" display="http://www.ms.ro/2020/08/12/buletin-informativ-12-08-2020" xr:uid="{00000000-0004-0000-0000-0000E50A0000}"/>
    <hyperlink ref="K1388" r:id="rId2791" display="https://www.ebihoreanul.ro/stiri/ziua-si-decesul-inca-un-bihorean-infectat-cu-covid-19-a-murit-55-de-noi-imbolnaviri-inclusiv-in-randul-angajatilor-spitalului-privat-pelican-158174.html" xr:uid="{00000000-0004-0000-0000-0000E60A0000}"/>
    <hyperlink ref="T1388" r:id="rId2792" display="http://www.ms.ro/2020/08/12/buletin-informativ-12-08-2020" xr:uid="{00000000-0004-0000-0000-0000E70A0000}"/>
    <hyperlink ref="K1389" r:id="rId2793" display="https://www.ebihoreanul.ro/stiri/ziua-si-decesul-inca-un-bihorean-infectat-cu-covid-19-a-murit-55-de-noi-imbolnaviri-inclusiv-in-randul-angajatilor-spitalului-privat-pelican-158174.html" xr:uid="{00000000-0004-0000-0000-0000E80A0000}"/>
    <hyperlink ref="T1389" r:id="rId2794" display="http://www.ms.ro/2020/08/12/buletin-informativ-12-08-2020" xr:uid="{00000000-0004-0000-0000-0000E90A0000}"/>
    <hyperlink ref="K1390" r:id="rId2795" display="https://www.ebihoreanul.ro/stiri/ziua-si-decesul-inca-un-bihorean-infectat-cu-covid-19-a-murit-55-de-noi-imbolnaviri-inclusiv-in-randul-angajatilor-spitalului-privat-pelican-158174.html" xr:uid="{00000000-0004-0000-0000-0000EA0A0000}"/>
    <hyperlink ref="T1390" r:id="rId2796" display="http://www.ms.ro/2020/08/12/buletin-informativ-12-08-2020" xr:uid="{00000000-0004-0000-0000-0000EB0A0000}"/>
    <hyperlink ref="K1391" r:id="rId2797" display="https://www.ebihoreanul.ro/stiri/ziua-si-decesul-inca-un-bihorean-infectat-cu-covid-19-a-murit-55-de-noi-imbolnaviri-inclusiv-in-randul-angajatilor-spitalului-privat-pelican-158174.html" xr:uid="{00000000-0004-0000-0000-0000EC0A0000}"/>
    <hyperlink ref="T1391" r:id="rId2798" display="http://www.ms.ro/2020/08/12/buletin-informativ-12-08-2020" xr:uid="{00000000-0004-0000-0000-0000ED0A0000}"/>
    <hyperlink ref="K1392" r:id="rId2799" display="https://www.ebihoreanul.ro/stiri/ziua-si-decesul-inca-un-bihorean-infectat-cu-covid-19-a-murit-55-de-noi-imbolnaviri-inclusiv-in-randul-angajatilor-spitalului-privat-pelican-158174.html" xr:uid="{00000000-0004-0000-0000-0000EE0A0000}"/>
    <hyperlink ref="T1392" r:id="rId2800" display="http://www.ms.ro/2020/08/12/buletin-informativ-12-08-2020" xr:uid="{00000000-0004-0000-0000-0000EF0A0000}"/>
    <hyperlink ref="K1393" r:id="rId2801" display="https://www.ebihoreanul.ro/stiri/ziua-si-decesul-inca-un-bihorean-infectat-cu-covid-19-a-murit-55-de-noi-imbolnaviri-inclusiv-in-randul-angajatilor-spitalului-privat-pelican-158174.html" xr:uid="{00000000-0004-0000-0000-0000F00A0000}"/>
    <hyperlink ref="T1393" r:id="rId2802" display="http://www.ms.ro/2020/08/12/buletin-informativ-12-08-2020" xr:uid="{00000000-0004-0000-0000-0000F10A0000}"/>
    <hyperlink ref="K1394" r:id="rId2803" display="https://www.ebihoreanul.ro/stiri/ziua-si-decesul-inca-un-bihorean-infectat-cu-covid-19-a-murit-55-de-noi-imbolnaviri-inclusiv-in-randul-angajatilor-spitalului-privat-pelican-158174.html" xr:uid="{00000000-0004-0000-0000-0000F20A0000}"/>
    <hyperlink ref="T1394" r:id="rId2804" display="http://www.ms.ro/2020/08/12/buletin-informativ-12-08-2020" xr:uid="{00000000-0004-0000-0000-0000F30A0000}"/>
    <hyperlink ref="K1395" r:id="rId2805" display="https://www.ebihoreanul.ro/stiri/ziua-si-decesul-inca-un-bihorean-infectat-cu-covid-19-a-murit-55-de-noi-imbolnaviri-inclusiv-in-randul-angajatilor-spitalului-privat-pelican-158174.html" xr:uid="{00000000-0004-0000-0000-0000F40A0000}"/>
    <hyperlink ref="T1395" r:id="rId2806" display="http://www.ms.ro/2020/08/12/buletin-informativ-12-08-2020" xr:uid="{00000000-0004-0000-0000-0000F50A0000}"/>
    <hyperlink ref="K1396" r:id="rId2807" display="https://www.ebihoreanul.ro/stiri/ziua-si-decesul-inca-un-bihorean-infectat-cu-covid-19-a-murit-55-de-noi-imbolnaviri-inclusiv-in-randul-angajatilor-spitalului-privat-pelican-158174.html" xr:uid="{00000000-0004-0000-0000-0000F60A0000}"/>
    <hyperlink ref="T1396" r:id="rId2808" display="http://www.ms.ro/2020/08/12/buletin-informativ-12-08-2020" xr:uid="{00000000-0004-0000-0000-0000F70A0000}"/>
    <hyperlink ref="K1397" r:id="rId2809" display="https://www.ebihoreanul.ro/stiri/ziua-si-decesul-inca-un-bihorean-infectat-cu-covid-19-a-murit-55-de-noi-imbolnaviri-inclusiv-in-randul-angajatilor-spitalului-privat-pelican-158174.html" xr:uid="{00000000-0004-0000-0000-0000F80A0000}"/>
    <hyperlink ref="T1397" r:id="rId2810" display="http://www.ms.ro/2020/08/12/buletin-informativ-12-08-2020" xr:uid="{00000000-0004-0000-0000-0000F90A0000}"/>
    <hyperlink ref="K1398" r:id="rId2811" display="https://www.ebihoreanul.ro/stiri/ziua-si-decesul-inca-un-bihorean-infectat-cu-covid-19-a-murit-55-de-noi-imbolnaviri-inclusiv-in-randul-angajatilor-spitalului-privat-pelican-158174.html" xr:uid="{00000000-0004-0000-0000-0000FA0A0000}"/>
    <hyperlink ref="T1398" r:id="rId2812" display="http://www.ms.ro/2020/08/12/buletin-informativ-12-08-2020" xr:uid="{00000000-0004-0000-0000-0000FB0A0000}"/>
    <hyperlink ref="K1399" r:id="rId2813" display="https://www.ebihoreanul.ro/stiri/ziua-si-decesul-inca-un-bihorean-infectat-cu-covid-19-a-murit-55-de-noi-imbolnaviri-inclusiv-in-randul-angajatilor-spitalului-privat-pelican-158174.html" xr:uid="{00000000-0004-0000-0000-0000FC0A0000}"/>
    <hyperlink ref="T1399" r:id="rId2814" display="http://www.ms.ro/2020/08/12/buletin-informativ-12-08-2020" xr:uid="{00000000-0004-0000-0000-0000FD0A0000}"/>
    <hyperlink ref="K1400" r:id="rId2815" display="https://www.ebihoreanul.ro/stiri/ziua-si-decesul-inca-un-bihorean-infectat-cu-covid-19-a-murit-55-de-noi-imbolnaviri-inclusiv-in-randul-angajatilor-spitalului-privat-pelican-158174.html" xr:uid="{00000000-0004-0000-0000-0000FE0A0000}"/>
    <hyperlink ref="T1400" r:id="rId2816" display="http://www.ms.ro/2020/08/12/buletin-informativ-12-08-2020" xr:uid="{00000000-0004-0000-0000-0000FF0A0000}"/>
    <hyperlink ref="K1401" r:id="rId2817" display="https://www.ebihoreanul.ro/stiri/ziua-si-decesul-inca-un-bihorean-infectat-cu-covid-19-a-murit-55-de-noi-imbolnaviri-inclusiv-in-randul-angajatilor-spitalului-privat-pelican-158174.html" xr:uid="{00000000-0004-0000-0000-0000000B0000}"/>
    <hyperlink ref="T1401" r:id="rId2818" display="http://www.ms.ro/2020/08/12/buletin-informativ-12-08-2020" xr:uid="{00000000-0004-0000-0000-0000010B0000}"/>
    <hyperlink ref="K1402" r:id="rId2819" display="https://www.ebihoreanul.ro/stiri/ziua-si-decesul-inca-un-bihorean-infectat-cu-covid-19-a-murit-55-de-noi-imbolnaviri-inclusiv-in-randul-angajatilor-spitalului-privat-pelican-158174.html" xr:uid="{00000000-0004-0000-0000-0000020B0000}"/>
    <hyperlink ref="T1402" r:id="rId2820" display="http://www.ms.ro/2020/08/12/buletin-informativ-12-08-2020" xr:uid="{00000000-0004-0000-0000-0000030B0000}"/>
    <hyperlink ref="K1403" r:id="rId2821" display="https://www.ebihoreanul.ro/stiri/ziua-si-decesul-inca-un-bihorean-infectat-cu-covid-19-a-murit-55-de-noi-imbolnaviri-inclusiv-in-randul-angajatilor-spitalului-privat-pelican-158174.html" xr:uid="{00000000-0004-0000-0000-0000040B0000}"/>
    <hyperlink ref="T1403" r:id="rId2822" display="http://www.ms.ro/2020/08/12/buletin-informativ-12-08-2020" xr:uid="{00000000-0004-0000-0000-0000050B0000}"/>
    <hyperlink ref="K1404" r:id="rId2823" display="https://www.ebihoreanul.ro/stiri/o-angajata-de-la-finante-din-oradea-confirmata-cu-covid-19-colegele-ei-trimise-sa-lucreze-de-acasa-158194.html" xr:uid="{00000000-0004-0000-0000-0000060B0000}"/>
    <hyperlink ref="T1404" r:id="rId2824" display="http://www.ms.ro/2020/08/12/buletin-informativ-12-08-2020" xr:uid="{00000000-0004-0000-0000-0000070B0000}"/>
    <hyperlink ref="K1405" r:id="rId2825" display="https://www.ebihoreanul.ro/stiri/ziua-si-decesul-inca-un-bihorean-infectat-cu-covid-19-a-murit-55-de-noi-imbolnaviri-inclusiv-in-randul-angajatilor-spitalului-privat-pelican-158174.html" xr:uid="{00000000-0004-0000-0000-0000080B0000}"/>
    <hyperlink ref="T1405" r:id="rId2826" display="http://www.ms.ro/2020/08/12/buletin-informativ-12-08-2020" xr:uid="{00000000-0004-0000-0000-0000090B0000}"/>
    <hyperlink ref="K1406" r:id="rId2827" display="https://www.ebihoreanul.ro/stiri/ziua-si-decesul-inca-un-bihorean-infectat-cu-covid-19-a-murit-55-de-noi-imbolnaviri-inclusiv-in-randul-angajatilor-spitalului-privat-pelican-158174.html" xr:uid="{00000000-0004-0000-0000-00000A0B0000}"/>
    <hyperlink ref="T1406" r:id="rId2828" display="http://www.ms.ro/2020/08/12/buletin-informativ-12-08-2020" xr:uid="{00000000-0004-0000-0000-00000B0B0000}"/>
    <hyperlink ref="K1407" r:id="rId2829" display="https://www.ebihoreanul.ro/stiri/ziua-si-decesul-inca-un-bihorean-infectat-cu-covid-19-a-murit-55-de-noi-imbolnaviri-inclusiv-in-randul-angajatilor-spitalului-privat-pelican-158174.html" xr:uid="{00000000-0004-0000-0000-00000C0B0000}"/>
    <hyperlink ref="T1407" r:id="rId2830" display="http://www.ms.ro/2020/08/12/buletin-informativ-12-08-2020" xr:uid="{00000000-0004-0000-0000-00000D0B0000}"/>
    <hyperlink ref="K1408" r:id="rId2831" display="https://www.ebihoreanul.ro/stiri/ziua-si-decesul-inca-un-bihorean-infectat-cu-covid-19-a-murit-55-de-noi-imbolnaviri-inclusiv-in-randul-angajatilor-spitalului-privat-pelican-158174.html" xr:uid="{00000000-0004-0000-0000-00000E0B0000}"/>
    <hyperlink ref="T1408" r:id="rId2832" display="http://www.ms.ro/2020/08/12/buletin-informativ-12-08-2020" xr:uid="{00000000-0004-0000-0000-00000F0B0000}"/>
    <hyperlink ref="K1409" r:id="rId2833" display="https://www.ebihoreanul.ro/stiri/ziua-si-decesul-inca-un-bihorean-infectat-cu-covid-19-a-murit-55-de-noi-imbolnaviri-inclusiv-in-randul-angajatilor-spitalului-privat-pelican-158174.html" xr:uid="{00000000-0004-0000-0000-0000100B0000}"/>
    <hyperlink ref="T1409" r:id="rId2834" display="http://www.ms.ro/2020/08/12/buletin-informativ-12-08-2020" xr:uid="{00000000-0004-0000-0000-0000110B0000}"/>
    <hyperlink ref="K1410" r:id="rId2835" display="https://www.ebihoreanul.ro/stiri/ziua-si-decesul-inca-un-bihorean-infectat-cu-covid-19-a-murit-55-de-noi-imbolnaviri-inclusiv-in-randul-angajatilor-spitalului-privat-pelican-158174.html" xr:uid="{00000000-0004-0000-0000-0000120B0000}"/>
    <hyperlink ref="T1410" r:id="rId2836" display="http://www.ms.ro/2020/08/12/buletin-informativ-12-08-2020" xr:uid="{00000000-0004-0000-0000-0000130B0000}"/>
    <hyperlink ref="K1411" r:id="rId2837" display="https://www.ebihoreanul.ro/stiri/ziua-si-decesul-inca-un-bihorean-infectat-cu-covid-19-a-murit-55-de-noi-imbolnaviri-inclusiv-in-randul-angajatilor-spitalului-privat-pelican-158174.html" xr:uid="{00000000-0004-0000-0000-0000140B0000}"/>
    <hyperlink ref="T1411" r:id="rId2838" display="http://www.ms.ro/2020/08/12/buletin-informativ-12-08-2020" xr:uid="{00000000-0004-0000-0000-0000150B0000}"/>
    <hyperlink ref="K1412" r:id="rId2839" display="https://www.ebihoreanul.ro/stiri/ziua-si-decesul-inca-un-bihorean-infectat-cu-covid-19-a-murit-55-de-noi-imbolnaviri-inclusiv-in-randul-angajatilor-spitalului-privat-pelican-158174.html" xr:uid="{00000000-0004-0000-0000-0000160B0000}"/>
    <hyperlink ref="T1412" r:id="rId2840" display="http://www.ms.ro/2020/08/12/buletin-informativ-12-08-2020" xr:uid="{00000000-0004-0000-0000-0000170B0000}"/>
    <hyperlink ref="K1413" r:id="rId2841" display="https://www.ebihoreanul.ro/stiri/ziua-si-decesul-inca-un-bihorean-infectat-cu-covid-19-a-murit-55-de-noi-imbolnaviri-inclusiv-in-randul-angajatilor-spitalului-privat-pelican-158174.html" xr:uid="{00000000-0004-0000-0000-0000180B0000}"/>
    <hyperlink ref="T1413" r:id="rId2842" display="http://www.ms.ro/2020/08/12/buletin-informativ-12-08-2020" xr:uid="{00000000-0004-0000-0000-0000190B0000}"/>
    <hyperlink ref="K1414" r:id="rId2843" display="https://www.ebihoreanul.ro/stiri/ziua-si-decesul-inca-un-bihorean-infectat-cu-covid-19-a-murit-55-de-noi-imbolnaviri-inclusiv-in-randul-angajatilor-spitalului-privat-pelican-158174.html" xr:uid="{00000000-0004-0000-0000-00001A0B0000}"/>
    <hyperlink ref="T1414" r:id="rId2844" display="http://www.ms.ro/2020/08/12/buletin-informativ-12-08-2020" xr:uid="{00000000-0004-0000-0000-00001B0B0000}"/>
    <hyperlink ref="K1415" r:id="rId2845" display="https://www.ebihoreanul.ro/stiri/ziua-si-decesul-inca-un-bihorean-infectat-cu-covid-19-a-murit-55-de-noi-imbolnaviri-inclusiv-in-randul-angajatilor-spitalului-privat-pelican-158174.html" xr:uid="{00000000-0004-0000-0000-00001C0B0000}"/>
    <hyperlink ref="T1415" r:id="rId2846" display="http://www.ms.ro/2020/08/12/buletin-informativ-12-08-2020" xr:uid="{00000000-0004-0000-0000-00001D0B0000}"/>
    <hyperlink ref="K1416" r:id="rId2847" display="https://www.ebihoreanul.ro/stiri/ziua-si-decesul-inca-un-bihorean-infectat-cu-covid-19-a-murit-55-de-noi-imbolnaviri-inclusiv-in-randul-angajatilor-spitalului-privat-pelican-158174.html" xr:uid="{00000000-0004-0000-0000-00001E0B0000}"/>
    <hyperlink ref="T1416" r:id="rId2848" display="http://www.ms.ro/2020/08/12/buletin-informativ-12-08-2020" xr:uid="{00000000-0004-0000-0000-00001F0B0000}"/>
    <hyperlink ref="K1417" r:id="rId2849" display="https://www.ebihoreanul.ro/stiri/ziua-si-decesul-inca-un-bihorean-infectat-cu-covid-19-a-murit-55-de-noi-imbolnaviri-inclusiv-in-randul-angajatilor-spitalului-privat-pelican-158174.html" xr:uid="{00000000-0004-0000-0000-0000200B0000}"/>
    <hyperlink ref="T1417" r:id="rId2850" display="http://www.ms.ro/2020/08/12/buletin-informativ-12-08-2020" xr:uid="{00000000-0004-0000-0000-0000210B0000}"/>
    <hyperlink ref="K1418" r:id="rId2851" display="https://www.ebihoreanul.ro/stiri/ziua-si-decesul-inca-un-bihorean-infectat-cu-covid-19-a-murit-55-de-noi-imbolnaviri-inclusiv-in-randul-angajatilor-spitalului-privat-pelican-158174.html" xr:uid="{00000000-0004-0000-0000-0000220B0000}"/>
    <hyperlink ref="T1418" r:id="rId2852" display="http://www.ms.ro/2020/08/12/buletin-informativ-12-08-2020" xr:uid="{00000000-0004-0000-0000-0000230B0000}"/>
    <hyperlink ref="K1419" r:id="rId2853" display="https://www.ebihoreanul.ro/stiri/ziua-si-decesul-inca-un-bihorean-infectat-cu-covid-19-a-murit-55-de-noi-imbolnaviri-inclusiv-in-randul-angajatilor-spitalului-privat-pelican-158174.html" xr:uid="{00000000-0004-0000-0000-0000240B0000}"/>
    <hyperlink ref="T1419" r:id="rId2854" display="http://www.ms.ro/2020/08/12/buletin-informativ-12-08-2020" xr:uid="{00000000-0004-0000-0000-0000250B0000}"/>
    <hyperlink ref="K1420" r:id="rId2855" display="https://www.ebihoreanul.ro/stiri/ziua-si-decesul-inca-un-bihorean-infectat-cu-covid-19-a-murit-55-de-noi-imbolnaviri-inclusiv-in-randul-angajatilor-spitalului-privat-pelican-158174.html" xr:uid="{00000000-0004-0000-0000-0000260B0000}"/>
    <hyperlink ref="T1420" r:id="rId2856" display="http://www.ms.ro/2020/08/12/buletin-informativ-12-08-2020" xr:uid="{00000000-0004-0000-0000-0000270B0000}"/>
    <hyperlink ref="K1421" r:id="rId2857" display="https://www.ebihoreanul.ro/stiri/ziua-si-decesul-inca-un-bihorean-infectat-cu-covid-19-a-murit-55-de-noi-imbolnaviri-inclusiv-in-randul-angajatilor-spitalului-privat-pelican-158174.html" xr:uid="{00000000-0004-0000-0000-0000280B0000}"/>
    <hyperlink ref="T1421" r:id="rId2858" display="http://www.ms.ro/2020/08/12/buletin-informativ-12-08-2020" xr:uid="{00000000-0004-0000-0000-0000290B0000}"/>
    <hyperlink ref="K1422" r:id="rId2859" display="https://www.ebihoreanul.ro/stiri/ziua-si-decesul-inca-un-bihorean-infectat-cu-covid-19-a-murit-55-de-noi-imbolnaviri-inclusiv-in-randul-angajatilor-spitalului-privat-pelican-158174.html" xr:uid="{00000000-0004-0000-0000-00002A0B0000}"/>
    <hyperlink ref="T1422" r:id="rId2860" display="http://www.ms.ro/2020/08/12/buletin-informativ-12-08-2020" xr:uid="{00000000-0004-0000-0000-00002B0B0000}"/>
    <hyperlink ref="K1423" r:id="rId2861" display="https://www.ebihoreanul.ro/stiri/ziua-si-decesul-inca-un-bihorean-infectat-cu-covid-19-a-murit-55-de-noi-imbolnaviri-inclusiv-in-randul-angajatilor-spitalului-privat-pelican-158174.html" xr:uid="{00000000-0004-0000-0000-00002C0B0000}"/>
    <hyperlink ref="T1423" r:id="rId2862" display="http://www.ms.ro/2020/08/12/buletin-informativ-12-08-2020" xr:uid="{00000000-0004-0000-0000-00002D0B0000}"/>
    <hyperlink ref="K1424" r:id="rId2863" display="https://www.ebihoreanul.ro/stiri/ziua-si-decesul-inca-un-bihorean-infectat-cu-covid-19-a-murit-55-de-noi-imbolnaviri-inclusiv-in-randul-angajatilor-spitalului-privat-pelican-158174.html" xr:uid="{00000000-0004-0000-0000-00002E0B0000}"/>
    <hyperlink ref="T1424" r:id="rId2864" display="http://www.ms.ro/2020/08/12/buletin-informativ-12-08-2020" xr:uid="{00000000-0004-0000-0000-00002F0B0000}"/>
    <hyperlink ref="K1425" r:id="rId2865" display="https://www.ebihoreanul.ro/stiri/ziua-si-decesul-inca-un-bihorean-infectat-cu-covid-19-a-murit-55-de-noi-imbolnaviri-inclusiv-in-randul-angajatilor-spitalului-privat-pelican-158174.html" xr:uid="{00000000-0004-0000-0000-0000300B0000}"/>
    <hyperlink ref="T1425" r:id="rId2866" display="http://www.ms.ro/2020/08/12/buletin-informativ-12-08-2020" xr:uid="{00000000-0004-0000-0000-0000310B0000}"/>
    <hyperlink ref="K1426" r:id="rId2867" display="https://www.ebihoreanul.ro/stiri/ziua-si-decesul-inca-un-bihorean-infectat-cu-covid-19-a-murit-55-de-noi-imbolnaviri-inclusiv-in-randul-angajatilor-spitalului-privat-pelican-158174.html" xr:uid="{00000000-0004-0000-0000-0000320B0000}"/>
    <hyperlink ref="T1426" r:id="rId2868" display="http://www.ms.ro/2020/08/12/buletin-informativ-12-08-2020" xr:uid="{00000000-0004-0000-0000-0000330B0000}"/>
    <hyperlink ref="K1427" r:id="rId2869" display="https://www.ebihoreanul.ro/stiri/ziua-si-decesul-inca-un-bihorean-infectat-cu-covid-19-a-murit-55-de-noi-imbolnaviri-inclusiv-in-randul-angajatilor-spitalului-privat-pelican-158174.html" xr:uid="{00000000-0004-0000-0000-0000340B0000}"/>
    <hyperlink ref="T1427" r:id="rId2870" display="http://www.ms.ro/2020/08/12/buletin-informativ-12-08-2020" xr:uid="{00000000-0004-0000-0000-0000350B0000}"/>
    <hyperlink ref="K1428" r:id="rId2871" display="https://www.ebihoreanul.ro/stiri/ziua-si-decesul-inca-un-bihorean-infectat-cu-covid-19-a-murit-55-de-noi-imbolnaviri-inclusiv-in-randul-angajatilor-spitalului-privat-pelican-158174.html" xr:uid="{00000000-0004-0000-0000-0000360B0000}"/>
    <hyperlink ref="T1428" r:id="rId2872" display="http://www.ms.ro/2020/08/12/buletin-informativ-12-08-2020" xr:uid="{00000000-0004-0000-0000-0000370B0000}"/>
    <hyperlink ref="K1429" r:id="rId2873" display="https://www.ebihoreanul.ro/stiri/ziua-si-decesul-inca-un-bihorean-infectat-cu-covid-19-a-murit-55-de-noi-imbolnaviri-inclusiv-in-randul-angajatilor-spitalului-privat-pelican-158174.html" xr:uid="{00000000-0004-0000-0000-0000380B0000}"/>
    <hyperlink ref="T1429" r:id="rId2874" display="http://www.ms.ro/2020/08/12/buletin-informativ-12-08-2020" xr:uid="{00000000-0004-0000-0000-0000390B0000}"/>
    <hyperlink ref="K1430" r:id="rId2875" display="https://www.ebihoreanul.ro/stiri/ziua-si-decesul-inca-un-bihorean-infectat-cu-covid-19-a-murit-55-de-noi-imbolnaviri-inclusiv-in-randul-angajatilor-spitalului-privat-pelican-158174.html" xr:uid="{00000000-0004-0000-0000-00003A0B0000}"/>
    <hyperlink ref="T1430" r:id="rId2876" display="http://www.ms.ro/2020/08/12/buletin-informativ-12-08-2020" xr:uid="{00000000-0004-0000-0000-00003B0B0000}"/>
    <hyperlink ref="K1431" r:id="rId2877" display="https://www.ebihoreanul.ro/stiri/ziua-si-decesul-inca-un-bihorean-infectat-cu-covid-19-a-murit-55-de-noi-imbolnaviri-inclusiv-in-randul-angajatilor-spitalului-privat-pelican-158174.html" xr:uid="{00000000-0004-0000-0000-00003C0B0000}"/>
    <hyperlink ref="T1431" r:id="rId2878" display="http://www.ms.ro/2020/08/12/buletin-informativ-12-08-2020" xr:uid="{00000000-0004-0000-0000-00003D0B0000}"/>
    <hyperlink ref="K1432" r:id="rId2879" display="https://www.ebihoreanul.ro/stiri/ziua-si-decesul-inca-un-bihorean-infectat-cu-covid-19-a-murit-55-de-noi-imbolnaviri-inclusiv-in-randul-angajatilor-spitalului-privat-pelican-158174.html" xr:uid="{00000000-0004-0000-0000-00003E0B0000}"/>
    <hyperlink ref="T1432" r:id="rId2880" display="http://www.ms.ro/2020/08/12/buletin-informativ-12-08-2020" xr:uid="{00000000-0004-0000-0000-00003F0B0000}"/>
    <hyperlink ref="K1433" r:id="rId2881" display="https://www.ebihoreanul.ro/stiri/ziua-si-decesul-inca-un-bihorean-infectat-cu-covid-19-a-murit-55-de-noi-imbolnaviri-inclusiv-in-randul-angajatilor-spitalului-privat-pelican-158174.html" xr:uid="{00000000-0004-0000-0000-0000400B0000}"/>
    <hyperlink ref="T1433" r:id="rId2882" display="http://www.ms.ro/2020/08/12/buletin-informativ-12-08-2020" xr:uid="{00000000-0004-0000-0000-0000410B0000}"/>
    <hyperlink ref="K1434" r:id="rId2883" display="https://www.ebihoreanul.ro/stiri/ziua-si-decesul-inca-un-bihorean-infectat-cu-covid-19-a-murit-55-de-noi-imbolnaviri-inclusiv-in-randul-angajatilor-spitalului-privat-pelican-158174.html" xr:uid="{00000000-0004-0000-0000-0000420B0000}"/>
    <hyperlink ref="T1434" r:id="rId2884" display="http://www.ms.ro/2020/08/12/buletin-informativ-12-08-2020" xr:uid="{00000000-0004-0000-0000-0000430B0000}"/>
    <hyperlink ref="K1435" r:id="rId2885" display="https://www.ebihoreanul.ro/stiri/ziua-si-decesul-inca-un-bihorean-infectat-cu-covid-19-a-murit-55-de-noi-imbolnaviri-inclusiv-in-randul-angajatilor-spitalului-privat-pelican-158174.html" xr:uid="{00000000-0004-0000-0000-0000440B0000}"/>
    <hyperlink ref="T1435" r:id="rId2886" display="http://www.ms.ro/2020/08/12/buletin-informativ-12-08-2020" xr:uid="{00000000-0004-0000-0000-0000450B0000}"/>
    <hyperlink ref="K1436" r:id="rId2887" display="https://www.ebihoreanul.ro/stiri/ziua-si-decesul-inca-un-bihorean-infectat-cu-covid-19-a-murit-55-de-noi-imbolnaviri-inclusiv-in-randul-angajatilor-spitalului-privat-pelican-158174.html" xr:uid="{00000000-0004-0000-0000-0000460B0000}"/>
    <hyperlink ref="T1436" r:id="rId2888" display="http://www.ms.ro/2020/08/12/buletin-informativ-12-08-2020" xr:uid="{00000000-0004-0000-0000-0000470B0000}"/>
    <hyperlink ref="K1437" r:id="rId2889" display="https://www.ebihoreanul.ro/stiri/3-noi-decese-covid-in-bihor-si-un-nou-record-de-imbolnaviri-66-campion-judetean-este-orasul-nucet-cu-14-cazuri-noi-158195.html" xr:uid="{00000000-0004-0000-0000-0000480B0000}"/>
    <hyperlink ref="T1437" r:id="rId2890" display="http://www.ms.ro/2020/08/13/buletin-informativ-13-08-2020" xr:uid="{00000000-0004-0000-0000-0000490B0000}"/>
    <hyperlink ref="K1438" r:id="rId2891" display="https://www.ebihoreanul.ro/stiri/3-noi-decese-covid-in-bihor-si-un-nou-record-de-imbolnaviri-66-campion-judetean-este-orasul-nucet-cu-14-cazuri-noi-158195.html" xr:uid="{00000000-0004-0000-0000-00004A0B0000}"/>
    <hyperlink ref="T1438" r:id="rId2892" display="http://www.ms.ro/2020/08/13/buletin-informativ-13-08-2020" xr:uid="{00000000-0004-0000-0000-00004B0B0000}"/>
    <hyperlink ref="K1439" r:id="rId2893" display="https://www.ebihoreanul.ro/stiri/3-noi-decese-covid-in-bihor-si-un-nou-record-de-imbolnaviri-66-campion-judetean-este-orasul-nucet-cu-14-cazuri-noi-158195.html" xr:uid="{00000000-0004-0000-0000-00004C0B0000}"/>
    <hyperlink ref="T1439" r:id="rId2894" display="http://www.ms.ro/2020/08/13/buletin-informativ-13-08-2020" xr:uid="{00000000-0004-0000-0000-00004D0B0000}"/>
    <hyperlink ref="K1440" r:id="rId2895" display="https://www.ebihoreanul.ro/stiri/3-noi-decese-covid-in-bihor-si-un-nou-record-de-imbolnaviri-66-campion-judetean-este-orasul-nucet-cu-14-cazuri-noi-158195.html" xr:uid="{00000000-0004-0000-0000-00004E0B0000}"/>
    <hyperlink ref="T1440" r:id="rId2896" display="http://www.ms.ro/2020/08/13/buletin-informativ-13-08-2020" xr:uid="{00000000-0004-0000-0000-00004F0B0000}"/>
    <hyperlink ref="K1441" r:id="rId2897" display="https://www.ebihoreanul.ro/stiri/3-noi-decese-covid-in-bihor-si-un-nou-record-de-imbolnaviri-66-campion-judetean-este-orasul-nucet-cu-14-cazuri-noi-158195.html" xr:uid="{00000000-0004-0000-0000-0000500B0000}"/>
    <hyperlink ref="T1441" r:id="rId2898" display="http://www.ms.ro/2020/08/13/buletin-informativ-13-08-2020" xr:uid="{00000000-0004-0000-0000-0000510B0000}"/>
    <hyperlink ref="K1442" r:id="rId2899" display="https://www.ebihoreanul.ro/stiri/3-noi-decese-covid-in-bihor-si-un-nou-record-de-imbolnaviri-66-campion-judetean-este-orasul-nucet-cu-14-cazuri-noi-158195.html" xr:uid="{00000000-0004-0000-0000-0000520B0000}"/>
    <hyperlink ref="T1442" r:id="rId2900" display="http://www.ms.ro/2020/08/13/buletin-informativ-13-08-2020" xr:uid="{00000000-0004-0000-0000-0000530B0000}"/>
    <hyperlink ref="K1443" r:id="rId2901" display="https://www.ebihoreanul.ro/stiri/3-noi-decese-covid-in-bihor-si-un-nou-record-de-imbolnaviri-66-campion-judetean-este-orasul-nucet-cu-14-cazuri-noi-158195.html" xr:uid="{00000000-0004-0000-0000-0000540B0000}"/>
    <hyperlink ref="T1443" r:id="rId2902" display="http://www.ms.ro/2020/08/13/buletin-informativ-13-08-2020" xr:uid="{00000000-0004-0000-0000-0000550B0000}"/>
    <hyperlink ref="K1444" r:id="rId2903" display="https://www.ebihoreanul.ro/stiri/3-noi-decese-covid-in-bihor-si-un-nou-record-de-imbolnaviri-66-campion-judetean-este-orasul-nucet-cu-14-cazuri-noi-158195.html" xr:uid="{00000000-0004-0000-0000-0000560B0000}"/>
    <hyperlink ref="T1444" r:id="rId2904" display="http://www.ms.ro/2020/08/13/buletin-informativ-13-08-2020" xr:uid="{00000000-0004-0000-0000-0000570B0000}"/>
    <hyperlink ref="K1445" r:id="rId2905" display="https://www.ebihoreanul.ro/stiri/3-noi-decese-covid-in-bihor-si-un-nou-record-de-imbolnaviri-66-campion-judetean-este-orasul-nucet-cu-14-cazuri-noi-158195.html" xr:uid="{00000000-0004-0000-0000-0000580B0000}"/>
    <hyperlink ref="T1445" r:id="rId2906" display="http://www.ms.ro/2020/08/13/buletin-informativ-13-08-2020" xr:uid="{00000000-0004-0000-0000-0000590B0000}"/>
    <hyperlink ref="K1446" r:id="rId2907" display="https://www.ebihoreanul.ro/stiri/3-noi-decese-covid-in-bihor-si-un-nou-record-de-imbolnaviri-66-campion-judetean-este-orasul-nucet-cu-14-cazuri-noi-158195.html" xr:uid="{00000000-0004-0000-0000-00005A0B0000}"/>
    <hyperlink ref="T1446" r:id="rId2908" display="http://www.ms.ro/2020/08/13/buletin-informativ-13-08-2020" xr:uid="{00000000-0004-0000-0000-00005B0B0000}"/>
    <hyperlink ref="K1447" r:id="rId2909" display="https://www.ebihoreanul.ro/stiri/3-noi-decese-covid-in-bihor-si-un-nou-record-de-imbolnaviri-66-campion-judetean-este-orasul-nucet-cu-14-cazuri-noi-158195.html" xr:uid="{00000000-0004-0000-0000-00005C0B0000}"/>
    <hyperlink ref="T1447" r:id="rId2910" display="http://www.ms.ro/2020/08/13/buletin-informativ-13-08-2020" xr:uid="{00000000-0004-0000-0000-00005D0B0000}"/>
    <hyperlink ref="K1448" r:id="rId2911" display="https://www.ebihoreanul.ro/stiri/3-noi-decese-covid-in-bihor-si-un-nou-record-de-imbolnaviri-66-campion-judetean-este-orasul-nucet-cu-14-cazuri-noi-158195.html" xr:uid="{00000000-0004-0000-0000-00005E0B0000}"/>
    <hyperlink ref="T1448" r:id="rId2912" display="http://www.ms.ro/2020/08/13/buletin-informativ-13-08-2020" xr:uid="{00000000-0004-0000-0000-00005F0B0000}"/>
    <hyperlink ref="K1449" r:id="rId2913" display="https://www.ebihoreanul.ro/stiri/3-noi-decese-covid-in-bihor-si-un-nou-record-de-imbolnaviri-66-campion-judetean-este-orasul-nucet-cu-14-cazuri-noi-158195.html" xr:uid="{00000000-0004-0000-0000-0000600B0000}"/>
    <hyperlink ref="T1449" r:id="rId2914" display="http://www.ms.ro/2020/08/13/buletin-informativ-13-08-2020" xr:uid="{00000000-0004-0000-0000-0000610B0000}"/>
    <hyperlink ref="K1450" r:id="rId2915" display="https://www.ebihoreanul.ro/stiri/3-noi-decese-covid-in-bihor-si-un-nou-record-de-imbolnaviri-66-campion-judetean-este-orasul-nucet-cu-14-cazuri-noi-158195.html" xr:uid="{00000000-0004-0000-0000-0000620B0000}"/>
    <hyperlink ref="T1450" r:id="rId2916" display="http://www.ms.ro/2020/08/13/buletin-informativ-13-08-2020" xr:uid="{00000000-0004-0000-0000-0000630B0000}"/>
    <hyperlink ref="K1451" r:id="rId2917" display="https://www.ebihoreanul.ro/stiri/3-noi-decese-covid-in-bihor-si-un-nou-record-de-imbolnaviri-66-campion-judetean-este-orasul-nucet-cu-14-cazuri-noi-158195.html" xr:uid="{00000000-0004-0000-0000-0000640B0000}"/>
    <hyperlink ref="T1451" r:id="rId2918" display="http://www.ms.ro/2020/08/13/buletin-informativ-13-08-2020" xr:uid="{00000000-0004-0000-0000-0000650B0000}"/>
    <hyperlink ref="K1452" r:id="rId2919" display="https://www.ebihoreanul.ro/stiri/3-noi-decese-covid-in-bihor-si-un-nou-record-de-imbolnaviri-66-campion-judetean-este-orasul-nucet-cu-14-cazuri-noi-158195.html" xr:uid="{00000000-0004-0000-0000-0000660B0000}"/>
    <hyperlink ref="T1452" r:id="rId2920" display="http://www.ms.ro/2020/08/13/buletin-informativ-13-08-2020" xr:uid="{00000000-0004-0000-0000-0000670B0000}"/>
    <hyperlink ref="K1453" r:id="rId2921" display="https://www.ebihoreanul.ro/stiri/3-noi-decese-covid-in-bihor-si-un-nou-record-de-imbolnaviri-66-campion-judetean-este-orasul-nucet-cu-14-cazuri-noi-158195.html" xr:uid="{00000000-0004-0000-0000-0000680B0000}"/>
    <hyperlink ref="T1453" r:id="rId2922" display="http://www.ms.ro/2020/08/13/buletin-informativ-13-08-2020" xr:uid="{00000000-0004-0000-0000-0000690B0000}"/>
    <hyperlink ref="K1454" r:id="rId2923" display="https://www.ebihoreanul.ro/stiri/3-noi-decese-covid-in-bihor-si-un-nou-record-de-imbolnaviri-66-campion-judetean-este-orasul-nucet-cu-14-cazuri-noi-158195.html" xr:uid="{00000000-0004-0000-0000-00006A0B0000}"/>
    <hyperlink ref="T1454" r:id="rId2924" display="http://www.ms.ro/2020/08/13/buletin-informativ-13-08-2020" xr:uid="{00000000-0004-0000-0000-00006B0B0000}"/>
    <hyperlink ref="K1455" r:id="rId2925" display="https://www.ebihoreanul.ro/stiri/3-noi-decese-covid-in-bihor-si-un-nou-record-de-imbolnaviri-66-campion-judetean-este-orasul-nucet-cu-14-cazuri-noi-158195.html" xr:uid="{00000000-0004-0000-0000-00006C0B0000}"/>
    <hyperlink ref="T1455" r:id="rId2926" display="http://www.ms.ro/2020/08/13/buletin-informativ-13-08-2020" xr:uid="{00000000-0004-0000-0000-00006D0B0000}"/>
    <hyperlink ref="K1456" r:id="rId2927" display="https://www.ebihoreanul.ro/stiri/3-noi-decese-covid-in-bihor-si-un-nou-record-de-imbolnaviri-66-campion-judetean-este-orasul-nucet-cu-14-cazuri-noi-158195.html" xr:uid="{00000000-0004-0000-0000-00006E0B0000}"/>
    <hyperlink ref="T1456" r:id="rId2928" display="http://www.ms.ro/2020/08/13/buletin-informativ-13-08-2020" xr:uid="{00000000-0004-0000-0000-00006F0B0000}"/>
    <hyperlink ref="K1457" r:id="rId2929" display="https://www.ebihoreanul.ro/stiri/3-noi-decese-covid-in-bihor-si-un-nou-record-de-imbolnaviri-66-campion-judetean-este-orasul-nucet-cu-14-cazuri-noi-158195.html" xr:uid="{00000000-0004-0000-0000-0000700B0000}"/>
    <hyperlink ref="T1457" r:id="rId2930" display="http://www.ms.ro/2020/08/13/buletin-informativ-13-08-2020" xr:uid="{00000000-0004-0000-0000-0000710B0000}"/>
    <hyperlink ref="K1458" r:id="rId2931" display="https://www.ebihoreanul.ro/stiri/3-noi-decese-covid-in-bihor-si-un-nou-record-de-imbolnaviri-66-campion-judetean-este-orasul-nucet-cu-14-cazuri-noi-158195.html" xr:uid="{00000000-0004-0000-0000-0000720B0000}"/>
    <hyperlink ref="T1458" r:id="rId2932" display="http://www.ms.ro/2020/08/13/buletin-informativ-13-08-2020" xr:uid="{00000000-0004-0000-0000-0000730B0000}"/>
    <hyperlink ref="K1459" r:id="rId2933" display="https://www.ebihoreanul.ro/stiri/3-noi-decese-covid-in-bihor-si-un-nou-record-de-imbolnaviri-66-campion-judetean-este-orasul-nucet-cu-14-cazuri-noi-158195.html" xr:uid="{00000000-0004-0000-0000-0000740B0000}"/>
    <hyperlink ref="T1459" r:id="rId2934" display="http://www.ms.ro/2020/08/13/buletin-informativ-13-08-2020" xr:uid="{00000000-0004-0000-0000-0000750B0000}"/>
    <hyperlink ref="K1460" r:id="rId2935" display="https://www.ebihoreanul.ro/stiri/3-noi-decese-covid-in-bihor-si-un-nou-record-de-imbolnaviri-66-campion-judetean-este-orasul-nucet-cu-14-cazuri-noi-158195.html" xr:uid="{00000000-0004-0000-0000-0000760B0000}"/>
    <hyperlink ref="T1460" r:id="rId2936" display="http://www.ms.ro/2020/08/13/buletin-informativ-13-08-2020" xr:uid="{00000000-0004-0000-0000-0000770B0000}"/>
    <hyperlink ref="K1461" r:id="rId2937" display="https://www.ebihoreanul.ro/stiri/3-noi-decese-covid-in-bihor-si-un-nou-record-de-imbolnaviri-66-campion-judetean-este-orasul-nucet-cu-14-cazuri-noi-158195.html" xr:uid="{00000000-0004-0000-0000-0000780B0000}"/>
    <hyperlink ref="T1461" r:id="rId2938" display="http://www.ms.ro/2020/08/13/buletin-informativ-13-08-2020" xr:uid="{00000000-0004-0000-0000-0000790B0000}"/>
    <hyperlink ref="K1462" r:id="rId2939" display="https://www.ebihoreanul.ro/stiri/3-noi-decese-covid-in-bihor-si-un-nou-record-de-imbolnaviri-66-campion-judetean-este-orasul-nucet-cu-14-cazuri-noi-158195.html" xr:uid="{00000000-0004-0000-0000-00007A0B0000}"/>
    <hyperlink ref="T1462" r:id="rId2940" display="http://www.ms.ro/2020/08/13/buletin-informativ-13-08-2020" xr:uid="{00000000-0004-0000-0000-00007B0B0000}"/>
    <hyperlink ref="K1463" r:id="rId2941" display="https://www.ebihoreanul.ro/stiri/3-noi-decese-covid-in-bihor-si-un-nou-record-de-imbolnaviri-66-campion-judetean-este-orasul-nucet-cu-14-cazuri-noi-158195.html" xr:uid="{00000000-0004-0000-0000-00007C0B0000}"/>
    <hyperlink ref="T1463" r:id="rId2942" display="http://www.ms.ro/2020/08/13/buletin-informativ-13-08-2020" xr:uid="{00000000-0004-0000-0000-00007D0B0000}"/>
    <hyperlink ref="K1464" r:id="rId2943" display="https://www.ebihoreanul.ro/stiri/3-noi-decese-covid-in-bihor-si-un-nou-record-de-imbolnaviri-66-campion-judetean-este-orasul-nucet-cu-14-cazuri-noi-158195.html" xr:uid="{00000000-0004-0000-0000-00007E0B0000}"/>
    <hyperlink ref="T1464" r:id="rId2944" display="http://www.ms.ro/2020/08/13/buletin-informativ-13-08-2020" xr:uid="{00000000-0004-0000-0000-00007F0B0000}"/>
    <hyperlink ref="K1465" r:id="rId2945" display="https://www.ebihoreanul.ro/stiri/3-noi-decese-covid-in-bihor-si-un-nou-record-de-imbolnaviri-66-campion-judetean-este-orasul-nucet-cu-14-cazuri-noi-158195.html" xr:uid="{00000000-0004-0000-0000-0000800B0000}"/>
    <hyperlink ref="T1465" r:id="rId2946" display="http://www.ms.ro/2020/08/13/buletin-informativ-13-08-2020" xr:uid="{00000000-0004-0000-0000-0000810B0000}"/>
    <hyperlink ref="K1466" r:id="rId2947" display="https://www.ebihoreanul.ro/stiri/3-noi-decese-covid-in-bihor-si-un-nou-record-de-imbolnaviri-66-campion-judetean-este-orasul-nucet-cu-14-cazuri-noi-158195.html" xr:uid="{00000000-0004-0000-0000-0000820B0000}"/>
    <hyperlink ref="T1466" r:id="rId2948" display="http://www.ms.ro/2020/08/13/buletin-informativ-13-08-2020" xr:uid="{00000000-0004-0000-0000-0000830B0000}"/>
    <hyperlink ref="K1467" r:id="rId2949" display="https://www.ebihoreanul.ro/stiri/3-noi-decese-covid-in-bihor-si-un-nou-record-de-imbolnaviri-66-campion-judetean-este-orasul-nucet-cu-14-cazuri-noi-158195.html" xr:uid="{00000000-0004-0000-0000-0000840B0000}"/>
    <hyperlink ref="T1467" r:id="rId2950" display="http://www.ms.ro/2020/08/13/buletin-informativ-13-08-2020" xr:uid="{00000000-0004-0000-0000-0000850B0000}"/>
    <hyperlink ref="K1468" r:id="rId2951" display="https://www.ebihoreanul.ro/stiri/3-noi-decese-covid-in-bihor-si-un-nou-record-de-imbolnaviri-66-campion-judetean-este-orasul-nucet-cu-14-cazuri-noi-158195.html" xr:uid="{00000000-0004-0000-0000-0000860B0000}"/>
    <hyperlink ref="T1468" r:id="rId2952" display="http://www.ms.ro/2020/08/13/buletin-informativ-13-08-2020" xr:uid="{00000000-0004-0000-0000-0000870B0000}"/>
    <hyperlink ref="K1469" r:id="rId2953" display="https://www.ebihoreanul.ro/stiri/3-noi-decese-covid-in-bihor-si-un-nou-record-de-imbolnaviri-66-campion-judetean-este-orasul-nucet-cu-14-cazuri-noi-158195.html" xr:uid="{00000000-0004-0000-0000-0000880B0000}"/>
    <hyperlink ref="T1469" r:id="rId2954" display="http://www.ms.ro/2020/08/13/buletin-informativ-13-08-2020" xr:uid="{00000000-0004-0000-0000-0000890B0000}"/>
    <hyperlink ref="K1470" r:id="rId2955" display="https://www.ebihoreanul.ro/stiri/3-noi-decese-covid-in-bihor-si-un-nou-record-de-imbolnaviri-66-campion-judetean-este-orasul-nucet-cu-14-cazuri-noi-158195.html" xr:uid="{00000000-0004-0000-0000-00008A0B0000}"/>
    <hyperlink ref="T1470" r:id="rId2956" display="http://www.ms.ro/2020/08/13/buletin-informativ-13-08-2020" xr:uid="{00000000-0004-0000-0000-00008B0B0000}"/>
    <hyperlink ref="K1471" r:id="rId2957" display="https://www.ebihoreanul.ro/stiri/3-noi-decese-covid-in-bihor-si-un-nou-record-de-imbolnaviri-66-campion-judetean-este-orasul-nucet-cu-14-cazuri-noi-158195.html" xr:uid="{00000000-0004-0000-0000-00008C0B0000}"/>
    <hyperlink ref="T1471" r:id="rId2958" display="http://www.ms.ro/2020/08/13/buletin-informativ-13-08-2020" xr:uid="{00000000-0004-0000-0000-00008D0B0000}"/>
    <hyperlink ref="K1472" r:id="rId2959" display="https://www.ebihoreanul.ro/stiri/3-noi-decese-covid-in-bihor-si-un-nou-record-de-imbolnaviri-66-campion-judetean-este-orasul-nucet-cu-14-cazuri-noi-158195.html" xr:uid="{00000000-0004-0000-0000-00008E0B0000}"/>
    <hyperlink ref="T1472" r:id="rId2960" display="http://www.ms.ro/2020/08/13/buletin-informativ-13-08-2020" xr:uid="{00000000-0004-0000-0000-00008F0B0000}"/>
    <hyperlink ref="K1473" r:id="rId2961" display="https://www.ebihoreanul.ro/stiri/3-noi-decese-covid-in-bihor-si-un-nou-record-de-imbolnaviri-66-campion-judetean-este-orasul-nucet-cu-14-cazuri-noi-158195.html" xr:uid="{00000000-0004-0000-0000-0000900B0000}"/>
    <hyperlink ref="T1473" r:id="rId2962" display="http://www.ms.ro/2020/08/13/buletin-informativ-13-08-2020" xr:uid="{00000000-0004-0000-0000-0000910B0000}"/>
    <hyperlink ref="K1474" r:id="rId2963" display="https://www.ebihoreanul.ro/stiri/3-noi-decese-covid-in-bihor-si-un-nou-record-de-imbolnaviri-66-campion-judetean-este-orasul-nucet-cu-14-cazuri-noi-158195.html" xr:uid="{00000000-0004-0000-0000-0000920B0000}"/>
    <hyperlink ref="T1474" r:id="rId2964" display="http://www.ms.ro/2020/08/13/buletin-informativ-13-08-2020" xr:uid="{00000000-0004-0000-0000-0000930B0000}"/>
    <hyperlink ref="K1475" r:id="rId2965" display="https://www.ebihoreanul.ro/stiri/3-noi-decese-covid-in-bihor-si-un-nou-record-de-imbolnaviri-66-campion-judetean-este-orasul-nucet-cu-14-cazuri-noi-158195.html" xr:uid="{00000000-0004-0000-0000-0000940B0000}"/>
    <hyperlink ref="T1475" r:id="rId2966" display="http://www.ms.ro/2020/08/13/buletin-informativ-13-08-2020" xr:uid="{00000000-0004-0000-0000-0000950B0000}"/>
    <hyperlink ref="K1476" r:id="rId2967" display="https://www.ebihoreanul.ro/stiri/3-noi-decese-covid-in-bihor-si-un-nou-record-de-imbolnaviri-66-campion-judetean-este-orasul-nucet-cu-14-cazuri-noi-158195.html" xr:uid="{00000000-0004-0000-0000-0000960B0000}"/>
    <hyperlink ref="T1476" r:id="rId2968" display="http://www.ms.ro/2020/08/13/buletin-informativ-13-08-2020" xr:uid="{00000000-0004-0000-0000-0000970B0000}"/>
    <hyperlink ref="K1477" r:id="rId2969" display="https://www.ebihoreanul.ro/stiri/3-noi-decese-covid-in-bihor-si-un-nou-record-de-imbolnaviri-66-campion-judetean-este-orasul-nucet-cu-14-cazuri-noi-158195.html" xr:uid="{00000000-0004-0000-0000-0000980B0000}"/>
    <hyperlink ref="T1477" r:id="rId2970" display="http://www.ms.ro/2020/08/13/buletin-informativ-13-08-2020" xr:uid="{00000000-0004-0000-0000-0000990B0000}"/>
    <hyperlink ref="K1478" r:id="rId2971" display="https://www.ebihoreanul.ro/stiri/3-noi-decese-covid-in-bihor-si-un-nou-record-de-imbolnaviri-66-campion-judetean-este-orasul-nucet-cu-14-cazuri-noi-158195.html" xr:uid="{00000000-0004-0000-0000-00009A0B0000}"/>
    <hyperlink ref="T1478" r:id="rId2972" display="http://www.ms.ro/2020/08/13/buletin-informativ-13-08-2020" xr:uid="{00000000-0004-0000-0000-00009B0B0000}"/>
    <hyperlink ref="K1479" r:id="rId2973" display="https://www.ebihoreanul.ro/stiri/3-noi-decese-covid-in-bihor-si-un-nou-record-de-imbolnaviri-66-campion-judetean-este-orasul-nucet-cu-14-cazuri-noi-158195.html" xr:uid="{00000000-0004-0000-0000-00009C0B0000}"/>
    <hyperlink ref="T1479" r:id="rId2974" display="http://www.ms.ro/2020/08/13/buletin-informativ-13-08-2020" xr:uid="{00000000-0004-0000-0000-00009D0B0000}"/>
    <hyperlink ref="K1480" r:id="rId2975" display="https://www.ebihoreanul.ro/stiri/3-noi-decese-covid-in-bihor-si-un-nou-record-de-imbolnaviri-66-campion-judetean-este-orasul-nucet-cu-14-cazuri-noi-158195.html" xr:uid="{00000000-0004-0000-0000-00009E0B0000}"/>
    <hyperlink ref="T1480" r:id="rId2976" display="http://www.ms.ro/2020/08/13/buletin-informativ-13-08-2020" xr:uid="{00000000-0004-0000-0000-00009F0B0000}"/>
    <hyperlink ref="K1481" r:id="rId2977" display="https://www.ebihoreanul.ro/stiri/3-noi-decese-covid-in-bihor-si-un-nou-record-de-imbolnaviri-66-campion-judetean-este-orasul-nucet-cu-14-cazuri-noi-158195.html" xr:uid="{00000000-0004-0000-0000-0000A00B0000}"/>
    <hyperlink ref="T1481" r:id="rId2978" display="http://www.ms.ro/2020/08/13/buletin-informativ-13-08-2020" xr:uid="{00000000-0004-0000-0000-0000A10B0000}"/>
    <hyperlink ref="K1482" r:id="rId2979" display="https://www.ebihoreanul.ro/stiri/3-noi-decese-covid-in-bihor-si-un-nou-record-de-imbolnaviri-66-campion-judetean-este-orasul-nucet-cu-14-cazuri-noi-158195.html" xr:uid="{00000000-0004-0000-0000-0000A20B0000}"/>
    <hyperlink ref="T1482" r:id="rId2980" display="http://www.ms.ro/2020/08/13/buletin-informativ-13-08-2020" xr:uid="{00000000-0004-0000-0000-0000A30B0000}"/>
    <hyperlink ref="K1483" r:id="rId2981" display="https://www.ebihoreanul.ro/stiri/3-noi-decese-covid-in-bihor-si-un-nou-record-de-imbolnaviri-66-campion-judetean-este-orasul-nucet-cu-14-cazuri-noi-158195.html" xr:uid="{00000000-0004-0000-0000-0000A40B0000}"/>
    <hyperlink ref="T1483" r:id="rId2982" display="http://www.ms.ro/2020/08/13/buletin-informativ-13-08-2020" xr:uid="{00000000-0004-0000-0000-0000A50B0000}"/>
    <hyperlink ref="K1484" r:id="rId2983" display="https://www.ebihoreanul.ro/stiri/3-noi-decese-covid-in-bihor-si-un-nou-record-de-imbolnaviri-66-campion-judetean-este-orasul-nucet-cu-14-cazuri-noi-158195.html" xr:uid="{00000000-0004-0000-0000-0000A60B0000}"/>
    <hyperlink ref="T1484" r:id="rId2984" display="http://www.ms.ro/2020/08/13/buletin-informativ-13-08-2020" xr:uid="{00000000-0004-0000-0000-0000A70B0000}"/>
    <hyperlink ref="K1485" r:id="rId2985" display="https://www.ebihoreanul.ro/stiri/3-noi-decese-covid-in-bihor-si-un-nou-record-de-imbolnaviri-66-campion-judetean-este-orasul-nucet-cu-14-cazuri-noi-158195.html" xr:uid="{00000000-0004-0000-0000-0000A80B0000}"/>
    <hyperlink ref="T1485" r:id="rId2986" display="http://www.ms.ro/2020/08/13/buletin-informativ-13-08-2020" xr:uid="{00000000-0004-0000-0000-0000A90B0000}"/>
    <hyperlink ref="K1486" r:id="rId2987" display="https://www.ebihoreanul.ro/stiri/3-noi-decese-covid-in-bihor-si-un-nou-record-de-imbolnaviri-66-campion-judetean-este-orasul-nucet-cu-14-cazuri-noi-158195.html" xr:uid="{00000000-0004-0000-0000-0000AA0B0000}"/>
    <hyperlink ref="T1486" r:id="rId2988" display="http://www.ms.ro/2020/08/13/buletin-informativ-13-08-2020" xr:uid="{00000000-0004-0000-0000-0000AB0B0000}"/>
    <hyperlink ref="K1487" r:id="rId2989" display="https://www.ebihoreanul.ro/stiri/3-noi-decese-covid-in-bihor-si-un-nou-record-de-imbolnaviri-66-campion-judetean-este-orasul-nucet-cu-14-cazuri-noi-158195.html" xr:uid="{00000000-0004-0000-0000-0000AC0B0000}"/>
    <hyperlink ref="T1487" r:id="rId2990" display="http://www.ms.ro/2020/08/13/buletin-informativ-13-08-2020" xr:uid="{00000000-0004-0000-0000-0000AD0B0000}"/>
    <hyperlink ref="K1488" r:id="rId2991" display="https://www.ebihoreanul.ro/stiri/3-noi-decese-covid-in-bihor-si-un-nou-record-de-imbolnaviri-66-campion-judetean-este-orasul-nucet-cu-14-cazuri-noi-158195.html" xr:uid="{00000000-0004-0000-0000-0000AE0B0000}"/>
    <hyperlink ref="T1488" r:id="rId2992" display="http://www.ms.ro/2020/08/13/buletin-informativ-13-08-2020" xr:uid="{00000000-0004-0000-0000-0000AF0B0000}"/>
    <hyperlink ref="K1489" r:id="rId2993" display="https://www.ebihoreanul.ro/stiri/3-noi-decese-covid-in-bihor-si-un-nou-record-de-imbolnaviri-66-campion-judetean-este-orasul-nucet-cu-14-cazuri-noi-158195.html" xr:uid="{00000000-0004-0000-0000-0000B00B0000}"/>
    <hyperlink ref="T1489" r:id="rId2994" display="http://www.ms.ro/2020/08/13/buletin-informativ-13-08-2020" xr:uid="{00000000-0004-0000-0000-0000B10B0000}"/>
    <hyperlink ref="K1490" r:id="rId2995" display="https://www.ebihoreanul.ro/stiri/3-noi-decese-covid-in-bihor-si-un-nou-record-de-imbolnaviri-66-campion-judetean-este-orasul-nucet-cu-14-cazuri-noi-158195.html" xr:uid="{00000000-0004-0000-0000-0000B20B0000}"/>
    <hyperlink ref="T1490" r:id="rId2996" display="http://www.ms.ro/2020/08/13/buletin-informativ-13-08-2020" xr:uid="{00000000-0004-0000-0000-0000B30B0000}"/>
    <hyperlink ref="K1491" r:id="rId2997" display="https://www.ebihoreanul.ro/stiri/3-noi-decese-covid-in-bihor-si-un-nou-record-de-imbolnaviri-66-campion-judetean-este-orasul-nucet-cu-14-cazuri-noi-158195.html" xr:uid="{00000000-0004-0000-0000-0000B40B0000}"/>
    <hyperlink ref="T1491" r:id="rId2998" display="http://www.ms.ro/2020/08/13/buletin-informativ-13-08-2020" xr:uid="{00000000-0004-0000-0000-0000B50B0000}"/>
    <hyperlink ref="K1492" r:id="rId2999" display="https://www.ebihoreanul.ro/stiri/3-noi-decese-covid-in-bihor-si-un-nou-record-de-imbolnaviri-66-campion-judetean-este-orasul-nucet-cu-14-cazuri-noi-158195.html" xr:uid="{00000000-0004-0000-0000-0000B60B0000}"/>
    <hyperlink ref="T1492" r:id="rId3000" display="http://www.ms.ro/2020/08/13/buletin-informativ-13-08-2020" xr:uid="{00000000-0004-0000-0000-0000B70B0000}"/>
    <hyperlink ref="K1493" r:id="rId3001" display="https://www.ebihoreanul.ro/stiri/3-noi-decese-covid-in-bihor-si-un-nou-record-de-imbolnaviri-66-campion-judetean-este-orasul-nucet-cu-14-cazuri-noi-158195.html" xr:uid="{00000000-0004-0000-0000-0000B80B0000}"/>
    <hyperlink ref="T1493" r:id="rId3002" display="http://www.ms.ro/2020/08/13/buletin-informativ-13-08-2020" xr:uid="{00000000-0004-0000-0000-0000B90B0000}"/>
    <hyperlink ref="K1494" r:id="rId3003" display="https://www.ebihoreanul.ro/stiri/3-noi-decese-covid-in-bihor-si-un-nou-record-de-imbolnaviri-66-campion-judetean-este-orasul-nucet-cu-14-cazuri-noi-158195.html" xr:uid="{00000000-0004-0000-0000-0000BA0B0000}"/>
    <hyperlink ref="T1494" r:id="rId3004" display="http://www.ms.ro/2020/08/13/buletin-informativ-13-08-2020" xr:uid="{00000000-0004-0000-0000-0000BB0B0000}"/>
    <hyperlink ref="K1495" r:id="rId3005" display="https://www.ebihoreanul.ro/stiri/3-noi-decese-covid-in-bihor-si-un-nou-record-de-imbolnaviri-66-campion-judetean-este-orasul-nucet-cu-14-cazuri-noi-158195.html" xr:uid="{00000000-0004-0000-0000-0000BC0B0000}"/>
    <hyperlink ref="T1495" r:id="rId3006" display="http://www.ms.ro/2020/08/13/buletin-informativ-13-08-2020" xr:uid="{00000000-0004-0000-0000-0000BD0B0000}"/>
    <hyperlink ref="K1496" r:id="rId3007" display="https://www.ebihoreanul.ro/stiri/3-noi-decese-covid-in-bihor-si-un-nou-record-de-imbolnaviri-66-campion-judetean-este-orasul-nucet-cu-14-cazuri-noi-158195.html" xr:uid="{00000000-0004-0000-0000-0000BE0B0000}"/>
    <hyperlink ref="T1496" r:id="rId3008" display="http://www.ms.ro/2020/08/13/buletin-informativ-13-08-2020" xr:uid="{00000000-0004-0000-0000-0000BF0B0000}"/>
    <hyperlink ref="K1497" r:id="rId3009" display="https://www.ebihoreanul.ro/stiri/3-noi-decese-covid-in-bihor-si-un-nou-record-de-imbolnaviri-66-campion-judetean-este-orasul-nucet-cu-14-cazuri-noi-158195.html" xr:uid="{00000000-0004-0000-0000-0000C00B0000}"/>
    <hyperlink ref="T1497" r:id="rId3010" display="http://www.ms.ro/2020/08/13/buletin-informativ-13-08-2020" xr:uid="{00000000-0004-0000-0000-0000C10B0000}"/>
    <hyperlink ref="K1498" r:id="rId3011" display="https://www.ebihoreanul.ro/stiri/3-noi-decese-covid-in-bihor-si-un-nou-record-de-imbolnaviri-66-campion-judetean-este-orasul-nucet-cu-14-cazuri-noi-158195.html" xr:uid="{00000000-0004-0000-0000-0000C20B0000}"/>
    <hyperlink ref="T1498" r:id="rId3012" display="http://www.ms.ro/2020/08/13/buletin-informativ-13-08-2020" xr:uid="{00000000-0004-0000-0000-0000C30B0000}"/>
    <hyperlink ref="K1499" r:id="rId3013" display="https://www.ebihoreanul.ro/stiri/3-noi-decese-covid-in-bihor-si-un-nou-record-de-imbolnaviri-66-campion-judetean-este-orasul-nucet-cu-14-cazuri-noi-158195.html" xr:uid="{00000000-0004-0000-0000-0000C40B0000}"/>
    <hyperlink ref="T1499" r:id="rId3014" display="http://www.ms.ro/2020/08/13/buletin-informativ-13-08-2020" xr:uid="{00000000-0004-0000-0000-0000C50B0000}"/>
    <hyperlink ref="K1500" r:id="rId3015" display="https://www.ebihoreanul.ro/stiri/3-noi-decese-covid-in-bihor-si-un-nou-record-de-imbolnaviri-66-campion-judetean-este-orasul-nucet-cu-14-cazuri-noi-158195.html" xr:uid="{00000000-0004-0000-0000-0000C60B0000}"/>
    <hyperlink ref="T1500" r:id="rId3016" display="http://www.ms.ro/2020/08/13/buletin-informativ-13-08-2020" xr:uid="{00000000-0004-0000-0000-0000C70B0000}"/>
    <hyperlink ref="K1501" r:id="rId3017" display="https://www.ebihoreanul.ro/stiri/3-noi-decese-covid-in-bihor-si-un-nou-record-de-imbolnaviri-66-campion-judetean-este-orasul-nucet-cu-14-cazuri-noi-158195.html" xr:uid="{00000000-0004-0000-0000-0000C80B0000}"/>
    <hyperlink ref="T1501" r:id="rId3018" display="http://www.ms.ro/2020/08/13/buletin-informativ-13-08-2020" xr:uid="{00000000-0004-0000-0000-0000C90B0000}"/>
    <hyperlink ref="K1502" r:id="rId3019" display="https://www.ebihoreanul.ro/stiri/3-noi-decese-covid-in-bihor-si-un-nou-record-de-imbolnaviri-66-campion-judetean-este-orasul-nucet-cu-14-cazuri-noi-158195.html" xr:uid="{00000000-0004-0000-0000-0000CA0B0000}"/>
    <hyperlink ref="T1502" r:id="rId3020" display="http://www.ms.ro/2020/08/13/buletin-informativ-13-08-2020" xr:uid="{00000000-0004-0000-0000-0000CB0B0000}"/>
    <hyperlink ref="K1503" r:id="rId3021" display="https://www.ebihoreanul.ro/stiri/inca-56-de-cazuri-de-coronavirus-in-bihor-158211.html" xr:uid="{00000000-0004-0000-0000-0000CC0B0000}"/>
    <hyperlink ref="T1503" r:id="rId3022" display="http://www.ms.ro/2020/08/14/buletin-informativ-14-08-2020" xr:uid="{00000000-0004-0000-0000-0000CD0B0000}"/>
    <hyperlink ref="K1504" r:id="rId3023" display="https://www.ebihoreanul.ro/stiri/inca-56-de-cazuri-de-coronavirus-in-bihor-158211.html" xr:uid="{00000000-0004-0000-0000-0000CE0B0000}"/>
    <hyperlink ref="T1504" r:id="rId3024" display="http://www.ms.ro/2020/08/14/buletin-informativ-14-08-2020" xr:uid="{00000000-0004-0000-0000-0000CF0B0000}"/>
    <hyperlink ref="K1505" r:id="rId3025" display="https://www.ebihoreanul.ro/stiri/inca-56-de-cazuri-de-coronavirus-in-bihor-158211.html" xr:uid="{00000000-0004-0000-0000-0000D00B0000}"/>
    <hyperlink ref="T1505" r:id="rId3026" display="http://www.ms.ro/2020/08/14/buletin-informativ-14-08-2020" xr:uid="{00000000-0004-0000-0000-0000D10B0000}"/>
    <hyperlink ref="K1506" r:id="rId3027" display="https://www.ebihoreanul.ro/stiri/inca-56-de-cazuri-de-coronavirus-in-bihor-158211.html" xr:uid="{00000000-0004-0000-0000-0000D20B0000}"/>
    <hyperlink ref="T1506" r:id="rId3028" display="http://www.ms.ro/2020/08/14/buletin-informativ-14-08-2020" xr:uid="{00000000-0004-0000-0000-0000D30B0000}"/>
    <hyperlink ref="K1507" r:id="rId3029" display="https://www.ebihoreanul.ro/stiri/inca-56-de-cazuri-de-coronavirus-in-bihor-158211.html" xr:uid="{00000000-0004-0000-0000-0000D40B0000}"/>
    <hyperlink ref="T1507" r:id="rId3030" display="http://www.ms.ro/2020/08/14/buletin-informativ-14-08-2020" xr:uid="{00000000-0004-0000-0000-0000D50B0000}"/>
    <hyperlink ref="K1508" r:id="rId3031" display="https://www.ebihoreanul.ro/stiri/inca-56-de-cazuri-de-coronavirus-in-bihor-158211.html" xr:uid="{00000000-0004-0000-0000-0000D60B0000}"/>
    <hyperlink ref="T1508" r:id="rId3032" display="http://www.ms.ro/2020/08/14/buletin-informativ-14-08-2020" xr:uid="{00000000-0004-0000-0000-0000D70B0000}"/>
    <hyperlink ref="K1509" r:id="rId3033" display="https://www.ebihoreanul.ro/stiri/inca-56-de-cazuri-de-coronavirus-in-bihor-158211.html" xr:uid="{00000000-0004-0000-0000-0000D80B0000}"/>
    <hyperlink ref="T1509" r:id="rId3034" display="http://www.ms.ro/2020/08/14/buletin-informativ-14-08-2020" xr:uid="{00000000-0004-0000-0000-0000D90B0000}"/>
    <hyperlink ref="K1510" r:id="rId3035" display="https://www.ebihoreanul.ro/stiri/inca-56-de-cazuri-de-coronavirus-in-bihor-158211.html" xr:uid="{00000000-0004-0000-0000-0000DA0B0000}"/>
    <hyperlink ref="T1510" r:id="rId3036" display="http://www.ms.ro/2020/08/14/buletin-informativ-14-08-2020" xr:uid="{00000000-0004-0000-0000-0000DB0B0000}"/>
    <hyperlink ref="K1511" r:id="rId3037" display="https://www.ebihoreanul.ro/stiri/inca-56-de-cazuri-de-coronavirus-in-bihor-158211.html" xr:uid="{00000000-0004-0000-0000-0000DC0B0000}"/>
    <hyperlink ref="T1511" r:id="rId3038" display="http://www.ms.ro/2020/08/14/buletin-informativ-14-08-2020" xr:uid="{00000000-0004-0000-0000-0000DD0B0000}"/>
    <hyperlink ref="K1512" r:id="rId3039" display="https://www.ebihoreanul.ro/stiri/inca-56-de-cazuri-de-coronavirus-in-bihor-158211.html" xr:uid="{00000000-0004-0000-0000-0000DE0B0000}"/>
    <hyperlink ref="T1512" r:id="rId3040" display="http://www.ms.ro/2020/08/14/buletin-informativ-14-08-2020" xr:uid="{00000000-0004-0000-0000-0000DF0B0000}"/>
    <hyperlink ref="K1513" r:id="rId3041" display="https://www.ebihoreanul.ro/stiri/inca-56-de-cazuri-de-coronavirus-in-bihor-158211.html" xr:uid="{00000000-0004-0000-0000-0000E00B0000}"/>
    <hyperlink ref="T1513" r:id="rId3042" display="http://www.ms.ro/2020/08/14/buletin-informativ-14-08-2020" xr:uid="{00000000-0004-0000-0000-0000E10B0000}"/>
    <hyperlink ref="K1514" r:id="rId3043" display="https://www.ebihoreanul.ro/stiri/inca-56-de-cazuri-de-coronavirus-in-bihor-158211.html" xr:uid="{00000000-0004-0000-0000-0000E20B0000}"/>
    <hyperlink ref="T1514" r:id="rId3044" display="http://www.ms.ro/2020/08/14/buletin-informativ-14-08-2020" xr:uid="{00000000-0004-0000-0000-0000E30B0000}"/>
    <hyperlink ref="K1515" r:id="rId3045" display="https://www.ebihoreanul.ro/stiri/inca-56-de-cazuri-de-coronavirus-in-bihor-158211.html" xr:uid="{00000000-0004-0000-0000-0000E40B0000}"/>
    <hyperlink ref="T1515" r:id="rId3046" display="http://www.ms.ro/2020/08/14/buletin-informativ-14-08-2020" xr:uid="{00000000-0004-0000-0000-0000E50B0000}"/>
    <hyperlink ref="K1516" r:id="rId3047" display="https://www.ebihoreanul.ro/stiri/inca-56-de-cazuri-de-coronavirus-in-bihor-158211.html" xr:uid="{00000000-0004-0000-0000-0000E60B0000}"/>
    <hyperlink ref="T1516" r:id="rId3048" display="http://www.ms.ro/2020/08/14/buletin-informativ-14-08-2020" xr:uid="{00000000-0004-0000-0000-0000E70B0000}"/>
    <hyperlink ref="K1517" r:id="rId3049" display="https://www.ebihoreanul.ro/stiri/inca-56-de-cazuri-de-coronavirus-in-bihor-158211.html" xr:uid="{00000000-0004-0000-0000-0000E80B0000}"/>
    <hyperlink ref="T1517" r:id="rId3050" display="http://www.ms.ro/2020/08/14/buletin-informativ-14-08-2020" xr:uid="{00000000-0004-0000-0000-0000E90B0000}"/>
    <hyperlink ref="K1518" r:id="rId3051" display="https://www.ebihoreanul.ro/stiri/inca-56-de-cazuri-de-coronavirus-in-bihor-158211.html" xr:uid="{00000000-0004-0000-0000-0000EA0B0000}"/>
    <hyperlink ref="T1518" r:id="rId3052" display="http://www.ms.ro/2020/08/14/buletin-informativ-14-08-2020" xr:uid="{00000000-0004-0000-0000-0000EB0B0000}"/>
    <hyperlink ref="K1519" r:id="rId3053" display="https://www.ebihoreanul.ro/stiri/inca-56-de-cazuri-de-coronavirus-in-bihor-158211.html" xr:uid="{00000000-0004-0000-0000-0000EC0B0000}"/>
    <hyperlink ref="T1519" r:id="rId3054" display="http://www.ms.ro/2020/08/14/buletin-informativ-14-08-2020" xr:uid="{00000000-0004-0000-0000-0000ED0B0000}"/>
    <hyperlink ref="K1520" r:id="rId3055" display="https://www.ebihoreanul.ro/stiri/inca-56-de-cazuri-de-coronavirus-in-bihor-158211.html" xr:uid="{00000000-0004-0000-0000-0000EE0B0000}"/>
    <hyperlink ref="T1520" r:id="rId3056" display="http://www.ms.ro/2020/08/14/buletin-informativ-14-08-2020" xr:uid="{00000000-0004-0000-0000-0000EF0B0000}"/>
    <hyperlink ref="K1521" r:id="rId3057" display="https://www.ebihoreanul.ro/stiri/inca-56-de-cazuri-de-coronavirus-in-bihor-158211.html" xr:uid="{00000000-0004-0000-0000-0000F00B0000}"/>
    <hyperlink ref="T1521" r:id="rId3058" display="http://www.ms.ro/2020/08/14/buletin-informativ-14-08-2020" xr:uid="{00000000-0004-0000-0000-0000F10B0000}"/>
    <hyperlink ref="K1522" r:id="rId3059" display="https://www.ebihoreanul.ro/stiri/inca-56-de-cazuri-de-coronavirus-in-bihor-158211.html" xr:uid="{00000000-0004-0000-0000-0000F20B0000}"/>
    <hyperlink ref="T1522" r:id="rId3060" display="http://www.ms.ro/2020/08/14/buletin-informativ-14-08-2020" xr:uid="{00000000-0004-0000-0000-0000F30B0000}"/>
    <hyperlink ref="K1523" r:id="rId3061" display="https://www.ebihoreanul.ro/stiri/inca-56-de-cazuri-de-coronavirus-in-bihor-158211.html" xr:uid="{00000000-0004-0000-0000-0000F40B0000}"/>
    <hyperlink ref="T1523" r:id="rId3062" display="http://www.ms.ro/2020/08/14/buletin-informativ-14-08-2020" xr:uid="{00000000-0004-0000-0000-0000F50B0000}"/>
    <hyperlink ref="K1524" r:id="rId3063" display="https://www.ebihoreanul.ro/stiri/inca-56-de-cazuri-de-coronavirus-in-bihor-158211.html" xr:uid="{00000000-0004-0000-0000-0000F60B0000}"/>
    <hyperlink ref="T1524" r:id="rId3064" display="http://www.ms.ro/2020/08/14/buletin-informativ-14-08-2020" xr:uid="{00000000-0004-0000-0000-0000F70B0000}"/>
    <hyperlink ref="K1525" r:id="rId3065" display="https://www.ebihoreanul.ro/stiri/inca-56-de-cazuri-de-coronavirus-in-bihor-158211.html" xr:uid="{00000000-0004-0000-0000-0000F80B0000}"/>
    <hyperlink ref="T1525" r:id="rId3066" display="http://www.ms.ro/2020/08/14/buletin-informativ-14-08-2020" xr:uid="{00000000-0004-0000-0000-0000F90B0000}"/>
    <hyperlink ref="K1526" r:id="rId3067" display="https://www.ebihoreanul.ro/stiri/inca-56-de-cazuri-de-coronavirus-in-bihor-158211.html" xr:uid="{00000000-0004-0000-0000-0000FA0B0000}"/>
    <hyperlink ref="T1526" r:id="rId3068" display="http://www.ms.ro/2020/08/14/buletin-informativ-14-08-2020" xr:uid="{00000000-0004-0000-0000-0000FB0B0000}"/>
    <hyperlink ref="K1527" r:id="rId3069" display="https://www.ebihoreanul.ro/stiri/inca-56-de-cazuri-de-coronavirus-in-bihor-158211.html" xr:uid="{00000000-0004-0000-0000-0000FC0B0000}"/>
    <hyperlink ref="T1527" r:id="rId3070" display="http://www.ms.ro/2020/08/14/buletin-informativ-14-08-2020" xr:uid="{00000000-0004-0000-0000-0000FD0B0000}"/>
    <hyperlink ref="K1528" r:id="rId3071" display="https://www.ebihoreanul.ro/stiri/inca-56-de-cazuri-de-coronavirus-in-bihor-158211.html" xr:uid="{00000000-0004-0000-0000-0000FE0B0000}"/>
    <hyperlink ref="T1528" r:id="rId3072" display="http://www.ms.ro/2020/08/14/buletin-informativ-14-08-2020" xr:uid="{00000000-0004-0000-0000-0000FF0B0000}"/>
    <hyperlink ref="K1529" r:id="rId3073" display="https://www.ebihoreanul.ro/stiri/inca-56-de-cazuri-de-coronavirus-in-bihor-158211.html" xr:uid="{00000000-0004-0000-0000-0000000C0000}"/>
    <hyperlink ref="T1529" r:id="rId3074" display="http://www.ms.ro/2020/08/14/buletin-informativ-14-08-2020" xr:uid="{00000000-0004-0000-0000-0000010C0000}"/>
    <hyperlink ref="K1530" r:id="rId3075" display="https://www.ebihoreanul.ro/stiri/inca-56-de-cazuri-de-coronavirus-in-bihor-158211.html" xr:uid="{00000000-0004-0000-0000-0000020C0000}"/>
    <hyperlink ref="T1530" r:id="rId3076" display="http://www.ms.ro/2020/08/14/buletin-informativ-14-08-2020" xr:uid="{00000000-0004-0000-0000-0000030C0000}"/>
    <hyperlink ref="K1531" r:id="rId3077" display="https://www.ebihoreanul.ro/stiri/inca-56-de-cazuri-de-coronavirus-in-bihor-158211.html" xr:uid="{00000000-0004-0000-0000-0000040C0000}"/>
    <hyperlink ref="T1531" r:id="rId3078" display="http://www.ms.ro/2020/08/14/buletin-informativ-14-08-2020" xr:uid="{00000000-0004-0000-0000-0000050C0000}"/>
    <hyperlink ref="K1532" r:id="rId3079" display="https://www.ebihoreanul.ro/stiri/inca-56-de-cazuri-de-coronavirus-in-bihor-158211.html" xr:uid="{00000000-0004-0000-0000-0000060C0000}"/>
    <hyperlink ref="T1532" r:id="rId3080" display="http://www.ms.ro/2020/08/14/buletin-informativ-14-08-2020" xr:uid="{00000000-0004-0000-0000-0000070C0000}"/>
    <hyperlink ref="K1533" r:id="rId3081" display="https://www.ebihoreanul.ro/stiri/inca-56-de-cazuri-de-coronavirus-in-bihor-158211.html" xr:uid="{00000000-0004-0000-0000-0000080C0000}"/>
    <hyperlink ref="T1533" r:id="rId3082" display="http://www.ms.ro/2020/08/14/buletin-informativ-14-08-2020" xr:uid="{00000000-0004-0000-0000-0000090C0000}"/>
    <hyperlink ref="K1534" r:id="rId3083" display="https://www.ebihoreanul.ro/stiri/inca-56-de-cazuri-de-coronavirus-in-bihor-158211.html" xr:uid="{00000000-0004-0000-0000-00000A0C0000}"/>
    <hyperlink ref="T1534" r:id="rId3084" display="http://www.ms.ro/2020/08/14/buletin-informativ-14-08-2020" xr:uid="{00000000-0004-0000-0000-00000B0C0000}"/>
    <hyperlink ref="K1535" r:id="rId3085" display="https://www.ebihoreanul.ro/stiri/inca-56-de-cazuri-de-coronavirus-in-bihor-158211.html" xr:uid="{00000000-0004-0000-0000-00000C0C0000}"/>
    <hyperlink ref="T1535" r:id="rId3086" display="http://www.ms.ro/2020/08/14/buletin-informativ-14-08-2020" xr:uid="{00000000-0004-0000-0000-00000D0C0000}"/>
    <hyperlink ref="K1536" r:id="rId3087" display="https://www.ebihoreanul.ro/stiri/inca-56-de-cazuri-de-coronavirus-in-bihor-158211.html" xr:uid="{00000000-0004-0000-0000-00000E0C0000}"/>
    <hyperlink ref="T1536" r:id="rId3088" display="http://www.ms.ro/2020/08/14/buletin-informativ-14-08-2020" xr:uid="{00000000-0004-0000-0000-00000F0C0000}"/>
    <hyperlink ref="K1537" r:id="rId3089" display="https://www.ebihoreanul.ro/stiri/inca-56-de-cazuri-de-coronavirus-in-bihor-158211.html" xr:uid="{00000000-0004-0000-0000-0000100C0000}"/>
    <hyperlink ref="T1537" r:id="rId3090" display="http://www.ms.ro/2020/08/14/buletin-informativ-14-08-2020" xr:uid="{00000000-0004-0000-0000-0000110C0000}"/>
    <hyperlink ref="K1538" r:id="rId3091" display="https://www.ebihoreanul.ro/stiri/inca-56-de-cazuri-de-coronavirus-in-bihor-158211.html" xr:uid="{00000000-0004-0000-0000-0000120C0000}"/>
    <hyperlink ref="T1538" r:id="rId3092" display="http://www.ms.ro/2020/08/14/buletin-informativ-14-08-2020" xr:uid="{00000000-0004-0000-0000-0000130C0000}"/>
    <hyperlink ref="K1539" r:id="rId3093" display="https://www.ebihoreanul.ro/stiri/inca-56-de-cazuri-de-coronavirus-in-bihor-158211.html" xr:uid="{00000000-0004-0000-0000-0000140C0000}"/>
    <hyperlink ref="T1539" r:id="rId3094" display="http://www.ms.ro/2020/08/14/buletin-informativ-14-08-2020" xr:uid="{00000000-0004-0000-0000-0000150C0000}"/>
    <hyperlink ref="K1540" r:id="rId3095" display="https://www.ebihoreanul.ro/stiri/inca-56-de-cazuri-de-coronavirus-in-bihor-158211.html" xr:uid="{00000000-0004-0000-0000-0000160C0000}"/>
    <hyperlink ref="T1540" r:id="rId3096" display="http://www.ms.ro/2020/08/14/buletin-informativ-14-08-2020" xr:uid="{00000000-0004-0000-0000-0000170C0000}"/>
    <hyperlink ref="K1541" r:id="rId3097" display="https://www.ebihoreanul.ro/stiri/inca-56-de-cazuri-de-coronavirus-in-bihor-158211.html" xr:uid="{00000000-0004-0000-0000-0000180C0000}"/>
    <hyperlink ref="T1541" r:id="rId3098" display="http://www.ms.ro/2020/08/14/buletin-informativ-14-08-2020" xr:uid="{00000000-0004-0000-0000-0000190C0000}"/>
    <hyperlink ref="K1542" r:id="rId3099" display="https://www.ebihoreanul.ro/stiri/inca-56-de-cazuri-de-coronavirus-in-bihor-158211.html" xr:uid="{00000000-0004-0000-0000-00001A0C0000}"/>
    <hyperlink ref="T1542" r:id="rId3100" display="http://www.ms.ro/2020/08/14/buletin-informativ-14-08-2020" xr:uid="{00000000-0004-0000-0000-00001B0C0000}"/>
    <hyperlink ref="K1543" r:id="rId3101" display="https://www.ebihoreanul.ro/stiri/inca-56-de-cazuri-de-coronavirus-in-bihor-158211.html" xr:uid="{00000000-0004-0000-0000-00001C0C0000}"/>
    <hyperlink ref="T1543" r:id="rId3102" display="http://www.ms.ro/2020/08/14/buletin-informativ-14-08-2020" xr:uid="{00000000-0004-0000-0000-00001D0C0000}"/>
    <hyperlink ref="K1544" r:id="rId3103" display="https://www.ebihoreanul.ro/stiri/inca-56-de-cazuri-de-coronavirus-in-bihor-158211.html" xr:uid="{00000000-0004-0000-0000-00001E0C0000}"/>
    <hyperlink ref="T1544" r:id="rId3104" display="http://www.ms.ro/2020/08/14/buletin-informativ-14-08-2020" xr:uid="{00000000-0004-0000-0000-00001F0C0000}"/>
    <hyperlink ref="K1545" r:id="rId3105" display="https://www.ebihoreanul.ro/stiri/inca-56-de-cazuri-de-coronavirus-in-bihor-158211.html" xr:uid="{00000000-0004-0000-0000-0000200C0000}"/>
    <hyperlink ref="T1545" r:id="rId3106" display="http://www.ms.ro/2020/08/14/buletin-informativ-14-08-2020" xr:uid="{00000000-0004-0000-0000-0000210C0000}"/>
    <hyperlink ref="K1546" r:id="rId3107" display="https://www.ebihoreanul.ro/stiri/inca-56-de-cazuri-de-coronavirus-in-bihor-158211.html" xr:uid="{00000000-0004-0000-0000-0000220C0000}"/>
    <hyperlink ref="T1546" r:id="rId3108" display="http://www.ms.ro/2020/08/14/buletin-informativ-14-08-2020" xr:uid="{00000000-0004-0000-0000-0000230C0000}"/>
    <hyperlink ref="K1547" r:id="rId3109" display="https://www.ebihoreanul.ro/stiri/inca-56-de-cazuri-de-coronavirus-in-bihor-158211.html" xr:uid="{00000000-0004-0000-0000-0000240C0000}"/>
    <hyperlink ref="T1547" r:id="rId3110" display="http://www.ms.ro/2020/08/14/buletin-informativ-14-08-2020" xr:uid="{00000000-0004-0000-0000-0000250C0000}"/>
    <hyperlink ref="K1548" r:id="rId3111" display="https://www.ebihoreanul.ro/stiri/inca-56-de-cazuri-de-coronavirus-in-bihor-158211.html" xr:uid="{00000000-0004-0000-0000-0000260C0000}"/>
    <hyperlink ref="T1548" r:id="rId3112" display="http://www.ms.ro/2020/08/14/buletin-informativ-14-08-2020" xr:uid="{00000000-0004-0000-0000-0000270C0000}"/>
    <hyperlink ref="K1549" r:id="rId3113" display="https://www.ebihoreanul.ro/stiri/inca-56-de-cazuri-de-coronavirus-in-bihor-158211.html" xr:uid="{00000000-0004-0000-0000-0000280C0000}"/>
    <hyperlink ref="T1549" r:id="rId3114" display="http://www.ms.ro/2020/08/14/buletin-informativ-14-08-2020" xr:uid="{00000000-0004-0000-0000-0000290C0000}"/>
    <hyperlink ref="K1550" r:id="rId3115" display="https://www.ebihoreanul.ro/stiri/inca-56-de-cazuri-de-coronavirus-in-bihor-158211.html" xr:uid="{00000000-0004-0000-0000-00002A0C0000}"/>
    <hyperlink ref="T1550" r:id="rId3116" display="http://www.ms.ro/2020/08/14/buletin-informativ-14-08-2020" xr:uid="{00000000-0004-0000-0000-00002B0C0000}"/>
    <hyperlink ref="K1551" r:id="rId3117" display="https://www.ebihoreanul.ro/stiri/inca-56-de-cazuri-de-coronavirus-in-bihor-158211.html" xr:uid="{00000000-0004-0000-0000-00002C0C0000}"/>
    <hyperlink ref="T1551" r:id="rId3118" display="http://www.ms.ro/2020/08/14/buletin-informativ-14-08-2020" xr:uid="{00000000-0004-0000-0000-00002D0C0000}"/>
    <hyperlink ref="K1552" r:id="rId3119" display="https://www.ebihoreanul.ro/stiri/inca-56-de-cazuri-de-coronavirus-in-bihor-158211.html" xr:uid="{00000000-0004-0000-0000-00002E0C0000}"/>
    <hyperlink ref="T1552" r:id="rId3120" display="http://www.ms.ro/2020/08/14/buletin-informativ-14-08-2020" xr:uid="{00000000-0004-0000-0000-00002F0C0000}"/>
    <hyperlink ref="K1553" r:id="rId3121" display="https://www.ebihoreanul.ro/stiri/inca-56-de-cazuri-de-coronavirus-in-bihor-158211.html" xr:uid="{00000000-0004-0000-0000-0000300C0000}"/>
    <hyperlink ref="T1553" r:id="rId3122" display="http://www.ms.ro/2020/08/14/buletin-informativ-14-08-2020" xr:uid="{00000000-0004-0000-0000-0000310C0000}"/>
    <hyperlink ref="K1554" r:id="rId3123" display="https://www.ebihoreanul.ro/stiri/inca-56-de-cazuri-de-coronavirus-in-bihor-158211.html" xr:uid="{00000000-0004-0000-0000-0000320C0000}"/>
    <hyperlink ref="T1554" r:id="rId3124" display="http://www.ms.ro/2020/08/14/buletin-informativ-14-08-2020" xr:uid="{00000000-0004-0000-0000-0000330C0000}"/>
    <hyperlink ref="K1555" r:id="rId3125" display="https://www.ebihoreanul.ro/stiri/inca-56-de-cazuri-de-coronavirus-in-bihor-158211.html" xr:uid="{00000000-0004-0000-0000-0000340C0000}"/>
    <hyperlink ref="T1555" r:id="rId3126" display="http://www.ms.ro/2020/08/14/buletin-informativ-14-08-2020" xr:uid="{00000000-0004-0000-0000-0000350C0000}"/>
    <hyperlink ref="K1556" r:id="rId3127" display="https://www.ebihoreanul.ro/stiri/inca-56-de-cazuri-de-coronavirus-in-bihor-158211.html" xr:uid="{00000000-0004-0000-0000-0000360C0000}"/>
    <hyperlink ref="T1556" r:id="rId3128" display="http://www.ms.ro/2020/08/14/buletin-informativ-14-08-2020" xr:uid="{00000000-0004-0000-0000-0000370C0000}"/>
    <hyperlink ref="K1557" r:id="rId3129" display="https://www.ebihoreanul.ro/stiri/inca-56-de-cazuri-de-coronavirus-in-bihor-158211.html" xr:uid="{00000000-0004-0000-0000-0000380C0000}"/>
    <hyperlink ref="T1557" r:id="rId3130" display="http://www.ms.ro/2020/08/14/buletin-informativ-14-08-2020" xr:uid="{00000000-0004-0000-0000-0000390C0000}"/>
    <hyperlink ref="K1558" r:id="rId3131" display="https://www.ebihoreanul.ro/stiri/inca-56-de-cazuri-de-coronavirus-in-bihor-158211.html" xr:uid="{00000000-0004-0000-0000-00003A0C0000}"/>
    <hyperlink ref="T1558" r:id="rId3132" display="http://www.ms.ro/2020/08/14/buletin-informativ-14-08-2020" xr:uid="{00000000-0004-0000-0000-00003B0C0000}"/>
    <hyperlink ref="K1559" r:id="rId3133" display="https://www.ebihoreanul.ro/stiri/coronavirus-in-bihor-inca-doua-decese-inregistrate-58-de-noi-cazuri-diagnosticate-73-de-persoane-vindecate-158232.html" xr:uid="{00000000-0004-0000-0000-00003C0C0000}"/>
    <hyperlink ref="T1559" r:id="rId3134" display="http://www.ms.ro/2020/08/15/33355/" xr:uid="{00000000-0004-0000-0000-00003D0C0000}"/>
    <hyperlink ref="K1560" r:id="rId3135" display="https://www.ebihoreanul.ro/stiri/coronavirus-in-bihor-inca-doua-decese-inregistrate-58-de-noi-cazuri-diagnosticate-73-de-persoane-vindecate-158232.html" xr:uid="{00000000-0004-0000-0000-00003E0C0000}"/>
    <hyperlink ref="T1560" r:id="rId3136" display="http://www.ms.ro/2020/08/15/33355/" xr:uid="{00000000-0004-0000-0000-00003F0C0000}"/>
    <hyperlink ref="K1561" r:id="rId3137" display="https://www.ebihoreanul.ro/stiri/coronavirus-in-bihor-inca-doua-decese-inregistrate-58-de-noi-cazuri-diagnosticate-73-de-persoane-vindecate-158232.html" xr:uid="{00000000-0004-0000-0000-0000400C0000}"/>
    <hyperlink ref="T1561" r:id="rId3138" display="http://www.ms.ro/2020/08/15/33355/" xr:uid="{00000000-0004-0000-0000-0000410C0000}"/>
    <hyperlink ref="K1562" r:id="rId3139" display="https://www.ebihoreanul.ro/stiri/coronavirus-in-bihor-inca-doua-decese-inregistrate-58-de-noi-cazuri-diagnosticate-73-de-persoane-vindecate-158232.html" xr:uid="{00000000-0004-0000-0000-0000420C0000}"/>
    <hyperlink ref="T1562" r:id="rId3140" display="http://www.ms.ro/2020/08/15/33355/" xr:uid="{00000000-0004-0000-0000-0000430C0000}"/>
    <hyperlink ref="K1563" r:id="rId3141" display="https://www.ebihoreanul.ro/stiri/coronavirus-in-bihor-inca-doua-decese-inregistrate-58-de-noi-cazuri-diagnosticate-73-de-persoane-vindecate-158232.html" xr:uid="{00000000-0004-0000-0000-0000440C0000}"/>
    <hyperlink ref="T1563" r:id="rId3142" display="http://www.ms.ro/2020/08/15/33355/" xr:uid="{00000000-0004-0000-0000-0000450C0000}"/>
    <hyperlink ref="K1564" r:id="rId3143" display="https://www.ebihoreanul.ro/stiri/coronavirus-in-bihor-inca-doua-decese-inregistrate-58-de-noi-cazuri-diagnosticate-73-de-persoane-vindecate-158232.html" xr:uid="{00000000-0004-0000-0000-0000460C0000}"/>
    <hyperlink ref="T1564" r:id="rId3144" display="http://www.ms.ro/2020/08/15/33355/" xr:uid="{00000000-0004-0000-0000-0000470C0000}"/>
    <hyperlink ref="K1565" r:id="rId3145" display="https://www.ebihoreanul.ro/stiri/coronavirus-in-bihor-inca-doua-decese-inregistrate-58-de-noi-cazuri-diagnosticate-73-de-persoane-vindecate-158232.html" xr:uid="{00000000-0004-0000-0000-0000480C0000}"/>
    <hyperlink ref="T1565" r:id="rId3146" display="http://www.ms.ro/2020/08/15/33355/" xr:uid="{00000000-0004-0000-0000-0000490C0000}"/>
    <hyperlink ref="K1566" r:id="rId3147" display="https://www.ebihoreanul.ro/stiri/coronavirus-in-bihor-inca-doua-decese-inregistrate-58-de-noi-cazuri-diagnosticate-73-de-persoane-vindecate-158232.html" xr:uid="{00000000-0004-0000-0000-00004A0C0000}"/>
    <hyperlink ref="T1566" r:id="rId3148" display="http://www.ms.ro/2020/08/15/33355/" xr:uid="{00000000-0004-0000-0000-00004B0C0000}"/>
    <hyperlink ref="K1567" r:id="rId3149" display="https://www.ebihoreanul.ro/stiri/coronavirus-in-bihor-inca-doua-decese-inregistrate-58-de-noi-cazuri-diagnosticate-73-de-persoane-vindecate-158232.html" xr:uid="{00000000-0004-0000-0000-00004C0C0000}"/>
    <hyperlink ref="T1567" r:id="rId3150" display="http://www.ms.ro/2020/08/15/33355/" xr:uid="{00000000-0004-0000-0000-00004D0C0000}"/>
    <hyperlink ref="K1568" r:id="rId3151" display="https://www.ebihoreanul.ro/stiri/coronavirus-in-bihor-inca-doua-decese-inregistrate-58-de-noi-cazuri-diagnosticate-73-de-persoane-vindecate-158232.html" xr:uid="{00000000-0004-0000-0000-00004E0C0000}"/>
    <hyperlink ref="T1568" r:id="rId3152" display="http://www.ms.ro/2020/08/15/33355/" xr:uid="{00000000-0004-0000-0000-00004F0C0000}"/>
    <hyperlink ref="K1569" r:id="rId3153" display="https://www.ebihoreanul.ro/stiri/coronavirus-in-bihor-inca-doua-decese-inregistrate-58-de-noi-cazuri-diagnosticate-73-de-persoane-vindecate-158232.html" xr:uid="{00000000-0004-0000-0000-0000500C0000}"/>
    <hyperlink ref="T1569" r:id="rId3154" display="http://www.ms.ro/2020/08/15/33355/" xr:uid="{00000000-0004-0000-0000-0000510C0000}"/>
    <hyperlink ref="K1570" r:id="rId3155" display="https://www.ebihoreanul.ro/stiri/coronavirus-in-bihor-inca-doua-decese-inregistrate-58-de-noi-cazuri-diagnosticate-73-de-persoane-vindecate-158232.html" xr:uid="{00000000-0004-0000-0000-0000520C0000}"/>
    <hyperlink ref="T1570" r:id="rId3156" display="http://www.ms.ro/2020/08/15/33355/" xr:uid="{00000000-0004-0000-0000-0000530C0000}"/>
    <hyperlink ref="K1571" r:id="rId3157" display="https://www.ebihoreanul.ro/stiri/coronavirus-in-bihor-inca-doua-decese-inregistrate-58-de-noi-cazuri-diagnosticate-73-de-persoane-vindecate-158232.html" xr:uid="{00000000-0004-0000-0000-0000540C0000}"/>
    <hyperlink ref="T1571" r:id="rId3158" display="http://www.ms.ro/2020/08/15/33355/" xr:uid="{00000000-0004-0000-0000-0000550C0000}"/>
    <hyperlink ref="K1572" r:id="rId3159" display="https://www.ebihoreanul.ro/stiri/coronavirus-in-bihor-inca-doua-decese-inregistrate-58-de-noi-cazuri-diagnosticate-73-de-persoane-vindecate-158232.html" xr:uid="{00000000-0004-0000-0000-0000560C0000}"/>
    <hyperlink ref="T1572" r:id="rId3160" display="http://www.ms.ro/2020/08/15/33355/" xr:uid="{00000000-0004-0000-0000-0000570C0000}"/>
    <hyperlink ref="K1573" r:id="rId3161" display="https://www.ebihoreanul.ro/stiri/coronavirus-in-bihor-inca-doua-decese-inregistrate-58-de-noi-cazuri-diagnosticate-73-de-persoane-vindecate-158232.html" xr:uid="{00000000-0004-0000-0000-0000580C0000}"/>
    <hyperlink ref="T1573" r:id="rId3162" display="http://www.ms.ro/2020/08/15/33355/" xr:uid="{00000000-0004-0000-0000-0000590C0000}"/>
    <hyperlink ref="K1574" r:id="rId3163" display="https://www.ebihoreanul.ro/stiri/coronavirus-in-bihor-inca-doua-decese-inregistrate-58-de-noi-cazuri-diagnosticate-73-de-persoane-vindecate-158232.html" xr:uid="{00000000-0004-0000-0000-00005A0C0000}"/>
    <hyperlink ref="T1574" r:id="rId3164" display="http://www.ms.ro/2020/08/15/33355/" xr:uid="{00000000-0004-0000-0000-00005B0C0000}"/>
    <hyperlink ref="K1575" r:id="rId3165" display="https://www.ebihoreanul.ro/stiri/coronavirus-in-bihor-inca-doua-decese-inregistrate-58-de-noi-cazuri-diagnosticate-73-de-persoane-vindecate-158232.html" xr:uid="{00000000-0004-0000-0000-00005C0C0000}"/>
    <hyperlink ref="T1575" r:id="rId3166" display="http://www.ms.ro/2020/08/15/33355/" xr:uid="{00000000-0004-0000-0000-00005D0C0000}"/>
    <hyperlink ref="K1576" r:id="rId3167" display="https://www.ebihoreanul.ro/stiri/coronavirus-in-bihor-inca-doua-decese-inregistrate-58-de-noi-cazuri-diagnosticate-73-de-persoane-vindecate-158232.html" xr:uid="{00000000-0004-0000-0000-00005E0C0000}"/>
    <hyperlink ref="T1576" r:id="rId3168" display="http://www.ms.ro/2020/08/15/33355/" xr:uid="{00000000-0004-0000-0000-00005F0C0000}"/>
    <hyperlink ref="K1577" r:id="rId3169" display="https://www.ebihoreanul.ro/stiri/coronavirus-in-bihor-inca-doua-decese-inregistrate-58-de-noi-cazuri-diagnosticate-73-de-persoane-vindecate-158232.html" xr:uid="{00000000-0004-0000-0000-0000600C0000}"/>
    <hyperlink ref="T1577" r:id="rId3170" display="http://www.ms.ro/2020/08/15/33355/" xr:uid="{00000000-0004-0000-0000-0000610C0000}"/>
    <hyperlink ref="K1578" r:id="rId3171" display="https://www.ebihoreanul.ro/stiri/coronavirus-in-bihor-inca-doua-decese-inregistrate-58-de-noi-cazuri-diagnosticate-73-de-persoane-vindecate-158232.html" xr:uid="{00000000-0004-0000-0000-0000620C0000}"/>
    <hyperlink ref="T1578" r:id="rId3172" display="http://www.ms.ro/2020/08/15/33355/" xr:uid="{00000000-0004-0000-0000-0000630C0000}"/>
    <hyperlink ref="K1579" r:id="rId3173" display="https://www.ebihoreanul.ro/stiri/coronavirus-in-bihor-inca-doua-decese-inregistrate-58-de-noi-cazuri-diagnosticate-73-de-persoane-vindecate-158232.html" xr:uid="{00000000-0004-0000-0000-0000640C0000}"/>
    <hyperlink ref="T1579" r:id="rId3174" display="http://www.ms.ro/2020/08/15/33355/" xr:uid="{00000000-0004-0000-0000-0000650C0000}"/>
    <hyperlink ref="K1580" r:id="rId3175" display="https://www.ebihoreanul.ro/stiri/coronavirus-in-bihor-inca-doua-decese-inregistrate-58-de-noi-cazuri-diagnosticate-73-de-persoane-vindecate-158232.html" xr:uid="{00000000-0004-0000-0000-0000660C0000}"/>
    <hyperlink ref="T1580" r:id="rId3176" display="http://www.ms.ro/2020/08/15/33355/" xr:uid="{00000000-0004-0000-0000-0000670C0000}"/>
    <hyperlink ref="K1581" r:id="rId3177" display="https://www.ebihoreanul.ro/stiri/coronavirus-in-bihor-inca-doua-decese-inregistrate-58-de-noi-cazuri-diagnosticate-73-de-persoane-vindecate-158232.html" xr:uid="{00000000-0004-0000-0000-0000680C0000}"/>
    <hyperlink ref="T1581" r:id="rId3178" display="http://www.ms.ro/2020/08/15/33355/" xr:uid="{00000000-0004-0000-0000-0000690C0000}"/>
    <hyperlink ref="K1582" r:id="rId3179" display="https://www.ebihoreanul.ro/stiri/coronavirus-in-bihor-inca-doua-decese-inregistrate-58-de-noi-cazuri-diagnosticate-73-de-persoane-vindecate-158232.html" xr:uid="{00000000-0004-0000-0000-00006A0C0000}"/>
    <hyperlink ref="T1582" r:id="rId3180" display="http://www.ms.ro/2020/08/15/33355/" xr:uid="{00000000-0004-0000-0000-00006B0C0000}"/>
    <hyperlink ref="K1583" r:id="rId3181" display="https://www.ebihoreanul.ro/stiri/coronavirus-in-bihor-inca-doua-decese-inregistrate-58-de-noi-cazuri-diagnosticate-73-de-persoane-vindecate-158232.html" xr:uid="{00000000-0004-0000-0000-00006C0C0000}"/>
    <hyperlink ref="T1583" r:id="rId3182" display="http://www.ms.ro/2020/08/15/33355/" xr:uid="{00000000-0004-0000-0000-00006D0C0000}"/>
    <hyperlink ref="K1584" r:id="rId3183" display="https://www.ebihoreanul.ro/stiri/coronavirus-in-bihor-inca-doua-decese-inregistrate-58-de-noi-cazuri-diagnosticate-73-de-persoane-vindecate-158232.html" xr:uid="{00000000-0004-0000-0000-00006E0C0000}"/>
    <hyperlink ref="T1584" r:id="rId3184" display="http://www.ms.ro/2020/08/15/33355/" xr:uid="{00000000-0004-0000-0000-00006F0C0000}"/>
    <hyperlink ref="K1585" r:id="rId3185" display="https://www.ebihoreanul.ro/stiri/coronavirus-in-bihor-inca-doua-decese-inregistrate-58-de-noi-cazuri-diagnosticate-73-de-persoane-vindecate-158232.html" xr:uid="{00000000-0004-0000-0000-0000700C0000}"/>
    <hyperlink ref="T1585" r:id="rId3186" display="http://www.ms.ro/2020/08/15/33355/" xr:uid="{00000000-0004-0000-0000-0000710C0000}"/>
    <hyperlink ref="K1586" r:id="rId3187" display="https://www.ebihoreanul.ro/stiri/coronavirus-in-bihor-inca-doua-decese-inregistrate-58-de-noi-cazuri-diagnosticate-73-de-persoane-vindecate-158232.html" xr:uid="{00000000-0004-0000-0000-0000720C0000}"/>
    <hyperlink ref="T1586" r:id="rId3188" display="http://www.ms.ro/2020/08/15/33355/" xr:uid="{00000000-0004-0000-0000-0000730C0000}"/>
    <hyperlink ref="K1587" r:id="rId3189" display="https://www.ebihoreanul.ro/stiri/coronavirus-in-bihor-inca-doua-decese-inregistrate-58-de-noi-cazuri-diagnosticate-73-de-persoane-vindecate-158232.html" xr:uid="{00000000-0004-0000-0000-0000740C0000}"/>
    <hyperlink ref="T1587" r:id="rId3190" display="http://www.ms.ro/2020/08/15/33355/" xr:uid="{00000000-0004-0000-0000-0000750C0000}"/>
    <hyperlink ref="K1588" r:id="rId3191" display="https://www.ebihoreanul.ro/stiri/coronavirus-in-bihor-inca-doua-decese-inregistrate-58-de-noi-cazuri-diagnosticate-73-de-persoane-vindecate-158232.html" xr:uid="{00000000-0004-0000-0000-0000760C0000}"/>
    <hyperlink ref="T1588" r:id="rId3192" display="http://www.ms.ro/2020/08/15/33355/" xr:uid="{00000000-0004-0000-0000-0000770C0000}"/>
    <hyperlink ref="K1589" r:id="rId3193" display="https://www.ebihoreanul.ro/stiri/coronavirus-in-bihor-inca-doua-decese-inregistrate-58-de-noi-cazuri-diagnosticate-73-de-persoane-vindecate-158232.html" xr:uid="{00000000-0004-0000-0000-0000780C0000}"/>
    <hyperlink ref="T1589" r:id="rId3194" display="http://www.ms.ro/2020/08/15/33355/" xr:uid="{00000000-0004-0000-0000-0000790C0000}"/>
    <hyperlink ref="K1590" r:id="rId3195" display="https://www.ebihoreanul.ro/stiri/coronavirus-in-bihor-inca-doua-decese-inregistrate-58-de-noi-cazuri-diagnosticate-73-de-persoane-vindecate-158232.html" xr:uid="{00000000-0004-0000-0000-00007A0C0000}"/>
    <hyperlink ref="T1590" r:id="rId3196" display="http://www.ms.ro/2020/08/15/33355/" xr:uid="{00000000-0004-0000-0000-00007B0C0000}"/>
    <hyperlink ref="K1591" r:id="rId3197" display="https://www.ebihoreanul.ro/stiri/coronavirus-in-bihor-inca-doua-decese-inregistrate-58-de-noi-cazuri-diagnosticate-73-de-persoane-vindecate-158232.html" xr:uid="{00000000-0004-0000-0000-00007C0C0000}"/>
    <hyperlink ref="T1591" r:id="rId3198" display="http://www.ms.ro/2020/08/15/33355/" xr:uid="{00000000-0004-0000-0000-00007D0C0000}"/>
    <hyperlink ref="K1592" r:id="rId3199" display="https://www.ebihoreanul.ro/stiri/coronavirus-in-bihor-inca-doua-decese-inregistrate-58-de-noi-cazuri-diagnosticate-73-de-persoane-vindecate-158232.html" xr:uid="{00000000-0004-0000-0000-00007E0C0000}"/>
    <hyperlink ref="T1592" r:id="rId3200" display="http://www.ms.ro/2020/08/15/33355/" xr:uid="{00000000-0004-0000-0000-00007F0C0000}"/>
    <hyperlink ref="K1593" r:id="rId3201" display="https://www.hotnews.ro/stiri-coronavirus-24235881-seful-comisariatului-pentru-protectia-consumatorului-bihor-confirmat-covid-19-activitatea-institutiei-suspendata.htm" xr:uid="{00000000-0004-0000-0000-0000800C0000}"/>
    <hyperlink ref="T1593" r:id="rId3202" display="http://www.ms.ro/2020/08/15/33355/" xr:uid="{00000000-0004-0000-0000-0000810C0000}"/>
    <hyperlink ref="K1594" r:id="rId3203" display="https://www.ebihoreanul.ro/stiri/coronavirus-in-bihor-inca-doua-decese-inregistrate-58-de-noi-cazuri-diagnosticate-73-de-persoane-vindecate-158232.html" xr:uid="{00000000-0004-0000-0000-0000820C0000}"/>
    <hyperlink ref="T1594" r:id="rId3204" display="http://www.ms.ro/2020/08/15/33355/" xr:uid="{00000000-0004-0000-0000-0000830C0000}"/>
    <hyperlink ref="K1595" r:id="rId3205" display="https://www.ebihoreanul.ro/stiri/coronavirus-in-bihor-inca-doua-decese-inregistrate-58-de-noi-cazuri-diagnosticate-73-de-persoane-vindecate-158232.html" xr:uid="{00000000-0004-0000-0000-0000840C0000}"/>
    <hyperlink ref="T1595" r:id="rId3206" display="http://www.ms.ro/2020/08/15/33355/" xr:uid="{00000000-0004-0000-0000-0000850C0000}"/>
    <hyperlink ref="K1596" r:id="rId3207" display="https://www.ebihoreanul.ro/stiri/coronavirus-in-bihor-inca-doua-decese-inregistrate-58-de-noi-cazuri-diagnosticate-73-de-persoane-vindecate-158232.html" xr:uid="{00000000-0004-0000-0000-0000860C0000}"/>
    <hyperlink ref="T1596" r:id="rId3208" display="http://www.ms.ro/2020/08/15/33355/" xr:uid="{00000000-0004-0000-0000-0000870C0000}"/>
    <hyperlink ref="K1597" r:id="rId3209" display="https://www.ebihoreanul.ro/stiri/coronavirus-in-bihor-inca-doua-decese-inregistrate-58-de-noi-cazuri-diagnosticate-73-de-persoane-vindecate-158232.html" xr:uid="{00000000-0004-0000-0000-0000880C0000}"/>
    <hyperlink ref="T1597" r:id="rId3210" display="http://www.ms.ro/2020/08/15/33355/" xr:uid="{00000000-0004-0000-0000-0000890C0000}"/>
    <hyperlink ref="K1598" r:id="rId3211" display="https://www.ebihoreanul.ro/stiri/coronavirus-in-bihor-inca-doua-decese-inregistrate-58-de-noi-cazuri-diagnosticate-73-de-persoane-vindecate-158232.html" xr:uid="{00000000-0004-0000-0000-00008A0C0000}"/>
    <hyperlink ref="T1598" r:id="rId3212" display="http://www.ms.ro/2020/08/15/33355/" xr:uid="{00000000-0004-0000-0000-00008B0C0000}"/>
    <hyperlink ref="K1599" r:id="rId3213" display="https://www.ebihoreanul.ro/stiri/coronavirus-in-bihor-inca-doua-decese-inregistrate-58-de-noi-cazuri-diagnosticate-73-de-persoane-vindecate-158232.html" xr:uid="{00000000-0004-0000-0000-00008C0C0000}"/>
    <hyperlink ref="T1599" r:id="rId3214" display="http://www.ms.ro/2020/08/15/33355/" xr:uid="{00000000-0004-0000-0000-00008D0C0000}"/>
    <hyperlink ref="K1600" r:id="rId3215" display="https://www.ebihoreanul.ro/stiri/coronavirus-in-bihor-inca-doua-decese-inregistrate-58-de-noi-cazuri-diagnosticate-73-de-persoane-vindecate-158232.html" xr:uid="{00000000-0004-0000-0000-00008E0C0000}"/>
    <hyperlink ref="T1600" r:id="rId3216" display="http://www.ms.ro/2020/08/15/33355/" xr:uid="{00000000-0004-0000-0000-00008F0C0000}"/>
    <hyperlink ref="K1601" r:id="rId3217" display="https://www.ebihoreanul.ro/stiri/coronavirus-in-bihor-inca-doua-decese-inregistrate-58-de-noi-cazuri-diagnosticate-73-de-persoane-vindecate-158232.html" xr:uid="{00000000-0004-0000-0000-0000900C0000}"/>
    <hyperlink ref="T1601" r:id="rId3218" display="http://www.ms.ro/2020/08/15/33355/" xr:uid="{00000000-0004-0000-0000-0000910C0000}"/>
    <hyperlink ref="K1602" r:id="rId3219" display="https://www.ebihoreanul.ro/stiri/coronavirus-in-bihor-inca-doua-decese-inregistrate-58-de-noi-cazuri-diagnosticate-73-de-persoane-vindecate-158232.html" xr:uid="{00000000-0004-0000-0000-0000920C0000}"/>
    <hyperlink ref="T1602" r:id="rId3220" display="http://www.ms.ro/2020/08/15/33355/" xr:uid="{00000000-0004-0000-0000-0000930C0000}"/>
    <hyperlink ref="K1603" r:id="rId3221" display="https://www.ebihoreanul.ro/stiri/coronavirus-in-bihor-inca-doua-decese-inregistrate-58-de-noi-cazuri-diagnosticate-73-de-persoane-vindecate-158232.html" xr:uid="{00000000-0004-0000-0000-0000940C0000}"/>
    <hyperlink ref="T1603" r:id="rId3222" display="http://www.ms.ro/2020/08/15/33355/" xr:uid="{00000000-0004-0000-0000-0000950C0000}"/>
    <hyperlink ref="K1604" r:id="rId3223" display="https://www.ebihoreanul.ro/stiri/coronavirus-in-bihor-inca-doua-decese-inregistrate-58-de-noi-cazuri-diagnosticate-73-de-persoane-vindecate-158232.html" xr:uid="{00000000-0004-0000-0000-0000960C0000}"/>
    <hyperlink ref="T1604" r:id="rId3224" display="http://www.ms.ro/2020/08/15/33355/" xr:uid="{00000000-0004-0000-0000-0000970C0000}"/>
    <hyperlink ref="K1605" r:id="rId3225" display="https://www.ebihoreanul.ro/stiri/coronavirus-in-bihor-inca-doua-decese-inregistrate-58-de-noi-cazuri-diagnosticate-73-de-persoane-vindecate-158232.html" xr:uid="{00000000-0004-0000-0000-0000980C0000}"/>
    <hyperlink ref="T1605" r:id="rId3226" display="http://www.ms.ro/2020/08/15/33355/" xr:uid="{00000000-0004-0000-0000-0000990C0000}"/>
    <hyperlink ref="K1606" r:id="rId3227" display="https://www.ebihoreanul.ro/stiri/coronavirus-in-bihor-inca-doua-decese-inregistrate-58-de-noi-cazuri-diagnosticate-73-de-persoane-vindecate-158232.html" xr:uid="{00000000-0004-0000-0000-00009A0C0000}"/>
    <hyperlink ref="T1606" r:id="rId3228" display="http://www.ms.ro/2020/08/15/33355/" xr:uid="{00000000-0004-0000-0000-00009B0C0000}"/>
    <hyperlink ref="K1607" r:id="rId3229" display="https://www.ebihoreanul.ro/stiri/coronavirus-in-bihor-inca-doua-decese-inregistrate-58-de-noi-cazuri-diagnosticate-73-de-persoane-vindecate-158232.html" xr:uid="{00000000-0004-0000-0000-00009C0C0000}"/>
    <hyperlink ref="T1607" r:id="rId3230" display="http://www.ms.ro/2020/08/15/33355/" xr:uid="{00000000-0004-0000-0000-00009D0C0000}"/>
    <hyperlink ref="K1608" r:id="rId3231" display="https://www.ebihoreanul.ro/stiri/coronavirus-in-bihor-inca-doua-decese-inregistrate-58-de-noi-cazuri-diagnosticate-73-de-persoane-vindecate-158232.html" xr:uid="{00000000-0004-0000-0000-00009E0C0000}"/>
    <hyperlink ref="T1608" r:id="rId3232" display="http://www.ms.ro/2020/08/15/33355/" xr:uid="{00000000-0004-0000-0000-00009F0C0000}"/>
    <hyperlink ref="K1609" r:id="rId3233" display="https://www.ebihoreanul.ro/stiri/coronavirus-in-bihor-inca-doua-decese-inregistrate-58-de-noi-cazuri-diagnosticate-73-de-persoane-vindecate-158232.html" xr:uid="{00000000-0004-0000-0000-0000A00C0000}"/>
    <hyperlink ref="T1609" r:id="rId3234" display="http://www.ms.ro/2020/08/15/33355/" xr:uid="{00000000-0004-0000-0000-0000A10C0000}"/>
    <hyperlink ref="K1610" r:id="rId3235" display="https://www.ebihoreanul.ro/stiri/coronavirus-in-bihor-inca-doua-decese-inregistrate-58-de-noi-cazuri-diagnosticate-73-de-persoane-vindecate-158232.html" xr:uid="{00000000-0004-0000-0000-0000A20C0000}"/>
    <hyperlink ref="T1610" r:id="rId3236" display="http://www.ms.ro/2020/08/15/33355/" xr:uid="{00000000-0004-0000-0000-0000A30C0000}"/>
    <hyperlink ref="K1611" r:id="rId3237" display="https://www.ebihoreanul.ro/stiri/coronavirus-in-bihor-inca-doua-decese-inregistrate-58-de-noi-cazuri-diagnosticate-73-de-persoane-vindecate-158232.html" xr:uid="{00000000-0004-0000-0000-0000A40C0000}"/>
    <hyperlink ref="T1611" r:id="rId3238" display="http://www.ms.ro/2020/08/15/33355/" xr:uid="{00000000-0004-0000-0000-0000A50C0000}"/>
    <hyperlink ref="K1612" r:id="rId3239" display="https://www.ebihoreanul.ro/stiri/coronavirus-in-bihor-inca-doua-decese-inregistrate-58-de-noi-cazuri-diagnosticate-73-de-persoane-vindecate-158232.html" xr:uid="{00000000-0004-0000-0000-0000A60C0000}"/>
    <hyperlink ref="T1612" r:id="rId3240" display="http://www.ms.ro/2020/08/15/33355/" xr:uid="{00000000-0004-0000-0000-0000A70C0000}"/>
    <hyperlink ref="K1613" r:id="rId3241" display="https://www.ebihoreanul.ro/stiri/coronavirus-in-bihor-inca-doua-decese-inregistrate-58-de-noi-cazuri-diagnosticate-73-de-persoane-vindecate-158232.html" xr:uid="{00000000-0004-0000-0000-0000A80C0000}"/>
    <hyperlink ref="T1613" r:id="rId3242" display="http://www.ms.ro/2020/08/15/33355/" xr:uid="{00000000-0004-0000-0000-0000A90C0000}"/>
    <hyperlink ref="K1614" r:id="rId3243" display="https://www.ebihoreanul.ro/stiri/coronavirus-in-bihor-inca-doua-decese-inregistrate-58-de-noi-cazuri-diagnosticate-73-de-persoane-vindecate-158232.html" xr:uid="{00000000-0004-0000-0000-0000AA0C0000}"/>
    <hyperlink ref="T1614" r:id="rId3244" display="http://www.ms.ro/2020/08/15/33355/" xr:uid="{00000000-0004-0000-0000-0000AB0C0000}"/>
    <hyperlink ref="K1615" r:id="rId3245" display="https://www.ebihoreanul.ro/stiri/coronavirus-in-bihor-inca-doua-decese-inregistrate-58-de-noi-cazuri-diagnosticate-73-de-persoane-vindecate-158232.html" xr:uid="{00000000-0004-0000-0000-0000AC0C0000}"/>
    <hyperlink ref="T1615" r:id="rId3246" display="http://www.ms.ro/2020/08/15/33355/" xr:uid="{00000000-0004-0000-0000-0000AD0C0000}"/>
    <hyperlink ref="K1616" r:id="rId3247" display="https://www.ebihoreanul.ro/stiri/coronavirus-in-bihor-inca-doua-decese-inregistrate-58-de-noi-cazuri-diagnosticate-73-de-persoane-vindecate-158232.html" xr:uid="{00000000-0004-0000-0000-0000AE0C0000}"/>
    <hyperlink ref="T1616" r:id="rId3248" display="http://www.ms.ro/2020/08/15/33355/" xr:uid="{00000000-0004-0000-0000-0000AF0C0000}"/>
    <hyperlink ref="K1617" r:id="rId3249" display="https://www.ebihoreanul.ro/stiri/coronavirus-in-bihor-inca-trei-decese-inregistrate-50-de-cazuri-noi-diagnosticate-nicio-persoana-vindecata-158239.html" xr:uid="{00000000-0004-0000-0000-0000B00C0000}"/>
    <hyperlink ref="T1617" r:id="rId3250" display="http://www.ms.ro/2020/08/16/buletin-informativ-16-08-2020" xr:uid="{00000000-0004-0000-0000-0000B10C0000}"/>
    <hyperlink ref="K1618" r:id="rId3251" display="https://www.ebihoreanul.ro/stiri/coronavirus-in-bihor-inca-trei-decese-inregistrate-50-de-cazuri-noi-diagnosticate-nicio-persoana-vindecata-158239.html" xr:uid="{00000000-0004-0000-0000-0000B20C0000}"/>
    <hyperlink ref="T1618" r:id="rId3252" display="http://www.ms.ro/2020/08/16/buletin-informativ-16-08-2020" xr:uid="{00000000-0004-0000-0000-0000B30C0000}"/>
    <hyperlink ref="K1619" r:id="rId3253" display="https://www.ebihoreanul.ro/stiri/coronavirus-in-bihor-inca-trei-decese-inregistrate-50-de-cazuri-noi-diagnosticate-nicio-persoana-vindecata-158239.html" xr:uid="{00000000-0004-0000-0000-0000B40C0000}"/>
    <hyperlink ref="T1619" r:id="rId3254" display="http://www.ms.ro/2020/08/16/buletin-informativ-16-08-2020" xr:uid="{00000000-0004-0000-0000-0000B50C0000}"/>
    <hyperlink ref="K1620" r:id="rId3255" display="https://www.ebihoreanul.ro/stiri/coronavirus-in-bihor-inca-trei-decese-inregistrate-50-de-cazuri-noi-diagnosticate-nicio-persoana-vindecata-158239.html" xr:uid="{00000000-0004-0000-0000-0000B60C0000}"/>
    <hyperlink ref="T1620" r:id="rId3256" display="http://www.ms.ro/2020/08/16/buletin-informativ-16-08-2020" xr:uid="{00000000-0004-0000-0000-0000B70C0000}"/>
    <hyperlink ref="K1621" r:id="rId3257" display="https://www.ebihoreanul.ro/stiri/coronavirus-in-bihor-inca-trei-decese-inregistrate-50-de-cazuri-noi-diagnosticate-nicio-persoana-vindecata-158239.html" xr:uid="{00000000-0004-0000-0000-0000B80C0000}"/>
    <hyperlink ref="T1621" r:id="rId3258" display="http://www.ms.ro/2020/08/16/buletin-informativ-16-08-2020" xr:uid="{00000000-0004-0000-0000-0000B90C0000}"/>
    <hyperlink ref="K1622" r:id="rId3259" display="https://www.ebihoreanul.ro/stiri/coronavirus-in-bihor-inca-trei-decese-inregistrate-50-de-cazuri-noi-diagnosticate-nicio-persoana-vindecata-158239.html" xr:uid="{00000000-0004-0000-0000-0000BA0C0000}"/>
    <hyperlink ref="T1622" r:id="rId3260" display="http://www.ms.ro/2020/08/16/buletin-informativ-16-08-2020" xr:uid="{00000000-0004-0000-0000-0000BB0C0000}"/>
    <hyperlink ref="K1623" r:id="rId3261" display="https://www.ebihoreanul.ro/stiri/coronavirus-in-bihor-inca-trei-decese-inregistrate-50-de-cazuri-noi-diagnosticate-nicio-persoana-vindecata-158239.html" xr:uid="{00000000-0004-0000-0000-0000BC0C0000}"/>
    <hyperlink ref="T1623" r:id="rId3262" display="http://www.ms.ro/2020/08/16/buletin-informativ-16-08-2020" xr:uid="{00000000-0004-0000-0000-0000BD0C0000}"/>
    <hyperlink ref="K1624" r:id="rId3263" display="https://www.ebihoreanul.ro/stiri/coronavirus-in-bihor-inca-trei-decese-inregistrate-50-de-cazuri-noi-diagnosticate-nicio-persoana-vindecata-158239.html" xr:uid="{00000000-0004-0000-0000-0000BE0C0000}"/>
    <hyperlink ref="T1624" r:id="rId3264" display="http://www.ms.ro/2020/08/16/buletin-informativ-16-08-2020" xr:uid="{00000000-0004-0000-0000-0000BF0C0000}"/>
    <hyperlink ref="K1625" r:id="rId3265" display="https://www.ebihoreanul.ro/stiri/coronavirus-in-bihor-inca-trei-decese-inregistrate-50-de-cazuri-noi-diagnosticate-nicio-persoana-vindecata-158239.html" xr:uid="{00000000-0004-0000-0000-0000C00C0000}"/>
    <hyperlink ref="T1625" r:id="rId3266" display="http://www.ms.ro/2020/08/16/buletin-informativ-16-08-2020" xr:uid="{00000000-0004-0000-0000-0000C10C0000}"/>
    <hyperlink ref="K1626" r:id="rId3267" display="https://www.ebihoreanul.ro/stiri/coronavirus-in-bihor-inca-trei-decese-inregistrate-50-de-cazuri-noi-diagnosticate-nicio-persoana-vindecata-158239.html" xr:uid="{00000000-0004-0000-0000-0000C20C0000}"/>
    <hyperlink ref="T1626" r:id="rId3268" display="http://www.ms.ro/2020/08/16/buletin-informativ-16-08-2020" xr:uid="{00000000-0004-0000-0000-0000C30C0000}"/>
    <hyperlink ref="K1627" r:id="rId3269" display="https://www.ebihoreanul.ro/stiri/coronavirus-in-bihor-inca-trei-decese-inregistrate-50-de-cazuri-noi-diagnosticate-nicio-persoana-vindecata-158239.html" xr:uid="{00000000-0004-0000-0000-0000C40C0000}"/>
    <hyperlink ref="T1627" r:id="rId3270" display="http://www.ms.ro/2020/08/16/buletin-informativ-16-08-2020" xr:uid="{00000000-0004-0000-0000-0000C50C0000}"/>
    <hyperlink ref="K1628" r:id="rId3271" display="https://www.ebihoreanul.ro/stiri/coronavirus-in-bihor-inca-trei-decese-inregistrate-50-de-cazuri-noi-diagnosticate-nicio-persoana-vindecata-158239.html" xr:uid="{00000000-0004-0000-0000-0000C60C0000}"/>
    <hyperlink ref="T1628" r:id="rId3272" display="http://www.ms.ro/2020/08/16/buletin-informativ-16-08-2020" xr:uid="{00000000-0004-0000-0000-0000C70C0000}"/>
    <hyperlink ref="K1629" r:id="rId3273" display="https://www.ebihoreanul.ro/stiri/coronavirus-in-bihor-inca-trei-decese-inregistrate-50-de-cazuri-noi-diagnosticate-nicio-persoana-vindecata-158239.html" xr:uid="{00000000-0004-0000-0000-0000C80C0000}"/>
    <hyperlink ref="T1629" r:id="rId3274" display="http://www.ms.ro/2020/08/16/buletin-informativ-16-08-2020" xr:uid="{00000000-0004-0000-0000-0000C90C0000}"/>
    <hyperlink ref="K1630" r:id="rId3275" display="https://www.ebihoreanul.ro/stiri/coronavirus-in-bihor-inca-trei-decese-inregistrate-50-de-cazuri-noi-diagnosticate-nicio-persoana-vindecata-158239.html" xr:uid="{00000000-0004-0000-0000-0000CA0C0000}"/>
    <hyperlink ref="T1630" r:id="rId3276" display="http://www.ms.ro/2020/08/16/buletin-informativ-16-08-2020" xr:uid="{00000000-0004-0000-0000-0000CB0C0000}"/>
    <hyperlink ref="K1631" r:id="rId3277" display="https://www.ebihoreanul.ro/stiri/coronavirus-in-bihor-inca-trei-decese-inregistrate-50-de-cazuri-noi-diagnosticate-nicio-persoana-vindecata-158239.html" xr:uid="{00000000-0004-0000-0000-0000CC0C0000}"/>
    <hyperlink ref="T1631" r:id="rId3278" display="http://www.ms.ro/2020/08/16/buletin-informativ-16-08-2020" xr:uid="{00000000-0004-0000-0000-0000CD0C0000}"/>
    <hyperlink ref="K1632" r:id="rId3279" display="https://www.ebihoreanul.ro/stiri/coronavirus-in-bihor-inca-trei-decese-inregistrate-50-de-cazuri-noi-diagnosticate-nicio-persoana-vindecata-158239.html" xr:uid="{00000000-0004-0000-0000-0000CE0C0000}"/>
    <hyperlink ref="T1632" r:id="rId3280" display="http://www.ms.ro/2020/08/16/buletin-informativ-16-08-2020" xr:uid="{00000000-0004-0000-0000-0000CF0C0000}"/>
    <hyperlink ref="K1633" r:id="rId3281" display="https://www.ebihoreanul.ro/stiri/coronavirus-in-bihor-inca-trei-decese-inregistrate-50-de-cazuri-noi-diagnosticate-nicio-persoana-vindecata-158239.html" xr:uid="{00000000-0004-0000-0000-0000D00C0000}"/>
    <hyperlink ref="T1633" r:id="rId3282" display="http://www.ms.ro/2020/08/16/buletin-informativ-16-08-2020" xr:uid="{00000000-0004-0000-0000-0000D10C0000}"/>
    <hyperlink ref="K1634" r:id="rId3283" display="https://www.ebihoreanul.ro/stiri/coronavirus-in-bihor-inca-trei-decese-inregistrate-50-de-cazuri-noi-diagnosticate-nicio-persoana-vindecata-158239.html" xr:uid="{00000000-0004-0000-0000-0000D20C0000}"/>
    <hyperlink ref="T1634" r:id="rId3284" display="http://www.ms.ro/2020/08/16/buletin-informativ-16-08-2020" xr:uid="{00000000-0004-0000-0000-0000D30C0000}"/>
    <hyperlink ref="K1635" r:id="rId3285" display="https://www.ebihoreanul.ro/stiri/coronavirus-in-bihor-inca-trei-decese-inregistrate-50-de-cazuri-noi-diagnosticate-nicio-persoana-vindecata-158239.html" xr:uid="{00000000-0004-0000-0000-0000D40C0000}"/>
    <hyperlink ref="T1635" r:id="rId3286" display="http://www.ms.ro/2020/08/16/buletin-informativ-16-08-2020" xr:uid="{00000000-0004-0000-0000-0000D50C0000}"/>
    <hyperlink ref="K1636" r:id="rId3287" display="https://www.ebihoreanul.ro/stiri/coronavirus-in-bihor-inca-trei-decese-inregistrate-50-de-cazuri-noi-diagnosticate-nicio-persoana-vindecata-158239.html" xr:uid="{00000000-0004-0000-0000-0000D60C0000}"/>
    <hyperlink ref="T1636" r:id="rId3288" display="http://www.ms.ro/2020/08/16/buletin-informativ-16-08-2020" xr:uid="{00000000-0004-0000-0000-0000D70C0000}"/>
    <hyperlink ref="K1637" r:id="rId3289" display="https://www.ebihoreanul.ro/stiri/coronavirus-in-bihor-inca-trei-decese-inregistrate-50-de-cazuri-noi-diagnosticate-nicio-persoana-vindecata-158239.html" xr:uid="{00000000-0004-0000-0000-0000D80C0000}"/>
    <hyperlink ref="T1637" r:id="rId3290" display="http://www.ms.ro/2020/08/16/buletin-informativ-16-08-2020" xr:uid="{00000000-0004-0000-0000-0000D90C0000}"/>
    <hyperlink ref="K1638" r:id="rId3291" display="https://www.ebihoreanul.ro/stiri/coronavirus-in-bihor-inca-trei-decese-inregistrate-50-de-cazuri-noi-diagnosticate-nicio-persoana-vindecata-158239.html" xr:uid="{00000000-0004-0000-0000-0000DA0C0000}"/>
    <hyperlink ref="T1638" r:id="rId3292" display="http://www.ms.ro/2020/08/16/buletin-informativ-16-08-2020" xr:uid="{00000000-0004-0000-0000-0000DB0C0000}"/>
    <hyperlink ref="K1639" r:id="rId3293" display="https://www.ebihoreanul.ro/stiri/coronavirus-in-bihor-inca-trei-decese-inregistrate-50-de-cazuri-noi-diagnosticate-nicio-persoana-vindecata-158239.html" xr:uid="{00000000-0004-0000-0000-0000DC0C0000}"/>
    <hyperlink ref="T1639" r:id="rId3294" display="http://www.ms.ro/2020/08/16/buletin-informativ-16-08-2020" xr:uid="{00000000-0004-0000-0000-0000DD0C0000}"/>
    <hyperlink ref="K1640" r:id="rId3295" display="https://www.ebihoreanul.ro/stiri/coronavirus-in-bihor-inca-trei-decese-inregistrate-50-de-cazuri-noi-diagnosticate-nicio-persoana-vindecata-158239.html" xr:uid="{00000000-0004-0000-0000-0000DE0C0000}"/>
    <hyperlink ref="T1640" r:id="rId3296" display="http://www.ms.ro/2020/08/16/buletin-informativ-16-08-2020" xr:uid="{00000000-0004-0000-0000-0000DF0C0000}"/>
    <hyperlink ref="K1641" r:id="rId3297" display="https://www.hotnews.ro/stiri-coronavirus-24235881-seful-comisariatului-pentru-protectia-consumatorului-bihor-confirmat-covid-19-activitatea-institutiei-suspendata.htm" xr:uid="{00000000-0004-0000-0000-0000E00C0000}"/>
    <hyperlink ref="T1641" r:id="rId3298" display="http://www.ms.ro/2020/08/16/buletin-informativ-16-08-2020" xr:uid="{00000000-0004-0000-0000-0000E10C0000}"/>
    <hyperlink ref="K1642" r:id="rId3299" display="https://www.hotnews.ro/stiri-coronavirus-24235881-seful-comisariatului-pentru-protectia-consumatorului-bihor-confirmat-covid-19-activitatea-institutiei-suspendata.htm" xr:uid="{00000000-0004-0000-0000-0000E20C0000}"/>
    <hyperlink ref="T1642" r:id="rId3300" display="http://www.ms.ro/2020/08/16/buletin-informativ-16-08-2020" xr:uid="{00000000-0004-0000-0000-0000E30C0000}"/>
    <hyperlink ref="K1643" r:id="rId3301" display="https://www.ebihoreanul.ro/stiri/coronavirus-in-bihor-inca-trei-decese-inregistrate-50-de-cazuri-noi-diagnosticate-nicio-persoana-vindecata-158239.html" xr:uid="{00000000-0004-0000-0000-0000E40C0000}"/>
    <hyperlink ref="T1643" r:id="rId3302" display="http://www.ms.ro/2020/08/16/buletin-informativ-16-08-2020" xr:uid="{00000000-0004-0000-0000-0000E50C0000}"/>
    <hyperlink ref="K1644" r:id="rId3303" display="https://www.ebihoreanul.ro/stiri/coronavirus-in-bihor-inca-trei-decese-inregistrate-50-de-cazuri-noi-diagnosticate-nicio-persoana-vindecata-158239.html" xr:uid="{00000000-0004-0000-0000-0000E60C0000}"/>
    <hyperlink ref="T1644" r:id="rId3304" display="http://www.ms.ro/2020/08/16/buletin-informativ-16-08-2020" xr:uid="{00000000-0004-0000-0000-0000E70C0000}"/>
    <hyperlink ref="K1645" r:id="rId3305" display="https://www.ebihoreanul.ro/stiri/coronavirus-in-bihor-inca-trei-decese-inregistrate-50-de-cazuri-noi-diagnosticate-nicio-persoana-vindecata-158239.html" xr:uid="{00000000-0004-0000-0000-0000E80C0000}"/>
    <hyperlink ref="T1645" r:id="rId3306" display="http://www.ms.ro/2020/08/16/buletin-informativ-16-08-2020" xr:uid="{00000000-0004-0000-0000-0000E90C0000}"/>
    <hyperlink ref="K1646" r:id="rId3307" display="https://www.ebihoreanul.ro/stiri/coronavirus-in-bihor-inca-trei-decese-inregistrate-50-de-cazuri-noi-diagnosticate-nicio-persoana-vindecata-158239.html" xr:uid="{00000000-0004-0000-0000-0000EA0C0000}"/>
    <hyperlink ref="T1646" r:id="rId3308" display="http://www.ms.ro/2020/08/16/buletin-informativ-16-08-2020" xr:uid="{00000000-0004-0000-0000-0000EB0C0000}"/>
    <hyperlink ref="K1647" r:id="rId3309" display="https://www.ebihoreanul.ro/stiri/coronavirus-in-bihor-inca-trei-decese-inregistrate-50-de-cazuri-noi-diagnosticate-nicio-persoana-vindecata-158239.html" xr:uid="{00000000-0004-0000-0000-0000EC0C0000}"/>
    <hyperlink ref="T1647" r:id="rId3310" display="http://www.ms.ro/2020/08/16/buletin-informativ-16-08-2020" xr:uid="{00000000-0004-0000-0000-0000ED0C0000}"/>
    <hyperlink ref="K1648" r:id="rId3311" display="https://www.ebihoreanul.ro/stiri/coronavirus-in-bihor-inca-trei-decese-inregistrate-50-de-cazuri-noi-diagnosticate-nicio-persoana-vindecata-158239.html" xr:uid="{00000000-0004-0000-0000-0000EE0C0000}"/>
    <hyperlink ref="T1648" r:id="rId3312" display="http://www.ms.ro/2020/08/16/buletin-informativ-16-08-2020" xr:uid="{00000000-0004-0000-0000-0000EF0C0000}"/>
    <hyperlink ref="K1649" r:id="rId3313" display="https://www.ebihoreanul.ro/stiri/coronavirus-in-bihor-inca-trei-decese-inregistrate-50-de-cazuri-noi-diagnosticate-nicio-persoana-vindecata-158239.html" xr:uid="{00000000-0004-0000-0000-0000F00C0000}"/>
    <hyperlink ref="T1649" r:id="rId3314" display="http://www.ms.ro/2020/08/16/buletin-informativ-16-08-2020" xr:uid="{00000000-0004-0000-0000-0000F10C0000}"/>
    <hyperlink ref="K1650" r:id="rId3315" display="https://www.ebihoreanul.ro/stiri/coronavirus-in-bihor-inca-trei-decese-inregistrate-50-de-cazuri-noi-diagnosticate-nicio-persoana-vindecata-158239.html" xr:uid="{00000000-0004-0000-0000-0000F20C0000}"/>
    <hyperlink ref="T1650" r:id="rId3316" display="http://www.ms.ro/2020/08/16/buletin-informativ-16-08-2020" xr:uid="{00000000-0004-0000-0000-0000F30C0000}"/>
    <hyperlink ref="K1651" r:id="rId3317" display="https://www.ebihoreanul.ro/stiri/coronavirus-in-bihor-inca-trei-decese-inregistrate-50-de-cazuri-noi-diagnosticate-nicio-persoana-vindecata-158239.html" xr:uid="{00000000-0004-0000-0000-0000F40C0000}"/>
    <hyperlink ref="T1651" r:id="rId3318" display="http://www.ms.ro/2020/08/16/buletin-informativ-16-08-2020" xr:uid="{00000000-0004-0000-0000-0000F50C0000}"/>
    <hyperlink ref="K1652" r:id="rId3319" display="https://www.ebihoreanul.ro/stiri/coronavirus-in-bihor-inca-trei-decese-inregistrate-50-de-cazuri-noi-diagnosticate-nicio-persoana-vindecata-158239.html" xr:uid="{00000000-0004-0000-0000-0000F60C0000}"/>
    <hyperlink ref="T1652" r:id="rId3320" display="http://www.ms.ro/2020/08/16/buletin-informativ-16-08-2020" xr:uid="{00000000-0004-0000-0000-0000F70C0000}"/>
    <hyperlink ref="K1653" r:id="rId3321" display="https://www.ebihoreanul.ro/stiri/coronavirus-in-bihor-inca-trei-decese-inregistrate-50-de-cazuri-noi-diagnosticate-nicio-persoana-vindecata-158239.html" xr:uid="{00000000-0004-0000-0000-0000F80C0000}"/>
    <hyperlink ref="T1653" r:id="rId3322" display="http://www.ms.ro/2020/08/16/buletin-informativ-16-08-2020" xr:uid="{00000000-0004-0000-0000-0000F90C0000}"/>
    <hyperlink ref="K1654" r:id="rId3323" display="https://www.ebihoreanul.ro/stiri/coronavirus-in-bihor-inca-trei-decese-inregistrate-50-de-cazuri-noi-diagnosticate-nicio-persoana-vindecata-158239.html" xr:uid="{00000000-0004-0000-0000-0000FA0C0000}"/>
    <hyperlink ref="T1654" r:id="rId3324" display="http://www.ms.ro/2020/08/16/buletin-informativ-16-08-2020" xr:uid="{00000000-0004-0000-0000-0000FB0C0000}"/>
    <hyperlink ref="K1655" r:id="rId3325" display="https://www.ebihoreanul.ro/stiri/coronavirus-in-bihor-inca-trei-decese-inregistrate-50-de-cazuri-noi-diagnosticate-nicio-persoana-vindecata-158239.html" xr:uid="{00000000-0004-0000-0000-0000FC0C0000}"/>
    <hyperlink ref="T1655" r:id="rId3326" display="http://www.ms.ro/2020/08/16/buletin-informativ-16-08-2020" xr:uid="{00000000-0004-0000-0000-0000FD0C0000}"/>
    <hyperlink ref="K1656" r:id="rId3327" display="https://www.ebihoreanul.ro/stiri/coronavirus-in-bihor-inca-trei-decese-inregistrate-50-de-cazuri-noi-diagnosticate-nicio-persoana-vindecata-158239.html" xr:uid="{00000000-0004-0000-0000-0000FE0C0000}"/>
    <hyperlink ref="T1656" r:id="rId3328" display="http://www.ms.ro/2020/08/16/buletin-informativ-16-08-2020" xr:uid="{00000000-0004-0000-0000-0000FF0C0000}"/>
    <hyperlink ref="K1657" r:id="rId3329" display="https://www.ebihoreanul.ro/stiri/coronavirus-in-bihor-inca-trei-decese-inregistrate-50-de-cazuri-noi-diagnosticate-nicio-persoana-vindecata-158239.html" xr:uid="{00000000-0004-0000-0000-0000000D0000}"/>
    <hyperlink ref="T1657" r:id="rId3330" display="http://www.ms.ro/2020/08/16/buletin-informativ-16-08-2020" xr:uid="{00000000-0004-0000-0000-0000010D0000}"/>
    <hyperlink ref="K1658" r:id="rId3331" display="https://www.ebihoreanul.ro/stiri/coronavirus-in-bihor-inca-trei-decese-inregistrate-50-de-cazuri-noi-diagnosticate-nicio-persoana-vindecata-158239.html" xr:uid="{00000000-0004-0000-0000-0000020D0000}"/>
    <hyperlink ref="T1658" r:id="rId3332" display="http://www.ms.ro/2020/08/16/buletin-informativ-16-08-2020" xr:uid="{00000000-0004-0000-0000-0000030D0000}"/>
    <hyperlink ref="K1659" r:id="rId3333" display="https://www.ebihoreanul.ro/stiri/coronavirus-in-bihor-inca-trei-decese-inregistrate-50-de-cazuri-noi-diagnosticate-nicio-persoana-vindecata-158239.html" xr:uid="{00000000-0004-0000-0000-0000040D0000}"/>
    <hyperlink ref="T1659" r:id="rId3334" display="http://www.ms.ro/2020/08/16/buletin-informativ-16-08-2020" xr:uid="{00000000-0004-0000-0000-0000050D0000}"/>
    <hyperlink ref="K1660" r:id="rId3335" display="https://www.ebihoreanul.ro/stiri/coronavirus-in-bihor-inca-trei-decese-inregistrate-50-de-cazuri-noi-diagnosticate-nicio-persoana-vindecata-158239.html" xr:uid="{00000000-0004-0000-0000-0000060D0000}"/>
    <hyperlink ref="T1660" r:id="rId3336" display="http://www.ms.ro/2020/08/16/buletin-informativ-16-08-2020" xr:uid="{00000000-0004-0000-0000-0000070D0000}"/>
    <hyperlink ref="K1661" r:id="rId3337" display="https://www.ebihoreanul.ro/stiri/coronavirus-in-bihor-inca-trei-decese-inregistrate-50-de-cazuri-noi-diagnosticate-nicio-persoana-vindecata-158239.html" xr:uid="{00000000-0004-0000-0000-0000080D0000}"/>
    <hyperlink ref="T1661" r:id="rId3338" display="http://www.ms.ro/2020/08/16/buletin-informativ-16-08-2020" xr:uid="{00000000-0004-0000-0000-0000090D0000}"/>
    <hyperlink ref="K1662" r:id="rId3339" display="https://www.ebihoreanul.ro/stiri/coronavirus-in-bihor-inca-trei-decese-inregistrate-50-de-cazuri-noi-diagnosticate-nicio-persoana-vindecata-158239.html" xr:uid="{00000000-0004-0000-0000-00000A0D0000}"/>
    <hyperlink ref="T1662" r:id="rId3340" display="http://www.ms.ro/2020/08/16/buletin-informativ-16-08-2020" xr:uid="{00000000-0004-0000-0000-00000B0D0000}"/>
    <hyperlink ref="K1663" r:id="rId3341" display="https://www.ebihoreanul.ro/stiri/coronavirus-in-bihor-inca-trei-decese-inregistrate-50-de-cazuri-noi-diagnosticate-nicio-persoana-vindecata-158239.html" xr:uid="{00000000-0004-0000-0000-00000C0D0000}"/>
    <hyperlink ref="T1663" r:id="rId3342" display="http://www.ms.ro/2020/08/16/buletin-informativ-16-08-2020" xr:uid="{00000000-0004-0000-0000-00000D0D0000}"/>
    <hyperlink ref="K1664" r:id="rId3343" display="https://www.ebihoreanul.ro/stiri/coronavirus-in-bihor-inca-trei-decese-inregistrate-50-de-cazuri-noi-diagnosticate-nicio-persoana-vindecata-158239.html" xr:uid="{00000000-0004-0000-0000-00000E0D0000}"/>
    <hyperlink ref="T1664" r:id="rId3344" display="http://www.ms.ro/2020/08/16/buletin-informativ-16-08-2020" xr:uid="{00000000-0004-0000-0000-00000F0D0000}"/>
    <hyperlink ref="K1665" r:id="rId3345" display="https://www.ebihoreanul.ro/stiri/coronavirus-in-bihor-inca-trei-decese-inregistrate-50-de-cazuri-noi-diagnosticate-nicio-persoana-vindecata-158239.html" xr:uid="{00000000-0004-0000-0000-0000100D0000}"/>
    <hyperlink ref="T1665" r:id="rId3346" display="http://www.ms.ro/2020/08/16/buletin-informativ-16-08-2020" xr:uid="{00000000-0004-0000-0000-0000110D0000}"/>
    <hyperlink ref="K1666" r:id="rId3347" display="https://www.ebihoreanul.ro/stiri/coronavirus-in-bihor-inca-trei-decese-inregistrate-50-de-cazuri-noi-diagnosticate-nicio-persoana-vindecata-158239.html" xr:uid="{00000000-0004-0000-0000-0000120D0000}"/>
    <hyperlink ref="T1666" r:id="rId3348" display="http://www.ms.ro/2020/08/16/buletin-informativ-16-08-2020" xr:uid="{00000000-0004-0000-0000-0000130D0000}"/>
    <hyperlink ref="K1667" r:id="rId3349" display="https://www.ebihoreanul.ro/stiri/dupa-doua-saptamani-numarul-imbolnavirilor-covid-scade-in-bihor-31-noi-infectari-dar-si-un-deces-158256.html" xr:uid="{00000000-0004-0000-0000-0000140D0000}"/>
    <hyperlink ref="T1667" r:id="rId3350" display="http://www.ms.ro/2020/08/17/buletin-informativ-17-08-2020" xr:uid="{00000000-0004-0000-0000-0000150D0000}"/>
    <hyperlink ref="K1668" r:id="rId3351" display="https://www.ebihoreanul.ro/stiri/dupa-doua-saptamani-numarul-imbolnavirilor-covid-scade-in-bihor-31-noi-infectari-dar-si-un-deces-158256.html" xr:uid="{00000000-0004-0000-0000-0000160D0000}"/>
    <hyperlink ref="T1668" r:id="rId3352" display="http://www.ms.ro/2020/08/17/buletin-informativ-17-08-2020" xr:uid="{00000000-0004-0000-0000-0000170D0000}"/>
    <hyperlink ref="K1669" r:id="rId3353" display="https://www.ebihoreanul.ro/stiri/dupa-doua-saptamani-numarul-imbolnavirilor-covid-scade-in-bihor-31-noi-infectari-dar-si-un-deces-158256.html" xr:uid="{00000000-0004-0000-0000-0000180D0000}"/>
    <hyperlink ref="T1669" r:id="rId3354" display="http://www.ms.ro/2020/08/17/buletin-informativ-17-08-2020" xr:uid="{00000000-0004-0000-0000-0000190D0000}"/>
    <hyperlink ref="K1670" r:id="rId3355" display="https://www.ebihoreanul.ro/stiri/dupa-doua-saptamani-numarul-imbolnavirilor-covid-scade-in-bihor-31-noi-infectari-dar-si-un-deces-158256.html" xr:uid="{00000000-0004-0000-0000-00001A0D0000}"/>
    <hyperlink ref="T1670" r:id="rId3356" display="http://www.ms.ro/2020/08/17/buletin-informativ-17-08-2020" xr:uid="{00000000-0004-0000-0000-00001B0D0000}"/>
    <hyperlink ref="K1671" r:id="rId3357" display="https://www.ebihoreanul.ro/stiri/dupa-doua-saptamani-numarul-imbolnavirilor-covid-scade-in-bihor-31-noi-infectari-dar-si-un-deces-158256.html" xr:uid="{00000000-0004-0000-0000-00001C0D0000}"/>
    <hyperlink ref="T1671" r:id="rId3358" display="http://www.ms.ro/2020/08/17/buletin-informativ-17-08-2020" xr:uid="{00000000-0004-0000-0000-00001D0D0000}"/>
    <hyperlink ref="K1672" r:id="rId3359" display="https://www.ebihoreanul.ro/stiri/dupa-doua-saptamani-numarul-imbolnavirilor-covid-scade-in-bihor-31-noi-infectari-dar-si-un-deces-158256.html" xr:uid="{00000000-0004-0000-0000-00001E0D0000}"/>
    <hyperlink ref="T1672" r:id="rId3360" display="http://www.ms.ro/2020/08/17/buletin-informativ-17-08-2020" xr:uid="{00000000-0004-0000-0000-00001F0D0000}"/>
    <hyperlink ref="K1673" r:id="rId3361" display="https://www.ebihoreanul.ro/stiri/dupa-doua-saptamani-numarul-imbolnavirilor-covid-scade-in-bihor-31-noi-infectari-dar-si-un-deces-158256.html" xr:uid="{00000000-0004-0000-0000-0000200D0000}"/>
    <hyperlink ref="T1673" r:id="rId3362" display="http://www.ms.ro/2020/08/17/buletin-informativ-17-08-2020" xr:uid="{00000000-0004-0000-0000-0000210D0000}"/>
    <hyperlink ref="K1674" r:id="rId3363" display="https://www.ebihoreanul.ro/stiri/dupa-doua-saptamani-numarul-imbolnavirilor-covid-scade-in-bihor-31-noi-infectari-dar-si-un-deces-158256.html" xr:uid="{00000000-0004-0000-0000-0000220D0000}"/>
    <hyperlink ref="T1674" r:id="rId3364" display="http://www.ms.ro/2020/08/17/buletin-informativ-17-08-2020" xr:uid="{00000000-0004-0000-0000-0000230D0000}"/>
    <hyperlink ref="K1675" r:id="rId3365" display="https://www.ebihoreanul.ro/stiri/dupa-doua-saptamani-numarul-imbolnavirilor-covid-scade-in-bihor-31-noi-infectari-dar-si-un-deces-158256.html" xr:uid="{00000000-0004-0000-0000-0000240D0000}"/>
    <hyperlink ref="T1675" r:id="rId3366" display="http://www.ms.ro/2020/08/17/buletin-informativ-17-08-2020" xr:uid="{00000000-0004-0000-0000-0000250D0000}"/>
    <hyperlink ref="K1676" r:id="rId3367" display="https://www.ebihoreanul.ro/stiri/dupa-doua-saptamani-numarul-imbolnavirilor-covid-scade-in-bihor-31-noi-infectari-dar-si-un-deces-158256.html" xr:uid="{00000000-0004-0000-0000-0000260D0000}"/>
    <hyperlink ref="T1676" r:id="rId3368" display="http://www.ms.ro/2020/08/17/buletin-informativ-17-08-2020" xr:uid="{00000000-0004-0000-0000-0000270D0000}"/>
    <hyperlink ref="K1677" r:id="rId3369" display="https://www.ebihoreanul.ro/stiri/dupa-doua-saptamani-numarul-imbolnavirilor-covid-scade-in-bihor-31-noi-infectari-dar-si-un-deces-158256.html" xr:uid="{00000000-0004-0000-0000-0000280D0000}"/>
    <hyperlink ref="T1677" r:id="rId3370" display="http://www.ms.ro/2020/08/17/buletin-informativ-17-08-2020" xr:uid="{00000000-0004-0000-0000-0000290D0000}"/>
    <hyperlink ref="K1678" r:id="rId3371" display="https://www.ebihoreanul.ro/stiri/dupa-doua-saptamani-numarul-imbolnavirilor-covid-scade-in-bihor-31-noi-infectari-dar-si-un-deces-158256.html" xr:uid="{00000000-0004-0000-0000-00002A0D0000}"/>
    <hyperlink ref="T1678" r:id="rId3372" display="http://www.ms.ro/2020/08/17/buletin-informativ-17-08-2020" xr:uid="{00000000-0004-0000-0000-00002B0D0000}"/>
    <hyperlink ref="K1679" r:id="rId3373" display="https://www.ebihoreanul.ro/stiri/dupa-doua-saptamani-numarul-imbolnavirilor-covid-scade-in-bihor-31-noi-infectari-dar-si-un-deces-158256.html" xr:uid="{00000000-0004-0000-0000-00002C0D0000}"/>
    <hyperlink ref="T1679" r:id="rId3374" display="http://www.ms.ro/2020/08/17/buletin-informativ-17-08-2020" xr:uid="{00000000-0004-0000-0000-00002D0D0000}"/>
    <hyperlink ref="K1680" r:id="rId3375" display="https://www.ebihoreanul.ro/stiri/dupa-doua-saptamani-numarul-imbolnavirilor-covid-scade-in-bihor-31-noi-infectari-dar-si-un-deces-158256.html" xr:uid="{00000000-0004-0000-0000-00002E0D0000}"/>
    <hyperlink ref="T1680" r:id="rId3376" display="http://www.ms.ro/2020/08/17/buletin-informativ-17-08-2020" xr:uid="{00000000-0004-0000-0000-00002F0D0000}"/>
    <hyperlink ref="K1681" r:id="rId3377" display="https://www.ebihoreanul.ro/stiri/dupa-doua-saptamani-numarul-imbolnavirilor-covid-scade-in-bihor-31-noi-infectari-dar-si-un-deces-158256.html" xr:uid="{00000000-0004-0000-0000-0000300D0000}"/>
    <hyperlink ref="T1681" r:id="rId3378" display="http://www.ms.ro/2020/08/17/buletin-informativ-17-08-2020" xr:uid="{00000000-0004-0000-0000-0000310D0000}"/>
    <hyperlink ref="K1682" r:id="rId3379" display="https://www.ebihoreanul.ro/stiri/dupa-doua-saptamani-numarul-imbolnavirilor-covid-scade-in-bihor-31-noi-infectari-dar-si-un-deces-158256.html" xr:uid="{00000000-0004-0000-0000-0000320D0000}"/>
    <hyperlink ref="T1682" r:id="rId3380" display="http://www.ms.ro/2020/08/17/buletin-informativ-17-08-2020" xr:uid="{00000000-0004-0000-0000-0000330D0000}"/>
    <hyperlink ref="K1683" r:id="rId3381" display="https://www.ebihoreanul.ro/stiri/dupa-doua-saptamani-numarul-imbolnavirilor-covid-scade-in-bihor-31-noi-infectari-dar-si-un-deces-158256.html" xr:uid="{00000000-0004-0000-0000-0000340D0000}"/>
    <hyperlink ref="T1683" r:id="rId3382" display="http://www.ms.ro/2020/08/17/buletin-informativ-17-08-2020" xr:uid="{00000000-0004-0000-0000-0000350D0000}"/>
    <hyperlink ref="K1684" r:id="rId3383" display="https://www.ebihoreanul.ro/stiri/dupa-doua-saptamani-numarul-imbolnavirilor-covid-scade-in-bihor-31-noi-infectari-dar-si-un-deces-158256.html" xr:uid="{00000000-0004-0000-0000-0000360D0000}"/>
    <hyperlink ref="T1684" r:id="rId3384" display="http://www.ms.ro/2020/08/17/buletin-informativ-17-08-2020" xr:uid="{00000000-0004-0000-0000-0000370D0000}"/>
    <hyperlink ref="K1685" r:id="rId3385" display="https://www.ebihoreanul.ro/stiri/dupa-doua-saptamani-numarul-imbolnavirilor-covid-scade-in-bihor-31-noi-infectari-dar-si-un-deces-158256.html" xr:uid="{00000000-0004-0000-0000-0000380D0000}"/>
    <hyperlink ref="T1685" r:id="rId3386" display="http://www.ms.ro/2020/08/17/buletin-informativ-17-08-2020" xr:uid="{00000000-0004-0000-0000-0000390D0000}"/>
    <hyperlink ref="K1686" r:id="rId3387" display="https://www.ebihoreanul.ro/stiri/dupa-doua-saptamani-numarul-imbolnavirilor-covid-scade-in-bihor-31-noi-infectari-dar-si-un-deces-158256.html" xr:uid="{00000000-0004-0000-0000-00003A0D0000}"/>
    <hyperlink ref="T1686" r:id="rId3388" display="http://www.ms.ro/2020/08/17/buletin-informativ-17-08-2020" xr:uid="{00000000-0004-0000-0000-00003B0D0000}"/>
    <hyperlink ref="K1687" r:id="rId3389" display="https://www.ebihoreanul.ro/stiri/dupa-doua-saptamani-numarul-imbolnavirilor-covid-scade-in-bihor-31-noi-infectari-dar-si-un-deces-158256.html" xr:uid="{00000000-0004-0000-0000-00003C0D0000}"/>
    <hyperlink ref="T1687" r:id="rId3390" display="http://www.ms.ro/2020/08/17/buletin-informativ-17-08-2020" xr:uid="{00000000-0004-0000-0000-00003D0D0000}"/>
    <hyperlink ref="K1688" r:id="rId3391" display="https://www.ebihoreanul.ro/stiri/dupa-doua-saptamani-numarul-imbolnavirilor-covid-scade-in-bihor-31-noi-infectari-dar-si-un-deces-158256.html" xr:uid="{00000000-0004-0000-0000-00003E0D0000}"/>
    <hyperlink ref="T1688" r:id="rId3392" display="http://www.ms.ro/2020/08/17/buletin-informativ-17-08-2020" xr:uid="{00000000-0004-0000-0000-00003F0D0000}"/>
    <hyperlink ref="K1689" r:id="rId3393" display="https://www.ebihoreanul.ro/stiri/dupa-doua-saptamani-numarul-imbolnavirilor-covid-scade-in-bihor-31-noi-infectari-dar-si-un-deces-158256.html" xr:uid="{00000000-0004-0000-0000-0000400D0000}"/>
    <hyperlink ref="T1689" r:id="rId3394" display="http://www.ms.ro/2020/08/17/buletin-informativ-17-08-2020" xr:uid="{00000000-0004-0000-0000-0000410D0000}"/>
    <hyperlink ref="K1690" r:id="rId3395" display="https://www.ebihoreanul.ro/stiri/dupa-doua-saptamani-numarul-imbolnavirilor-covid-scade-in-bihor-31-noi-infectari-dar-si-un-deces-158256.html" xr:uid="{00000000-0004-0000-0000-0000420D0000}"/>
    <hyperlink ref="T1690" r:id="rId3396" display="http://www.ms.ro/2020/08/17/buletin-informativ-17-08-2020" xr:uid="{00000000-0004-0000-0000-0000430D0000}"/>
    <hyperlink ref="K1691" r:id="rId3397" display="https://www.ebihoreanul.ro/stiri/dupa-doua-saptamani-numarul-imbolnavirilor-covid-scade-in-bihor-31-noi-infectari-dar-si-un-deces-158256.html" xr:uid="{00000000-0004-0000-0000-0000440D0000}"/>
    <hyperlink ref="T1691" r:id="rId3398" display="http://www.ms.ro/2020/08/17/buletin-informativ-17-08-2020" xr:uid="{00000000-0004-0000-0000-0000450D0000}"/>
    <hyperlink ref="K1692" r:id="rId3399" display="https://www.ebihoreanul.ro/stiri/dupa-doua-saptamani-numarul-imbolnavirilor-covid-scade-in-bihor-31-noi-infectari-dar-si-un-deces-158256.html" xr:uid="{00000000-0004-0000-0000-0000460D0000}"/>
    <hyperlink ref="T1692" r:id="rId3400" display="http://www.ms.ro/2020/08/17/buletin-informativ-17-08-2020" xr:uid="{00000000-0004-0000-0000-0000470D0000}"/>
    <hyperlink ref="K1693" r:id="rId3401" display="https://www.ebihoreanul.ro/stiri/dupa-doua-saptamani-numarul-imbolnavirilor-covid-scade-in-bihor-31-noi-infectari-dar-si-un-deces-158256.html" xr:uid="{00000000-0004-0000-0000-0000480D0000}"/>
    <hyperlink ref="T1693" r:id="rId3402" display="http://www.ms.ro/2020/08/17/buletin-informativ-17-08-2020" xr:uid="{00000000-0004-0000-0000-0000490D0000}"/>
    <hyperlink ref="K1694" r:id="rId3403" display="https://www.ebihoreanul.ro/stiri/dupa-doua-saptamani-numarul-imbolnavirilor-covid-scade-in-bihor-31-noi-infectari-dar-si-un-deces-158256.html" xr:uid="{00000000-0004-0000-0000-00004A0D0000}"/>
    <hyperlink ref="T1694" r:id="rId3404" display="http://www.ms.ro/2020/08/17/buletin-informativ-17-08-2020" xr:uid="{00000000-0004-0000-0000-00004B0D0000}"/>
    <hyperlink ref="K1695" r:id="rId3405" display="https://www.ebihoreanul.ro/stiri/dupa-doua-saptamani-numarul-imbolnavirilor-covid-scade-in-bihor-31-noi-infectari-dar-si-un-deces-158256.html" xr:uid="{00000000-0004-0000-0000-00004C0D0000}"/>
    <hyperlink ref="T1695" r:id="rId3406" display="http://www.ms.ro/2020/08/17/buletin-informativ-17-08-2020" xr:uid="{00000000-0004-0000-0000-00004D0D0000}"/>
    <hyperlink ref="K1696" r:id="rId3407" display="https://www.ebihoreanul.ro/stiri/dupa-doua-saptamani-numarul-imbolnavirilor-covid-scade-in-bihor-31-noi-infectari-dar-si-un-deces-158256.html" xr:uid="{00000000-0004-0000-0000-00004E0D0000}"/>
    <hyperlink ref="T1696" r:id="rId3408" display="http://www.ms.ro/2020/08/17/buletin-informativ-17-08-2020" xr:uid="{00000000-0004-0000-0000-00004F0D0000}"/>
    <hyperlink ref="K1697" r:id="rId3409" display="https://www.ebihoreanul.ro/stiri/dupa-doua-saptamani-numarul-imbolnavirilor-covid-scade-in-bihor-31-noi-infectari-dar-si-un-deces-158256.html" xr:uid="{00000000-0004-0000-0000-0000500D0000}"/>
    <hyperlink ref="T1697" r:id="rId3410" display="http://www.ms.ro/2020/08/17/buletin-informativ-17-08-2020" xr:uid="{00000000-0004-0000-0000-0000510D0000}"/>
    <hyperlink ref="K1698" r:id="rId3411" display="https://www.ebihoreanul.ro/stiri/coronavirus-in-bihor-inca-doua-decese-si-45-de-cazuri-noi-vezi-din-ce-localitati-158277.html" xr:uid="{00000000-0004-0000-0000-0000520D0000}"/>
    <hyperlink ref="T1698" r:id="rId3412" display="http://www.ms.ro/2020/08/18/buletin-informativ-18-08-2020" xr:uid="{00000000-0004-0000-0000-0000530D0000}"/>
    <hyperlink ref="K1699" r:id="rId3413" display="https://www.ebihoreanul.ro/stiri/coronavirus-in-bihor-inca-doua-decese-si-45-de-cazuri-noi-vezi-din-ce-localitati-158277.html" xr:uid="{00000000-0004-0000-0000-0000540D0000}"/>
    <hyperlink ref="T1699" r:id="rId3414" display="http://www.ms.ro/2020/08/18/buletin-informativ-18-08-2020" xr:uid="{00000000-0004-0000-0000-0000550D0000}"/>
    <hyperlink ref="K1700" r:id="rId3415" display="https://www.ebihoreanul.ro/stiri/coronavirus-in-bihor-inca-doua-decese-si-45-de-cazuri-noi-vezi-din-ce-localitati-158277.html" xr:uid="{00000000-0004-0000-0000-0000560D0000}"/>
    <hyperlink ref="T1700" r:id="rId3416" display="http://www.ms.ro/2020/08/18/buletin-informativ-18-08-2020" xr:uid="{00000000-0004-0000-0000-0000570D0000}"/>
    <hyperlink ref="K1701" r:id="rId3417" display="https://www.ebihoreanul.ro/stiri/coronavirus-in-bihor-inca-doua-decese-si-45-de-cazuri-noi-vezi-din-ce-localitati-158277.html" xr:uid="{00000000-0004-0000-0000-0000580D0000}"/>
    <hyperlink ref="T1701" r:id="rId3418" display="http://www.ms.ro/2020/08/18/buletin-informativ-18-08-2020" xr:uid="{00000000-0004-0000-0000-0000590D0000}"/>
    <hyperlink ref="K1702" r:id="rId3419" display="https://www.ebihoreanul.ro/stiri/coronavirus-in-bihor-inca-doua-decese-si-45-de-cazuri-noi-vezi-din-ce-localitati-158277.html" xr:uid="{00000000-0004-0000-0000-00005A0D0000}"/>
    <hyperlink ref="T1702" r:id="rId3420" display="http://www.ms.ro/2020/08/18/buletin-informativ-18-08-2020" xr:uid="{00000000-0004-0000-0000-00005B0D0000}"/>
    <hyperlink ref="K1703" r:id="rId3421" display="https://www.ebihoreanul.ro/stiri/coronavirus-in-bihor-inca-doua-decese-si-45-de-cazuri-noi-vezi-din-ce-localitati-158277.html" xr:uid="{00000000-0004-0000-0000-00005C0D0000}"/>
    <hyperlink ref="T1703" r:id="rId3422" display="http://www.ms.ro/2020/08/18/buletin-informativ-18-08-2020" xr:uid="{00000000-0004-0000-0000-00005D0D0000}"/>
    <hyperlink ref="K1704" r:id="rId3423" display="https://www.ebihoreanul.ro/stiri/coronavirus-in-bihor-inca-doua-decese-si-45-de-cazuri-noi-vezi-din-ce-localitati-158277.html" xr:uid="{00000000-0004-0000-0000-00005E0D0000}"/>
    <hyperlink ref="T1704" r:id="rId3424" display="http://www.ms.ro/2020/08/18/buletin-informativ-18-08-2020" xr:uid="{00000000-0004-0000-0000-00005F0D0000}"/>
    <hyperlink ref="K1705" r:id="rId3425" display="https://www.ebihoreanul.ro/stiri/coronavirus-in-bihor-inca-doua-decese-si-45-de-cazuri-noi-vezi-din-ce-localitati-158277.html" xr:uid="{00000000-0004-0000-0000-0000600D0000}"/>
    <hyperlink ref="T1705" r:id="rId3426" display="http://www.ms.ro/2020/08/18/buletin-informativ-18-08-2020" xr:uid="{00000000-0004-0000-0000-0000610D0000}"/>
    <hyperlink ref="K1706" r:id="rId3427" display="https://www.ebihoreanul.ro/stiri/coronavirus-in-bihor-inca-doua-decese-si-45-de-cazuri-noi-vezi-din-ce-localitati-158277.html" xr:uid="{00000000-0004-0000-0000-0000620D0000}"/>
    <hyperlink ref="T1706" r:id="rId3428" display="http://www.ms.ro/2020/08/18/buletin-informativ-18-08-2020" xr:uid="{00000000-0004-0000-0000-0000630D0000}"/>
    <hyperlink ref="K1707" r:id="rId3429" display="https://www.ebihoreanul.ro/stiri/coronavirus-in-bihor-inca-doua-decese-si-45-de-cazuri-noi-vezi-din-ce-localitati-158277.html" xr:uid="{00000000-0004-0000-0000-0000640D0000}"/>
    <hyperlink ref="T1707" r:id="rId3430" display="http://www.ms.ro/2020/08/18/buletin-informativ-18-08-2020" xr:uid="{00000000-0004-0000-0000-0000650D0000}"/>
    <hyperlink ref="K1708" r:id="rId3431" display="https://www.ebihoreanul.ro/stiri/coronavirus-in-bihor-inca-doua-decese-si-45-de-cazuri-noi-vezi-din-ce-localitati-158277.html" xr:uid="{00000000-0004-0000-0000-0000660D0000}"/>
    <hyperlink ref="T1708" r:id="rId3432" display="http://www.ms.ro/2020/08/18/buletin-informativ-18-08-2020" xr:uid="{00000000-0004-0000-0000-0000670D0000}"/>
    <hyperlink ref="K1709" r:id="rId3433" display="https://www.ebihoreanul.ro/stiri/coronavirus-in-bihor-inca-doua-decese-si-45-de-cazuri-noi-vezi-din-ce-localitati-158277.html" xr:uid="{00000000-0004-0000-0000-0000680D0000}"/>
    <hyperlink ref="T1709" r:id="rId3434" display="http://www.ms.ro/2020/08/18/buletin-informativ-18-08-2020" xr:uid="{00000000-0004-0000-0000-0000690D0000}"/>
    <hyperlink ref="K1710" r:id="rId3435" display="https://www.ebihoreanul.ro/stiri/coronavirus-in-bihor-inca-doua-decese-si-45-de-cazuri-noi-vezi-din-ce-localitati-158277.html" xr:uid="{00000000-0004-0000-0000-00006A0D0000}"/>
    <hyperlink ref="T1710" r:id="rId3436" display="http://www.ms.ro/2020/08/18/buletin-informativ-18-08-2020" xr:uid="{00000000-0004-0000-0000-00006B0D0000}"/>
    <hyperlink ref="K1711" r:id="rId3437" display="https://www.ebihoreanul.ro/stiri/coronavirus-in-bihor-inca-doua-decese-si-45-de-cazuri-noi-vezi-din-ce-localitati-158277.html" xr:uid="{00000000-0004-0000-0000-00006C0D0000}"/>
    <hyperlink ref="T1711" r:id="rId3438" display="http://www.ms.ro/2020/08/18/buletin-informativ-18-08-2020" xr:uid="{00000000-0004-0000-0000-00006D0D0000}"/>
    <hyperlink ref="K1712" r:id="rId3439" display="https://www.ebihoreanul.ro/stiri/coronavirus-in-bihor-inca-doua-decese-si-45-de-cazuri-noi-vezi-din-ce-localitati-158277.html" xr:uid="{00000000-0004-0000-0000-00006E0D0000}"/>
    <hyperlink ref="T1712" r:id="rId3440" display="http://www.ms.ro/2020/08/18/buletin-informativ-18-08-2020" xr:uid="{00000000-0004-0000-0000-00006F0D0000}"/>
    <hyperlink ref="K1713" r:id="rId3441" display="https://www.ebihoreanul.ro/stiri/coronavirus-in-bihor-inca-doua-decese-si-45-de-cazuri-noi-vezi-din-ce-localitati-158277.html" xr:uid="{00000000-0004-0000-0000-0000700D0000}"/>
    <hyperlink ref="T1713" r:id="rId3442" display="http://www.ms.ro/2020/08/18/buletin-informativ-18-08-2020" xr:uid="{00000000-0004-0000-0000-0000710D0000}"/>
    <hyperlink ref="K1714" r:id="rId3443" display="https://www.ebihoreanul.ro/stiri/coronavirus-in-bihor-inca-doua-decese-si-45-de-cazuri-noi-vezi-din-ce-localitati-158277.html" xr:uid="{00000000-0004-0000-0000-0000720D0000}"/>
    <hyperlink ref="T1714" r:id="rId3444" display="http://www.ms.ro/2020/08/18/buletin-informativ-18-08-2020" xr:uid="{00000000-0004-0000-0000-0000730D0000}"/>
    <hyperlink ref="K1715" r:id="rId3445" display="https://www.ebihoreanul.ro/stiri/coronavirus-in-bihor-inca-doua-decese-si-45-de-cazuri-noi-vezi-din-ce-localitati-158277.html" xr:uid="{00000000-0004-0000-0000-0000740D0000}"/>
    <hyperlink ref="T1715" r:id="rId3446" display="http://www.ms.ro/2020/08/18/buletin-informativ-18-08-2020" xr:uid="{00000000-0004-0000-0000-0000750D0000}"/>
    <hyperlink ref="K1716" r:id="rId3447" display="https://www.ebihoreanul.ro/stiri/coronavirus-in-bihor-inca-doua-decese-si-45-de-cazuri-noi-vezi-din-ce-localitati-158277.html" xr:uid="{00000000-0004-0000-0000-0000760D0000}"/>
    <hyperlink ref="T1716" r:id="rId3448" display="http://www.ms.ro/2020/08/18/buletin-informativ-18-08-2020" xr:uid="{00000000-0004-0000-0000-0000770D0000}"/>
    <hyperlink ref="K1717" r:id="rId3449" display="https://www.ebihoreanul.ro/stiri/coronavirus-in-bihor-inca-doua-decese-si-45-de-cazuri-noi-vezi-din-ce-localitati-158277.html" xr:uid="{00000000-0004-0000-0000-0000780D0000}"/>
    <hyperlink ref="T1717" r:id="rId3450" display="http://www.ms.ro/2020/08/18/buletin-informativ-18-08-2020" xr:uid="{00000000-0004-0000-0000-0000790D0000}"/>
    <hyperlink ref="K1718" r:id="rId3451" display="https://www.ebihoreanul.ro/stiri/coronavirus-in-bihor-inca-doua-decese-si-45-de-cazuri-noi-vezi-din-ce-localitati-158277.html" xr:uid="{00000000-0004-0000-0000-00007A0D0000}"/>
    <hyperlink ref="T1718" r:id="rId3452" display="http://www.ms.ro/2020/08/18/buletin-informativ-18-08-2020" xr:uid="{00000000-0004-0000-0000-00007B0D0000}"/>
    <hyperlink ref="K1719" r:id="rId3453" display="https://www.ebihoreanul.ro/stiri/coronavirus-in-bihor-inca-doua-decese-si-45-de-cazuri-noi-vezi-din-ce-localitati-158277.html" xr:uid="{00000000-0004-0000-0000-00007C0D0000}"/>
    <hyperlink ref="T1719" r:id="rId3454" display="http://www.ms.ro/2020/08/18/buletin-informativ-18-08-2020" xr:uid="{00000000-0004-0000-0000-00007D0D0000}"/>
    <hyperlink ref="K1720" r:id="rId3455" display="https://www.ebihoreanul.ro/stiri/coronavirus-in-bihor-inca-doua-decese-si-45-de-cazuri-noi-vezi-din-ce-localitati-158277.html" xr:uid="{00000000-0004-0000-0000-00007E0D0000}"/>
    <hyperlink ref="T1720" r:id="rId3456" display="http://www.ms.ro/2020/08/18/buletin-informativ-18-08-2020" xr:uid="{00000000-0004-0000-0000-00007F0D0000}"/>
    <hyperlink ref="K1721" r:id="rId3457" display="https://www.ebihoreanul.ro/stiri/coronavirus-in-bihor-inca-doua-decese-si-45-de-cazuri-noi-vezi-din-ce-localitati-158277.html" xr:uid="{00000000-0004-0000-0000-0000800D0000}"/>
    <hyperlink ref="T1721" r:id="rId3458" display="http://www.ms.ro/2020/08/18/buletin-informativ-18-08-2020" xr:uid="{00000000-0004-0000-0000-0000810D0000}"/>
    <hyperlink ref="K1722" r:id="rId3459" display="https://www.ebihoreanul.ro/stiri/coronavirus-in-bihor-inca-doua-decese-si-45-de-cazuri-noi-vezi-din-ce-localitati-158277.html" xr:uid="{00000000-0004-0000-0000-0000820D0000}"/>
    <hyperlink ref="T1722" r:id="rId3460" display="http://www.ms.ro/2020/08/18/buletin-informativ-18-08-2020" xr:uid="{00000000-0004-0000-0000-0000830D0000}"/>
    <hyperlink ref="K1723" r:id="rId3461" display="https://www.ebihoreanul.ro/stiri/coronavirus-in-bihor-inca-doua-decese-si-45-de-cazuri-noi-vezi-din-ce-localitati-158277.html" xr:uid="{00000000-0004-0000-0000-0000840D0000}"/>
    <hyperlink ref="T1723" r:id="rId3462" display="http://www.ms.ro/2020/08/18/buletin-informativ-18-08-2020" xr:uid="{00000000-0004-0000-0000-0000850D0000}"/>
    <hyperlink ref="K1724" r:id="rId3463" display="https://www.ebihoreanul.ro/stiri/coronavirus-in-bihor-inca-doua-decese-si-45-de-cazuri-noi-vezi-din-ce-localitati-158277.html" xr:uid="{00000000-0004-0000-0000-0000860D0000}"/>
    <hyperlink ref="T1724" r:id="rId3464" display="http://www.ms.ro/2020/08/18/buletin-informativ-18-08-2020" xr:uid="{00000000-0004-0000-0000-0000870D0000}"/>
    <hyperlink ref="K1725" r:id="rId3465" display="https://www.ebihoreanul.ro/stiri/coronavirus-in-bihor-inca-doua-decese-si-45-de-cazuri-noi-vezi-din-ce-localitati-158277.html" xr:uid="{00000000-0004-0000-0000-0000880D0000}"/>
    <hyperlink ref="T1725" r:id="rId3466" display="http://www.ms.ro/2020/08/18/buletin-informativ-18-08-2020" xr:uid="{00000000-0004-0000-0000-0000890D0000}"/>
    <hyperlink ref="K1726" r:id="rId3467" display="https://www.ebihoreanul.ro/stiri/coronavirus-in-bihor-inca-doua-decese-si-45-de-cazuri-noi-vezi-din-ce-localitati-158277.html" xr:uid="{00000000-0004-0000-0000-00008A0D0000}"/>
    <hyperlink ref="T1726" r:id="rId3468" display="http://www.ms.ro/2020/08/18/buletin-informativ-18-08-2020" xr:uid="{00000000-0004-0000-0000-00008B0D0000}"/>
    <hyperlink ref="K1727" r:id="rId3469" display="https://www.ebihoreanul.ro/stiri/coronavirus-in-bihor-inca-doua-decese-si-45-de-cazuri-noi-vezi-din-ce-localitati-158277.html" xr:uid="{00000000-0004-0000-0000-00008C0D0000}"/>
    <hyperlink ref="T1727" r:id="rId3470" display="http://www.ms.ro/2020/08/18/buletin-informativ-18-08-2020" xr:uid="{00000000-0004-0000-0000-00008D0D0000}"/>
    <hyperlink ref="K1728" r:id="rId3471" display="https://www.ebihoreanul.ro/stiri/coronavirus-in-bihor-inca-doua-decese-si-45-de-cazuri-noi-vezi-din-ce-localitati-158277.html" xr:uid="{00000000-0004-0000-0000-00008E0D0000}"/>
    <hyperlink ref="T1728" r:id="rId3472" display="http://www.ms.ro/2020/08/18/buletin-informativ-18-08-2020" xr:uid="{00000000-0004-0000-0000-00008F0D0000}"/>
    <hyperlink ref="K1729" r:id="rId3473" display="https://www.ebihoreanul.ro/stiri/coronavirus-in-bihor-inca-doua-decese-si-45-de-cazuri-noi-vezi-din-ce-localitati-158277.html" xr:uid="{00000000-0004-0000-0000-0000900D0000}"/>
    <hyperlink ref="T1729" r:id="rId3474" display="http://www.ms.ro/2020/08/18/buletin-informativ-18-08-2020" xr:uid="{00000000-0004-0000-0000-0000910D0000}"/>
    <hyperlink ref="K1730" r:id="rId3475" display="https://www.ebihoreanul.ro/stiri/coronavirus-in-bihor-inca-doua-decese-si-45-de-cazuri-noi-vezi-din-ce-localitati-158277.html" xr:uid="{00000000-0004-0000-0000-0000920D0000}"/>
    <hyperlink ref="T1730" r:id="rId3476" display="http://www.ms.ro/2020/08/18/buletin-informativ-18-08-2020" xr:uid="{00000000-0004-0000-0000-0000930D0000}"/>
    <hyperlink ref="K1731" r:id="rId3477" display="https://www.ebihoreanul.ro/stiri/coronavirus-in-bihor-inca-doua-decese-si-45-de-cazuri-noi-vezi-din-ce-localitati-158277.html" xr:uid="{00000000-0004-0000-0000-0000940D0000}"/>
    <hyperlink ref="T1731" r:id="rId3478" display="http://www.ms.ro/2020/08/18/buletin-informativ-18-08-2020" xr:uid="{00000000-0004-0000-0000-0000950D0000}"/>
    <hyperlink ref="K1732" r:id="rId3479" display="https://www.ebihoreanul.ro/stiri/coronavirus-in-bihor-inca-doua-decese-si-45-de-cazuri-noi-vezi-din-ce-localitati-158277.html" xr:uid="{00000000-0004-0000-0000-0000960D0000}"/>
    <hyperlink ref="T1732" r:id="rId3480" display="http://www.ms.ro/2020/08/18/buletin-informativ-18-08-2020" xr:uid="{00000000-0004-0000-0000-0000970D0000}"/>
    <hyperlink ref="K1733" r:id="rId3481" display="https://www.ebihoreanul.ro/stiri/coronavirus-in-bihor-inca-doua-decese-si-45-de-cazuri-noi-vezi-din-ce-localitati-158277.html" xr:uid="{00000000-0004-0000-0000-0000980D0000}"/>
    <hyperlink ref="T1733" r:id="rId3482" display="http://www.ms.ro/2020/08/18/buletin-informativ-18-08-2020" xr:uid="{00000000-0004-0000-0000-0000990D0000}"/>
    <hyperlink ref="K1734" r:id="rId3483" display="https://www.ebihoreanul.ro/stiri/coronavirus-in-bihor-inca-doua-decese-si-45-de-cazuri-noi-vezi-din-ce-localitati-158277.html" xr:uid="{00000000-0004-0000-0000-00009A0D0000}"/>
    <hyperlink ref="T1734" r:id="rId3484" display="http://www.ms.ro/2020/08/18/buletin-informativ-18-08-2020" xr:uid="{00000000-0004-0000-0000-00009B0D0000}"/>
    <hyperlink ref="K1735" r:id="rId3485" display="https://www.ebihoreanul.ro/stiri/coronavirus-in-bihor-inca-doua-decese-si-45-de-cazuri-noi-vezi-din-ce-localitati-158277.html" xr:uid="{00000000-0004-0000-0000-00009C0D0000}"/>
    <hyperlink ref="T1735" r:id="rId3486" display="http://www.ms.ro/2020/08/18/buletin-informativ-18-08-2020" xr:uid="{00000000-0004-0000-0000-00009D0D0000}"/>
    <hyperlink ref="K1736" r:id="rId3487" display="https://www.ebihoreanul.ro/stiri/coronavirus-in-bihor-inca-doua-decese-si-45-de-cazuri-noi-vezi-din-ce-localitati-158277.html" xr:uid="{00000000-0004-0000-0000-00009E0D0000}"/>
    <hyperlink ref="T1736" r:id="rId3488" display="http://www.ms.ro/2020/08/18/buletin-informativ-18-08-2020" xr:uid="{00000000-0004-0000-0000-00009F0D0000}"/>
    <hyperlink ref="K1737" r:id="rId3489" display="https://www.ebihoreanul.ro/stiri/coronavirus-in-bihor-inca-doua-decese-si-45-de-cazuri-noi-vezi-din-ce-localitati-158277.html" xr:uid="{00000000-0004-0000-0000-0000A00D0000}"/>
    <hyperlink ref="T1737" r:id="rId3490" display="http://www.ms.ro/2020/08/18/buletin-informativ-18-08-2020" xr:uid="{00000000-0004-0000-0000-0000A10D0000}"/>
    <hyperlink ref="K1738" r:id="rId3491" display="https://www.ebihoreanul.ro/stiri/coronavirus-in-bihor-inca-doua-decese-si-45-de-cazuri-noi-vezi-din-ce-localitati-158277.html" xr:uid="{00000000-0004-0000-0000-0000A20D0000}"/>
    <hyperlink ref="T1738" r:id="rId3492" display="http://www.ms.ro/2020/08/18/buletin-informativ-18-08-2020" xr:uid="{00000000-0004-0000-0000-0000A30D0000}"/>
    <hyperlink ref="K1739" r:id="rId3493" display="https://www.ebihoreanul.ro/stiri/coronavirus-in-bihor-inca-doua-decese-si-45-de-cazuri-noi-vezi-din-ce-localitati-158277.html" xr:uid="{00000000-0004-0000-0000-0000A40D0000}"/>
    <hyperlink ref="T1739" r:id="rId3494" display="http://www.ms.ro/2020/08/18/buletin-informativ-18-08-2020" xr:uid="{00000000-0004-0000-0000-0000A50D0000}"/>
    <hyperlink ref="K1740" r:id="rId3495" display="https://www.ebihoreanul.ro/stiri/coronavirus-in-bihor-inca-doua-decese-si-45-de-cazuri-noi-vezi-din-ce-localitati-158277.html" xr:uid="{00000000-0004-0000-0000-0000A60D0000}"/>
    <hyperlink ref="T1740" r:id="rId3496" display="http://www.ms.ro/2020/08/18/buletin-informativ-18-08-2020" xr:uid="{00000000-0004-0000-0000-0000A70D0000}"/>
    <hyperlink ref="K1741" r:id="rId3497" display="https://www.ebihoreanul.ro/stiri/coronavirus-in-bihor-inca-doua-decese-si-45-de-cazuri-noi-vezi-din-ce-localitati-158277.html" xr:uid="{00000000-0004-0000-0000-0000A80D0000}"/>
    <hyperlink ref="T1741" r:id="rId3498" display="http://www.ms.ro/2020/08/18/buletin-informativ-18-08-2020" xr:uid="{00000000-0004-0000-0000-0000A90D0000}"/>
    <hyperlink ref="K1742" r:id="rId3499" display="https://www.ebihoreanul.ro/stiri/coronavirus-in-bihor-inca-doua-decese-si-45-de-cazuri-noi-vezi-din-ce-localitati-158277.html" xr:uid="{00000000-0004-0000-0000-0000AA0D0000}"/>
    <hyperlink ref="T1742" r:id="rId3500" display="http://www.ms.ro/2020/08/18/buletin-informativ-18-08-2020" xr:uid="{00000000-0004-0000-0000-0000AB0D0000}"/>
    <hyperlink ref="K1743" r:id="rId3501" display="https://www.ebihoreanul.ro/stiri/covid-nu-iarta-inca-doi-bihoreni-cu-coronavirus-au-murit-iar-alti-54-au-fost-depistati-pozitiv-inclusiv-cadre-medicale-158296.html" xr:uid="{00000000-0004-0000-0000-0000AC0D0000}"/>
    <hyperlink ref="T1743" r:id="rId3502" display="http://www.ms.ro/2020/08/19/buletin-informativ-19-08-2020" xr:uid="{00000000-0004-0000-0000-0000AD0D0000}"/>
    <hyperlink ref="K1744" r:id="rId3503" display="https://www.ebihoreanul.ro/stiri/covid-nu-iarta-inca-doi-bihoreni-cu-coronavirus-au-murit-iar-alti-54-au-fost-depistati-pozitiv-inclusiv-cadre-medicale-158296.html" xr:uid="{00000000-0004-0000-0000-0000AE0D0000}"/>
    <hyperlink ref="T1744" r:id="rId3504" display="http://www.ms.ro/2020/08/19/buletin-informativ-19-08-2020" xr:uid="{00000000-0004-0000-0000-0000AF0D0000}"/>
    <hyperlink ref="K1745" r:id="rId3505" display="https://www.ebihoreanul.ro/stiri/covid-nu-iarta-inca-doi-bihoreni-cu-coronavirus-au-murit-iar-alti-54-au-fost-depistati-pozitiv-inclusiv-cadre-medicale-158296.html" xr:uid="{00000000-0004-0000-0000-0000B00D0000}"/>
    <hyperlink ref="T1745" r:id="rId3506" display="http://www.ms.ro/2020/08/19/buletin-informativ-19-08-2020" xr:uid="{00000000-0004-0000-0000-0000B10D0000}"/>
    <hyperlink ref="K1746" r:id="rId3507" display="https://www.ebihoreanul.ro/stiri/covid-nu-iarta-inca-doi-bihoreni-cu-coronavirus-au-murit-iar-alti-54-au-fost-depistati-pozitiv-inclusiv-cadre-medicale-158296.html" xr:uid="{00000000-0004-0000-0000-0000B20D0000}"/>
    <hyperlink ref="T1746" r:id="rId3508" display="http://www.ms.ro/2020/08/19/buletin-informativ-19-08-2020" xr:uid="{00000000-0004-0000-0000-0000B30D0000}"/>
    <hyperlink ref="K1747" r:id="rId3509" display="https://www.ebihoreanul.ro/stiri/covid-nu-iarta-inca-doi-bihoreni-cu-coronavirus-au-murit-iar-alti-54-au-fost-depistati-pozitiv-inclusiv-cadre-medicale-158296.html" xr:uid="{00000000-0004-0000-0000-0000B40D0000}"/>
    <hyperlink ref="T1747" r:id="rId3510" display="http://www.ms.ro/2020/08/19/buletin-informativ-19-08-2020" xr:uid="{00000000-0004-0000-0000-0000B50D0000}"/>
    <hyperlink ref="K1748" r:id="rId3511" display="https://www.ebihoreanul.ro/stiri/covid-nu-iarta-inca-doi-bihoreni-cu-coronavirus-au-murit-iar-alti-54-au-fost-depistati-pozitiv-inclusiv-cadre-medicale-158296.html" xr:uid="{00000000-0004-0000-0000-0000B60D0000}"/>
    <hyperlink ref="T1748" r:id="rId3512" display="http://www.ms.ro/2020/08/19/buletin-informativ-19-08-2020" xr:uid="{00000000-0004-0000-0000-0000B70D0000}"/>
    <hyperlink ref="K1749" r:id="rId3513" display="https://www.ebihoreanul.ro/stiri/covid-nu-iarta-inca-doi-bihoreni-cu-coronavirus-au-murit-iar-alti-54-au-fost-depistati-pozitiv-inclusiv-cadre-medicale-158296.html" xr:uid="{00000000-0004-0000-0000-0000B80D0000}"/>
    <hyperlink ref="T1749" r:id="rId3514" display="http://www.ms.ro/2020/08/19/buletin-informativ-19-08-2020" xr:uid="{00000000-0004-0000-0000-0000B90D0000}"/>
    <hyperlink ref="K1750" r:id="rId3515" display="https://www.ebihoreanul.ro/stiri/covid-nu-iarta-inca-doi-bihoreni-cu-coronavirus-au-murit-iar-alti-54-au-fost-depistati-pozitiv-inclusiv-cadre-medicale-158296.html" xr:uid="{00000000-0004-0000-0000-0000BA0D0000}"/>
    <hyperlink ref="T1750" r:id="rId3516" display="http://www.ms.ro/2020/08/19/buletin-informativ-19-08-2020" xr:uid="{00000000-0004-0000-0000-0000BB0D0000}"/>
    <hyperlink ref="K1751" r:id="rId3517" display="https://www.ebihoreanul.ro/stiri/covid-nu-iarta-inca-doi-bihoreni-cu-coronavirus-au-murit-iar-alti-54-au-fost-depistati-pozitiv-inclusiv-cadre-medicale-158296.html" xr:uid="{00000000-0004-0000-0000-0000BC0D0000}"/>
    <hyperlink ref="T1751" r:id="rId3518" display="http://www.ms.ro/2020/08/19/buletin-informativ-19-08-2020" xr:uid="{00000000-0004-0000-0000-0000BD0D0000}"/>
    <hyperlink ref="K1752" r:id="rId3519" display="https://www.ebihoreanul.ro/stiri/covid-nu-iarta-inca-doi-bihoreni-cu-coronavirus-au-murit-iar-alti-54-au-fost-depistati-pozitiv-inclusiv-cadre-medicale-158296.html" xr:uid="{00000000-0004-0000-0000-0000BE0D0000}"/>
    <hyperlink ref="T1752" r:id="rId3520" display="http://www.ms.ro/2020/08/19/buletin-informativ-19-08-2020" xr:uid="{00000000-0004-0000-0000-0000BF0D0000}"/>
    <hyperlink ref="K1753" r:id="rId3521" display="https://www.ebihoreanul.ro/stiri/covid-nu-iarta-inca-doi-bihoreni-cu-coronavirus-au-murit-iar-alti-54-au-fost-depistati-pozitiv-inclusiv-cadre-medicale-158296.html" xr:uid="{00000000-0004-0000-0000-0000C00D0000}"/>
    <hyperlink ref="T1753" r:id="rId3522" display="http://www.ms.ro/2020/08/19/buletin-informativ-19-08-2020" xr:uid="{00000000-0004-0000-0000-0000C10D0000}"/>
    <hyperlink ref="K1754" r:id="rId3523" display="https://www.ebihoreanul.ro/stiri/covid-nu-iarta-inca-doi-bihoreni-cu-coronavirus-au-murit-iar-alti-54-au-fost-depistati-pozitiv-inclusiv-cadre-medicale-158296.html" xr:uid="{00000000-0004-0000-0000-0000C20D0000}"/>
    <hyperlink ref="T1754" r:id="rId3524" display="http://www.ms.ro/2020/08/19/buletin-informativ-19-08-2020" xr:uid="{00000000-0004-0000-0000-0000C30D0000}"/>
    <hyperlink ref="K1755" r:id="rId3525" display="https://www.ebihoreanul.ro/stiri/covid-nu-iarta-inca-doi-bihoreni-cu-coronavirus-au-murit-iar-alti-54-au-fost-depistati-pozitiv-inclusiv-cadre-medicale-158296.html" xr:uid="{00000000-0004-0000-0000-0000C40D0000}"/>
    <hyperlink ref="T1755" r:id="rId3526" display="http://www.ms.ro/2020/08/19/buletin-informativ-19-08-2020" xr:uid="{00000000-0004-0000-0000-0000C50D0000}"/>
    <hyperlink ref="K1756" r:id="rId3527" display="https://www.ebihoreanul.ro/stiri/covid-nu-iarta-inca-doi-bihoreni-cu-coronavirus-au-murit-iar-alti-54-au-fost-depistati-pozitiv-inclusiv-cadre-medicale-158296.html" xr:uid="{00000000-0004-0000-0000-0000C60D0000}"/>
    <hyperlink ref="T1756" r:id="rId3528" display="http://www.ms.ro/2020/08/19/buletin-informativ-19-08-2020" xr:uid="{00000000-0004-0000-0000-0000C70D0000}"/>
    <hyperlink ref="K1757" r:id="rId3529" display="https://www.ebihoreanul.ro/stiri/covid-nu-iarta-inca-doi-bihoreni-cu-coronavirus-au-murit-iar-alti-54-au-fost-depistati-pozitiv-inclusiv-cadre-medicale-158296.html" xr:uid="{00000000-0004-0000-0000-0000C80D0000}"/>
    <hyperlink ref="T1757" r:id="rId3530" display="http://www.ms.ro/2020/08/19/buletin-informativ-19-08-2020" xr:uid="{00000000-0004-0000-0000-0000C90D0000}"/>
    <hyperlink ref="K1758" r:id="rId3531" display="https://www.ebihoreanul.ro/stiri/covid-nu-iarta-inca-doi-bihoreni-cu-coronavirus-au-murit-iar-alti-54-au-fost-depistati-pozitiv-inclusiv-cadre-medicale-158296.html" xr:uid="{00000000-0004-0000-0000-0000CA0D0000}"/>
    <hyperlink ref="T1758" r:id="rId3532" display="http://www.ms.ro/2020/08/19/buletin-informativ-19-08-2020" xr:uid="{00000000-0004-0000-0000-0000CB0D0000}"/>
    <hyperlink ref="K1759" r:id="rId3533" display="https://www.ebihoreanul.ro/stiri/covid-nu-iarta-inca-doi-bihoreni-cu-coronavirus-au-murit-iar-alti-54-au-fost-depistati-pozitiv-inclusiv-cadre-medicale-158296.html" xr:uid="{00000000-0004-0000-0000-0000CC0D0000}"/>
    <hyperlink ref="T1759" r:id="rId3534" display="http://www.ms.ro/2020/08/19/buletin-informativ-19-08-2020" xr:uid="{00000000-0004-0000-0000-0000CD0D0000}"/>
    <hyperlink ref="K1760" r:id="rId3535" display="https://www.ebihoreanul.ro/stiri/covid-nu-iarta-inca-doi-bihoreni-cu-coronavirus-au-murit-iar-alti-54-au-fost-depistati-pozitiv-inclusiv-cadre-medicale-158296.html" xr:uid="{00000000-0004-0000-0000-0000CE0D0000}"/>
    <hyperlink ref="T1760" r:id="rId3536" display="http://www.ms.ro/2020/08/19/buletin-informativ-19-08-2020" xr:uid="{00000000-0004-0000-0000-0000CF0D0000}"/>
    <hyperlink ref="K1761" r:id="rId3537" display="https://www.ebihoreanul.ro/stiri/covid-nu-iarta-inca-doi-bihoreni-cu-coronavirus-au-murit-iar-alti-54-au-fost-depistati-pozitiv-inclusiv-cadre-medicale-158296.html" xr:uid="{00000000-0004-0000-0000-0000D00D0000}"/>
    <hyperlink ref="T1761" r:id="rId3538" display="http://www.ms.ro/2020/08/19/buletin-informativ-19-08-2020" xr:uid="{00000000-0004-0000-0000-0000D10D0000}"/>
    <hyperlink ref="K1762" r:id="rId3539" display="https://www.ebihoreanul.ro/stiri/covid-nu-iarta-inca-doi-bihoreni-cu-coronavirus-au-murit-iar-alti-54-au-fost-depistati-pozitiv-inclusiv-cadre-medicale-158296.html" xr:uid="{00000000-0004-0000-0000-0000D20D0000}"/>
    <hyperlink ref="T1762" r:id="rId3540" display="http://www.ms.ro/2020/08/19/buletin-informativ-19-08-2020" xr:uid="{00000000-0004-0000-0000-0000D30D0000}"/>
    <hyperlink ref="K1763" r:id="rId3541" display="https://www.ebihoreanul.ro/stiri/covid-nu-iarta-inca-doi-bihoreni-cu-coronavirus-au-murit-iar-alti-54-au-fost-depistati-pozitiv-inclusiv-cadre-medicale-158296.html" xr:uid="{00000000-0004-0000-0000-0000D40D0000}"/>
    <hyperlink ref="T1763" r:id="rId3542" display="http://www.ms.ro/2020/08/19/buletin-informativ-19-08-2020" xr:uid="{00000000-0004-0000-0000-0000D50D0000}"/>
    <hyperlink ref="K1764" r:id="rId3543" display="https://www.ebihoreanul.ro/stiri/covid-nu-iarta-inca-doi-bihoreni-cu-coronavirus-au-murit-iar-alti-54-au-fost-depistati-pozitiv-inclusiv-cadre-medicale-158296.html" xr:uid="{00000000-0004-0000-0000-0000D60D0000}"/>
    <hyperlink ref="T1764" r:id="rId3544" display="http://www.ms.ro/2020/08/19/buletin-informativ-19-08-2020" xr:uid="{00000000-0004-0000-0000-0000D70D0000}"/>
    <hyperlink ref="K1765" r:id="rId3545" display="https://www.ebihoreanul.ro/stiri/covid-nu-iarta-inca-doi-bihoreni-cu-coronavirus-au-murit-iar-alti-54-au-fost-depistati-pozitiv-inclusiv-cadre-medicale-158296.html" xr:uid="{00000000-0004-0000-0000-0000D80D0000}"/>
    <hyperlink ref="T1765" r:id="rId3546" display="http://www.ms.ro/2020/08/19/buletin-informativ-19-08-2020" xr:uid="{00000000-0004-0000-0000-0000D90D0000}"/>
    <hyperlink ref="K1766" r:id="rId3547" display="https://www.ebihoreanul.ro/stiri/covid-nu-iarta-inca-doi-bihoreni-cu-coronavirus-au-murit-iar-alti-54-au-fost-depistati-pozitiv-inclusiv-cadre-medicale-158296.html" xr:uid="{00000000-0004-0000-0000-0000DA0D0000}"/>
    <hyperlink ref="T1766" r:id="rId3548" display="http://www.ms.ro/2020/08/19/buletin-informativ-19-08-2020" xr:uid="{00000000-0004-0000-0000-0000DB0D0000}"/>
    <hyperlink ref="K1767" r:id="rId3549" display="https://www.ebihoreanul.ro/stiri/covid-nu-iarta-inca-doi-bihoreni-cu-coronavirus-au-murit-iar-alti-54-au-fost-depistati-pozitiv-inclusiv-cadre-medicale-158296.html" xr:uid="{00000000-0004-0000-0000-0000DC0D0000}"/>
    <hyperlink ref="T1767" r:id="rId3550" display="http://www.ms.ro/2020/08/19/buletin-informativ-19-08-2020" xr:uid="{00000000-0004-0000-0000-0000DD0D0000}"/>
    <hyperlink ref="K1768" r:id="rId3551" display="https://www.ebihoreanul.ro/stiri/covid-nu-iarta-inca-doi-bihoreni-cu-coronavirus-au-murit-iar-alti-54-au-fost-depistati-pozitiv-inclusiv-cadre-medicale-158296.html" xr:uid="{00000000-0004-0000-0000-0000DE0D0000}"/>
    <hyperlink ref="T1768" r:id="rId3552" display="http://www.ms.ro/2020/08/19/buletin-informativ-19-08-2020" xr:uid="{00000000-0004-0000-0000-0000DF0D0000}"/>
    <hyperlink ref="K1769" r:id="rId3553" display="https://www.ebihoreanul.ro/stiri/covid-nu-iarta-inca-doi-bihoreni-cu-coronavirus-au-murit-iar-alti-54-au-fost-depistati-pozitiv-inclusiv-cadre-medicale-158296.html" xr:uid="{00000000-0004-0000-0000-0000E00D0000}"/>
    <hyperlink ref="T1769" r:id="rId3554" display="http://www.ms.ro/2020/08/19/buletin-informativ-19-08-2020" xr:uid="{00000000-0004-0000-0000-0000E10D0000}"/>
    <hyperlink ref="K1770" r:id="rId3555" display="https://www.ebihoreanul.ro/stiri/covid-nu-iarta-inca-doi-bihoreni-cu-coronavirus-au-murit-iar-alti-54-au-fost-depistati-pozitiv-inclusiv-cadre-medicale-158296.html" xr:uid="{00000000-0004-0000-0000-0000E20D0000}"/>
    <hyperlink ref="T1770" r:id="rId3556" display="http://www.ms.ro/2020/08/19/buletin-informativ-19-08-2020" xr:uid="{00000000-0004-0000-0000-0000E30D0000}"/>
    <hyperlink ref="K1771" r:id="rId3557" display="https://www.ebihoreanul.ro/stiri/covid-nu-iarta-inca-doi-bihoreni-cu-coronavirus-au-murit-iar-alti-54-au-fost-depistati-pozitiv-inclusiv-cadre-medicale-158296.html" xr:uid="{00000000-0004-0000-0000-0000E40D0000}"/>
    <hyperlink ref="T1771" r:id="rId3558" display="http://www.ms.ro/2020/08/19/buletin-informativ-19-08-2020" xr:uid="{00000000-0004-0000-0000-0000E50D0000}"/>
    <hyperlink ref="K1772" r:id="rId3559" display="https://www.ebihoreanul.ro/stiri/covid-nu-iarta-inca-doi-bihoreni-cu-coronavirus-au-murit-iar-alti-54-au-fost-depistati-pozitiv-inclusiv-cadre-medicale-158296.html" xr:uid="{00000000-0004-0000-0000-0000E60D0000}"/>
    <hyperlink ref="T1772" r:id="rId3560" display="http://www.ms.ro/2020/08/19/buletin-informativ-19-08-2020" xr:uid="{00000000-0004-0000-0000-0000E70D0000}"/>
    <hyperlink ref="K1773" r:id="rId3561" display="https://www.ebihoreanul.ro/stiri/covid-nu-iarta-inca-doi-bihoreni-cu-coronavirus-au-murit-iar-alti-54-au-fost-depistati-pozitiv-inclusiv-cadre-medicale-158296.html" xr:uid="{00000000-0004-0000-0000-0000E80D0000}"/>
    <hyperlink ref="T1773" r:id="rId3562" display="http://www.ms.ro/2020/08/19/buletin-informativ-19-08-2020" xr:uid="{00000000-0004-0000-0000-0000E90D0000}"/>
    <hyperlink ref="K1774" r:id="rId3563" display="https://www.ebihoreanul.ro/stiri/covid-nu-iarta-inca-doi-bihoreni-cu-coronavirus-au-murit-iar-alti-54-au-fost-depistati-pozitiv-inclusiv-cadre-medicale-158296.html" xr:uid="{00000000-0004-0000-0000-0000EA0D0000}"/>
    <hyperlink ref="T1774" r:id="rId3564" display="http://www.ms.ro/2020/08/19/buletin-informativ-19-08-2020" xr:uid="{00000000-0004-0000-0000-0000EB0D0000}"/>
    <hyperlink ref="K1775" r:id="rId3565" display="https://www.ebihoreanul.ro/stiri/covid-nu-iarta-inca-doi-bihoreni-cu-coronavirus-au-murit-iar-alti-54-au-fost-depistati-pozitiv-inclusiv-cadre-medicale-158296.html" xr:uid="{00000000-0004-0000-0000-0000EC0D0000}"/>
    <hyperlink ref="T1775" r:id="rId3566" display="http://www.ms.ro/2020/08/19/buletin-informativ-19-08-2020" xr:uid="{00000000-0004-0000-0000-0000ED0D0000}"/>
    <hyperlink ref="K1776" r:id="rId3567" display="https://www.ebihoreanul.ro/stiri/covid-nu-iarta-inca-doi-bihoreni-cu-coronavirus-au-murit-iar-alti-54-au-fost-depistati-pozitiv-inclusiv-cadre-medicale-158296.html" xr:uid="{00000000-0004-0000-0000-0000EE0D0000}"/>
    <hyperlink ref="T1776" r:id="rId3568" display="http://www.ms.ro/2020/08/19/buletin-informativ-19-08-2020" xr:uid="{00000000-0004-0000-0000-0000EF0D0000}"/>
    <hyperlink ref="K1777" r:id="rId3569" display="https://www.ebihoreanul.ro/stiri/covid-nu-iarta-inca-doi-bihoreni-cu-coronavirus-au-murit-iar-alti-54-au-fost-depistati-pozitiv-inclusiv-cadre-medicale-158296.html" xr:uid="{00000000-0004-0000-0000-0000F00D0000}"/>
    <hyperlink ref="T1777" r:id="rId3570" display="http://www.ms.ro/2020/08/19/buletin-informativ-19-08-2020" xr:uid="{00000000-0004-0000-0000-0000F10D0000}"/>
    <hyperlink ref="K1778" r:id="rId3571" display="https://www.ebihoreanul.ro/stiri/covid-nu-iarta-inca-doi-bihoreni-cu-coronavirus-au-murit-iar-alti-54-au-fost-depistati-pozitiv-inclusiv-cadre-medicale-158296.html" xr:uid="{00000000-0004-0000-0000-0000F20D0000}"/>
    <hyperlink ref="T1778" r:id="rId3572" display="http://www.ms.ro/2020/08/19/buletin-informativ-19-08-2020" xr:uid="{00000000-0004-0000-0000-0000F30D0000}"/>
    <hyperlink ref="K1779" r:id="rId3573" display="https://www.ebihoreanul.ro/stiri/covid-nu-iarta-inca-doi-bihoreni-cu-coronavirus-au-murit-iar-alti-54-au-fost-depistati-pozitiv-inclusiv-cadre-medicale-158296.html" xr:uid="{00000000-0004-0000-0000-0000F40D0000}"/>
    <hyperlink ref="T1779" r:id="rId3574" display="http://www.ms.ro/2020/08/19/buletin-informativ-19-08-2020" xr:uid="{00000000-0004-0000-0000-0000F50D0000}"/>
    <hyperlink ref="K1780" r:id="rId3575" display="https://www.ebihoreanul.ro/stiri/covid-nu-iarta-inca-doi-bihoreni-cu-coronavirus-au-murit-iar-alti-54-au-fost-depistati-pozitiv-inclusiv-cadre-medicale-158296.html" xr:uid="{00000000-0004-0000-0000-0000F60D0000}"/>
    <hyperlink ref="T1780" r:id="rId3576" display="http://www.ms.ro/2020/08/19/buletin-informativ-19-08-2020" xr:uid="{00000000-0004-0000-0000-0000F70D0000}"/>
    <hyperlink ref="K1781" r:id="rId3577" display="https://www.ebihoreanul.ro/stiri/covid-nu-iarta-inca-doi-bihoreni-cu-coronavirus-au-murit-iar-alti-54-au-fost-depistati-pozitiv-inclusiv-cadre-medicale-158296.html" xr:uid="{00000000-0004-0000-0000-0000F80D0000}"/>
    <hyperlink ref="T1781" r:id="rId3578" display="http://www.ms.ro/2020/08/19/buletin-informativ-19-08-2020" xr:uid="{00000000-0004-0000-0000-0000F90D0000}"/>
    <hyperlink ref="K1782" r:id="rId3579" display="https://www.ebihoreanul.ro/stiri/covid-nu-iarta-inca-doi-bihoreni-cu-coronavirus-au-murit-iar-alti-54-au-fost-depistati-pozitiv-inclusiv-cadre-medicale-158296.html" xr:uid="{00000000-0004-0000-0000-0000FA0D0000}"/>
    <hyperlink ref="T1782" r:id="rId3580" display="http://www.ms.ro/2020/08/19/buletin-informativ-19-08-2020" xr:uid="{00000000-0004-0000-0000-0000FB0D0000}"/>
    <hyperlink ref="K1783" r:id="rId3581" display="https://www.ebihoreanul.ro/stiri/covid-nu-iarta-inca-doi-bihoreni-cu-coronavirus-au-murit-iar-alti-54-au-fost-depistati-pozitiv-inclusiv-cadre-medicale-158296.html" xr:uid="{00000000-0004-0000-0000-0000FC0D0000}"/>
    <hyperlink ref="T1783" r:id="rId3582" display="http://www.ms.ro/2020/08/19/buletin-informativ-19-08-2020" xr:uid="{00000000-0004-0000-0000-0000FD0D0000}"/>
    <hyperlink ref="K1784" r:id="rId3583" display="https://www.ebihoreanul.ro/stiri/covid-nu-iarta-inca-doi-bihoreni-cu-coronavirus-au-murit-iar-alti-54-au-fost-depistati-pozitiv-inclusiv-cadre-medicale-158296.html" xr:uid="{00000000-0004-0000-0000-0000FE0D0000}"/>
    <hyperlink ref="T1784" r:id="rId3584" display="http://www.ms.ro/2020/08/19/buletin-informativ-19-08-2020" xr:uid="{00000000-0004-0000-0000-0000FF0D0000}"/>
    <hyperlink ref="K1785" r:id="rId3585" display="https://www.ebihoreanul.ro/stiri/covid-nu-iarta-inca-doi-bihoreni-cu-coronavirus-au-murit-iar-alti-54-au-fost-depistati-pozitiv-inclusiv-cadre-medicale-158296.html" xr:uid="{00000000-0004-0000-0000-0000000E0000}"/>
    <hyperlink ref="T1785" r:id="rId3586" display="http://www.ms.ro/2020/08/19/buletin-informativ-19-08-2020" xr:uid="{00000000-0004-0000-0000-0000010E0000}"/>
    <hyperlink ref="K1786" r:id="rId3587" display="https://www.ebihoreanul.ro/stiri/covid-nu-iarta-inca-doi-bihoreni-cu-coronavirus-au-murit-iar-alti-54-au-fost-depistati-pozitiv-inclusiv-cadre-medicale-158296.html" xr:uid="{00000000-0004-0000-0000-0000020E0000}"/>
    <hyperlink ref="T1786" r:id="rId3588" display="http://www.ms.ro/2020/08/19/buletin-informativ-19-08-2020" xr:uid="{00000000-0004-0000-0000-0000030E0000}"/>
    <hyperlink ref="K1787" r:id="rId3589" display="https://www.ebihoreanul.ro/stiri/covid-nu-iarta-inca-doi-bihoreni-cu-coronavirus-au-murit-iar-alti-54-au-fost-depistati-pozitiv-inclusiv-cadre-medicale-158296.html" xr:uid="{00000000-0004-0000-0000-0000040E0000}"/>
    <hyperlink ref="T1787" r:id="rId3590" display="http://www.ms.ro/2020/08/19/buletin-informativ-19-08-2020" xr:uid="{00000000-0004-0000-0000-0000050E0000}"/>
    <hyperlink ref="K1788" r:id="rId3591" display="https://www.ebihoreanul.ro/stiri/covid-nu-iarta-inca-doi-bihoreni-cu-coronavirus-au-murit-iar-alti-54-au-fost-depistati-pozitiv-inclusiv-cadre-medicale-158296.html" xr:uid="{00000000-0004-0000-0000-0000060E0000}"/>
    <hyperlink ref="T1788" r:id="rId3592" display="http://www.ms.ro/2020/08/19/buletin-informativ-19-08-2020" xr:uid="{00000000-0004-0000-0000-0000070E0000}"/>
    <hyperlink ref="K1789" r:id="rId3593" display="https://www.ebihoreanul.ro/stiri/covid-nu-iarta-inca-doi-bihoreni-cu-coronavirus-au-murit-iar-alti-54-au-fost-depistati-pozitiv-inclusiv-cadre-medicale-158296.html" xr:uid="{00000000-0004-0000-0000-0000080E0000}"/>
    <hyperlink ref="T1789" r:id="rId3594" display="http://www.ms.ro/2020/08/19/buletin-informativ-19-08-2020" xr:uid="{00000000-0004-0000-0000-0000090E0000}"/>
    <hyperlink ref="K1790" r:id="rId3595" display="https://www.ebihoreanul.ro/stiri/covid-nu-iarta-inca-doi-bihoreni-cu-coronavirus-au-murit-iar-alti-54-au-fost-depistati-pozitiv-inclusiv-cadre-medicale-158296.html" xr:uid="{00000000-0004-0000-0000-00000A0E0000}"/>
    <hyperlink ref="T1790" r:id="rId3596" display="http://www.ms.ro/2020/08/19/buletin-informativ-19-08-2020" xr:uid="{00000000-0004-0000-0000-00000B0E0000}"/>
    <hyperlink ref="K1791" r:id="rId3597" display="https://www.ebihoreanul.ro/stiri/covid-nu-iarta-inca-doi-bihoreni-cu-coronavirus-au-murit-iar-alti-54-au-fost-depistati-pozitiv-inclusiv-cadre-medicale-158296.html" xr:uid="{00000000-0004-0000-0000-00000C0E0000}"/>
    <hyperlink ref="T1791" r:id="rId3598" display="http://www.ms.ro/2020/08/19/buletin-informativ-19-08-2020" xr:uid="{00000000-0004-0000-0000-00000D0E0000}"/>
    <hyperlink ref="K1792" r:id="rId3599" display="https://www.ebihoreanul.ro/stiri/covid-nu-iarta-inca-doi-bihoreni-cu-coronavirus-au-murit-iar-alti-54-au-fost-depistati-pozitiv-inclusiv-cadre-medicale-158296.html" xr:uid="{00000000-0004-0000-0000-00000E0E0000}"/>
    <hyperlink ref="T1792" r:id="rId3600" display="http://www.ms.ro/2020/08/19/buletin-informativ-19-08-2020" xr:uid="{00000000-0004-0000-0000-00000F0E0000}"/>
    <hyperlink ref="K1793" r:id="rId3601" display="https://www.ebihoreanul.ro/stiri/covid-nu-iarta-inca-doi-bihoreni-cu-coronavirus-au-murit-iar-alti-54-au-fost-depistati-pozitiv-inclusiv-cadre-medicale-158296.html" xr:uid="{00000000-0004-0000-0000-0000100E0000}"/>
    <hyperlink ref="T1793" r:id="rId3602" display="http://www.ms.ro/2020/08/19/buletin-informativ-19-08-2020" xr:uid="{00000000-0004-0000-0000-0000110E0000}"/>
    <hyperlink ref="K1794" r:id="rId3603" display="https://www.ebihoreanul.ro/stiri/covid-nu-iarta-inca-doi-bihoreni-cu-coronavirus-au-murit-iar-alti-54-au-fost-depistati-pozitiv-inclusiv-cadre-medicale-158296.html" xr:uid="{00000000-0004-0000-0000-0000120E0000}"/>
    <hyperlink ref="T1794" r:id="rId3604" display="http://www.ms.ro/2020/08/19/buletin-informativ-19-08-2020" xr:uid="{00000000-0004-0000-0000-0000130E0000}"/>
    <hyperlink ref="K1795" r:id="rId3605" display="https://www.ebihoreanul.ro/stiri/covid-nu-iarta-inca-doi-bihoreni-cu-coronavirus-au-murit-iar-alti-54-au-fost-depistati-pozitiv-inclusiv-cadre-medicale-158296.html" xr:uid="{00000000-0004-0000-0000-0000140E0000}"/>
    <hyperlink ref="T1795" r:id="rId3606" display="http://www.ms.ro/2020/08/19/buletin-informativ-19-08-2020" xr:uid="{00000000-0004-0000-0000-0000150E0000}"/>
    <hyperlink ref="K1796" r:id="rId3607" display="https://www.ebihoreanul.ro/stiri/covid-nu-iarta-inca-doi-bihoreni-cu-coronavirus-au-murit-iar-alti-54-au-fost-depistati-pozitiv-inclusiv-cadre-medicale-158296.html" xr:uid="{00000000-0004-0000-0000-0000160E0000}"/>
    <hyperlink ref="T1796" r:id="rId3608" display="http://www.ms.ro/2020/08/19/buletin-informativ-19-08-2020" xr:uid="{00000000-0004-0000-0000-0000170E0000}"/>
    <hyperlink ref="K1797" r:id="rId3609" display="https://www.ebihoreanul.ro/stiri/record-alarmant-in-bihor-inca-85-de-cazuri-noi-de-covid-si-inca-doua-decese-158311.html" xr:uid="{00000000-0004-0000-0000-0000180E0000}"/>
    <hyperlink ref="T1797" r:id="rId3610" display="http://www.ms.ro/2020/08/20/buletin-informativ-20-08-2020" xr:uid="{00000000-0004-0000-0000-0000190E0000}"/>
    <hyperlink ref="K1798" r:id="rId3611" display="https://www.ebihoreanul.ro/stiri/record-alarmant-in-bihor-inca-85-de-cazuri-noi-de-covid-si-inca-doua-decese-158311.html" xr:uid="{00000000-0004-0000-0000-00001A0E0000}"/>
    <hyperlink ref="T1798" r:id="rId3612" display="http://www.ms.ro/2020/08/20/buletin-informativ-20-08-2020" xr:uid="{00000000-0004-0000-0000-00001B0E0000}"/>
    <hyperlink ref="K1799" r:id="rId3613" display="https://www.ebihoreanul.ro/stiri/record-alarmant-in-bihor-inca-85-de-cazuri-noi-de-covid-si-inca-doua-decese-158311.html" xr:uid="{00000000-0004-0000-0000-00001C0E0000}"/>
    <hyperlink ref="T1799" r:id="rId3614" display="http://www.ms.ro/2020/08/20/buletin-informativ-20-08-2020" xr:uid="{00000000-0004-0000-0000-00001D0E0000}"/>
    <hyperlink ref="K1800" r:id="rId3615" display="https://www.ebihoreanul.ro/stiri/record-alarmant-in-bihor-inca-85-de-cazuri-noi-de-covid-si-inca-doua-decese-158311.html" xr:uid="{00000000-0004-0000-0000-00001E0E0000}"/>
    <hyperlink ref="T1800" r:id="rId3616" display="http://www.ms.ro/2020/08/20/buletin-informativ-20-08-2020" xr:uid="{00000000-0004-0000-0000-00001F0E0000}"/>
    <hyperlink ref="K1801" r:id="rId3617" display="https://www.ebihoreanul.ro/stiri/record-alarmant-in-bihor-inca-85-de-cazuri-noi-de-covid-si-inca-doua-decese-158311.html" xr:uid="{00000000-0004-0000-0000-0000200E0000}"/>
    <hyperlink ref="T1801" r:id="rId3618" display="http://www.ms.ro/2020/08/20/buletin-informativ-20-08-2020" xr:uid="{00000000-0004-0000-0000-0000210E0000}"/>
    <hyperlink ref="K1802" r:id="rId3619" display="https://www.ebihoreanul.ro/stiri/record-alarmant-in-bihor-inca-85-de-cazuri-noi-de-covid-si-inca-doua-decese-158311.html" xr:uid="{00000000-0004-0000-0000-0000220E0000}"/>
    <hyperlink ref="T1802" r:id="rId3620" display="http://www.ms.ro/2020/08/20/buletin-informativ-20-08-2020" xr:uid="{00000000-0004-0000-0000-0000230E0000}"/>
    <hyperlink ref="K1803" r:id="rId3621" display="https://www.ebihoreanul.ro/stiri/record-alarmant-in-bihor-inca-85-de-cazuri-noi-de-covid-si-inca-doua-decese-158311.html" xr:uid="{00000000-0004-0000-0000-0000240E0000}"/>
    <hyperlink ref="T1803" r:id="rId3622" display="http://www.ms.ro/2020/08/20/buletin-informativ-20-08-2020" xr:uid="{00000000-0004-0000-0000-0000250E0000}"/>
    <hyperlink ref="K1804" r:id="rId3623" display="https://www.ebihoreanul.ro/stiri/record-alarmant-in-bihor-inca-85-de-cazuri-noi-de-covid-si-inca-doua-decese-158311.html" xr:uid="{00000000-0004-0000-0000-0000260E0000}"/>
    <hyperlink ref="T1804" r:id="rId3624" display="http://www.ms.ro/2020/08/20/buletin-informativ-20-08-2020" xr:uid="{00000000-0004-0000-0000-0000270E0000}"/>
    <hyperlink ref="K1805" r:id="rId3625" display="https://www.ebihoreanul.ro/stiri/record-alarmant-in-bihor-inca-85-de-cazuri-noi-de-covid-si-inca-doua-decese-158311.html" xr:uid="{00000000-0004-0000-0000-0000280E0000}"/>
    <hyperlink ref="T1805" r:id="rId3626" display="http://www.ms.ro/2020/08/20/buletin-informativ-20-08-2020" xr:uid="{00000000-0004-0000-0000-0000290E0000}"/>
    <hyperlink ref="K1806" r:id="rId3627" display="https://www.ebihoreanul.ro/stiri/record-alarmant-in-bihor-inca-85-de-cazuri-noi-de-covid-si-inca-doua-decese-158311.html" xr:uid="{00000000-0004-0000-0000-00002A0E0000}"/>
    <hyperlink ref="T1806" r:id="rId3628" display="http://www.ms.ro/2020/08/20/buletin-informativ-20-08-2020" xr:uid="{00000000-0004-0000-0000-00002B0E0000}"/>
    <hyperlink ref="K1807" r:id="rId3629" display="https://www.ebihoreanul.ro/stiri/record-alarmant-in-bihor-inca-85-de-cazuri-noi-de-covid-si-inca-doua-decese-158311.html" xr:uid="{00000000-0004-0000-0000-00002C0E0000}"/>
    <hyperlink ref="T1807" r:id="rId3630" display="http://www.ms.ro/2020/08/20/buletin-informativ-20-08-2020" xr:uid="{00000000-0004-0000-0000-00002D0E0000}"/>
    <hyperlink ref="K1808" r:id="rId3631" display="https://www.ebihoreanul.ro/stiri/record-alarmant-in-bihor-inca-85-de-cazuri-noi-de-covid-si-inca-doua-decese-158311.html" xr:uid="{00000000-0004-0000-0000-00002E0E0000}"/>
    <hyperlink ref="T1808" r:id="rId3632" display="http://www.ms.ro/2020/08/20/buletin-informativ-20-08-2020" xr:uid="{00000000-0004-0000-0000-00002F0E0000}"/>
    <hyperlink ref="K1809" r:id="rId3633" display="https://www.ebihoreanul.ro/stiri/record-alarmant-in-bihor-inca-85-de-cazuri-noi-de-covid-si-inca-doua-decese-158311.html" xr:uid="{00000000-0004-0000-0000-0000300E0000}"/>
    <hyperlink ref="T1809" r:id="rId3634" display="http://www.ms.ro/2020/08/20/buletin-informativ-20-08-2020" xr:uid="{00000000-0004-0000-0000-0000310E0000}"/>
    <hyperlink ref="K1810" r:id="rId3635" display="https://www.ebihoreanul.ro/stiri/record-alarmant-in-bihor-inca-85-de-cazuri-noi-de-covid-si-inca-doua-decese-158311.html" xr:uid="{00000000-0004-0000-0000-0000320E0000}"/>
    <hyperlink ref="T1810" r:id="rId3636" display="http://www.ms.ro/2020/08/20/buletin-informativ-20-08-2020" xr:uid="{00000000-0004-0000-0000-0000330E0000}"/>
    <hyperlink ref="K1811" r:id="rId3637" display="https://www.ebihoreanul.ro/stiri/record-alarmant-in-bihor-inca-85-de-cazuri-noi-de-covid-si-inca-doua-decese-158311.html" xr:uid="{00000000-0004-0000-0000-0000340E0000}"/>
    <hyperlink ref="T1811" r:id="rId3638" display="http://www.ms.ro/2020/08/20/buletin-informativ-20-08-2020" xr:uid="{00000000-0004-0000-0000-0000350E0000}"/>
    <hyperlink ref="K1812" r:id="rId3639" display="https://www.ebihoreanul.ro/stiri/record-alarmant-in-bihor-inca-85-de-cazuri-noi-de-covid-si-inca-doua-decese-158311.html" xr:uid="{00000000-0004-0000-0000-0000360E0000}"/>
    <hyperlink ref="T1812" r:id="rId3640" display="http://www.ms.ro/2020/08/20/buletin-informativ-20-08-2020" xr:uid="{00000000-0004-0000-0000-0000370E0000}"/>
    <hyperlink ref="K1813" r:id="rId3641" display="https://www.ebihoreanul.ro/stiri/record-alarmant-in-bihor-inca-85-de-cazuri-noi-de-covid-si-inca-doua-decese-158311.html" xr:uid="{00000000-0004-0000-0000-0000380E0000}"/>
    <hyperlink ref="T1813" r:id="rId3642" display="http://www.ms.ro/2020/08/20/buletin-informativ-20-08-2020" xr:uid="{00000000-0004-0000-0000-0000390E0000}"/>
    <hyperlink ref="K1814" r:id="rId3643" display="https://www.ebihoreanul.ro/stiri/record-alarmant-in-bihor-inca-85-de-cazuri-noi-de-covid-si-inca-doua-decese-158311.html" xr:uid="{00000000-0004-0000-0000-00003A0E0000}"/>
    <hyperlink ref="T1814" r:id="rId3644" display="http://www.ms.ro/2020/08/20/buletin-informativ-20-08-2020" xr:uid="{00000000-0004-0000-0000-00003B0E0000}"/>
    <hyperlink ref="K1815" r:id="rId3645" display="https://www.ebihoreanul.ro/stiri/record-alarmant-in-bihor-inca-85-de-cazuri-noi-de-covid-si-inca-doua-decese-158311.html" xr:uid="{00000000-0004-0000-0000-00003C0E0000}"/>
    <hyperlink ref="T1815" r:id="rId3646" display="http://www.ms.ro/2020/08/20/buletin-informativ-20-08-2020" xr:uid="{00000000-0004-0000-0000-00003D0E0000}"/>
    <hyperlink ref="K1816" r:id="rId3647" display="https://www.ebihoreanul.ro/stiri/record-alarmant-in-bihor-inca-85-de-cazuri-noi-de-covid-si-inca-doua-decese-158311.html" xr:uid="{00000000-0004-0000-0000-00003E0E0000}"/>
    <hyperlink ref="T1816" r:id="rId3648" display="http://www.ms.ro/2020/08/20/buletin-informativ-20-08-2020" xr:uid="{00000000-0004-0000-0000-00003F0E0000}"/>
    <hyperlink ref="K1817" r:id="rId3649" display="https://www.ebihoreanul.ro/stiri/record-alarmant-in-bihor-inca-85-de-cazuri-noi-de-covid-si-inca-doua-decese-158311.html" xr:uid="{00000000-0004-0000-0000-0000400E0000}"/>
    <hyperlink ref="T1817" r:id="rId3650" display="http://www.ms.ro/2020/08/20/buletin-informativ-20-08-2020" xr:uid="{00000000-0004-0000-0000-0000410E0000}"/>
    <hyperlink ref="K1818" r:id="rId3651" display="https://www.ebihoreanul.ro/stiri/record-alarmant-in-bihor-inca-85-de-cazuri-noi-de-covid-si-inca-doua-decese-158311.html" xr:uid="{00000000-0004-0000-0000-0000420E0000}"/>
    <hyperlink ref="T1818" r:id="rId3652" display="http://www.ms.ro/2020/08/20/buletin-informativ-20-08-2020" xr:uid="{00000000-0004-0000-0000-0000430E0000}"/>
    <hyperlink ref="K1819" r:id="rId3653" display="https://www.ebihoreanul.ro/stiri/record-alarmant-in-bihor-inca-85-de-cazuri-noi-de-covid-si-inca-doua-decese-158311.html" xr:uid="{00000000-0004-0000-0000-0000440E0000}"/>
    <hyperlink ref="T1819" r:id="rId3654" display="http://www.ms.ro/2020/08/20/buletin-informativ-20-08-2020" xr:uid="{00000000-0004-0000-0000-0000450E0000}"/>
    <hyperlink ref="K1820" r:id="rId3655" display="https://www.ebihoreanul.ro/stiri/record-alarmant-in-bihor-inca-85-de-cazuri-noi-de-covid-si-inca-doua-decese-158311.html" xr:uid="{00000000-0004-0000-0000-0000460E0000}"/>
    <hyperlink ref="T1820" r:id="rId3656" display="http://www.ms.ro/2020/08/20/buletin-informativ-20-08-2020" xr:uid="{00000000-0004-0000-0000-0000470E0000}"/>
    <hyperlink ref="K1821" r:id="rId3657" display="https://www.ebihoreanul.ro/stiri/record-alarmant-in-bihor-inca-85-de-cazuri-noi-de-covid-si-inca-doua-decese-158311.html" xr:uid="{00000000-0004-0000-0000-0000480E0000}"/>
    <hyperlink ref="T1821" r:id="rId3658" display="http://www.ms.ro/2020/08/20/buletin-informativ-20-08-2020" xr:uid="{00000000-0004-0000-0000-0000490E0000}"/>
    <hyperlink ref="K1822" r:id="rId3659" display="https://www.ebihoreanul.ro/stiri/record-alarmant-in-bihor-inca-85-de-cazuri-noi-de-covid-si-inca-doua-decese-158311.html" xr:uid="{00000000-0004-0000-0000-00004A0E0000}"/>
    <hyperlink ref="T1822" r:id="rId3660" display="http://www.ms.ro/2020/08/20/buletin-informativ-20-08-2020" xr:uid="{00000000-0004-0000-0000-00004B0E0000}"/>
    <hyperlink ref="K1823" r:id="rId3661" display="https://www.ebihoreanul.ro/stiri/record-alarmant-in-bihor-inca-85-de-cazuri-noi-de-covid-si-inca-doua-decese-158311.html" xr:uid="{00000000-0004-0000-0000-00004C0E0000}"/>
    <hyperlink ref="T1823" r:id="rId3662" display="http://www.ms.ro/2020/08/20/buletin-informativ-20-08-2020" xr:uid="{00000000-0004-0000-0000-00004D0E0000}"/>
    <hyperlink ref="K1824" r:id="rId3663" display="https://www.ebihoreanul.ro/stiri/record-alarmant-in-bihor-inca-85-de-cazuri-noi-de-covid-si-inca-doua-decese-158311.html" xr:uid="{00000000-0004-0000-0000-00004E0E0000}"/>
    <hyperlink ref="T1824" r:id="rId3664" display="http://www.ms.ro/2020/08/20/buletin-informativ-20-08-2020" xr:uid="{00000000-0004-0000-0000-00004F0E0000}"/>
    <hyperlink ref="K1825" r:id="rId3665" display="https://www.ebihoreanul.ro/stiri/record-alarmant-in-bihor-inca-85-de-cazuri-noi-de-covid-si-inca-doua-decese-158311.html" xr:uid="{00000000-0004-0000-0000-0000500E0000}"/>
    <hyperlink ref="T1825" r:id="rId3666" display="http://www.ms.ro/2020/08/20/buletin-informativ-20-08-2020" xr:uid="{00000000-0004-0000-0000-0000510E0000}"/>
    <hyperlink ref="K1826" r:id="rId3667" display="https://www.ebihoreanul.ro/stiri/record-alarmant-in-bihor-inca-85-de-cazuri-noi-de-covid-si-inca-doua-decese-158311.html" xr:uid="{00000000-0004-0000-0000-0000520E0000}"/>
    <hyperlink ref="T1826" r:id="rId3668" display="http://www.ms.ro/2020/08/20/buletin-informativ-20-08-2020" xr:uid="{00000000-0004-0000-0000-0000530E0000}"/>
    <hyperlink ref="K1827" r:id="rId3669" display="https://www.ebihoreanul.ro/stiri/record-alarmant-in-bihor-inca-85-de-cazuri-noi-de-covid-si-inca-doua-decese-158311.html" xr:uid="{00000000-0004-0000-0000-0000540E0000}"/>
    <hyperlink ref="T1827" r:id="rId3670" display="http://www.ms.ro/2020/08/20/buletin-informativ-20-08-2020" xr:uid="{00000000-0004-0000-0000-0000550E0000}"/>
    <hyperlink ref="K1828" r:id="rId3671" display="https://www.ebihoreanul.ro/stiri/record-alarmant-in-bihor-inca-85-de-cazuri-noi-de-covid-si-inca-doua-decese-158311.html" xr:uid="{00000000-0004-0000-0000-0000560E0000}"/>
    <hyperlink ref="T1828" r:id="rId3672" display="http://www.ms.ro/2020/08/20/buletin-informativ-20-08-2020" xr:uid="{00000000-0004-0000-0000-0000570E0000}"/>
    <hyperlink ref="K1829" r:id="rId3673" display="https://www.ebihoreanul.ro/stiri/record-alarmant-in-bihor-inca-85-de-cazuri-noi-de-covid-si-inca-doua-decese-158311.html" xr:uid="{00000000-0004-0000-0000-0000580E0000}"/>
    <hyperlink ref="T1829" r:id="rId3674" display="http://www.ms.ro/2020/08/20/buletin-informativ-20-08-2020" xr:uid="{00000000-0004-0000-0000-0000590E0000}"/>
    <hyperlink ref="K1830" r:id="rId3675" display="https://www.ebihoreanul.ro/stiri/record-alarmant-in-bihor-inca-85-de-cazuri-noi-de-covid-si-inca-doua-decese-158311.html" xr:uid="{00000000-0004-0000-0000-00005A0E0000}"/>
    <hyperlink ref="T1830" r:id="rId3676" display="http://www.ms.ro/2020/08/20/buletin-informativ-20-08-2020" xr:uid="{00000000-0004-0000-0000-00005B0E0000}"/>
    <hyperlink ref="K1831" r:id="rId3677" display="https://www.ebihoreanul.ro/stiri/record-alarmant-in-bihor-inca-85-de-cazuri-noi-de-covid-si-inca-doua-decese-158311.html" xr:uid="{00000000-0004-0000-0000-00005C0E0000}"/>
    <hyperlink ref="T1831" r:id="rId3678" display="http://www.ms.ro/2020/08/20/buletin-informativ-20-08-2020" xr:uid="{00000000-0004-0000-0000-00005D0E0000}"/>
    <hyperlink ref="K1832" r:id="rId3679" display="https://www.ebihoreanul.ro/stiri/record-alarmant-in-bihor-inca-85-de-cazuri-noi-de-covid-si-inca-doua-decese-158311.html" xr:uid="{00000000-0004-0000-0000-00005E0E0000}"/>
    <hyperlink ref="T1832" r:id="rId3680" display="http://www.ms.ro/2020/08/20/buletin-informativ-20-08-2020" xr:uid="{00000000-0004-0000-0000-00005F0E0000}"/>
    <hyperlink ref="K1833" r:id="rId3681" display="https://www.ebihoreanul.ro/stiri/record-alarmant-in-bihor-inca-85-de-cazuri-noi-de-covid-si-inca-doua-decese-158311.html" xr:uid="{00000000-0004-0000-0000-0000600E0000}"/>
    <hyperlink ref="T1833" r:id="rId3682" display="http://www.ms.ro/2020/08/20/buletin-informativ-20-08-2020" xr:uid="{00000000-0004-0000-0000-0000610E0000}"/>
    <hyperlink ref="K1834" r:id="rId3683" display="https://www.ebihoreanul.ro/stiri/record-alarmant-in-bihor-inca-85-de-cazuri-noi-de-covid-si-inca-doua-decese-158311.html" xr:uid="{00000000-0004-0000-0000-0000620E0000}"/>
    <hyperlink ref="T1834" r:id="rId3684" display="http://www.ms.ro/2020/08/20/buletin-informativ-20-08-2020" xr:uid="{00000000-0004-0000-0000-0000630E0000}"/>
    <hyperlink ref="K1835" r:id="rId3685" display="https://www.ebihoreanul.ro/stiri/record-alarmant-in-bihor-inca-85-de-cazuri-noi-de-covid-si-inca-doua-decese-158311.html" xr:uid="{00000000-0004-0000-0000-0000640E0000}"/>
    <hyperlink ref="T1835" r:id="rId3686" display="http://www.ms.ro/2020/08/20/buletin-informativ-20-08-2020" xr:uid="{00000000-0004-0000-0000-0000650E0000}"/>
    <hyperlink ref="K1836" r:id="rId3687" display="https://www.ebihoreanul.ro/stiri/record-alarmant-in-bihor-inca-85-de-cazuri-noi-de-covid-si-inca-doua-decese-158311.html" xr:uid="{00000000-0004-0000-0000-0000660E0000}"/>
    <hyperlink ref="T1836" r:id="rId3688" display="http://www.ms.ro/2020/08/20/buletin-informativ-20-08-2020" xr:uid="{00000000-0004-0000-0000-0000670E0000}"/>
    <hyperlink ref="K1837" r:id="rId3689" display="https://www.ebihoreanul.ro/stiri/record-alarmant-in-bihor-inca-85-de-cazuri-noi-de-covid-si-inca-doua-decese-158311.html" xr:uid="{00000000-0004-0000-0000-0000680E0000}"/>
    <hyperlink ref="T1837" r:id="rId3690" display="http://www.ms.ro/2020/08/20/buletin-informativ-20-08-2020" xr:uid="{00000000-0004-0000-0000-0000690E0000}"/>
    <hyperlink ref="K1838" r:id="rId3691" display="https://www.ebihoreanul.ro/stiri/record-alarmant-in-bihor-inca-85-de-cazuri-noi-de-covid-si-inca-doua-decese-158311.html" xr:uid="{00000000-0004-0000-0000-00006A0E0000}"/>
    <hyperlink ref="T1838" r:id="rId3692" display="http://www.ms.ro/2020/08/20/buletin-informativ-20-08-2020" xr:uid="{00000000-0004-0000-0000-00006B0E0000}"/>
    <hyperlink ref="K1839" r:id="rId3693" display="https://www.ebihoreanul.ro/stiri/record-alarmant-in-bihor-inca-85-de-cazuri-noi-de-covid-si-inca-doua-decese-158311.html" xr:uid="{00000000-0004-0000-0000-00006C0E0000}"/>
    <hyperlink ref="T1839" r:id="rId3694" display="http://www.ms.ro/2020/08/20/buletin-informativ-20-08-2020" xr:uid="{00000000-0004-0000-0000-00006D0E0000}"/>
    <hyperlink ref="K1840" r:id="rId3695" display="https://www.ebihoreanul.ro/stiri/record-alarmant-in-bihor-inca-85-de-cazuri-noi-de-covid-si-inca-doua-decese-158311.html" xr:uid="{00000000-0004-0000-0000-00006E0E0000}"/>
    <hyperlink ref="T1840" r:id="rId3696" display="http://www.ms.ro/2020/08/20/buletin-informativ-20-08-2020" xr:uid="{00000000-0004-0000-0000-00006F0E0000}"/>
    <hyperlink ref="K1841" r:id="rId3697" display="https://www.ebihoreanul.ro/stiri/record-alarmant-in-bihor-inca-85-de-cazuri-noi-de-covid-si-inca-doua-decese-158311.html" xr:uid="{00000000-0004-0000-0000-0000700E0000}"/>
    <hyperlink ref="T1841" r:id="rId3698" display="http://www.ms.ro/2020/08/20/buletin-informativ-20-08-2020" xr:uid="{00000000-0004-0000-0000-0000710E0000}"/>
    <hyperlink ref="K1842" r:id="rId3699" display="https://www.ebihoreanul.ro/stiri/record-alarmant-in-bihor-inca-85-de-cazuri-noi-de-covid-si-inca-doua-decese-158311.html" xr:uid="{00000000-0004-0000-0000-0000720E0000}"/>
    <hyperlink ref="T1842" r:id="rId3700" display="http://www.ms.ro/2020/08/20/buletin-informativ-20-08-2020" xr:uid="{00000000-0004-0000-0000-0000730E0000}"/>
    <hyperlink ref="K1843" r:id="rId3701" display="https://www.ebihoreanul.ro/stiri/record-alarmant-in-bihor-inca-85-de-cazuri-noi-de-covid-si-inca-doua-decese-158311.html" xr:uid="{00000000-0004-0000-0000-0000740E0000}"/>
    <hyperlink ref="T1843" r:id="rId3702" display="http://www.ms.ro/2020/08/20/buletin-informativ-20-08-2020" xr:uid="{00000000-0004-0000-0000-0000750E0000}"/>
    <hyperlink ref="K1844" r:id="rId3703" display="https://www.ebihoreanul.ro/stiri/record-alarmant-in-bihor-inca-85-de-cazuri-noi-de-covid-si-inca-doua-decese-158311.html" xr:uid="{00000000-0004-0000-0000-0000760E0000}"/>
    <hyperlink ref="T1844" r:id="rId3704" display="http://www.ms.ro/2020/08/20/buletin-informativ-20-08-2020" xr:uid="{00000000-0004-0000-0000-0000770E0000}"/>
    <hyperlink ref="K1845" r:id="rId3705" display="https://www.ebihoreanul.ro/stiri/record-alarmant-in-bihor-inca-85-de-cazuri-noi-de-covid-si-inca-doua-decese-158311.html" xr:uid="{00000000-0004-0000-0000-0000780E0000}"/>
    <hyperlink ref="T1845" r:id="rId3706" display="http://www.ms.ro/2020/08/20/buletin-informativ-20-08-2020" xr:uid="{00000000-0004-0000-0000-0000790E0000}"/>
    <hyperlink ref="K1846" r:id="rId3707" display="https://www.ebihoreanul.ro/stiri/record-alarmant-in-bihor-inca-85-de-cazuri-noi-de-covid-si-inca-doua-decese-158311.html" xr:uid="{00000000-0004-0000-0000-00007A0E0000}"/>
    <hyperlink ref="T1846" r:id="rId3708" display="http://www.ms.ro/2020/08/20/buletin-informativ-20-08-2020" xr:uid="{00000000-0004-0000-0000-00007B0E0000}"/>
    <hyperlink ref="K1847" r:id="rId3709" display="https://www.ebihoreanul.ro/stiri/record-alarmant-in-bihor-inca-85-de-cazuri-noi-de-covid-si-inca-doua-decese-158311.html" xr:uid="{00000000-0004-0000-0000-00007C0E0000}"/>
    <hyperlink ref="T1847" r:id="rId3710" display="http://www.ms.ro/2020/08/20/buletin-informativ-20-08-2020" xr:uid="{00000000-0004-0000-0000-00007D0E0000}"/>
    <hyperlink ref="K1848" r:id="rId3711" display="https://www.ebihoreanul.ro/stiri/record-alarmant-in-bihor-inca-85-de-cazuri-noi-de-covid-si-inca-doua-decese-158311.html" xr:uid="{00000000-0004-0000-0000-00007E0E0000}"/>
    <hyperlink ref="T1848" r:id="rId3712" display="http://www.ms.ro/2020/08/20/buletin-informativ-20-08-2020" xr:uid="{00000000-0004-0000-0000-00007F0E0000}"/>
    <hyperlink ref="K1849" r:id="rId3713" display="https://www.ebihoreanul.ro/stiri/record-alarmant-in-bihor-inca-85-de-cazuri-noi-de-covid-si-inca-doua-decese-158311.html" xr:uid="{00000000-0004-0000-0000-0000800E0000}"/>
    <hyperlink ref="T1849" r:id="rId3714" display="http://www.ms.ro/2020/08/20/buletin-informativ-20-08-2020" xr:uid="{00000000-0004-0000-0000-0000810E0000}"/>
    <hyperlink ref="K1850" r:id="rId3715" display="https://www.ebihoreanul.ro/stiri/record-alarmant-in-bihor-inca-85-de-cazuri-noi-de-covid-si-inca-doua-decese-158311.html" xr:uid="{00000000-0004-0000-0000-0000820E0000}"/>
    <hyperlink ref="T1850" r:id="rId3716" display="http://www.ms.ro/2020/08/20/buletin-informativ-20-08-2020" xr:uid="{00000000-0004-0000-0000-0000830E0000}"/>
    <hyperlink ref="K1851" r:id="rId3717" display="https://www.ebihoreanul.ro/stiri/record-alarmant-in-bihor-inca-85-de-cazuri-noi-de-covid-si-inca-doua-decese-158311.html" xr:uid="{00000000-0004-0000-0000-0000840E0000}"/>
    <hyperlink ref="T1851" r:id="rId3718" display="http://www.ms.ro/2020/08/20/buletin-informativ-20-08-2020" xr:uid="{00000000-0004-0000-0000-0000850E0000}"/>
    <hyperlink ref="K1852" r:id="rId3719" display="https://www.ebihoreanul.ro/stiri/record-alarmant-in-bihor-inca-85-de-cazuri-noi-de-covid-si-inca-doua-decese-158311.html" xr:uid="{00000000-0004-0000-0000-0000860E0000}"/>
    <hyperlink ref="T1852" r:id="rId3720" display="http://www.ms.ro/2020/08/20/buletin-informativ-20-08-2020" xr:uid="{00000000-0004-0000-0000-0000870E0000}"/>
    <hyperlink ref="K1853" r:id="rId3721" display="https://www.ebihoreanul.ro/stiri/record-alarmant-in-bihor-inca-85-de-cazuri-noi-de-covid-si-inca-doua-decese-158311.html" xr:uid="{00000000-0004-0000-0000-0000880E0000}"/>
    <hyperlink ref="T1853" r:id="rId3722" display="http://www.ms.ro/2020/08/20/buletin-informativ-20-08-2020" xr:uid="{00000000-0004-0000-0000-0000890E0000}"/>
    <hyperlink ref="K1854" r:id="rId3723" display="https://www.ebihoreanul.ro/stiri/record-alarmant-in-bihor-inca-85-de-cazuri-noi-de-covid-si-inca-doua-decese-158311.html" xr:uid="{00000000-0004-0000-0000-00008A0E0000}"/>
    <hyperlink ref="T1854" r:id="rId3724" display="http://www.ms.ro/2020/08/20/buletin-informativ-20-08-2020" xr:uid="{00000000-0004-0000-0000-00008B0E0000}"/>
    <hyperlink ref="K1855" r:id="rId3725" display="https://www.ebihoreanul.ro/stiri/record-alarmant-in-bihor-inca-85-de-cazuri-noi-de-covid-si-inca-doua-decese-158311.html" xr:uid="{00000000-0004-0000-0000-00008C0E0000}"/>
    <hyperlink ref="T1855" r:id="rId3726" display="http://www.ms.ro/2020/08/20/buletin-informativ-20-08-2020" xr:uid="{00000000-0004-0000-0000-00008D0E0000}"/>
    <hyperlink ref="K1856" r:id="rId3727" display="https://www.ebihoreanul.ro/stiri/record-alarmant-in-bihor-inca-85-de-cazuri-noi-de-covid-si-inca-doua-decese-158311.html" xr:uid="{00000000-0004-0000-0000-00008E0E0000}"/>
    <hyperlink ref="T1856" r:id="rId3728" display="http://www.ms.ro/2020/08/20/buletin-informativ-20-08-2020" xr:uid="{00000000-0004-0000-0000-00008F0E0000}"/>
    <hyperlink ref="K1857" r:id="rId3729" display="https://www.ebihoreanul.ro/stiri/record-alarmant-in-bihor-inca-85-de-cazuri-noi-de-covid-si-inca-doua-decese-158311.html" xr:uid="{00000000-0004-0000-0000-0000900E0000}"/>
    <hyperlink ref="T1857" r:id="rId3730" display="http://www.ms.ro/2020/08/20/buletin-informativ-20-08-2020" xr:uid="{00000000-0004-0000-0000-0000910E0000}"/>
    <hyperlink ref="K1858" r:id="rId3731" display="https://www.ebihoreanul.ro/stiri/record-alarmant-in-bihor-inca-85-de-cazuri-noi-de-covid-si-inca-doua-decese-158311.html" xr:uid="{00000000-0004-0000-0000-0000920E0000}"/>
    <hyperlink ref="T1858" r:id="rId3732" display="http://www.ms.ro/2020/08/20/buletin-informativ-20-08-2020" xr:uid="{00000000-0004-0000-0000-0000930E0000}"/>
    <hyperlink ref="K1859" r:id="rId3733" display="https://www.ebihoreanul.ro/stiri/record-alarmant-in-bihor-inca-85-de-cazuri-noi-de-covid-si-inca-doua-decese-158311.html" xr:uid="{00000000-0004-0000-0000-0000940E0000}"/>
    <hyperlink ref="T1859" r:id="rId3734" display="http://www.ms.ro/2020/08/20/buletin-informativ-20-08-2020" xr:uid="{00000000-0004-0000-0000-0000950E0000}"/>
    <hyperlink ref="K1860" r:id="rId3735" display="https://www.ebihoreanul.ro/stiri/record-alarmant-in-bihor-inca-85-de-cazuri-noi-de-covid-si-inca-doua-decese-158311.html" xr:uid="{00000000-0004-0000-0000-0000960E0000}"/>
    <hyperlink ref="T1860" r:id="rId3736" display="http://www.ms.ro/2020/08/20/buletin-informativ-20-08-2020" xr:uid="{00000000-0004-0000-0000-0000970E0000}"/>
    <hyperlink ref="K1861" r:id="rId3737" display="https://www.ebihoreanul.ro/stiri/record-alarmant-in-bihor-inca-85-de-cazuri-noi-de-covid-si-inca-doua-decese-158311.html" xr:uid="{00000000-0004-0000-0000-0000980E0000}"/>
    <hyperlink ref="T1861" r:id="rId3738" display="http://www.ms.ro/2020/08/20/buletin-informativ-20-08-2020" xr:uid="{00000000-0004-0000-0000-0000990E0000}"/>
    <hyperlink ref="K1862" r:id="rId3739" display="https://www.ebihoreanul.ro/stiri/record-alarmant-in-bihor-inca-85-de-cazuri-noi-de-covid-si-inca-doua-decese-158311.html" xr:uid="{00000000-0004-0000-0000-00009A0E0000}"/>
    <hyperlink ref="T1862" r:id="rId3740" display="http://www.ms.ro/2020/08/20/buletin-informativ-20-08-2020" xr:uid="{00000000-0004-0000-0000-00009B0E0000}"/>
    <hyperlink ref="K1863" r:id="rId3741" display="https://www.ebihoreanul.ro/stiri/record-alarmant-in-bihor-inca-85-de-cazuri-noi-de-covid-si-inca-doua-decese-158311.html" xr:uid="{00000000-0004-0000-0000-00009C0E0000}"/>
    <hyperlink ref="T1863" r:id="rId3742" display="http://www.ms.ro/2020/08/20/buletin-informativ-20-08-2020" xr:uid="{00000000-0004-0000-0000-00009D0E0000}"/>
    <hyperlink ref="K1864" r:id="rId3743" display="https://www.ebihoreanul.ro/stiri/record-alarmant-in-bihor-inca-85-de-cazuri-noi-de-covid-si-inca-doua-decese-158311.html" xr:uid="{00000000-0004-0000-0000-00009E0E0000}"/>
    <hyperlink ref="T1864" r:id="rId3744" display="http://www.ms.ro/2020/08/20/buletin-informativ-20-08-2020" xr:uid="{00000000-0004-0000-0000-00009F0E0000}"/>
    <hyperlink ref="K1865" r:id="rId3745" display="https://www.ebihoreanul.ro/stiri/record-alarmant-in-bihor-inca-85-de-cazuri-noi-de-covid-si-inca-doua-decese-158311.html" xr:uid="{00000000-0004-0000-0000-0000A00E0000}"/>
    <hyperlink ref="T1865" r:id="rId3746" display="http://www.ms.ro/2020/08/20/buletin-informativ-20-08-2020" xr:uid="{00000000-0004-0000-0000-0000A10E0000}"/>
    <hyperlink ref="K1866" r:id="rId3747" display="https://www.ebihoreanul.ro/stiri/record-alarmant-in-bihor-inca-85-de-cazuri-noi-de-covid-si-inca-doua-decese-158311.html" xr:uid="{00000000-0004-0000-0000-0000A20E0000}"/>
    <hyperlink ref="T1866" r:id="rId3748" display="http://www.ms.ro/2020/08/20/buletin-informativ-20-08-2020" xr:uid="{00000000-0004-0000-0000-0000A30E0000}"/>
    <hyperlink ref="K1867" r:id="rId3749" display="https://www.ebihoreanul.ro/stiri/record-alarmant-in-bihor-inca-85-de-cazuri-noi-de-covid-si-inca-doua-decese-158311.html" xr:uid="{00000000-0004-0000-0000-0000A40E0000}"/>
    <hyperlink ref="T1867" r:id="rId3750" display="http://www.ms.ro/2020/08/20/buletin-informativ-20-08-2020" xr:uid="{00000000-0004-0000-0000-0000A50E0000}"/>
    <hyperlink ref="K1868" r:id="rId3751" display="https://www.ebihoreanul.ro/stiri/record-alarmant-in-bihor-inca-85-de-cazuri-noi-de-covid-si-inca-doua-decese-158311.html" xr:uid="{00000000-0004-0000-0000-0000A60E0000}"/>
    <hyperlink ref="T1868" r:id="rId3752" display="http://www.ms.ro/2020/08/20/buletin-informativ-20-08-2020" xr:uid="{00000000-0004-0000-0000-0000A70E0000}"/>
    <hyperlink ref="K1869" r:id="rId3753" display="https://www.ebihoreanul.ro/stiri/record-alarmant-in-bihor-inca-85-de-cazuri-noi-de-covid-si-inca-doua-decese-158311.html" xr:uid="{00000000-0004-0000-0000-0000A80E0000}"/>
    <hyperlink ref="T1869" r:id="rId3754" display="http://www.ms.ro/2020/08/20/buletin-informativ-20-08-2020" xr:uid="{00000000-0004-0000-0000-0000A90E0000}"/>
    <hyperlink ref="K1870" r:id="rId3755" display="https://www.ebihoreanul.ro/stiri/record-alarmant-in-bihor-inca-85-de-cazuri-noi-de-covid-si-inca-doua-decese-158311.html" xr:uid="{00000000-0004-0000-0000-0000AA0E0000}"/>
    <hyperlink ref="T1870" r:id="rId3756" display="http://www.ms.ro/2020/08/20/buletin-informativ-20-08-2020" xr:uid="{00000000-0004-0000-0000-0000AB0E0000}"/>
    <hyperlink ref="K1871" r:id="rId3757" display="https://www.ebihoreanul.ro/stiri/record-alarmant-in-bihor-inca-85-de-cazuri-noi-de-covid-si-inca-doua-decese-158311.html" xr:uid="{00000000-0004-0000-0000-0000AC0E0000}"/>
    <hyperlink ref="T1871" r:id="rId3758" display="http://www.ms.ro/2020/08/20/buletin-informativ-20-08-2020" xr:uid="{00000000-0004-0000-0000-0000AD0E0000}"/>
    <hyperlink ref="K1872" r:id="rId3759" display="https://www.ebihoreanul.ro/stiri/record-alarmant-in-bihor-inca-85-de-cazuri-noi-de-covid-si-inca-doua-decese-158311.html" xr:uid="{00000000-0004-0000-0000-0000AE0E0000}"/>
    <hyperlink ref="T1872" r:id="rId3760" display="http://www.ms.ro/2020/08/20/buletin-informativ-20-08-2020" xr:uid="{00000000-0004-0000-0000-0000AF0E0000}"/>
    <hyperlink ref="K1873" r:id="rId3761" display="https://www.ebihoreanul.ro/stiri/record-alarmant-in-bihor-inca-85-de-cazuri-noi-de-covid-si-inca-doua-decese-158311.html" xr:uid="{00000000-0004-0000-0000-0000B00E0000}"/>
    <hyperlink ref="T1873" r:id="rId3762" display="http://www.ms.ro/2020/08/20/buletin-informativ-20-08-2020" xr:uid="{00000000-0004-0000-0000-0000B10E0000}"/>
    <hyperlink ref="K1874" r:id="rId3763" display="https://www.ebihoreanul.ro/stiri/record-alarmant-in-bihor-inca-85-de-cazuri-noi-de-covid-si-inca-doua-decese-158311.html" xr:uid="{00000000-0004-0000-0000-0000B20E0000}"/>
    <hyperlink ref="T1874" r:id="rId3764" display="http://www.ms.ro/2020/08/20/buletin-informativ-20-08-2020" xr:uid="{00000000-0004-0000-0000-0000B30E0000}"/>
    <hyperlink ref="K1875" r:id="rId3765" display="https://www.ebihoreanul.ro/stiri/record-alarmant-in-bihor-inca-85-de-cazuri-noi-de-covid-si-inca-doua-decese-158311.html" xr:uid="{00000000-0004-0000-0000-0000B40E0000}"/>
    <hyperlink ref="T1875" r:id="rId3766" display="http://www.ms.ro/2020/08/20/buletin-informativ-20-08-2020" xr:uid="{00000000-0004-0000-0000-0000B50E0000}"/>
    <hyperlink ref="K1876" r:id="rId3767" display="https://www.ebihoreanul.ro/stiri/record-alarmant-in-bihor-inca-85-de-cazuri-noi-de-covid-si-inca-doua-decese-158311.html" xr:uid="{00000000-0004-0000-0000-0000B60E0000}"/>
    <hyperlink ref="T1876" r:id="rId3768" display="http://www.ms.ro/2020/08/20/buletin-informativ-20-08-2020" xr:uid="{00000000-0004-0000-0000-0000B70E0000}"/>
    <hyperlink ref="K1877" r:id="rId3769" display="https://www.ebihoreanul.ro/stiri/record-alarmant-in-bihor-inca-85-de-cazuri-noi-de-covid-si-inca-doua-decese-158311.html" xr:uid="{00000000-0004-0000-0000-0000B80E0000}"/>
    <hyperlink ref="T1877" r:id="rId3770" display="http://www.ms.ro/2020/08/20/buletin-informativ-20-08-2020" xr:uid="{00000000-0004-0000-0000-0000B90E0000}"/>
    <hyperlink ref="K1878" r:id="rId3771" display="https://www.ebihoreanul.ro/stiri/record-alarmant-in-bihor-inca-85-de-cazuri-noi-de-covid-si-inca-doua-decese-158311.html" xr:uid="{00000000-0004-0000-0000-0000BA0E0000}"/>
    <hyperlink ref="T1878" r:id="rId3772" display="http://www.ms.ro/2020/08/20/buletin-informativ-20-08-2020" xr:uid="{00000000-0004-0000-0000-0000BB0E0000}"/>
    <hyperlink ref="K1879" r:id="rId3773" display="https://www.ebihoreanul.ro/stiri/record-alarmant-in-bihor-inca-85-de-cazuri-noi-de-covid-si-inca-doua-decese-158311.html" xr:uid="{00000000-0004-0000-0000-0000BC0E0000}"/>
    <hyperlink ref="T1879" r:id="rId3774" display="http://www.ms.ro/2020/08/20/buletin-informativ-20-08-2020" xr:uid="{00000000-0004-0000-0000-0000BD0E0000}"/>
    <hyperlink ref="K1880" r:id="rId3775" display="https://www.ebihoreanul.ro/stiri/record-alarmant-in-bihor-inca-85-de-cazuri-noi-de-covid-si-inca-doua-decese-158311.html" xr:uid="{00000000-0004-0000-0000-0000BE0E0000}"/>
    <hyperlink ref="T1880" r:id="rId3776" display="http://www.ms.ro/2020/08/20/buletin-informativ-20-08-2020" xr:uid="{00000000-0004-0000-0000-0000BF0E0000}"/>
    <hyperlink ref="K1881" r:id="rId3777" display="https://www.ebihoreanul.ro/stiri/record-alarmant-in-bihor-inca-85-de-cazuri-noi-de-covid-si-inca-doua-decese-158311.html" xr:uid="{00000000-0004-0000-0000-0000C00E0000}"/>
    <hyperlink ref="T1881" r:id="rId3778" display="http://www.ms.ro/2020/08/20/buletin-informativ-20-08-2020" xr:uid="{00000000-0004-0000-0000-0000C10E0000}"/>
    <hyperlink ref="K1882" r:id="rId3779" display="https://www.ebihoreanul.ro/stiri/record-negru-in-bihor-cu-6-morti-si-67-noi-imbolnaviri-de-covid-ne-apropiem-de-2000-cazuri-in-total-si-peste-1000-cazuri-active-158328.html" xr:uid="{00000000-0004-0000-0000-0000C20E0000}"/>
    <hyperlink ref="T1882" r:id="rId3780" display="http://www.ms.ro/2020/08/21/buletin-informativ-21-08-2020" xr:uid="{00000000-0004-0000-0000-0000C30E0000}"/>
    <hyperlink ref="K1883" r:id="rId3781" display="https://www.ebihoreanul.ro/stiri/record-negru-in-bihor-cu-6-morti-si-67-noi-imbolnaviri-de-covid-ne-apropiem-de-2000-cazuri-in-total-si-peste-1000-cazuri-active-158328.html" xr:uid="{00000000-0004-0000-0000-0000C40E0000}"/>
    <hyperlink ref="T1883" r:id="rId3782" display="http://www.ms.ro/2020/08/21/buletin-informativ-21-08-2020" xr:uid="{00000000-0004-0000-0000-0000C50E0000}"/>
    <hyperlink ref="K1884" r:id="rId3783" display="https://www.ebihoreanul.ro/stiri/record-negru-in-bihor-cu-6-morti-si-67-noi-imbolnaviri-de-covid-ne-apropiem-de-2000-cazuri-in-total-si-peste-1000-cazuri-active-158328.html" xr:uid="{00000000-0004-0000-0000-0000C60E0000}"/>
    <hyperlink ref="T1884" r:id="rId3784" display="http://www.ms.ro/2020/08/21/buletin-informativ-21-08-2020" xr:uid="{00000000-0004-0000-0000-0000C70E0000}"/>
    <hyperlink ref="K1885" r:id="rId3785" display="https://www.ebihoreanul.ro/stiri/record-negru-in-bihor-cu-6-morti-si-67-noi-imbolnaviri-de-covid-ne-apropiem-de-2000-cazuri-in-total-si-peste-1000-cazuri-active-158328.html" xr:uid="{00000000-0004-0000-0000-0000C80E0000}"/>
    <hyperlink ref="T1885" r:id="rId3786" display="http://www.ms.ro/2020/08/21/buletin-informativ-21-08-2020" xr:uid="{00000000-0004-0000-0000-0000C90E0000}"/>
    <hyperlink ref="K1886" r:id="rId3787" display="https://www.ebihoreanul.ro/stiri/record-negru-in-bihor-cu-6-morti-si-67-noi-imbolnaviri-de-covid-ne-apropiem-de-2000-cazuri-in-total-si-peste-1000-cazuri-active-158328.html" xr:uid="{00000000-0004-0000-0000-0000CA0E0000}"/>
    <hyperlink ref="T1886" r:id="rId3788" display="http://www.ms.ro/2020/08/21/buletin-informativ-21-08-2020" xr:uid="{00000000-0004-0000-0000-0000CB0E0000}"/>
    <hyperlink ref="K1887" r:id="rId3789" display="https://www.ebihoreanul.ro/stiri/record-negru-in-bihor-cu-6-morti-si-67-noi-imbolnaviri-de-covid-ne-apropiem-de-2000-cazuri-in-total-si-peste-1000-cazuri-active-158328.html" xr:uid="{00000000-0004-0000-0000-0000CC0E0000}"/>
    <hyperlink ref="T1887" r:id="rId3790" display="http://www.ms.ro/2020/08/21/buletin-informativ-21-08-2020" xr:uid="{00000000-0004-0000-0000-0000CD0E0000}"/>
    <hyperlink ref="K1888" r:id="rId3791" display="https://www.ebihoreanul.ro/stiri/record-negru-in-bihor-cu-6-morti-si-67-noi-imbolnaviri-de-covid-ne-apropiem-de-2000-cazuri-in-total-si-peste-1000-cazuri-active-158328.html" xr:uid="{00000000-0004-0000-0000-0000CE0E0000}"/>
    <hyperlink ref="T1888" r:id="rId3792" display="http://www.ms.ro/2020/08/21/buletin-informativ-21-08-2020" xr:uid="{00000000-0004-0000-0000-0000CF0E0000}"/>
    <hyperlink ref="K1889" r:id="rId3793" display="https://www.ebihoreanul.ro/stiri/record-negru-in-bihor-cu-6-morti-si-67-noi-imbolnaviri-de-covid-ne-apropiem-de-2000-cazuri-in-total-si-peste-1000-cazuri-active-158328.html" xr:uid="{00000000-0004-0000-0000-0000D00E0000}"/>
    <hyperlink ref="T1889" r:id="rId3794" display="http://www.ms.ro/2020/08/21/buletin-informativ-21-08-2020" xr:uid="{00000000-0004-0000-0000-0000D10E0000}"/>
    <hyperlink ref="K1890" r:id="rId3795" display="https://www.ebihoreanul.ro/stiri/record-negru-in-bihor-cu-6-morti-si-67-noi-imbolnaviri-de-covid-ne-apropiem-de-2000-cazuri-in-total-si-peste-1000-cazuri-active-158328.html" xr:uid="{00000000-0004-0000-0000-0000D20E0000}"/>
    <hyperlink ref="T1890" r:id="rId3796" display="http://www.ms.ro/2020/08/21/buletin-informativ-21-08-2020" xr:uid="{00000000-0004-0000-0000-0000D30E0000}"/>
    <hyperlink ref="K1891" r:id="rId3797" display="https://www.ebihoreanul.ro/stiri/record-negru-in-bihor-cu-6-morti-si-67-noi-imbolnaviri-de-covid-ne-apropiem-de-2000-cazuri-in-total-si-peste-1000-cazuri-active-158328.html" xr:uid="{00000000-0004-0000-0000-0000D40E0000}"/>
    <hyperlink ref="T1891" r:id="rId3798" display="http://www.ms.ro/2020/08/21/buletin-informativ-21-08-2020" xr:uid="{00000000-0004-0000-0000-0000D50E0000}"/>
    <hyperlink ref="K1892" r:id="rId3799" display="https://www.ebihoreanul.ro/stiri/record-negru-in-bihor-cu-6-morti-si-67-noi-imbolnaviri-de-covid-ne-apropiem-de-2000-cazuri-in-total-si-peste-1000-cazuri-active-158328.html" xr:uid="{00000000-0004-0000-0000-0000D60E0000}"/>
    <hyperlink ref="T1892" r:id="rId3800" display="http://www.ms.ro/2020/08/21/buletin-informativ-21-08-2020" xr:uid="{00000000-0004-0000-0000-0000D70E0000}"/>
    <hyperlink ref="K1893" r:id="rId3801" display="https://www.ebihoreanul.ro/stiri/record-negru-in-bihor-cu-6-morti-si-67-noi-imbolnaviri-de-covid-ne-apropiem-de-2000-cazuri-in-total-si-peste-1000-cazuri-active-158328.html" xr:uid="{00000000-0004-0000-0000-0000D80E0000}"/>
    <hyperlink ref="T1893" r:id="rId3802" display="http://www.ms.ro/2020/08/21/buletin-informativ-21-08-2020" xr:uid="{00000000-0004-0000-0000-0000D90E0000}"/>
    <hyperlink ref="K1894" r:id="rId3803" display="https://www.ebihoreanul.ro/stiri/record-negru-in-bihor-cu-6-morti-si-67-noi-imbolnaviri-de-covid-ne-apropiem-de-2000-cazuri-in-total-si-peste-1000-cazuri-active-158328.html" xr:uid="{00000000-0004-0000-0000-0000DA0E0000}"/>
    <hyperlink ref="T1894" r:id="rId3804" display="http://www.ms.ro/2020/08/21/buletin-informativ-21-08-2020" xr:uid="{00000000-0004-0000-0000-0000DB0E0000}"/>
    <hyperlink ref="K1895" r:id="rId3805" display="https://www.ebihoreanul.ro/stiri/record-negru-in-bihor-cu-6-morti-si-67-noi-imbolnaviri-de-covid-ne-apropiem-de-2000-cazuri-in-total-si-peste-1000-cazuri-active-158328.html" xr:uid="{00000000-0004-0000-0000-0000DC0E0000}"/>
    <hyperlink ref="T1895" r:id="rId3806" display="http://www.ms.ro/2020/08/21/buletin-informativ-21-08-2020" xr:uid="{00000000-0004-0000-0000-0000DD0E0000}"/>
    <hyperlink ref="K1896" r:id="rId3807" display="https://www.ebihoreanul.ro/stiri/record-negru-in-bihor-cu-6-morti-si-67-noi-imbolnaviri-de-covid-ne-apropiem-de-2000-cazuri-in-total-si-peste-1000-cazuri-active-158328.html" xr:uid="{00000000-0004-0000-0000-0000DE0E0000}"/>
    <hyperlink ref="T1896" r:id="rId3808" display="http://www.ms.ro/2020/08/21/buletin-informativ-21-08-2020" xr:uid="{00000000-0004-0000-0000-0000DF0E0000}"/>
    <hyperlink ref="K1897" r:id="rId3809" display="https://www.ebihoreanul.ro/stiri/record-negru-in-bihor-cu-6-morti-si-67-noi-imbolnaviri-de-covid-ne-apropiem-de-2000-cazuri-in-total-si-peste-1000-cazuri-active-158328.html" xr:uid="{00000000-0004-0000-0000-0000E00E0000}"/>
    <hyperlink ref="T1897" r:id="rId3810" display="http://www.ms.ro/2020/08/21/buletin-informativ-21-08-2020" xr:uid="{00000000-0004-0000-0000-0000E10E0000}"/>
    <hyperlink ref="K1898" r:id="rId3811" display="https://www.ebihoreanul.ro/stiri/record-negru-in-bihor-cu-6-morti-si-67-noi-imbolnaviri-de-covid-ne-apropiem-de-2000-cazuri-in-total-si-peste-1000-cazuri-active-158328.html" xr:uid="{00000000-0004-0000-0000-0000E20E0000}"/>
    <hyperlink ref="T1898" r:id="rId3812" display="http://www.ms.ro/2020/08/21/buletin-informativ-21-08-2020" xr:uid="{00000000-0004-0000-0000-0000E30E0000}"/>
    <hyperlink ref="K1899" r:id="rId3813" display="https://www.ebihoreanul.ro/stiri/record-negru-in-bihor-cu-6-morti-si-67-noi-imbolnaviri-de-covid-ne-apropiem-de-2000-cazuri-in-total-si-peste-1000-cazuri-active-158328.html" xr:uid="{00000000-0004-0000-0000-0000E40E0000}"/>
    <hyperlink ref="T1899" r:id="rId3814" display="http://www.ms.ro/2020/08/21/buletin-informativ-21-08-2020" xr:uid="{00000000-0004-0000-0000-0000E50E0000}"/>
    <hyperlink ref="K1900" r:id="rId3815" display="https://www.ebihoreanul.ro/stiri/record-negru-in-bihor-cu-6-morti-si-67-noi-imbolnaviri-de-covid-ne-apropiem-de-2000-cazuri-in-total-si-peste-1000-cazuri-active-158328.html" xr:uid="{00000000-0004-0000-0000-0000E60E0000}"/>
    <hyperlink ref="T1900" r:id="rId3816" display="http://www.ms.ro/2020/08/21/buletin-informativ-21-08-2020" xr:uid="{00000000-0004-0000-0000-0000E70E0000}"/>
    <hyperlink ref="K1901" r:id="rId3817" display="https://www.ebihoreanul.ro/stiri/record-negru-in-bihor-cu-6-morti-si-67-noi-imbolnaviri-de-covid-ne-apropiem-de-2000-cazuri-in-total-si-peste-1000-cazuri-active-158328.html" xr:uid="{00000000-0004-0000-0000-0000E80E0000}"/>
    <hyperlink ref="T1901" r:id="rId3818" display="http://www.ms.ro/2020/08/21/buletin-informativ-21-08-2020" xr:uid="{00000000-0004-0000-0000-0000E90E0000}"/>
    <hyperlink ref="K1902" r:id="rId3819" display="https://www.ebihoreanul.ro/stiri/record-negru-in-bihor-cu-6-morti-si-67-noi-imbolnaviri-de-covid-ne-apropiem-de-2000-cazuri-in-total-si-peste-1000-cazuri-active-158328.html" xr:uid="{00000000-0004-0000-0000-0000EA0E0000}"/>
    <hyperlink ref="T1902" r:id="rId3820" display="http://www.ms.ro/2020/08/21/buletin-informativ-21-08-2020" xr:uid="{00000000-0004-0000-0000-0000EB0E0000}"/>
    <hyperlink ref="K1903" r:id="rId3821" display="https://www.ebihoreanul.ro/stiri/record-negru-in-bihor-cu-6-morti-si-67-noi-imbolnaviri-de-covid-ne-apropiem-de-2000-cazuri-in-total-si-peste-1000-cazuri-active-158328.html" xr:uid="{00000000-0004-0000-0000-0000EC0E0000}"/>
    <hyperlink ref="T1903" r:id="rId3822" display="http://www.ms.ro/2020/08/21/buletin-informativ-21-08-2020" xr:uid="{00000000-0004-0000-0000-0000ED0E0000}"/>
    <hyperlink ref="K1904" r:id="rId3823" display="https://www.ebihoreanul.ro/stiri/record-negru-in-bihor-cu-6-morti-si-67-noi-imbolnaviri-de-covid-ne-apropiem-de-2000-cazuri-in-total-si-peste-1000-cazuri-active-158328.html" xr:uid="{00000000-0004-0000-0000-0000EE0E0000}"/>
    <hyperlink ref="T1904" r:id="rId3824" display="http://www.ms.ro/2020/08/21/buletin-informativ-21-08-2020" xr:uid="{00000000-0004-0000-0000-0000EF0E0000}"/>
    <hyperlink ref="K1905" r:id="rId3825" display="https://www.ebihoreanul.ro/stiri/record-negru-in-bihor-cu-6-morti-si-67-noi-imbolnaviri-de-covid-ne-apropiem-de-2000-cazuri-in-total-si-peste-1000-cazuri-active-158328.html" xr:uid="{00000000-0004-0000-0000-0000F00E0000}"/>
    <hyperlink ref="T1905" r:id="rId3826" display="http://www.ms.ro/2020/08/21/buletin-informativ-21-08-2020" xr:uid="{00000000-0004-0000-0000-0000F10E0000}"/>
    <hyperlink ref="K1906" r:id="rId3827" display="https://www.ebihoreanul.ro/stiri/record-negru-in-bihor-cu-6-morti-si-67-noi-imbolnaviri-de-covid-ne-apropiem-de-2000-cazuri-in-total-si-peste-1000-cazuri-active-158328.html" xr:uid="{00000000-0004-0000-0000-0000F20E0000}"/>
    <hyperlink ref="T1906" r:id="rId3828" display="http://www.ms.ro/2020/08/21/buletin-informativ-21-08-2020" xr:uid="{00000000-0004-0000-0000-0000F30E0000}"/>
    <hyperlink ref="K1907" r:id="rId3829" display="https://www.ebihoreanul.ro/stiri/record-negru-in-bihor-cu-6-morti-si-67-noi-imbolnaviri-de-covid-ne-apropiem-de-2000-cazuri-in-total-si-peste-1000-cazuri-active-158328.html" xr:uid="{00000000-0004-0000-0000-0000F40E0000}"/>
    <hyperlink ref="T1907" r:id="rId3830" display="http://www.ms.ro/2020/08/21/buletin-informativ-21-08-2020" xr:uid="{00000000-0004-0000-0000-0000F50E0000}"/>
    <hyperlink ref="K1908" r:id="rId3831" display="https://www.ebihoreanul.ro/stiri/record-negru-in-bihor-cu-6-morti-si-67-noi-imbolnaviri-de-covid-ne-apropiem-de-2000-cazuri-in-total-si-peste-1000-cazuri-active-158328.html" xr:uid="{00000000-0004-0000-0000-0000F60E0000}"/>
    <hyperlink ref="T1908" r:id="rId3832" display="http://www.ms.ro/2020/08/21/buletin-informativ-21-08-2020" xr:uid="{00000000-0004-0000-0000-0000F70E0000}"/>
    <hyperlink ref="K1909" r:id="rId3833" display="https://www.ebihoreanul.ro/stiri/record-negru-in-bihor-cu-6-morti-si-67-noi-imbolnaviri-de-covid-ne-apropiem-de-2000-cazuri-in-total-si-peste-1000-cazuri-active-158328.html" xr:uid="{00000000-0004-0000-0000-0000F80E0000}"/>
    <hyperlink ref="T1909" r:id="rId3834" display="http://www.ms.ro/2020/08/21/buletin-informativ-21-08-2020" xr:uid="{00000000-0004-0000-0000-0000F90E0000}"/>
    <hyperlink ref="K1910" r:id="rId3835" display="https://www.ebihoreanul.ro/stiri/record-negru-in-bihor-cu-6-morti-si-67-noi-imbolnaviri-de-covid-ne-apropiem-de-2000-cazuri-in-total-si-peste-1000-cazuri-active-158328.html" xr:uid="{00000000-0004-0000-0000-0000FA0E0000}"/>
    <hyperlink ref="T1910" r:id="rId3836" display="http://www.ms.ro/2020/08/21/buletin-informativ-21-08-2020" xr:uid="{00000000-0004-0000-0000-0000FB0E0000}"/>
    <hyperlink ref="K1911" r:id="rId3837" display="https://www.ebihoreanul.ro/stiri/record-negru-in-bihor-cu-6-morti-si-67-noi-imbolnaviri-de-covid-ne-apropiem-de-2000-cazuri-in-total-si-peste-1000-cazuri-active-158328.html" xr:uid="{00000000-0004-0000-0000-0000FC0E0000}"/>
    <hyperlink ref="T1911" r:id="rId3838" display="http://www.ms.ro/2020/08/21/buletin-informativ-21-08-2020" xr:uid="{00000000-0004-0000-0000-0000FD0E0000}"/>
    <hyperlink ref="K1912" r:id="rId3839" display="https://www.ebihoreanul.ro/stiri/record-negru-in-bihor-cu-6-morti-si-67-noi-imbolnaviri-de-covid-ne-apropiem-de-2000-cazuri-in-total-si-peste-1000-cazuri-active-158328.html" xr:uid="{00000000-0004-0000-0000-0000FE0E0000}"/>
    <hyperlink ref="T1912" r:id="rId3840" display="http://www.ms.ro/2020/08/21/buletin-informativ-21-08-2020" xr:uid="{00000000-0004-0000-0000-0000FF0E0000}"/>
    <hyperlink ref="K1913" r:id="rId3841" display="https://www.ebihoreanul.ro/stiri/record-negru-in-bihor-cu-6-morti-si-67-noi-imbolnaviri-de-covid-ne-apropiem-de-2000-cazuri-in-total-si-peste-1000-cazuri-active-158328.html" xr:uid="{00000000-0004-0000-0000-0000000F0000}"/>
    <hyperlink ref="T1913" r:id="rId3842" display="http://www.ms.ro/2020/08/21/buletin-informativ-21-08-2020" xr:uid="{00000000-0004-0000-0000-0000010F0000}"/>
    <hyperlink ref="K1914" r:id="rId3843" display="https://www.ebihoreanul.ro/stiri/record-negru-in-bihor-cu-6-morti-si-67-noi-imbolnaviri-de-covid-ne-apropiem-de-2000-cazuri-in-total-si-peste-1000-cazuri-active-158328.html" xr:uid="{00000000-0004-0000-0000-0000020F0000}"/>
    <hyperlink ref="T1914" r:id="rId3844" display="http://www.ms.ro/2020/08/21/buletin-informativ-21-08-2020" xr:uid="{00000000-0004-0000-0000-0000030F0000}"/>
    <hyperlink ref="K1915" r:id="rId3845" display="https://www.ebihoreanul.ro/stiri/record-negru-in-bihor-cu-6-morti-si-67-noi-imbolnaviri-de-covid-ne-apropiem-de-2000-cazuri-in-total-si-peste-1000-cazuri-active-158328.html" xr:uid="{00000000-0004-0000-0000-0000040F0000}"/>
    <hyperlink ref="T1915" r:id="rId3846" display="http://www.ms.ro/2020/08/21/buletin-informativ-21-08-2020" xr:uid="{00000000-0004-0000-0000-0000050F0000}"/>
    <hyperlink ref="K1916" r:id="rId3847" display="https://www.ebihoreanul.ro/stiri/record-negru-in-bihor-cu-6-morti-si-67-noi-imbolnaviri-de-covid-ne-apropiem-de-2000-cazuri-in-total-si-peste-1000-cazuri-active-158328.html" xr:uid="{00000000-0004-0000-0000-0000060F0000}"/>
    <hyperlink ref="T1916" r:id="rId3848" display="http://www.ms.ro/2020/08/21/buletin-informativ-21-08-2020" xr:uid="{00000000-0004-0000-0000-0000070F0000}"/>
    <hyperlink ref="K1917" r:id="rId3849" display="https://www.ebihoreanul.ro/stiri/record-negru-in-bihor-cu-6-morti-si-67-noi-imbolnaviri-de-covid-ne-apropiem-de-2000-cazuri-in-total-si-peste-1000-cazuri-active-158328.html" xr:uid="{00000000-0004-0000-0000-0000080F0000}"/>
    <hyperlink ref="T1917" r:id="rId3850" display="http://www.ms.ro/2020/08/21/buletin-informativ-21-08-2020" xr:uid="{00000000-0004-0000-0000-0000090F0000}"/>
    <hyperlink ref="K1918" r:id="rId3851" display="https://www.ebihoreanul.ro/stiri/record-negru-in-bihor-cu-6-morti-si-67-noi-imbolnaviri-de-covid-ne-apropiem-de-2000-cazuri-in-total-si-peste-1000-cazuri-active-158328.html" xr:uid="{00000000-0004-0000-0000-00000A0F0000}"/>
    <hyperlink ref="T1918" r:id="rId3852" display="http://www.ms.ro/2020/08/21/buletin-informativ-21-08-2020" xr:uid="{00000000-0004-0000-0000-00000B0F0000}"/>
    <hyperlink ref="K1919" r:id="rId3853" display="https://www.ebihoreanul.ro/stiri/record-negru-in-bihor-cu-6-morti-si-67-noi-imbolnaviri-de-covid-ne-apropiem-de-2000-cazuri-in-total-si-peste-1000-cazuri-active-158328.html" xr:uid="{00000000-0004-0000-0000-00000C0F0000}"/>
    <hyperlink ref="T1919" r:id="rId3854" display="http://www.ms.ro/2020/08/21/buletin-informativ-21-08-2020" xr:uid="{00000000-0004-0000-0000-00000D0F0000}"/>
    <hyperlink ref="K1920" r:id="rId3855" display="https://www.ebihoreanul.ro/stiri/record-negru-in-bihor-cu-6-morti-si-67-noi-imbolnaviri-de-covid-ne-apropiem-de-2000-cazuri-in-total-si-peste-1000-cazuri-active-158328.html" xr:uid="{00000000-0004-0000-0000-00000E0F0000}"/>
    <hyperlink ref="T1920" r:id="rId3856" display="http://www.ms.ro/2020/08/21/buletin-informativ-21-08-2020" xr:uid="{00000000-0004-0000-0000-00000F0F0000}"/>
    <hyperlink ref="K1921" r:id="rId3857" display="https://www.ebihoreanul.ro/stiri/record-negru-in-bihor-cu-6-morti-si-67-noi-imbolnaviri-de-covid-ne-apropiem-de-2000-cazuri-in-total-si-peste-1000-cazuri-active-158328.html" xr:uid="{00000000-0004-0000-0000-0000100F0000}"/>
    <hyperlink ref="T1921" r:id="rId3858" display="http://www.ms.ro/2020/08/21/buletin-informativ-21-08-2020" xr:uid="{00000000-0004-0000-0000-0000110F0000}"/>
    <hyperlink ref="K1922" r:id="rId3859" display="https://www.ebihoreanul.ro/stiri/record-negru-in-bihor-cu-6-morti-si-67-noi-imbolnaviri-de-covid-ne-apropiem-de-2000-cazuri-in-total-si-peste-1000-cazuri-active-158328.html" xr:uid="{00000000-0004-0000-0000-0000120F0000}"/>
    <hyperlink ref="T1922" r:id="rId3860" display="http://www.ms.ro/2020/08/21/buletin-informativ-21-08-2020" xr:uid="{00000000-0004-0000-0000-0000130F0000}"/>
    <hyperlink ref="K1923" r:id="rId3861" display="https://www.ebihoreanul.ro/stiri/record-negru-in-bihor-cu-6-morti-si-67-noi-imbolnaviri-de-covid-ne-apropiem-de-2000-cazuri-in-total-si-peste-1000-cazuri-active-158328.html" xr:uid="{00000000-0004-0000-0000-0000140F0000}"/>
    <hyperlink ref="T1923" r:id="rId3862" display="http://www.ms.ro/2020/08/21/buletin-informativ-21-08-2020" xr:uid="{00000000-0004-0000-0000-0000150F0000}"/>
    <hyperlink ref="K1924" r:id="rId3863" display="https://www.ebihoreanul.ro/stiri/record-negru-in-bihor-cu-6-morti-si-67-noi-imbolnaviri-de-covid-ne-apropiem-de-2000-cazuri-in-total-si-peste-1000-cazuri-active-158328.html" xr:uid="{00000000-0004-0000-0000-0000160F0000}"/>
    <hyperlink ref="T1924" r:id="rId3864" display="http://www.ms.ro/2020/08/21/buletin-informativ-21-08-2020" xr:uid="{00000000-0004-0000-0000-0000170F0000}"/>
    <hyperlink ref="K1925" r:id="rId3865" display="https://www.ebihoreanul.ro/stiri/record-negru-in-bihor-cu-6-morti-si-67-noi-imbolnaviri-de-covid-ne-apropiem-de-2000-cazuri-in-total-si-peste-1000-cazuri-active-158328.html" xr:uid="{00000000-0004-0000-0000-0000180F0000}"/>
    <hyperlink ref="T1925" r:id="rId3866" display="http://www.ms.ro/2020/08/21/buletin-informativ-21-08-2020" xr:uid="{00000000-0004-0000-0000-0000190F0000}"/>
    <hyperlink ref="K1926" r:id="rId3867" display="https://www.ebihoreanul.ro/stiri/record-negru-in-bihor-cu-6-morti-si-67-noi-imbolnaviri-de-covid-ne-apropiem-de-2000-cazuri-in-total-si-peste-1000-cazuri-active-158328.html" xr:uid="{00000000-0004-0000-0000-00001A0F0000}"/>
    <hyperlink ref="T1926" r:id="rId3868" display="http://www.ms.ro/2020/08/21/buletin-informativ-21-08-2020" xr:uid="{00000000-0004-0000-0000-00001B0F0000}"/>
    <hyperlink ref="K1927" r:id="rId3869" display="https://www.ebihoreanul.ro/stiri/record-negru-in-bihor-cu-6-morti-si-67-noi-imbolnaviri-de-covid-ne-apropiem-de-2000-cazuri-in-total-si-peste-1000-cazuri-active-158328.html" xr:uid="{00000000-0004-0000-0000-00001C0F0000}"/>
    <hyperlink ref="T1927" r:id="rId3870" display="http://www.ms.ro/2020/08/21/buletin-informativ-21-08-2020" xr:uid="{00000000-0004-0000-0000-00001D0F0000}"/>
    <hyperlink ref="K1928" r:id="rId3871" display="https://www.ebihoreanul.ro/stiri/record-negru-in-bihor-cu-6-morti-si-67-noi-imbolnaviri-de-covid-ne-apropiem-de-2000-cazuri-in-total-si-peste-1000-cazuri-active-158328.html" xr:uid="{00000000-0004-0000-0000-00001E0F0000}"/>
    <hyperlink ref="T1928" r:id="rId3872" display="http://www.ms.ro/2020/08/21/buletin-informativ-21-08-2020" xr:uid="{00000000-0004-0000-0000-00001F0F0000}"/>
    <hyperlink ref="K1929" r:id="rId3873" display="https://www.ebihoreanul.ro/stiri/record-negru-in-bihor-cu-6-morti-si-67-noi-imbolnaviri-de-covid-ne-apropiem-de-2000-cazuri-in-total-si-peste-1000-cazuri-active-158328.html" xr:uid="{00000000-0004-0000-0000-0000200F0000}"/>
    <hyperlink ref="T1929" r:id="rId3874" display="http://www.ms.ro/2020/08/21/buletin-informativ-21-08-2020" xr:uid="{00000000-0004-0000-0000-0000210F0000}"/>
    <hyperlink ref="K1930" r:id="rId3875" display="https://www.ebihoreanul.ro/stiri/record-negru-in-bihor-cu-6-morti-si-67-noi-imbolnaviri-de-covid-ne-apropiem-de-2000-cazuri-in-total-si-peste-1000-cazuri-active-158328.html" xr:uid="{00000000-0004-0000-0000-0000220F0000}"/>
    <hyperlink ref="T1930" r:id="rId3876" display="http://www.ms.ro/2020/08/21/buletin-informativ-21-08-2020" xr:uid="{00000000-0004-0000-0000-0000230F0000}"/>
    <hyperlink ref="K1931" r:id="rId3877" display="https://www.ebihoreanul.ro/stiri/record-negru-in-bihor-cu-6-morti-si-67-noi-imbolnaviri-de-covid-ne-apropiem-de-2000-cazuri-in-total-si-peste-1000-cazuri-active-158328.html" xr:uid="{00000000-0004-0000-0000-0000240F0000}"/>
    <hyperlink ref="T1931" r:id="rId3878" display="http://www.ms.ro/2020/08/21/buletin-informativ-21-08-2020" xr:uid="{00000000-0004-0000-0000-0000250F0000}"/>
    <hyperlink ref="K1932" r:id="rId3879" display="https://www.ebihoreanul.ro/stiri/record-negru-in-bihor-cu-6-morti-si-67-noi-imbolnaviri-de-covid-ne-apropiem-de-2000-cazuri-in-total-si-peste-1000-cazuri-active-158328.html" xr:uid="{00000000-0004-0000-0000-0000260F0000}"/>
    <hyperlink ref="T1932" r:id="rId3880" display="http://www.ms.ro/2020/08/21/buletin-informativ-21-08-2020" xr:uid="{00000000-0004-0000-0000-0000270F0000}"/>
    <hyperlink ref="K1933" r:id="rId3881" display="https://www.ebihoreanul.ro/stiri/record-negru-in-bihor-cu-6-morti-si-67-noi-imbolnaviri-de-covid-ne-apropiem-de-2000-cazuri-in-total-si-peste-1000-cazuri-active-158328.html" xr:uid="{00000000-0004-0000-0000-0000280F0000}"/>
    <hyperlink ref="T1933" r:id="rId3882" display="http://www.ms.ro/2020/08/21/buletin-informativ-21-08-2020" xr:uid="{00000000-0004-0000-0000-0000290F0000}"/>
    <hyperlink ref="K1934" r:id="rId3883" display="https://www.ebihoreanul.ro/stiri/record-negru-in-bihor-cu-6-morti-si-67-noi-imbolnaviri-de-covid-ne-apropiem-de-2000-cazuri-in-total-si-peste-1000-cazuri-active-158328.html" xr:uid="{00000000-0004-0000-0000-00002A0F0000}"/>
    <hyperlink ref="T1934" r:id="rId3884" display="http://www.ms.ro/2020/08/21/buletin-informativ-21-08-2020" xr:uid="{00000000-0004-0000-0000-00002B0F0000}"/>
    <hyperlink ref="K1935" r:id="rId3885" display="https://www.ebihoreanul.ro/stiri/record-negru-in-bihor-cu-6-morti-si-67-noi-imbolnaviri-de-covid-ne-apropiem-de-2000-cazuri-in-total-si-peste-1000-cazuri-active-158328.html" xr:uid="{00000000-0004-0000-0000-00002C0F0000}"/>
    <hyperlink ref="T1935" r:id="rId3886" display="http://www.ms.ro/2020/08/21/buletin-informativ-21-08-2020" xr:uid="{00000000-0004-0000-0000-00002D0F0000}"/>
    <hyperlink ref="K1936" r:id="rId3887" display="https://www.ebihoreanul.ro/stiri/record-negru-in-bihor-cu-6-morti-si-67-noi-imbolnaviri-de-covid-ne-apropiem-de-2000-cazuri-in-total-si-peste-1000-cazuri-active-158328.html" xr:uid="{00000000-0004-0000-0000-00002E0F0000}"/>
    <hyperlink ref="T1936" r:id="rId3888" display="http://www.ms.ro/2020/08/21/buletin-informativ-21-08-2020" xr:uid="{00000000-0004-0000-0000-00002F0F0000}"/>
    <hyperlink ref="K1937" r:id="rId3889" display="https://www.ebihoreanul.ro/stiri/record-negru-in-bihor-cu-6-morti-si-67-noi-imbolnaviri-de-covid-ne-apropiem-de-2000-cazuri-in-total-si-peste-1000-cazuri-active-158328.html" xr:uid="{00000000-0004-0000-0000-0000300F0000}"/>
    <hyperlink ref="T1937" r:id="rId3890" display="http://www.ms.ro/2020/08/21/buletin-informativ-21-08-2020" xr:uid="{00000000-0004-0000-0000-0000310F0000}"/>
    <hyperlink ref="K1938" r:id="rId3891" display="https://www.ebihoreanul.ro/stiri/record-negru-in-bihor-cu-6-morti-si-67-noi-imbolnaviri-de-covid-ne-apropiem-de-2000-cazuri-in-total-si-peste-1000-cazuri-active-158328.html" xr:uid="{00000000-0004-0000-0000-0000320F0000}"/>
    <hyperlink ref="T1938" r:id="rId3892" display="http://www.ms.ro/2020/08/21/buletin-informativ-21-08-2020" xr:uid="{00000000-0004-0000-0000-0000330F0000}"/>
    <hyperlink ref="K1939" r:id="rId3893" display="https://www.ebihoreanul.ro/stiri/record-negru-in-bihor-cu-6-morti-si-67-noi-imbolnaviri-de-covid-ne-apropiem-de-2000-cazuri-in-total-si-peste-1000-cazuri-active-158328.html" xr:uid="{00000000-0004-0000-0000-0000340F0000}"/>
    <hyperlink ref="T1939" r:id="rId3894" display="http://www.ms.ro/2020/08/21/buletin-informativ-21-08-2020" xr:uid="{00000000-0004-0000-0000-0000350F0000}"/>
    <hyperlink ref="K1940" r:id="rId3895" display="https://www.ebihoreanul.ro/stiri/record-negru-in-bihor-cu-6-morti-si-67-noi-imbolnaviri-de-covid-ne-apropiem-de-2000-cazuri-in-total-si-peste-1000-cazuri-active-158328.html" xr:uid="{00000000-0004-0000-0000-0000360F0000}"/>
    <hyperlink ref="T1940" r:id="rId3896" display="http://www.ms.ro/2020/08/21/buletin-informativ-21-08-2020" xr:uid="{00000000-0004-0000-0000-0000370F0000}"/>
    <hyperlink ref="K1941" r:id="rId3897" display="https://www.ebihoreanul.ro/stiri/record-negru-in-bihor-cu-6-morti-si-67-noi-imbolnaviri-de-covid-ne-apropiem-de-2000-cazuri-in-total-si-peste-1000-cazuri-active-158328.html" xr:uid="{00000000-0004-0000-0000-0000380F0000}"/>
    <hyperlink ref="T1941" r:id="rId3898" display="http://www.ms.ro/2020/08/21/buletin-informativ-21-08-2020" xr:uid="{00000000-0004-0000-0000-0000390F0000}"/>
    <hyperlink ref="K1942" r:id="rId3899" display="https://www.ebihoreanul.ro/stiri/record-negru-in-bihor-cu-6-morti-si-67-noi-imbolnaviri-de-covid-ne-apropiem-de-2000-cazuri-in-total-si-peste-1000-cazuri-active-158328.html" xr:uid="{00000000-0004-0000-0000-00003A0F0000}"/>
    <hyperlink ref="T1942" r:id="rId3900" display="http://www.ms.ro/2020/08/21/buletin-informativ-21-08-2020" xr:uid="{00000000-0004-0000-0000-00003B0F0000}"/>
    <hyperlink ref="K1943" r:id="rId3901" display="https://www.ebihoreanul.ro/stiri/record-negru-in-bihor-cu-6-morti-si-67-noi-imbolnaviri-de-covid-ne-apropiem-de-2000-cazuri-in-total-si-peste-1000-cazuri-active-158328.html" xr:uid="{00000000-0004-0000-0000-00003C0F0000}"/>
    <hyperlink ref="T1943" r:id="rId3902" display="http://www.ms.ro/2020/08/21/buletin-informativ-21-08-2020" xr:uid="{00000000-0004-0000-0000-00003D0F0000}"/>
    <hyperlink ref="K1944" r:id="rId3903" display="https://www.ebihoreanul.ro/stiri/record-negru-in-bihor-cu-6-morti-si-67-noi-imbolnaviri-de-covid-ne-apropiem-de-2000-cazuri-in-total-si-peste-1000-cazuri-active-158328.html" xr:uid="{00000000-0004-0000-0000-00003E0F0000}"/>
    <hyperlink ref="T1944" r:id="rId3904" display="http://www.ms.ro/2020/08/21/buletin-informativ-21-08-2020" xr:uid="{00000000-0004-0000-0000-00003F0F0000}"/>
    <hyperlink ref="K1945" r:id="rId3905" display="https://www.ebihoreanul.ro/stiri/record-negru-in-bihor-cu-6-morti-si-67-noi-imbolnaviri-de-covid-ne-apropiem-de-2000-cazuri-in-total-si-peste-1000-cazuri-active-158328.html" xr:uid="{00000000-0004-0000-0000-0000400F0000}"/>
    <hyperlink ref="T1945" r:id="rId3906" display="http://www.ms.ro/2020/08/21/buletin-informativ-21-08-2020" xr:uid="{00000000-0004-0000-0000-0000410F0000}"/>
    <hyperlink ref="K1946" r:id="rId3907" display="https://www.ebihoreanul.ro/stiri/record-negru-in-bihor-cu-6-morti-si-67-noi-imbolnaviri-de-covid-ne-apropiem-de-2000-cazuri-in-total-si-peste-1000-cazuri-active-158328.html" xr:uid="{00000000-0004-0000-0000-0000420F0000}"/>
    <hyperlink ref="T1946" r:id="rId3908" display="http://www.ms.ro/2020/08/21/buletin-informativ-21-08-2020" xr:uid="{00000000-0004-0000-0000-0000430F0000}"/>
    <hyperlink ref="K1947" r:id="rId3909" display="https://www.ebihoreanul.ro/stiri/record-negru-in-bihor-cu-6-morti-si-67-noi-imbolnaviri-de-covid-ne-apropiem-de-2000-cazuri-in-total-si-peste-1000-cazuri-active-158328.html" xr:uid="{00000000-0004-0000-0000-0000440F0000}"/>
    <hyperlink ref="T1947" r:id="rId3910" display="http://www.ms.ro/2020/08/21/buletin-informativ-21-08-2020" xr:uid="{00000000-0004-0000-0000-0000450F0000}"/>
    <hyperlink ref="K1948" r:id="rId3911" display="https://www.ebihoreanul.ro/stiri/record-negru-in-bihor-cu-6-morti-si-67-noi-imbolnaviri-de-covid-ne-apropiem-de-2000-cazuri-in-total-si-peste-1000-cazuri-active-158328.html" xr:uid="{00000000-0004-0000-0000-0000460F0000}"/>
    <hyperlink ref="T1948" r:id="rId3912" display="http://www.ms.ro/2020/08/21/buletin-informativ-21-08-2020" xr:uid="{00000000-0004-0000-0000-0000470F0000}"/>
    <hyperlink ref="K1949" r:id="rId3913" display="https://www.ebihoreanul.ro/stiri/niciun-deces-in-bihor-si-zeci-de-pacienti-covid-vindecati-dar-si-40-noi-imbolnaviri-inclusiv-angajati-ai-maternitatii-si-spitalului-militar-158339.html" xr:uid="{00000000-0004-0000-0000-0000480F0000}"/>
    <hyperlink ref="T1949" r:id="rId3914" display="http://www.ms.ro/2020/08/22/buletin-informativ-22-08-2020" xr:uid="{00000000-0004-0000-0000-0000490F0000}"/>
    <hyperlink ref="K1950" r:id="rId3915" display="https://www.ebihoreanul.ro/stiri/niciun-deces-in-bihor-si-zeci-de-pacienti-covid-vindecati-dar-si-40-noi-imbolnaviri-inclusiv-angajati-ai-maternitatii-si-spitalului-militar-158339.html" xr:uid="{00000000-0004-0000-0000-00004A0F0000}"/>
    <hyperlink ref="T1950" r:id="rId3916" display="http://www.ms.ro/2020/08/22/buletin-informativ-22-08-2020" xr:uid="{00000000-0004-0000-0000-00004B0F0000}"/>
    <hyperlink ref="K1951" r:id="rId3917" display="https://www.ebihoreanul.ro/stiri/niciun-deces-in-bihor-si-zeci-de-pacienti-covid-vindecati-dar-si-40-noi-imbolnaviri-inclusiv-angajati-ai-maternitatii-si-spitalului-militar-158339.html" xr:uid="{00000000-0004-0000-0000-00004C0F0000}"/>
    <hyperlink ref="T1951" r:id="rId3918" display="http://www.ms.ro/2020/08/22/buletin-informativ-22-08-2020" xr:uid="{00000000-0004-0000-0000-00004D0F0000}"/>
    <hyperlink ref="K1952" r:id="rId3919" display="https://www.ebihoreanul.ro/stiri/niciun-deces-in-bihor-si-zeci-de-pacienti-covid-vindecati-dar-si-40-noi-imbolnaviri-inclusiv-angajati-ai-maternitatii-si-spitalului-militar-158339.html" xr:uid="{00000000-0004-0000-0000-00004E0F0000}"/>
    <hyperlink ref="T1952" r:id="rId3920" display="http://www.ms.ro/2020/08/22/buletin-informativ-22-08-2020" xr:uid="{00000000-0004-0000-0000-00004F0F0000}"/>
    <hyperlink ref="K1953" r:id="rId3921" display="https://www.ebihoreanul.ro/stiri/niciun-deces-in-bihor-si-zeci-de-pacienti-covid-vindecati-dar-si-40-noi-imbolnaviri-inclusiv-angajati-ai-maternitatii-si-spitalului-militar-158339.html" xr:uid="{00000000-0004-0000-0000-0000500F0000}"/>
    <hyperlink ref="T1953" r:id="rId3922" display="http://www.ms.ro/2020/08/22/buletin-informativ-22-08-2020" xr:uid="{00000000-0004-0000-0000-0000510F0000}"/>
    <hyperlink ref="K1954" r:id="rId3923" display="https://www.ebihoreanul.ro/stiri/niciun-deces-in-bihor-si-zeci-de-pacienti-covid-vindecati-dar-si-40-noi-imbolnaviri-inclusiv-angajati-ai-maternitatii-si-spitalului-militar-158339.html" xr:uid="{00000000-0004-0000-0000-0000520F0000}"/>
    <hyperlink ref="T1954" r:id="rId3924" display="http://www.ms.ro/2020/08/22/buletin-informativ-22-08-2020" xr:uid="{00000000-0004-0000-0000-0000530F0000}"/>
    <hyperlink ref="K1955" r:id="rId3925" display="https://www.ebihoreanul.ro/stiri/niciun-deces-in-bihor-si-zeci-de-pacienti-covid-vindecati-dar-si-40-noi-imbolnaviri-inclusiv-angajati-ai-maternitatii-si-spitalului-militar-158339.html" xr:uid="{00000000-0004-0000-0000-0000540F0000}"/>
    <hyperlink ref="T1955" r:id="rId3926" display="http://www.ms.ro/2020/08/22/buletin-informativ-22-08-2020" xr:uid="{00000000-0004-0000-0000-0000550F0000}"/>
    <hyperlink ref="K1956" r:id="rId3927" display="https://www.ebihoreanul.ro/stiri/niciun-deces-in-bihor-si-zeci-de-pacienti-covid-vindecati-dar-si-40-noi-imbolnaviri-inclusiv-angajati-ai-maternitatii-si-spitalului-militar-158339.html" xr:uid="{00000000-0004-0000-0000-0000560F0000}"/>
    <hyperlink ref="T1956" r:id="rId3928" display="http://www.ms.ro/2020/08/22/buletin-informativ-22-08-2020" xr:uid="{00000000-0004-0000-0000-0000570F0000}"/>
    <hyperlink ref="K1957" r:id="rId3929" display="https://www.ebihoreanul.ro/stiri/niciun-deces-in-bihor-si-zeci-de-pacienti-covid-vindecati-dar-si-40-noi-imbolnaviri-inclusiv-angajati-ai-maternitatii-si-spitalului-militar-158339.html" xr:uid="{00000000-0004-0000-0000-0000580F0000}"/>
    <hyperlink ref="T1957" r:id="rId3930" display="http://www.ms.ro/2020/08/22/buletin-informativ-22-08-2020" xr:uid="{00000000-0004-0000-0000-0000590F0000}"/>
    <hyperlink ref="K1958" r:id="rId3931" display="https://www.ebihoreanul.ro/stiri/niciun-deces-in-bihor-si-zeci-de-pacienti-covid-vindecati-dar-si-40-noi-imbolnaviri-inclusiv-angajati-ai-maternitatii-si-spitalului-militar-158339.html" xr:uid="{00000000-0004-0000-0000-00005A0F0000}"/>
    <hyperlink ref="T1958" r:id="rId3932" display="http://www.ms.ro/2020/08/22/buletin-informativ-22-08-2020" xr:uid="{00000000-0004-0000-0000-00005B0F0000}"/>
    <hyperlink ref="K1959" r:id="rId3933" display="https://www.ebihoreanul.ro/stiri/niciun-deces-in-bihor-si-zeci-de-pacienti-covid-vindecati-dar-si-40-noi-imbolnaviri-inclusiv-angajati-ai-maternitatii-si-spitalului-militar-158339.html" xr:uid="{00000000-0004-0000-0000-00005C0F0000}"/>
    <hyperlink ref="T1959" r:id="rId3934" display="http://www.ms.ro/2020/08/22/buletin-informativ-22-08-2020" xr:uid="{00000000-0004-0000-0000-00005D0F0000}"/>
    <hyperlink ref="K1960" r:id="rId3935" display="https://www.ebihoreanul.ro/stiri/niciun-deces-in-bihor-si-zeci-de-pacienti-covid-vindecati-dar-si-40-noi-imbolnaviri-inclusiv-angajati-ai-maternitatii-si-spitalului-militar-158339.html" xr:uid="{00000000-0004-0000-0000-00005E0F0000}"/>
    <hyperlink ref="T1960" r:id="rId3936" display="http://www.ms.ro/2020/08/22/buletin-informativ-22-08-2020" xr:uid="{00000000-0004-0000-0000-00005F0F0000}"/>
    <hyperlink ref="K1961" r:id="rId3937" display="https://www.ebihoreanul.ro/stiri/niciun-deces-in-bihor-si-zeci-de-pacienti-covid-vindecati-dar-si-40-noi-imbolnaviri-inclusiv-angajati-ai-maternitatii-si-spitalului-militar-158339.html" xr:uid="{00000000-0004-0000-0000-0000600F0000}"/>
    <hyperlink ref="T1961" r:id="rId3938" display="http://www.ms.ro/2020/08/22/buletin-informativ-22-08-2020" xr:uid="{00000000-0004-0000-0000-0000610F0000}"/>
    <hyperlink ref="K1962" r:id="rId3939" display="https://www.ebihoreanul.ro/stiri/niciun-deces-in-bihor-si-zeci-de-pacienti-covid-vindecati-dar-si-40-noi-imbolnaviri-inclusiv-angajati-ai-maternitatii-si-spitalului-militar-158339.html" xr:uid="{00000000-0004-0000-0000-0000620F0000}"/>
    <hyperlink ref="T1962" r:id="rId3940" display="http://www.ms.ro/2020/08/22/buletin-informativ-22-08-2020" xr:uid="{00000000-0004-0000-0000-0000630F0000}"/>
    <hyperlink ref="K1963" r:id="rId3941" display="https://www.ebihoreanul.ro/stiri/niciun-deces-in-bihor-si-zeci-de-pacienti-covid-vindecati-dar-si-40-noi-imbolnaviri-inclusiv-angajati-ai-maternitatii-si-spitalului-militar-158339.html" xr:uid="{00000000-0004-0000-0000-0000640F0000}"/>
    <hyperlink ref="T1963" r:id="rId3942" display="http://www.ms.ro/2020/08/22/buletin-informativ-22-08-2020" xr:uid="{00000000-0004-0000-0000-0000650F0000}"/>
    <hyperlink ref="K1964" r:id="rId3943" display="https://www.ebihoreanul.ro/stiri/niciun-deces-in-bihor-si-zeci-de-pacienti-covid-vindecati-dar-si-40-noi-imbolnaviri-inclusiv-angajati-ai-maternitatii-si-spitalului-militar-158339.html" xr:uid="{00000000-0004-0000-0000-0000660F0000}"/>
    <hyperlink ref="T1964" r:id="rId3944" display="http://www.ms.ro/2020/08/22/buletin-informativ-22-08-2020" xr:uid="{00000000-0004-0000-0000-0000670F0000}"/>
    <hyperlink ref="K1965" r:id="rId3945" display="https://www.ebihoreanul.ro/stiri/niciun-deces-in-bihor-si-zeci-de-pacienti-covid-vindecati-dar-si-40-noi-imbolnaviri-inclusiv-angajati-ai-maternitatii-si-spitalului-militar-158339.html" xr:uid="{00000000-0004-0000-0000-0000680F0000}"/>
    <hyperlink ref="T1965" r:id="rId3946" display="http://www.ms.ro/2020/08/22/buletin-informativ-22-08-2020" xr:uid="{00000000-0004-0000-0000-0000690F0000}"/>
    <hyperlink ref="K1966" r:id="rId3947" display="https://www.ebihoreanul.ro/stiri/niciun-deces-in-bihor-si-zeci-de-pacienti-covid-vindecati-dar-si-40-noi-imbolnaviri-inclusiv-angajati-ai-maternitatii-si-spitalului-militar-158339.html" xr:uid="{00000000-0004-0000-0000-00006A0F0000}"/>
    <hyperlink ref="T1966" r:id="rId3948" display="http://www.ms.ro/2020/08/22/buletin-informativ-22-08-2020" xr:uid="{00000000-0004-0000-0000-00006B0F0000}"/>
    <hyperlink ref="K1967" r:id="rId3949" display="https://www.ebihoreanul.ro/stiri/niciun-deces-in-bihor-si-zeci-de-pacienti-covid-vindecati-dar-si-40-noi-imbolnaviri-inclusiv-angajati-ai-maternitatii-si-spitalului-militar-158339.html" xr:uid="{00000000-0004-0000-0000-00006C0F0000}"/>
    <hyperlink ref="T1967" r:id="rId3950" display="http://www.ms.ro/2020/08/22/buletin-informativ-22-08-2020" xr:uid="{00000000-0004-0000-0000-00006D0F0000}"/>
    <hyperlink ref="K1968" r:id="rId3951" display="https://www.ebihoreanul.ro/stiri/niciun-deces-in-bihor-si-zeci-de-pacienti-covid-vindecati-dar-si-40-noi-imbolnaviri-inclusiv-angajati-ai-maternitatii-si-spitalului-militar-158339.html" xr:uid="{00000000-0004-0000-0000-00006E0F0000}"/>
    <hyperlink ref="T1968" r:id="rId3952" display="http://www.ms.ro/2020/08/22/buletin-informativ-22-08-2020" xr:uid="{00000000-0004-0000-0000-00006F0F0000}"/>
    <hyperlink ref="K1969" r:id="rId3953" display="https://www.ebihoreanul.ro/stiri/niciun-deces-in-bihor-si-zeci-de-pacienti-covid-vindecati-dar-si-40-noi-imbolnaviri-inclusiv-angajati-ai-maternitatii-si-spitalului-militar-158339.html" xr:uid="{00000000-0004-0000-0000-0000700F0000}"/>
    <hyperlink ref="T1969" r:id="rId3954" display="http://www.ms.ro/2020/08/22/buletin-informativ-22-08-2020" xr:uid="{00000000-0004-0000-0000-0000710F0000}"/>
    <hyperlink ref="K1970" r:id="rId3955" display="https://www.ebihoreanul.ro/stiri/niciun-deces-in-bihor-si-zeci-de-pacienti-covid-vindecati-dar-si-40-noi-imbolnaviri-inclusiv-angajati-ai-maternitatii-si-spitalului-militar-158339.html" xr:uid="{00000000-0004-0000-0000-0000720F0000}"/>
    <hyperlink ref="T1970" r:id="rId3956" display="http://www.ms.ro/2020/08/22/buletin-informativ-22-08-2020" xr:uid="{00000000-0004-0000-0000-0000730F0000}"/>
    <hyperlink ref="K1971" r:id="rId3957" display="https://www.ebihoreanul.ro/stiri/niciun-deces-in-bihor-si-zeci-de-pacienti-covid-vindecati-dar-si-40-noi-imbolnaviri-inclusiv-angajati-ai-maternitatii-si-spitalului-militar-158339.html" xr:uid="{00000000-0004-0000-0000-0000740F0000}"/>
    <hyperlink ref="T1971" r:id="rId3958" display="http://www.ms.ro/2020/08/22/buletin-informativ-22-08-2020" xr:uid="{00000000-0004-0000-0000-0000750F0000}"/>
    <hyperlink ref="K1972" r:id="rId3959" display="https://www.ebihoreanul.ro/stiri/niciun-deces-in-bihor-si-zeci-de-pacienti-covid-vindecati-dar-si-40-noi-imbolnaviri-inclusiv-angajati-ai-maternitatii-si-spitalului-militar-158339.html" xr:uid="{00000000-0004-0000-0000-0000760F0000}"/>
    <hyperlink ref="T1972" r:id="rId3960" display="http://www.ms.ro/2020/08/22/buletin-informativ-22-08-2020" xr:uid="{00000000-0004-0000-0000-0000770F0000}"/>
    <hyperlink ref="K1973" r:id="rId3961" display="https://www.ebihoreanul.ro/stiri/niciun-deces-in-bihor-si-zeci-de-pacienti-covid-vindecati-dar-si-40-noi-imbolnaviri-inclusiv-angajati-ai-maternitatii-si-spitalului-militar-158339.html" xr:uid="{00000000-0004-0000-0000-0000780F0000}"/>
    <hyperlink ref="T1973" r:id="rId3962" display="http://www.ms.ro/2020/08/22/buletin-informativ-22-08-2020" xr:uid="{00000000-0004-0000-0000-0000790F0000}"/>
    <hyperlink ref="K1974" r:id="rId3963" display="https://www.ebihoreanul.ro/stiri/niciun-deces-in-bihor-si-zeci-de-pacienti-covid-vindecati-dar-si-40-noi-imbolnaviri-inclusiv-angajati-ai-maternitatii-si-spitalului-militar-158339.html" xr:uid="{00000000-0004-0000-0000-00007A0F0000}"/>
    <hyperlink ref="T1974" r:id="rId3964" display="http://www.ms.ro/2020/08/22/buletin-informativ-22-08-2020" xr:uid="{00000000-0004-0000-0000-00007B0F0000}"/>
    <hyperlink ref="K1975" r:id="rId3965" display="https://www.ebihoreanul.ro/stiri/niciun-deces-in-bihor-si-zeci-de-pacienti-covid-vindecati-dar-si-40-noi-imbolnaviri-inclusiv-angajati-ai-maternitatii-si-spitalului-militar-158339.html" xr:uid="{00000000-0004-0000-0000-00007C0F0000}"/>
    <hyperlink ref="T1975" r:id="rId3966" display="http://www.ms.ro/2020/08/22/buletin-informativ-22-08-2020" xr:uid="{00000000-0004-0000-0000-00007D0F0000}"/>
    <hyperlink ref="K1976" r:id="rId3967" display="https://www.ebihoreanul.ro/stiri/niciun-deces-in-bihor-si-zeci-de-pacienti-covid-vindecati-dar-si-40-noi-imbolnaviri-inclusiv-angajati-ai-maternitatii-si-spitalului-militar-158339.html" xr:uid="{00000000-0004-0000-0000-00007E0F0000}"/>
    <hyperlink ref="T1976" r:id="rId3968" display="http://www.ms.ro/2020/08/22/buletin-informativ-22-08-2020" xr:uid="{00000000-0004-0000-0000-00007F0F0000}"/>
    <hyperlink ref="K1977" r:id="rId3969" display="https://www.ebihoreanul.ro/stiri/niciun-deces-in-bihor-si-zeci-de-pacienti-covid-vindecati-dar-si-40-noi-imbolnaviri-inclusiv-angajati-ai-maternitatii-si-spitalului-militar-158339.html" xr:uid="{00000000-0004-0000-0000-0000800F0000}"/>
    <hyperlink ref="T1977" r:id="rId3970" display="http://www.ms.ro/2020/08/22/buletin-informativ-22-08-2020" xr:uid="{00000000-0004-0000-0000-0000810F0000}"/>
    <hyperlink ref="K1978" r:id="rId3971" display="https://www.ebihoreanul.ro/stiri/niciun-deces-in-bihor-si-zeci-de-pacienti-covid-vindecati-dar-si-40-noi-imbolnaviri-inclusiv-angajati-ai-maternitatii-si-spitalului-militar-158339.html" xr:uid="{00000000-0004-0000-0000-0000820F0000}"/>
    <hyperlink ref="T1978" r:id="rId3972" display="http://www.ms.ro/2020/08/22/buletin-informativ-22-08-2020" xr:uid="{00000000-0004-0000-0000-0000830F0000}"/>
    <hyperlink ref="K1979" r:id="rId3973" display="https://www.ebihoreanul.ro/stiri/niciun-deces-in-bihor-si-zeci-de-pacienti-covid-vindecati-dar-si-40-noi-imbolnaviri-inclusiv-angajati-ai-maternitatii-si-spitalului-militar-158339.html" xr:uid="{00000000-0004-0000-0000-0000840F0000}"/>
    <hyperlink ref="T1979" r:id="rId3974" display="http://www.ms.ro/2020/08/22/buletin-informativ-22-08-2020" xr:uid="{00000000-0004-0000-0000-0000850F0000}"/>
    <hyperlink ref="K1980" r:id="rId3975" display="https://www.ebihoreanul.ro/stiri/niciun-deces-in-bihor-si-zeci-de-pacienti-covid-vindecati-dar-si-40-noi-imbolnaviri-inclusiv-angajati-ai-maternitatii-si-spitalului-militar-158339.html" xr:uid="{00000000-0004-0000-0000-0000860F0000}"/>
    <hyperlink ref="T1980" r:id="rId3976" display="http://www.ms.ro/2020/08/22/buletin-informativ-22-08-2020" xr:uid="{00000000-0004-0000-0000-0000870F0000}"/>
    <hyperlink ref="K1981" r:id="rId3977" display="https://www.ebihoreanul.ro/stiri/niciun-deces-in-bihor-si-zeci-de-pacienti-covid-vindecati-dar-si-40-noi-imbolnaviri-inclusiv-angajati-ai-maternitatii-si-spitalului-militar-158339.html" xr:uid="{00000000-0004-0000-0000-0000880F0000}"/>
    <hyperlink ref="T1981" r:id="rId3978" display="http://www.ms.ro/2020/08/22/buletin-informativ-22-08-2020" xr:uid="{00000000-0004-0000-0000-0000890F0000}"/>
    <hyperlink ref="K1982" r:id="rId3979" display="https://www.ebihoreanul.ro/stiri/niciun-deces-in-bihor-si-zeci-de-pacienti-covid-vindecati-dar-si-40-noi-imbolnaviri-inclusiv-angajati-ai-maternitatii-si-spitalului-militar-158339.html" xr:uid="{00000000-0004-0000-0000-00008A0F0000}"/>
    <hyperlink ref="T1982" r:id="rId3980" display="http://www.ms.ro/2020/08/22/buletin-informativ-22-08-2020" xr:uid="{00000000-0004-0000-0000-00008B0F0000}"/>
    <hyperlink ref="K1983" r:id="rId3981" display="https://www.ebihoreanul.ro/stiri/niciun-deces-in-bihor-si-zeci-de-pacienti-covid-vindecati-dar-si-40-noi-imbolnaviri-inclusiv-angajati-ai-maternitatii-si-spitalului-militar-158339.html" xr:uid="{00000000-0004-0000-0000-00008C0F0000}"/>
    <hyperlink ref="T1983" r:id="rId3982" display="http://www.ms.ro/2020/08/22/buletin-informativ-22-08-2020" xr:uid="{00000000-0004-0000-0000-00008D0F0000}"/>
    <hyperlink ref="K1984" r:id="rId3983" display="https://www.ebihoreanul.ro/stiri/niciun-deces-in-bihor-si-zeci-de-pacienti-covid-vindecati-dar-si-40-noi-imbolnaviri-inclusiv-angajati-ai-maternitatii-si-spitalului-militar-158339.html" xr:uid="{00000000-0004-0000-0000-00008E0F0000}"/>
    <hyperlink ref="T1984" r:id="rId3984" display="http://www.ms.ro/2020/08/22/buletin-informativ-22-08-2020" xr:uid="{00000000-0004-0000-0000-00008F0F0000}"/>
    <hyperlink ref="K1985" r:id="rId3985" display="https://www.ebihoreanul.ro/stiri/niciun-deces-in-bihor-si-zeci-de-pacienti-covid-vindecati-dar-si-40-noi-imbolnaviri-inclusiv-angajati-ai-maternitatii-si-spitalului-militar-158339.html" xr:uid="{00000000-0004-0000-0000-0000900F0000}"/>
    <hyperlink ref="T1985" r:id="rId3986" display="http://www.ms.ro/2020/08/22/buletin-informativ-22-08-2020" xr:uid="{00000000-0004-0000-0000-0000910F0000}"/>
    <hyperlink ref="K1986" r:id="rId3987" display="https://www.ebihoreanul.ro/stiri/niciun-deces-in-bihor-si-zeci-de-pacienti-covid-vindecati-dar-si-40-noi-imbolnaviri-inclusiv-angajati-ai-maternitatii-si-spitalului-militar-158339.html" xr:uid="{00000000-0004-0000-0000-0000920F0000}"/>
    <hyperlink ref="T1986" r:id="rId3988" display="http://www.ms.ro/2020/08/22/buletin-informativ-22-08-2020" xr:uid="{00000000-0004-0000-0000-0000930F0000}"/>
    <hyperlink ref="K1987" r:id="rId3989" display="https://www.ebihoreanul.ro/stiri/niciun-deces-in-bihor-si-zeci-de-pacienti-covid-vindecati-dar-si-40-noi-imbolnaviri-inclusiv-angajati-ai-maternitatii-si-spitalului-militar-158339.html" xr:uid="{00000000-0004-0000-0000-0000940F0000}"/>
    <hyperlink ref="T1987" r:id="rId3990" display="http://www.ms.ro/2020/08/22/buletin-informativ-22-08-2020" xr:uid="{00000000-0004-0000-0000-0000950F0000}"/>
    <hyperlink ref="K1988" r:id="rId3991" display="https://www.ebihoreanul.ro/stiri/niciun-deces-in-bihor-si-zeci-de-pacienti-covid-vindecati-dar-si-40-noi-imbolnaviri-inclusiv-angajati-ai-maternitatii-si-spitalului-militar-158339.html" xr:uid="{00000000-0004-0000-0000-0000960F0000}"/>
    <hyperlink ref="T1988" r:id="rId3992" display="http://www.ms.ro/2020/08/22/buletin-informativ-22-08-2020" xr:uid="{00000000-0004-0000-0000-0000970F0000}"/>
    <hyperlink ref="K1989" r:id="rId3993" display="https://www.ebihoreanul.ro/stiri/a-fost-depasit-pragul-de-2000-de-cazuri-covid-19diagnosticate-in-bihor-158350.html" xr:uid="{00000000-0004-0000-0000-0000980F0000}"/>
    <hyperlink ref="T1989" r:id="rId3994" display="http://www.ms.ro/2020/08/23/buletin-informativ-23-08-2020" xr:uid="{00000000-0004-0000-0000-0000990F0000}"/>
    <hyperlink ref="K1990" r:id="rId3995" display="https://www.ebihoreanul.ro/stiri/a-fost-depasit-pragul-de-2000-de-cazuri-covid-19diagnosticate-in-bihor-158350.html" xr:uid="{00000000-0004-0000-0000-00009A0F0000}"/>
    <hyperlink ref="T1990" r:id="rId3996" display="http://www.ms.ro/2020/08/23/buletin-informativ-23-08-2020" xr:uid="{00000000-0004-0000-0000-00009B0F0000}"/>
    <hyperlink ref="K1991" r:id="rId3997" display="https://www.ebihoreanul.ro/stiri/a-fost-depasit-pragul-de-2000-de-cazuri-covid-19diagnosticate-in-bihor-158350.html" xr:uid="{00000000-0004-0000-0000-00009C0F0000}"/>
    <hyperlink ref="T1991" r:id="rId3998" display="http://www.ms.ro/2020/08/23/buletin-informativ-23-08-2020" xr:uid="{00000000-0004-0000-0000-00009D0F0000}"/>
    <hyperlink ref="K1992" r:id="rId3999" display="https://www.ebihoreanul.ro/stiri/a-fost-depasit-pragul-de-2000-de-cazuri-covid-19diagnosticate-in-bihor-158350.html" xr:uid="{00000000-0004-0000-0000-00009E0F0000}"/>
    <hyperlink ref="T1992" r:id="rId4000" display="http://www.ms.ro/2020/08/23/buletin-informativ-23-08-2020" xr:uid="{00000000-0004-0000-0000-00009F0F0000}"/>
    <hyperlink ref="K1993" r:id="rId4001" display="https://www.ebihoreanul.ro/stiri/a-fost-depasit-pragul-de-2000-de-cazuri-covid-19diagnosticate-in-bihor-158350.html" xr:uid="{00000000-0004-0000-0000-0000A00F0000}"/>
    <hyperlink ref="T1993" r:id="rId4002" display="http://www.ms.ro/2020/08/23/buletin-informativ-23-08-2020" xr:uid="{00000000-0004-0000-0000-0000A10F0000}"/>
    <hyperlink ref="K1994" r:id="rId4003" display="https://www.ebihoreanul.ro/stiri/a-fost-depasit-pragul-de-2000-de-cazuri-covid-19diagnosticate-in-bihor-158350.html" xr:uid="{00000000-0004-0000-0000-0000A20F0000}"/>
    <hyperlink ref="T1994" r:id="rId4004" display="http://www.ms.ro/2020/08/23/buletin-informativ-23-08-2020" xr:uid="{00000000-0004-0000-0000-0000A30F0000}"/>
    <hyperlink ref="K1995" r:id="rId4005" display="https://www.ebihoreanul.ro/stiri/a-fost-depasit-pragul-de-2000-de-cazuri-covid-19diagnosticate-in-bihor-158350.html" xr:uid="{00000000-0004-0000-0000-0000A40F0000}"/>
    <hyperlink ref="T1995" r:id="rId4006" display="http://www.ms.ro/2020/08/23/buletin-informativ-23-08-2020" xr:uid="{00000000-0004-0000-0000-0000A50F0000}"/>
    <hyperlink ref="K1996" r:id="rId4007" display="https://www.ebihoreanul.ro/stiri/a-fost-depasit-pragul-de-2000-de-cazuri-covid-19diagnosticate-in-bihor-158350.html" xr:uid="{00000000-0004-0000-0000-0000A60F0000}"/>
    <hyperlink ref="T1996" r:id="rId4008" display="http://www.ms.ro/2020/08/23/buletin-informativ-23-08-2020" xr:uid="{00000000-0004-0000-0000-0000A70F0000}"/>
    <hyperlink ref="K1997" r:id="rId4009" display="https://www.ebihoreanul.ro/stiri/a-fost-depasit-pragul-de-2000-de-cazuri-covid-19diagnosticate-in-bihor-158350.html" xr:uid="{00000000-0004-0000-0000-0000A80F0000}"/>
    <hyperlink ref="T1997" r:id="rId4010" display="http://www.ms.ro/2020/08/23/buletin-informativ-23-08-2020" xr:uid="{00000000-0004-0000-0000-0000A90F0000}"/>
    <hyperlink ref="K1998" r:id="rId4011" display="https://www.ebihoreanul.ro/stiri/a-fost-depasit-pragul-de-2000-de-cazuri-covid-19diagnosticate-in-bihor-158350.html" xr:uid="{00000000-0004-0000-0000-0000AA0F0000}"/>
    <hyperlink ref="T1998" r:id="rId4012" display="http://www.ms.ro/2020/08/23/buletin-informativ-23-08-2020" xr:uid="{00000000-0004-0000-0000-0000AB0F0000}"/>
    <hyperlink ref="K1999" r:id="rId4013" display="https://www.ebihoreanul.ro/stiri/a-fost-depasit-pragul-de-2000-de-cazuri-covid-19diagnosticate-in-bihor-158350.html" xr:uid="{00000000-0004-0000-0000-0000AC0F0000}"/>
    <hyperlink ref="T1999" r:id="rId4014" display="http://www.ms.ro/2020/08/23/buletin-informativ-23-08-2020" xr:uid="{00000000-0004-0000-0000-0000AD0F0000}"/>
    <hyperlink ref="K2000" r:id="rId4015" display="https://www.ebihoreanul.ro/stiri/a-fost-depasit-pragul-de-2000-de-cazuri-covid-19diagnosticate-in-bihor-158350.html" xr:uid="{00000000-0004-0000-0000-0000AE0F0000}"/>
    <hyperlink ref="T2000" r:id="rId4016" display="http://www.ms.ro/2020/08/23/buletin-informativ-23-08-2020" xr:uid="{00000000-0004-0000-0000-0000AF0F0000}"/>
    <hyperlink ref="K2001" r:id="rId4017" display="https://www.ebihoreanul.ro/stiri/a-fost-depasit-pragul-de-2000-de-cazuri-covid-19diagnosticate-in-bihor-158350.html" xr:uid="{00000000-0004-0000-0000-0000B00F0000}"/>
    <hyperlink ref="T2001" r:id="rId4018" display="http://www.ms.ro/2020/08/23/buletin-informativ-23-08-2020" xr:uid="{00000000-0004-0000-0000-0000B10F0000}"/>
    <hyperlink ref="K2002" r:id="rId4019" display="https://www.ebihoreanul.ro/stiri/a-fost-depasit-pragul-de-2000-de-cazuri-covid-19diagnosticate-in-bihor-158350.html" xr:uid="{00000000-0004-0000-0000-0000B20F0000}"/>
    <hyperlink ref="T2002" r:id="rId4020" display="http://www.ms.ro/2020/08/23/buletin-informativ-23-08-2020" xr:uid="{00000000-0004-0000-0000-0000B30F0000}"/>
    <hyperlink ref="K2003" r:id="rId4021" display="https://www.ebihoreanul.ro/stiri/a-fost-depasit-pragul-de-2000-de-cazuri-covid-19diagnosticate-in-bihor-158350.html" xr:uid="{00000000-0004-0000-0000-0000B40F0000}"/>
    <hyperlink ref="T2003" r:id="rId4022" display="http://www.ms.ro/2020/08/23/buletin-informativ-23-08-2020" xr:uid="{00000000-0004-0000-0000-0000B50F0000}"/>
    <hyperlink ref="K2004" r:id="rId4023" display="https://www.ebihoreanul.ro/stiri/a-fost-depasit-pragul-de-2000-de-cazuri-covid-19diagnosticate-in-bihor-158350.html" xr:uid="{00000000-0004-0000-0000-0000B60F0000}"/>
    <hyperlink ref="T2004" r:id="rId4024" display="http://www.ms.ro/2020/08/23/buletin-informativ-23-08-2020" xr:uid="{00000000-0004-0000-0000-0000B70F0000}"/>
    <hyperlink ref="K2005" r:id="rId4025" display="https://www.ebihoreanul.ro/stiri/a-fost-depasit-pragul-de-2000-de-cazuri-covid-19diagnosticate-in-bihor-158350.html" xr:uid="{00000000-0004-0000-0000-0000B80F0000}"/>
    <hyperlink ref="T2005" r:id="rId4026" display="http://www.ms.ro/2020/08/23/buletin-informativ-23-08-2020" xr:uid="{00000000-0004-0000-0000-0000B90F0000}"/>
    <hyperlink ref="K2006" r:id="rId4027" display="https://www.ebihoreanul.ro/stiri/a-fost-depasit-pragul-de-2000-de-cazuri-covid-19diagnosticate-in-bihor-158350.html" xr:uid="{00000000-0004-0000-0000-0000BA0F0000}"/>
    <hyperlink ref="T2006" r:id="rId4028" display="http://www.ms.ro/2020/08/23/buletin-informativ-23-08-2020" xr:uid="{00000000-0004-0000-0000-0000BB0F0000}"/>
    <hyperlink ref="K2007" r:id="rId4029" display="https://www.ebihoreanul.ro/stiri/a-fost-depasit-pragul-de-2000-de-cazuri-covid-19diagnosticate-in-bihor-158350.html" xr:uid="{00000000-0004-0000-0000-0000BC0F0000}"/>
    <hyperlink ref="T2007" r:id="rId4030" display="http://www.ms.ro/2020/08/23/buletin-informativ-23-08-2020" xr:uid="{00000000-0004-0000-0000-0000BD0F0000}"/>
    <hyperlink ref="K2008" r:id="rId4031" display="https://www.ebihoreanul.ro/stiri/a-fost-depasit-pragul-de-2000-de-cazuri-covid-19diagnosticate-in-bihor-158350.html" xr:uid="{00000000-0004-0000-0000-0000BE0F0000}"/>
    <hyperlink ref="T2008" r:id="rId4032" display="http://www.ms.ro/2020/08/23/buletin-informativ-23-08-2020" xr:uid="{00000000-0004-0000-0000-0000BF0F0000}"/>
    <hyperlink ref="K2009" r:id="rId4033" display="https://www.ebihoreanul.ro/stiri/a-fost-depasit-pragul-de-2000-de-cazuri-covid-19diagnosticate-in-bihor-158350.html" xr:uid="{00000000-0004-0000-0000-0000C00F0000}"/>
    <hyperlink ref="T2009" r:id="rId4034" display="http://www.ms.ro/2020/08/23/buletin-informativ-23-08-2020" xr:uid="{00000000-0004-0000-0000-0000C10F0000}"/>
    <hyperlink ref="K2010" r:id="rId4035" display="https://www.ebihoreanul.ro/stiri/a-fost-depasit-pragul-de-2000-de-cazuri-covid-19diagnosticate-in-bihor-158350.html" xr:uid="{00000000-0004-0000-0000-0000C20F0000}"/>
    <hyperlink ref="T2010" r:id="rId4036" display="http://www.ms.ro/2020/08/23/buletin-informativ-23-08-2020" xr:uid="{00000000-0004-0000-0000-0000C30F0000}"/>
    <hyperlink ref="K2011" r:id="rId4037" display="https://www.ebihoreanul.ro/stiri/a-fost-depasit-pragul-de-2000-de-cazuri-covid-19diagnosticate-in-bihor-158350.html" xr:uid="{00000000-0004-0000-0000-0000C40F0000}"/>
    <hyperlink ref="T2011" r:id="rId4038" display="http://www.ms.ro/2020/08/23/buletin-informativ-23-08-2020" xr:uid="{00000000-0004-0000-0000-0000C50F0000}"/>
    <hyperlink ref="K2012" r:id="rId4039" display="https://www.ebihoreanul.ro/stiri/a-fost-depasit-pragul-de-2000-de-cazuri-covid-19diagnosticate-in-bihor-158350.html" xr:uid="{00000000-0004-0000-0000-0000C60F0000}"/>
    <hyperlink ref="T2012" r:id="rId4040" display="http://www.ms.ro/2020/08/23/buletin-informativ-23-08-2020" xr:uid="{00000000-0004-0000-0000-0000C70F0000}"/>
    <hyperlink ref="K2013" r:id="rId4041" display="https://www.ebihoreanul.ro/stiri/a-fost-depasit-pragul-de-2000-de-cazuri-covid-19diagnosticate-in-bihor-158350.html" xr:uid="{00000000-0004-0000-0000-0000C80F0000}"/>
    <hyperlink ref="T2013" r:id="rId4042" display="http://www.ms.ro/2020/08/23/buletin-informativ-23-08-2020" xr:uid="{00000000-0004-0000-0000-0000C90F0000}"/>
    <hyperlink ref="K2014" r:id="rId4043" display="https://www.ebihoreanul.ro/stiri/a-fost-depasit-pragul-de-2000-de-cazuri-covid-19diagnosticate-in-bihor-158350.html" xr:uid="{00000000-0004-0000-0000-0000CA0F0000}"/>
    <hyperlink ref="T2014" r:id="rId4044" display="http://www.ms.ro/2020/08/23/buletin-informativ-23-08-2020" xr:uid="{00000000-0004-0000-0000-0000CB0F0000}"/>
    <hyperlink ref="K2015" r:id="rId4045" display="https://www.ebihoreanul.ro/stiri/a-fost-depasit-pragul-de-2000-de-cazuri-covid-19diagnosticate-in-bihor-158350.html" xr:uid="{00000000-0004-0000-0000-0000CC0F0000}"/>
    <hyperlink ref="T2015" r:id="rId4046" display="http://www.ms.ro/2020/08/23/buletin-informativ-23-08-2020" xr:uid="{00000000-0004-0000-0000-0000CD0F0000}"/>
    <hyperlink ref="K2016" r:id="rId4047" display="https://www.ebihoreanul.ro/stiri/a-fost-depasit-pragul-de-2000-de-cazuri-covid-19diagnosticate-in-bihor-158350.html" xr:uid="{00000000-0004-0000-0000-0000CE0F0000}"/>
    <hyperlink ref="T2016" r:id="rId4048" display="http://www.ms.ro/2020/08/23/buletin-informativ-23-08-2020" xr:uid="{00000000-0004-0000-0000-0000CF0F0000}"/>
    <hyperlink ref="K2017" r:id="rId4049" display="https://www.ebihoreanul.ro/stiri/a-fost-depasit-pragul-de-2000-de-cazuri-covid-19diagnosticate-in-bihor-158350.html" xr:uid="{00000000-0004-0000-0000-0000D00F0000}"/>
    <hyperlink ref="T2017" r:id="rId4050" display="http://www.ms.ro/2020/08/23/buletin-informativ-23-08-2020" xr:uid="{00000000-0004-0000-0000-0000D10F0000}"/>
    <hyperlink ref="K2018" r:id="rId4051" display="https://www.ebihoreanul.ro/stiri/a-fost-depasit-pragul-de-2000-de-cazuri-covid-19diagnosticate-in-bihor-158350.html" xr:uid="{00000000-0004-0000-0000-0000D20F0000}"/>
    <hyperlink ref="T2018" r:id="rId4052" display="http://www.ms.ro/2020/08/23/buletin-informativ-23-08-2020" xr:uid="{00000000-0004-0000-0000-0000D30F0000}"/>
    <hyperlink ref="K2019" r:id="rId4053" display="https://www.ebihoreanul.ro/stiri/a-fost-depasit-pragul-de-2000-de-cazuri-covid-19diagnosticate-in-bihor-158350.html" xr:uid="{00000000-0004-0000-0000-0000D40F0000}"/>
    <hyperlink ref="T2019" r:id="rId4054" display="http://www.ms.ro/2020/08/23/buletin-informativ-23-08-2020" xr:uid="{00000000-0004-0000-0000-0000D50F0000}"/>
    <hyperlink ref="K2020" r:id="rId4055" display="https://www.ebihoreanul.ro/stiri/inca-trei-decese-ale-unor-pacienti-infectati-cu-covid-19-in-bihor-cazuri-noi-de-imbolnavire-dar-si-multe-vindecari-158365.html" xr:uid="{00000000-0004-0000-0000-0000D60F0000}"/>
    <hyperlink ref="T2020" r:id="rId4056" display="http://www.ms.ro/2020/08/24/buletin-informativ-24-08-2020" xr:uid="{00000000-0004-0000-0000-0000D70F0000}"/>
    <hyperlink ref="K2021" r:id="rId4057" display="https://www.ebihoreanul.ro/stiri/inca-trei-decese-ale-unor-pacienti-infectati-cu-covid-19-in-bihor-cazuri-noi-de-imbolnavire-dar-si-multe-vindecari-158365.html" xr:uid="{00000000-0004-0000-0000-0000D80F0000}"/>
    <hyperlink ref="T2021" r:id="rId4058" display="http://www.ms.ro/2020/08/24/buletin-informativ-24-08-2020" xr:uid="{00000000-0004-0000-0000-0000D90F0000}"/>
    <hyperlink ref="K2022" r:id="rId4059" display="https://www.ebihoreanul.ro/stiri/inca-trei-decese-ale-unor-pacienti-infectati-cu-covid-19-in-bihor-cazuri-noi-de-imbolnavire-dar-si-multe-vindecari-158365.html" xr:uid="{00000000-0004-0000-0000-0000DA0F0000}"/>
    <hyperlink ref="T2022" r:id="rId4060" display="http://www.ms.ro/2020/08/24/buletin-informativ-24-08-2020" xr:uid="{00000000-0004-0000-0000-0000DB0F0000}"/>
    <hyperlink ref="K2023" r:id="rId4061" display="https://www.ebihoreanul.ro/stiri/inca-trei-decese-ale-unor-pacienti-infectati-cu-covid-19-in-bihor-cazuri-noi-de-imbolnavire-dar-si-multe-vindecari-158365.html" xr:uid="{00000000-0004-0000-0000-0000DC0F0000}"/>
    <hyperlink ref="T2023" r:id="rId4062" display="http://www.ms.ro/2020/08/24/buletin-informativ-24-08-2020" xr:uid="{00000000-0004-0000-0000-0000DD0F0000}"/>
    <hyperlink ref="K2024" r:id="rId4063" display="https://www.ebihoreanul.ro/stiri/inca-trei-decese-ale-unor-pacienti-infectati-cu-covid-19-in-bihor-cazuri-noi-de-imbolnavire-dar-si-multe-vindecari-158365.html" xr:uid="{00000000-0004-0000-0000-0000DE0F0000}"/>
    <hyperlink ref="T2024" r:id="rId4064" display="http://www.ms.ro/2020/08/24/buletin-informativ-24-08-2020" xr:uid="{00000000-0004-0000-0000-0000DF0F0000}"/>
    <hyperlink ref="K2025" r:id="rId4065" display="https://www.ebihoreanul.ro/stiri/inca-trei-decese-ale-unor-pacienti-infectati-cu-covid-19-in-bihor-cazuri-noi-de-imbolnavire-dar-si-multe-vindecari-158365.html" xr:uid="{00000000-0004-0000-0000-0000E00F0000}"/>
    <hyperlink ref="T2025" r:id="rId4066" display="http://www.ms.ro/2020/08/24/buletin-informativ-24-08-2020" xr:uid="{00000000-0004-0000-0000-0000E10F0000}"/>
    <hyperlink ref="K2026" r:id="rId4067" display="https://www.ebihoreanul.ro/stiri/inca-trei-decese-ale-unor-pacienti-infectati-cu-covid-19-in-bihor-cazuri-noi-de-imbolnavire-dar-si-multe-vindecari-158365.html" xr:uid="{00000000-0004-0000-0000-0000E20F0000}"/>
    <hyperlink ref="T2026" r:id="rId4068" display="http://www.ms.ro/2020/08/24/buletin-informativ-24-08-2020" xr:uid="{00000000-0004-0000-0000-0000E30F0000}"/>
    <hyperlink ref="K2027" r:id="rId4069" display="https://www.ebihoreanul.ro/stiri/inca-trei-decese-ale-unor-pacienti-infectati-cu-covid-19-in-bihor-cazuri-noi-de-imbolnavire-dar-si-multe-vindecari-158365.html" xr:uid="{00000000-0004-0000-0000-0000E40F0000}"/>
    <hyperlink ref="T2027" r:id="rId4070" display="http://www.ms.ro/2020/08/24/buletin-informativ-24-08-2020" xr:uid="{00000000-0004-0000-0000-0000E50F0000}"/>
    <hyperlink ref="K2028" r:id="rId4071" display="https://www.ebihoreanul.ro/stiri/inca-trei-decese-ale-unor-pacienti-infectati-cu-covid-19-in-bihor-cazuri-noi-de-imbolnavire-dar-si-multe-vindecari-158365.html" xr:uid="{00000000-0004-0000-0000-0000E60F0000}"/>
    <hyperlink ref="T2028" r:id="rId4072" display="http://www.ms.ro/2020/08/24/buletin-informativ-24-08-2020" xr:uid="{00000000-0004-0000-0000-0000E70F0000}"/>
    <hyperlink ref="K2029" r:id="rId4073" display="https://www.ebihoreanul.ro/stiri/inca-trei-decese-ale-unor-pacienti-infectati-cu-covid-19-in-bihor-cazuri-noi-de-imbolnavire-dar-si-multe-vindecari-158365.html" xr:uid="{00000000-0004-0000-0000-0000E80F0000}"/>
    <hyperlink ref="T2029" r:id="rId4074" display="http://www.ms.ro/2020/08/24/buletin-informativ-24-08-2020" xr:uid="{00000000-0004-0000-0000-0000E90F0000}"/>
    <hyperlink ref="K2030" r:id="rId4075" display="https://www.ebihoreanul.ro/stiri/inca-trei-decese-ale-unor-pacienti-infectati-cu-covid-19-in-bihor-cazuri-noi-de-imbolnavire-dar-si-multe-vindecari-158365.html" xr:uid="{00000000-0004-0000-0000-0000EA0F0000}"/>
    <hyperlink ref="T2030" r:id="rId4076" display="http://www.ms.ro/2020/08/24/buletin-informativ-24-08-2020" xr:uid="{00000000-0004-0000-0000-0000EB0F0000}"/>
    <hyperlink ref="K2031" r:id="rId4077" display="https://www.ebihoreanul.ro/stiri/inca-trei-decese-ale-unor-pacienti-infectati-cu-covid-19-in-bihor-cazuri-noi-de-imbolnavire-dar-si-multe-vindecari-158365.html" xr:uid="{00000000-0004-0000-0000-0000EC0F0000}"/>
    <hyperlink ref="T2031" r:id="rId4078" display="http://www.ms.ro/2020/08/24/buletin-informativ-24-08-2020" xr:uid="{00000000-0004-0000-0000-0000ED0F0000}"/>
    <hyperlink ref="K2032" r:id="rId4079" display="https://www.ebihoreanul.ro/stiri/inca-trei-decese-ale-unor-pacienti-infectati-cu-covid-19-in-bihor-cazuri-noi-de-imbolnavire-dar-si-multe-vindecari-158365.html" xr:uid="{00000000-0004-0000-0000-0000EE0F0000}"/>
    <hyperlink ref="T2032" r:id="rId4080" display="http://www.ms.ro/2020/08/24/buletin-informativ-24-08-2020" xr:uid="{00000000-0004-0000-0000-0000EF0F0000}"/>
    <hyperlink ref="K2033" r:id="rId4081" display="https://www.ebihoreanul.ro/stiri/inca-trei-decese-ale-unor-pacienti-infectati-cu-covid-19-in-bihor-cazuri-noi-de-imbolnavire-dar-si-multe-vindecari-158365.html" xr:uid="{00000000-0004-0000-0000-0000F00F0000}"/>
    <hyperlink ref="T2033" r:id="rId4082" display="http://www.ms.ro/2020/08/24/buletin-informativ-24-08-2020" xr:uid="{00000000-0004-0000-0000-0000F10F0000}"/>
    <hyperlink ref="K2034" r:id="rId4083" display="https://www.ebihoreanul.ro/stiri/inca-trei-decese-ale-unor-pacienti-infectati-cu-covid-19-in-bihor-cazuri-noi-de-imbolnavire-dar-si-multe-vindecari-158365.html" xr:uid="{00000000-0004-0000-0000-0000F20F0000}"/>
    <hyperlink ref="T2034" r:id="rId4084" display="http://www.ms.ro/2020/08/24/buletin-informativ-24-08-2020" xr:uid="{00000000-0004-0000-0000-0000F30F0000}"/>
    <hyperlink ref="K2035" r:id="rId4085" display="https://www.ebihoreanul.ro/stiri/inca-trei-decese-ale-unor-pacienti-infectati-cu-covid-19-in-bihor-cazuri-noi-de-imbolnavire-dar-si-multe-vindecari-158365.html" xr:uid="{00000000-0004-0000-0000-0000F40F0000}"/>
    <hyperlink ref="T2035" r:id="rId4086" display="http://www.ms.ro/2020/08/24/buletin-informativ-24-08-2020" xr:uid="{00000000-0004-0000-0000-0000F50F0000}"/>
    <hyperlink ref="K2036" r:id="rId4087" display="https://www.ebihoreanul.ro/stiri/inca-trei-decese-ale-unor-pacienti-infectati-cu-covid-19-in-bihor-cazuri-noi-de-imbolnavire-dar-si-multe-vindecari-158365.html" xr:uid="{00000000-0004-0000-0000-0000F60F0000}"/>
    <hyperlink ref="T2036" r:id="rId4088" display="http://www.ms.ro/2020/08/24/buletin-informativ-24-08-2020" xr:uid="{00000000-0004-0000-0000-0000F70F0000}"/>
    <hyperlink ref="K2037" r:id="rId4089" display="https://www.ebihoreanul.ro/stiri/inca-trei-decese-ale-unor-pacienti-infectati-cu-covid-19-in-bihor-cazuri-noi-de-imbolnavire-dar-si-multe-vindecari-158365.html" xr:uid="{00000000-0004-0000-0000-0000F80F0000}"/>
    <hyperlink ref="T2037" r:id="rId4090" display="http://www.ms.ro/2020/08/24/buletin-informativ-24-08-2020" xr:uid="{00000000-0004-0000-0000-0000F90F0000}"/>
    <hyperlink ref="K2038" r:id="rId4091" display="https://www.ebihoreanul.ro/stiri/inca-trei-decese-ale-unor-pacienti-infectati-cu-covid-19-in-bihor-cazuri-noi-de-imbolnavire-dar-si-multe-vindecari-158365.html" xr:uid="{00000000-0004-0000-0000-0000FA0F0000}"/>
    <hyperlink ref="T2038" r:id="rId4092" display="http://www.ms.ro/2020/08/24/buletin-informativ-24-08-2020" xr:uid="{00000000-0004-0000-0000-0000FB0F0000}"/>
    <hyperlink ref="K2039" r:id="rId4093" display="https://www.ebihoreanul.ro/stiri/inca-trei-decese-ale-unor-pacienti-infectati-cu-covid-19-in-bihor-cazuri-noi-de-imbolnavire-dar-si-multe-vindecari-158365.html" xr:uid="{00000000-0004-0000-0000-0000FC0F0000}"/>
    <hyperlink ref="T2039" r:id="rId4094" display="http://www.ms.ro/2020/08/24/buletin-informativ-24-08-2020" xr:uid="{00000000-0004-0000-0000-0000FD0F0000}"/>
    <hyperlink ref="K2040" r:id="rId4095" display="https://www.ebihoreanul.ro/stiri/inca-trei-decese-ale-unor-pacienti-infectati-cu-covid-19-in-bihor-cazuri-noi-de-imbolnavire-dar-si-multe-vindecari-158365.html" xr:uid="{00000000-0004-0000-0000-0000FE0F0000}"/>
    <hyperlink ref="T2040" r:id="rId4096" display="http://www.ms.ro/2020/08/24/buletin-informativ-24-08-2020" xr:uid="{00000000-0004-0000-0000-0000FF0F0000}"/>
    <hyperlink ref="K2041" r:id="rId4097" display="https://www.ebihoreanul.ro/stiri/inca-trei-decese-ale-unor-pacienti-infectati-cu-covid-19-in-bihor-cazuri-noi-de-imbolnavire-dar-si-multe-vindecari-158365.html" xr:uid="{00000000-0004-0000-0000-000000100000}"/>
    <hyperlink ref="T2041" r:id="rId4098" display="http://www.ms.ro/2020/08/24/buletin-informativ-24-08-2020" xr:uid="{00000000-0004-0000-0000-000001100000}"/>
    <hyperlink ref="K2042" r:id="rId4099" display="https://www.ebihoreanul.ro/stiri/inca-trei-decese-ale-unor-pacienti-infectati-cu-covid-19-in-bihor-cazuri-noi-de-imbolnavire-dar-si-multe-vindecari-158365.html" xr:uid="{00000000-0004-0000-0000-000002100000}"/>
    <hyperlink ref="T2042" r:id="rId4100" display="http://www.ms.ro/2020/08/24/buletin-informativ-24-08-2020" xr:uid="{00000000-0004-0000-0000-000003100000}"/>
    <hyperlink ref="K2043" r:id="rId4101" display="https://www.ebihoreanul.ro/stiri/inca-trei-decese-ale-unor-pacienti-infectati-cu-covid-19-in-bihor-cazuri-noi-de-imbolnavire-dar-si-multe-vindecari-158365.html" xr:uid="{00000000-0004-0000-0000-000004100000}"/>
    <hyperlink ref="T2043" r:id="rId4102" display="http://www.ms.ro/2020/08/24/buletin-informativ-24-08-2020" xr:uid="{00000000-0004-0000-0000-000005100000}"/>
    <hyperlink ref="K2044" r:id="rId4103" display="https://www.ebihoreanul.ro/stiri/inca-trei-decese-ale-unor-pacienti-infectati-cu-covid-19-in-bihor-cazuri-noi-de-imbolnavire-dar-si-multe-vindecari-158365.html" xr:uid="{00000000-0004-0000-0000-000006100000}"/>
    <hyperlink ref="T2044" r:id="rId4104" display="http://www.ms.ro/2020/08/24/buletin-informativ-24-08-2020" xr:uid="{00000000-0004-0000-0000-000007100000}"/>
    <hyperlink ref="K2045" r:id="rId4105" display="https://www.ebihoreanul.ro/stiri/inca-trei-decese-ale-unor-pacienti-infectati-cu-covid-19-in-bihor-cazuri-noi-de-imbolnavire-dar-si-multe-vindecari-158365.html" xr:uid="{00000000-0004-0000-0000-000008100000}"/>
    <hyperlink ref="T2045" r:id="rId4106" display="http://www.ms.ro/2020/08/24/buletin-informativ-24-08-2020" xr:uid="{00000000-0004-0000-0000-000009100000}"/>
    <hyperlink ref="K2046" r:id="rId4107" display="https://www.ebihoreanul.ro/stiri/inca-trei-decese-ale-unor-pacienti-infectati-cu-covid-19-in-bihor-cazuri-noi-de-imbolnavire-dar-si-multe-vindecari-158365.html" xr:uid="{00000000-0004-0000-0000-00000A100000}"/>
    <hyperlink ref="T2046" r:id="rId4108" display="http://www.ms.ro/2020/08/24/buletin-informativ-24-08-2020" xr:uid="{00000000-0004-0000-0000-00000B100000}"/>
    <hyperlink ref="K2047" r:id="rId4109" display="https://www.ebihoreanul.ro/stiri/record-de-decese-covid-in-romania-58-intr-o-singura-zi-in-bihor-au-murit-3-oameni-iar-alti-37-au-fost-diagnosticati-aproape-100-de-pacienti-vindecati-158383.html" xr:uid="{00000000-0004-0000-0000-00000C100000}"/>
    <hyperlink ref="T2047" r:id="rId4110" display="http://www.ms.ro/2020/08/25/buletin-informativ-25-08-2020" xr:uid="{00000000-0004-0000-0000-00000D100000}"/>
    <hyperlink ref="K2048" r:id="rId4111" display="https://www.ebihoreanul.ro/stiri/record-de-decese-covid-in-romania-58-intr-o-singura-zi-in-bihor-au-murit-3-oameni-iar-alti-37-au-fost-diagnosticati-aproape-100-de-pacienti-vindecati-158383.html" xr:uid="{00000000-0004-0000-0000-00000E100000}"/>
    <hyperlink ref="T2048" r:id="rId4112" display="http://www.ms.ro/2020/08/25/buletin-informativ-25-08-2020" xr:uid="{00000000-0004-0000-0000-00000F100000}"/>
    <hyperlink ref="K2049" r:id="rId4113" display="https://www.ebihoreanul.ro/stiri/record-de-decese-covid-in-romania-58-intr-o-singura-zi-in-bihor-au-murit-3-oameni-iar-alti-37-au-fost-diagnosticati-aproape-100-de-pacienti-vindecati-158383.html" xr:uid="{00000000-0004-0000-0000-000010100000}"/>
    <hyperlink ref="T2049" r:id="rId4114" display="http://www.ms.ro/2020/08/25/buletin-informativ-25-08-2020" xr:uid="{00000000-0004-0000-0000-000011100000}"/>
    <hyperlink ref="K2050" r:id="rId4115" display="https://www.ebihoreanul.ro/stiri/record-de-decese-covid-in-romania-58-intr-o-singura-zi-in-bihor-au-murit-3-oameni-iar-alti-37-au-fost-diagnosticati-aproape-100-de-pacienti-vindecati-158383.html" xr:uid="{00000000-0004-0000-0000-000012100000}"/>
    <hyperlink ref="T2050" r:id="rId4116" display="http://www.ms.ro/2020/08/25/buletin-informativ-25-08-2020" xr:uid="{00000000-0004-0000-0000-000013100000}"/>
    <hyperlink ref="K2051" r:id="rId4117" display="https://www.ebihoreanul.ro/stiri/record-de-decese-covid-in-romania-58-intr-o-singura-zi-in-bihor-au-murit-3-oameni-iar-alti-37-au-fost-diagnosticati-aproape-100-de-pacienti-vindecati-158383.html" xr:uid="{00000000-0004-0000-0000-000014100000}"/>
    <hyperlink ref="T2051" r:id="rId4118" display="http://www.ms.ro/2020/08/25/buletin-informativ-25-08-2020" xr:uid="{00000000-0004-0000-0000-000015100000}"/>
    <hyperlink ref="K2052" r:id="rId4119" display="https://www.ebihoreanul.ro/stiri/record-de-decese-covid-in-romania-58-intr-o-singura-zi-in-bihor-au-murit-3-oameni-iar-alti-37-au-fost-diagnosticati-aproape-100-de-pacienti-vindecati-158383.html" xr:uid="{00000000-0004-0000-0000-000016100000}"/>
    <hyperlink ref="T2052" r:id="rId4120" display="http://www.ms.ro/2020/08/25/buletin-informativ-25-08-2020" xr:uid="{00000000-0004-0000-0000-000017100000}"/>
    <hyperlink ref="K2053" r:id="rId4121" display="https://www.ebihoreanul.ro/stiri/record-de-decese-covid-in-romania-58-intr-o-singura-zi-in-bihor-au-murit-3-oameni-iar-alti-37-au-fost-diagnosticati-aproape-100-de-pacienti-vindecati-158383.html" xr:uid="{00000000-0004-0000-0000-000018100000}"/>
    <hyperlink ref="T2053" r:id="rId4122" display="http://www.ms.ro/2020/08/25/buletin-informativ-25-08-2020" xr:uid="{00000000-0004-0000-0000-000019100000}"/>
    <hyperlink ref="K2054" r:id="rId4123" display="https://www.ebihoreanul.ro/stiri/record-de-decese-covid-in-romania-58-intr-o-singura-zi-in-bihor-au-murit-3-oameni-iar-alti-37-au-fost-diagnosticati-aproape-100-de-pacienti-vindecati-158383.html" xr:uid="{00000000-0004-0000-0000-00001A100000}"/>
    <hyperlink ref="T2054" r:id="rId4124" display="http://www.ms.ro/2020/08/25/buletin-informativ-25-08-2020" xr:uid="{00000000-0004-0000-0000-00001B100000}"/>
    <hyperlink ref="K2055" r:id="rId4125" display="https://www.ebihoreanul.ro/stiri/record-de-decese-covid-in-romania-58-intr-o-singura-zi-in-bihor-au-murit-3-oameni-iar-alti-37-au-fost-diagnosticati-aproape-100-de-pacienti-vindecati-158383.html" xr:uid="{00000000-0004-0000-0000-00001C100000}"/>
    <hyperlink ref="T2055" r:id="rId4126" display="http://www.ms.ro/2020/08/25/buletin-informativ-25-08-2020" xr:uid="{00000000-0004-0000-0000-00001D100000}"/>
    <hyperlink ref="K2056" r:id="rId4127" display="https://www.ebihoreanul.ro/stiri/record-de-decese-covid-in-romania-58-intr-o-singura-zi-in-bihor-au-murit-3-oameni-iar-alti-37-au-fost-diagnosticati-aproape-100-de-pacienti-vindecati-158383.html" xr:uid="{00000000-0004-0000-0000-00001E100000}"/>
    <hyperlink ref="T2056" r:id="rId4128" display="http://www.ms.ro/2020/08/25/buletin-informativ-25-08-2020" xr:uid="{00000000-0004-0000-0000-00001F100000}"/>
    <hyperlink ref="K2057" r:id="rId4129" display="https://www.ebihoreanul.ro/stiri/record-de-decese-covid-in-romania-58-intr-o-singura-zi-in-bihor-au-murit-3-oameni-iar-alti-37-au-fost-diagnosticati-aproape-100-de-pacienti-vindecati-158383.html" xr:uid="{00000000-0004-0000-0000-000020100000}"/>
    <hyperlink ref="T2057" r:id="rId4130" display="http://www.ms.ro/2020/08/25/buletin-informativ-25-08-2020" xr:uid="{00000000-0004-0000-0000-000021100000}"/>
    <hyperlink ref="K2058" r:id="rId4131" display="https://www.ebihoreanul.ro/stiri/record-de-decese-covid-in-romania-58-intr-o-singura-zi-in-bihor-au-murit-3-oameni-iar-alti-37-au-fost-diagnosticati-aproape-100-de-pacienti-vindecati-158383.html" xr:uid="{00000000-0004-0000-0000-000022100000}"/>
    <hyperlink ref="T2058" r:id="rId4132" display="http://www.ms.ro/2020/08/25/buletin-informativ-25-08-2020" xr:uid="{00000000-0004-0000-0000-000023100000}"/>
    <hyperlink ref="K2059" r:id="rId4133" display="https://www.ebihoreanul.ro/stiri/record-de-decese-covid-in-romania-58-intr-o-singura-zi-in-bihor-au-murit-3-oameni-iar-alti-37-au-fost-diagnosticati-aproape-100-de-pacienti-vindecati-158383.html" xr:uid="{00000000-0004-0000-0000-000024100000}"/>
    <hyperlink ref="T2059" r:id="rId4134" display="http://www.ms.ro/2020/08/25/buletin-informativ-25-08-2020" xr:uid="{00000000-0004-0000-0000-000025100000}"/>
    <hyperlink ref="K2060" r:id="rId4135" display="https://www.ebihoreanul.ro/stiri/record-de-decese-covid-in-romania-58-intr-o-singura-zi-in-bihor-au-murit-3-oameni-iar-alti-37-au-fost-diagnosticati-aproape-100-de-pacienti-vindecati-158383.html" xr:uid="{00000000-0004-0000-0000-000026100000}"/>
    <hyperlink ref="T2060" r:id="rId4136" display="http://www.ms.ro/2020/08/25/buletin-informativ-25-08-2020" xr:uid="{00000000-0004-0000-0000-000027100000}"/>
    <hyperlink ref="K2061" r:id="rId4137" display="https://www.ebihoreanul.ro/stiri/record-de-decese-covid-in-romania-58-intr-o-singura-zi-in-bihor-au-murit-3-oameni-iar-alti-37-au-fost-diagnosticati-aproape-100-de-pacienti-vindecati-158383.html" xr:uid="{00000000-0004-0000-0000-000028100000}"/>
    <hyperlink ref="T2061" r:id="rId4138" display="http://www.ms.ro/2020/08/25/buletin-informativ-25-08-2020" xr:uid="{00000000-0004-0000-0000-000029100000}"/>
    <hyperlink ref="K2062" r:id="rId4139" display="https://www.ebihoreanul.ro/stiri/record-de-decese-covid-in-romania-58-intr-o-singura-zi-in-bihor-au-murit-3-oameni-iar-alti-37-au-fost-diagnosticati-aproape-100-de-pacienti-vindecati-158383.html" xr:uid="{00000000-0004-0000-0000-00002A100000}"/>
    <hyperlink ref="T2062" r:id="rId4140" display="http://www.ms.ro/2020/08/25/buletin-informativ-25-08-2020" xr:uid="{00000000-0004-0000-0000-00002B100000}"/>
    <hyperlink ref="K2063" r:id="rId4141" display="https://www.ebihoreanul.ro/stiri/record-de-decese-covid-in-romania-58-intr-o-singura-zi-in-bihor-au-murit-3-oameni-iar-alti-37-au-fost-diagnosticati-aproape-100-de-pacienti-vindecati-158383.html" xr:uid="{00000000-0004-0000-0000-00002C100000}"/>
    <hyperlink ref="T2063" r:id="rId4142" display="http://www.ms.ro/2020/08/25/buletin-informativ-25-08-2020" xr:uid="{00000000-0004-0000-0000-00002D100000}"/>
    <hyperlink ref="K2064" r:id="rId4143" display="https://www.ebihoreanul.ro/stiri/record-de-decese-covid-in-romania-58-intr-o-singura-zi-in-bihor-au-murit-3-oameni-iar-alti-37-au-fost-diagnosticati-aproape-100-de-pacienti-vindecati-158383.html" xr:uid="{00000000-0004-0000-0000-00002E100000}"/>
    <hyperlink ref="T2064" r:id="rId4144" display="http://www.ms.ro/2020/08/25/buletin-informativ-25-08-2020" xr:uid="{00000000-0004-0000-0000-00002F100000}"/>
    <hyperlink ref="K2065" r:id="rId4145" display="https://www.ebihoreanul.ro/stiri/record-de-decese-covid-in-romania-58-intr-o-singura-zi-in-bihor-au-murit-3-oameni-iar-alti-37-au-fost-diagnosticati-aproape-100-de-pacienti-vindecati-158383.html" xr:uid="{00000000-0004-0000-0000-000030100000}"/>
    <hyperlink ref="T2065" r:id="rId4146" display="http://www.ms.ro/2020/08/25/buletin-informativ-25-08-2020" xr:uid="{00000000-0004-0000-0000-000031100000}"/>
    <hyperlink ref="K2066" r:id="rId4147" display="https://www.ebihoreanul.ro/stiri/record-de-decese-covid-in-romania-58-intr-o-singura-zi-in-bihor-au-murit-3-oameni-iar-alti-37-au-fost-diagnosticati-aproape-100-de-pacienti-vindecati-158383.html" xr:uid="{00000000-0004-0000-0000-000032100000}"/>
    <hyperlink ref="T2066" r:id="rId4148" display="http://www.ms.ro/2020/08/25/buletin-informativ-25-08-2020" xr:uid="{00000000-0004-0000-0000-000033100000}"/>
    <hyperlink ref="K2067" r:id="rId4149" display="https://www.ebihoreanul.ro/stiri/record-de-decese-covid-in-romania-58-intr-o-singura-zi-in-bihor-au-murit-3-oameni-iar-alti-37-au-fost-diagnosticati-aproape-100-de-pacienti-vindecati-158383.html" xr:uid="{00000000-0004-0000-0000-000034100000}"/>
    <hyperlink ref="T2067" r:id="rId4150" display="http://www.ms.ro/2020/08/25/buletin-informativ-25-08-2020" xr:uid="{00000000-0004-0000-0000-000035100000}"/>
    <hyperlink ref="K2068" r:id="rId4151" display="https://www.ebihoreanul.ro/stiri/record-de-decese-covid-in-romania-58-intr-o-singura-zi-in-bihor-au-murit-3-oameni-iar-alti-37-au-fost-diagnosticati-aproape-100-de-pacienti-vindecati-158383.html" xr:uid="{00000000-0004-0000-0000-000036100000}"/>
    <hyperlink ref="T2068" r:id="rId4152" display="http://www.ms.ro/2020/08/25/buletin-informativ-25-08-2020" xr:uid="{00000000-0004-0000-0000-000037100000}"/>
    <hyperlink ref="K2069" r:id="rId4153" display="https://www.ebihoreanul.ro/stiri/record-de-decese-covid-in-romania-58-intr-o-singura-zi-in-bihor-au-murit-3-oameni-iar-alti-37-au-fost-diagnosticati-aproape-100-de-pacienti-vindecati-158383.html" xr:uid="{00000000-0004-0000-0000-000038100000}"/>
    <hyperlink ref="T2069" r:id="rId4154" display="http://www.ms.ro/2020/08/25/buletin-informativ-25-08-2020" xr:uid="{00000000-0004-0000-0000-000039100000}"/>
    <hyperlink ref="K2070" r:id="rId4155" display="https://www.ebihoreanul.ro/stiri/record-de-decese-covid-in-romania-58-intr-o-singura-zi-in-bihor-au-murit-3-oameni-iar-alti-37-au-fost-diagnosticati-aproape-100-de-pacienti-vindecati-158383.html" xr:uid="{00000000-0004-0000-0000-00003A100000}"/>
    <hyperlink ref="T2070" r:id="rId4156" display="http://www.ms.ro/2020/08/25/buletin-informativ-25-08-2020" xr:uid="{00000000-0004-0000-0000-00003B100000}"/>
    <hyperlink ref="K2071" r:id="rId4157" display="https://www.ebihoreanul.ro/stiri/record-de-decese-covid-in-romania-58-intr-o-singura-zi-in-bihor-au-murit-3-oameni-iar-alti-37-au-fost-diagnosticati-aproape-100-de-pacienti-vindecati-158383.html" xr:uid="{00000000-0004-0000-0000-00003C100000}"/>
    <hyperlink ref="T2071" r:id="rId4158" display="http://www.ms.ro/2020/08/25/buletin-informativ-25-08-2020" xr:uid="{00000000-0004-0000-0000-00003D100000}"/>
    <hyperlink ref="K2072" r:id="rId4159" display="https://www.ebihoreanul.ro/stiri/record-de-decese-covid-in-romania-58-intr-o-singura-zi-in-bihor-au-murit-3-oameni-iar-alti-37-au-fost-diagnosticati-aproape-100-de-pacienti-vindecati-158383.html" xr:uid="{00000000-0004-0000-0000-00003E100000}"/>
    <hyperlink ref="T2072" r:id="rId4160" display="http://www.ms.ro/2020/08/25/buletin-informativ-25-08-2020" xr:uid="{00000000-0004-0000-0000-00003F100000}"/>
    <hyperlink ref="K2073" r:id="rId4161" display="https://www.ebihoreanul.ro/stiri/record-de-decese-covid-in-romania-58-intr-o-singura-zi-in-bihor-au-murit-3-oameni-iar-alti-37-au-fost-diagnosticati-aproape-100-de-pacienti-vindecati-158383.html" xr:uid="{00000000-0004-0000-0000-000040100000}"/>
    <hyperlink ref="T2073" r:id="rId4162" display="http://www.ms.ro/2020/08/25/buletin-informativ-25-08-2020" xr:uid="{00000000-0004-0000-0000-000041100000}"/>
    <hyperlink ref="K2074" r:id="rId4163" display="https://www.ebihoreanul.ro/stiri/record-de-decese-covid-in-romania-58-intr-o-singura-zi-in-bihor-au-murit-3-oameni-iar-alti-37-au-fost-diagnosticati-aproape-100-de-pacienti-vindecati-158383.html" xr:uid="{00000000-0004-0000-0000-000042100000}"/>
    <hyperlink ref="T2074" r:id="rId4164" display="http://www.ms.ro/2020/08/25/buletin-informativ-25-08-2020" xr:uid="{00000000-0004-0000-0000-000043100000}"/>
    <hyperlink ref="K2075" r:id="rId4165" display="https://www.ebihoreanul.ro/stiri/record-de-decese-covid-in-romania-58-intr-o-singura-zi-in-bihor-au-murit-3-oameni-iar-alti-37-au-fost-diagnosticati-aproape-100-de-pacienti-vindecati-158383.html" xr:uid="{00000000-0004-0000-0000-000044100000}"/>
    <hyperlink ref="T2075" r:id="rId4166" display="http://www.ms.ro/2020/08/25/buletin-informativ-25-08-2020" xr:uid="{00000000-0004-0000-0000-000045100000}"/>
    <hyperlink ref="K2076" r:id="rId4167" display="https://www.ebihoreanul.ro/stiri/record-de-decese-covid-in-romania-58-intr-o-singura-zi-in-bihor-au-murit-3-oameni-iar-alti-37-au-fost-diagnosticati-aproape-100-de-pacienti-vindecati-158383.html" xr:uid="{00000000-0004-0000-0000-000046100000}"/>
    <hyperlink ref="T2076" r:id="rId4168" display="http://www.ms.ro/2020/08/25/buletin-informativ-25-08-2020" xr:uid="{00000000-0004-0000-0000-000047100000}"/>
    <hyperlink ref="K2077" r:id="rId4169" display="https://www.ebihoreanul.ro/stiri/record-de-decese-covid-in-romania-58-intr-o-singura-zi-in-bihor-au-murit-3-oameni-iar-alti-37-au-fost-diagnosticati-aproape-100-de-pacienti-vindecati-158383.html" xr:uid="{00000000-0004-0000-0000-000048100000}"/>
    <hyperlink ref="T2077" r:id="rId4170" display="http://www.ms.ro/2020/08/25/buletin-informativ-25-08-2020" xr:uid="{00000000-0004-0000-0000-000049100000}"/>
    <hyperlink ref="K2078" r:id="rId4171" display="https://www.ebihoreanul.ro/stiri/record-de-decese-covid-in-romania-58-intr-o-singura-zi-in-bihor-au-murit-3-oameni-iar-alti-37-au-fost-diagnosticati-aproape-100-de-pacienti-vindecati-158383.html" xr:uid="{00000000-0004-0000-0000-00004A100000}"/>
    <hyperlink ref="T2078" r:id="rId4172" display="http://www.ms.ro/2020/08/25/buletin-informativ-25-08-2020" xr:uid="{00000000-0004-0000-0000-00004B100000}"/>
    <hyperlink ref="K2079" r:id="rId4173" display="https://www.ebihoreanul.ro/stiri/record-de-decese-covid-in-romania-58-intr-o-singura-zi-in-bihor-au-murit-3-oameni-iar-alti-37-au-fost-diagnosticati-aproape-100-de-pacienti-vindecati-158383.html" xr:uid="{00000000-0004-0000-0000-00004C100000}"/>
    <hyperlink ref="T2079" r:id="rId4174" display="http://www.ms.ro/2020/08/25/buletin-informativ-25-08-2020" xr:uid="{00000000-0004-0000-0000-00004D100000}"/>
    <hyperlink ref="K2080" r:id="rId4175" display="https://www.ebihoreanul.ro/stiri/record-de-decese-covid-in-romania-58-intr-o-singura-zi-in-bihor-au-murit-3-oameni-iar-alti-37-au-fost-diagnosticati-aproape-100-de-pacienti-vindecati-158383.html" xr:uid="{00000000-0004-0000-0000-00004E100000}"/>
    <hyperlink ref="T2080" r:id="rId4176" display="http://www.ms.ro/2020/08/25/buletin-informativ-25-08-2020" xr:uid="{00000000-0004-0000-0000-00004F100000}"/>
    <hyperlink ref="K2081" r:id="rId4177" display="https://www.ebihoreanul.ro/stiri/record-de-decese-covid-in-romania-58-intr-o-singura-zi-in-bihor-au-murit-3-oameni-iar-alti-37-au-fost-diagnosticati-aproape-100-de-pacienti-vindecati-158383.html" xr:uid="{00000000-0004-0000-0000-000050100000}"/>
    <hyperlink ref="T2081" r:id="rId4178" display="http://www.ms.ro/2020/08/25/buletin-informativ-25-08-2020" xr:uid="{00000000-0004-0000-0000-000051100000}"/>
    <hyperlink ref="K2082" r:id="rId4179" display="https://www.ebihoreanul.ro/stiri/record-de-decese-covid-in-romania-58-intr-o-singura-zi-in-bihor-au-murit-3-oameni-iar-alti-37-au-fost-diagnosticati-aproape-100-de-pacienti-vindecati-158383.html" xr:uid="{00000000-0004-0000-0000-000052100000}"/>
    <hyperlink ref="T2082" r:id="rId4180" display="http://www.ms.ro/2020/08/25/buletin-informativ-25-08-2020" xr:uid="{00000000-0004-0000-0000-000053100000}"/>
    <hyperlink ref="K2083" r:id="rId4181" display="https://www.ebihoreanul.ro/stiri/record-de-decese-covid-in-romania-58-intr-o-singura-zi-in-bihor-au-murit-3-oameni-iar-alti-37-au-fost-diagnosticati-aproape-100-de-pacienti-vindecati-158383.html" xr:uid="{00000000-0004-0000-0000-000054100000}"/>
    <hyperlink ref="T2083" r:id="rId4182" display="http://www.ms.ro/2020/08/25/buletin-informativ-25-08-2020" xr:uid="{00000000-0004-0000-0000-000055100000}"/>
    <hyperlink ref="K2084" r:id="rId4183" display="https://www.ebihoreanul.ro/stiri/28-de-noi-imbolnaviri-cu-covid-19-in-bihor-inclusiv-in-randul-personalului-upu-smurd-158401.html" xr:uid="{00000000-0004-0000-0000-000056100000}"/>
    <hyperlink ref="T2084" r:id="rId4184" display="http://www.ms.ro/2020/08/26/buletin-informativ-26-08-2020" xr:uid="{00000000-0004-0000-0000-000057100000}"/>
    <hyperlink ref="K2085" r:id="rId4185" display="https://www.ebihoreanul.ro/stiri/28-de-noi-imbolnaviri-cu-covid-19-in-bihor-inclusiv-in-randul-personalului-upu-smurd-158401.html" xr:uid="{00000000-0004-0000-0000-000058100000}"/>
    <hyperlink ref="T2085" r:id="rId4186" display="http://www.ms.ro/2020/08/26/buletin-informativ-26-08-2020" xr:uid="{00000000-0004-0000-0000-000059100000}"/>
    <hyperlink ref="K2086" r:id="rId4187" display="https://www.ebihoreanul.ro/stiri/28-de-noi-imbolnaviri-cu-covid-19-in-bihor-inclusiv-in-randul-personalului-upu-smurd-158401.html" xr:uid="{00000000-0004-0000-0000-00005A100000}"/>
    <hyperlink ref="T2086" r:id="rId4188" display="http://www.ms.ro/2020/08/26/buletin-informativ-26-08-2020" xr:uid="{00000000-0004-0000-0000-00005B100000}"/>
    <hyperlink ref="K2087" r:id="rId4189" display="https://www.ebihoreanul.ro/stiri/28-de-noi-imbolnaviri-cu-covid-19-in-bihor-inclusiv-in-randul-personalului-upu-smurd-158401.html" xr:uid="{00000000-0004-0000-0000-00005C100000}"/>
    <hyperlink ref="T2087" r:id="rId4190" display="http://www.ms.ro/2020/08/26/buletin-informativ-26-08-2020" xr:uid="{00000000-0004-0000-0000-00005D100000}"/>
    <hyperlink ref="K2088" r:id="rId4191" display="https://www.ebihoreanul.ro/stiri/28-de-noi-imbolnaviri-cu-covid-19-in-bihor-inclusiv-in-randul-personalului-upu-smurd-158401.html" xr:uid="{00000000-0004-0000-0000-00005E100000}"/>
    <hyperlink ref="T2088" r:id="rId4192" display="http://www.ms.ro/2020/08/26/buletin-informativ-26-08-2020" xr:uid="{00000000-0004-0000-0000-00005F100000}"/>
    <hyperlink ref="K2089" r:id="rId4193" display="https://www.ebihoreanul.ro/stiri/28-de-noi-imbolnaviri-cu-covid-19-in-bihor-inclusiv-in-randul-personalului-upu-smurd-158401.html" xr:uid="{00000000-0004-0000-0000-000060100000}"/>
    <hyperlink ref="T2089" r:id="rId4194" display="http://www.ms.ro/2020/08/26/buletin-informativ-26-08-2020" xr:uid="{00000000-0004-0000-0000-000061100000}"/>
    <hyperlink ref="K2090" r:id="rId4195" display="https://www.ebihoreanul.ro/stiri/28-de-noi-imbolnaviri-cu-covid-19-in-bihor-inclusiv-in-randul-personalului-upu-smurd-158401.html" xr:uid="{00000000-0004-0000-0000-000062100000}"/>
    <hyperlink ref="T2090" r:id="rId4196" display="http://www.ms.ro/2020/08/26/buletin-informativ-26-08-2020" xr:uid="{00000000-0004-0000-0000-000063100000}"/>
    <hyperlink ref="K2091" r:id="rId4197" display="https://www.ebihoreanul.ro/stiri/28-de-noi-imbolnaviri-cu-covid-19-in-bihor-inclusiv-in-randul-personalului-upu-smurd-158401.html" xr:uid="{00000000-0004-0000-0000-000064100000}"/>
    <hyperlink ref="T2091" r:id="rId4198" display="http://www.ms.ro/2020/08/26/buletin-informativ-26-08-2020" xr:uid="{00000000-0004-0000-0000-000065100000}"/>
    <hyperlink ref="K2092" r:id="rId4199" display="https://www.ebihoreanul.ro/stiri/28-de-noi-imbolnaviri-cu-covid-19-in-bihor-inclusiv-in-randul-personalului-upu-smurd-158401.html" xr:uid="{00000000-0004-0000-0000-000066100000}"/>
    <hyperlink ref="T2092" r:id="rId4200" display="http://www.ms.ro/2020/08/26/buletin-informativ-26-08-2020" xr:uid="{00000000-0004-0000-0000-000067100000}"/>
    <hyperlink ref="K2093" r:id="rId4201" display="https://www.ebihoreanul.ro/stiri/28-de-noi-imbolnaviri-cu-covid-19-in-bihor-inclusiv-in-randul-personalului-upu-smurd-158401.html" xr:uid="{00000000-0004-0000-0000-000068100000}"/>
    <hyperlink ref="T2093" r:id="rId4202" display="http://www.ms.ro/2020/08/26/buletin-informativ-26-08-2020" xr:uid="{00000000-0004-0000-0000-000069100000}"/>
    <hyperlink ref="K2094" r:id="rId4203" display="https://www.ebihoreanul.ro/stiri/28-de-noi-imbolnaviri-cu-covid-19-in-bihor-inclusiv-in-randul-personalului-upu-smurd-158401.html" xr:uid="{00000000-0004-0000-0000-00006A100000}"/>
    <hyperlink ref="T2094" r:id="rId4204" display="http://www.ms.ro/2020/08/26/buletin-informativ-26-08-2020" xr:uid="{00000000-0004-0000-0000-00006B100000}"/>
    <hyperlink ref="K2095" r:id="rId4205" display="https://www.ebihoreanul.ro/stiri/28-de-noi-imbolnaviri-cu-covid-19-in-bihor-inclusiv-in-randul-personalului-upu-smurd-158401.html" xr:uid="{00000000-0004-0000-0000-00006C100000}"/>
    <hyperlink ref="T2095" r:id="rId4206" display="http://www.ms.ro/2020/08/26/buletin-informativ-26-08-2020" xr:uid="{00000000-0004-0000-0000-00006D100000}"/>
    <hyperlink ref="K2096" r:id="rId4207" display="https://www.ebihoreanul.ro/stiri/28-de-noi-imbolnaviri-cu-covid-19-in-bihor-inclusiv-in-randul-personalului-upu-smurd-158401.html" xr:uid="{00000000-0004-0000-0000-00006E100000}"/>
    <hyperlink ref="T2096" r:id="rId4208" display="http://www.ms.ro/2020/08/26/buletin-informativ-26-08-2020" xr:uid="{00000000-0004-0000-0000-00006F100000}"/>
    <hyperlink ref="K2097" r:id="rId4209" display="https://www.ebihoreanul.ro/stiri/28-de-noi-imbolnaviri-cu-covid-19-in-bihor-inclusiv-in-randul-personalului-upu-smurd-158401.html" xr:uid="{00000000-0004-0000-0000-000070100000}"/>
    <hyperlink ref="T2097" r:id="rId4210" display="http://www.ms.ro/2020/08/26/buletin-informativ-26-08-2020" xr:uid="{00000000-0004-0000-0000-000071100000}"/>
    <hyperlink ref="K2098" r:id="rId4211" display="https://www.ebihoreanul.ro/stiri/28-de-noi-imbolnaviri-cu-covid-19-in-bihor-inclusiv-in-randul-personalului-upu-smurd-158401.html" xr:uid="{00000000-0004-0000-0000-000072100000}"/>
    <hyperlink ref="T2098" r:id="rId4212" display="http://www.ms.ro/2020/08/26/buletin-informativ-26-08-2020" xr:uid="{00000000-0004-0000-0000-000073100000}"/>
    <hyperlink ref="K2099" r:id="rId4213" display="https://www.ebihoreanul.ro/stiri/28-de-noi-imbolnaviri-cu-covid-19-in-bihor-inclusiv-in-randul-personalului-upu-smurd-158401.html" xr:uid="{00000000-0004-0000-0000-000074100000}"/>
    <hyperlink ref="T2099" r:id="rId4214" display="http://www.ms.ro/2020/08/26/buletin-informativ-26-08-2020" xr:uid="{00000000-0004-0000-0000-000075100000}"/>
    <hyperlink ref="K2100" r:id="rId4215" display="https://www.ebihoreanul.ro/stiri/28-de-noi-imbolnaviri-cu-covid-19-in-bihor-inclusiv-in-randul-personalului-upu-smurd-158401.html" xr:uid="{00000000-0004-0000-0000-000076100000}"/>
    <hyperlink ref="T2100" r:id="rId4216" display="http://www.ms.ro/2020/08/26/buletin-informativ-26-08-2020" xr:uid="{00000000-0004-0000-0000-000077100000}"/>
    <hyperlink ref="K2101" r:id="rId4217" display="https://www.ebihoreanul.ro/stiri/28-de-noi-imbolnaviri-cu-covid-19-in-bihor-inclusiv-in-randul-personalului-upu-smurd-158401.html" xr:uid="{00000000-0004-0000-0000-000078100000}"/>
    <hyperlink ref="T2101" r:id="rId4218" display="http://www.ms.ro/2020/08/26/buletin-informativ-26-08-2020" xr:uid="{00000000-0004-0000-0000-000079100000}"/>
    <hyperlink ref="K2102" r:id="rId4219" display="https://www.ebihoreanul.ro/stiri/28-de-noi-imbolnaviri-cu-covid-19-in-bihor-inclusiv-in-randul-personalului-upu-smurd-158401.html" xr:uid="{00000000-0004-0000-0000-00007A100000}"/>
    <hyperlink ref="T2102" r:id="rId4220" display="http://www.ms.ro/2020/08/26/buletin-informativ-26-08-2020" xr:uid="{00000000-0004-0000-0000-00007B100000}"/>
    <hyperlink ref="K2103" r:id="rId4221" display="https://www.ebihoreanul.ro/stiri/28-de-noi-imbolnaviri-cu-covid-19-in-bihor-inclusiv-in-randul-personalului-upu-smurd-158401.html" xr:uid="{00000000-0004-0000-0000-00007C100000}"/>
    <hyperlink ref="T2103" r:id="rId4222" display="http://www.ms.ro/2020/08/26/buletin-informativ-26-08-2020" xr:uid="{00000000-0004-0000-0000-00007D100000}"/>
    <hyperlink ref="K2104" r:id="rId4223" display="https://www.ebihoreanul.ro/stiri/28-de-noi-imbolnaviri-cu-covid-19-in-bihor-inclusiv-in-randul-personalului-upu-smurd-158401.html" xr:uid="{00000000-0004-0000-0000-00007E100000}"/>
    <hyperlink ref="T2104" r:id="rId4224" display="http://www.ms.ro/2020/08/26/buletin-informativ-26-08-2020" xr:uid="{00000000-0004-0000-0000-00007F100000}"/>
    <hyperlink ref="K2105" r:id="rId4225" display="https://www.ebihoreanul.ro/stiri/28-de-noi-imbolnaviri-cu-covid-19-in-bihor-inclusiv-in-randul-personalului-upu-smurd-158401.html" xr:uid="{00000000-0004-0000-0000-000080100000}"/>
    <hyperlink ref="T2105" r:id="rId4226" display="http://www.ms.ro/2020/08/26/buletin-informativ-26-08-2020" xr:uid="{00000000-0004-0000-0000-000081100000}"/>
    <hyperlink ref="K2106" r:id="rId4227" display="https://www.ebihoreanul.ro/stiri/28-de-noi-imbolnaviri-cu-covid-19-in-bihor-inclusiv-in-randul-personalului-upu-smurd-158401.html" xr:uid="{00000000-0004-0000-0000-000082100000}"/>
    <hyperlink ref="T2106" r:id="rId4228" display="http://www.ms.ro/2020/08/26/buletin-informativ-26-08-2020" xr:uid="{00000000-0004-0000-0000-000083100000}"/>
    <hyperlink ref="K2107" r:id="rId4229" display="https://www.ebihoreanul.ro/stiri/28-de-noi-imbolnaviri-cu-covid-19-in-bihor-inclusiv-in-randul-personalului-upu-smurd-158401.html" xr:uid="{00000000-0004-0000-0000-000084100000}"/>
    <hyperlink ref="T2107" r:id="rId4230" display="http://www.ms.ro/2020/08/26/buletin-informativ-26-08-2020" xr:uid="{00000000-0004-0000-0000-000085100000}"/>
    <hyperlink ref="K2108" r:id="rId4231" display="https://www.ebihoreanul.ro/stiri/28-de-noi-imbolnaviri-cu-covid-19-in-bihor-inclusiv-in-randul-personalului-upu-smurd-158401.html" xr:uid="{00000000-0004-0000-0000-000086100000}"/>
    <hyperlink ref="T2108" r:id="rId4232" display="http://www.ms.ro/2020/08/26/buletin-informativ-26-08-2020" xr:uid="{00000000-0004-0000-0000-000087100000}"/>
    <hyperlink ref="K2109" r:id="rId4233" display="https://www.ebihoreanul.ro/stiri/28-de-noi-imbolnaviri-cu-covid-19-in-bihor-inclusiv-in-randul-personalului-upu-smurd-158401.html" xr:uid="{00000000-0004-0000-0000-000088100000}"/>
    <hyperlink ref="T2109" r:id="rId4234" display="http://www.ms.ro/2020/08/26/buletin-informativ-26-08-2020" xr:uid="{00000000-0004-0000-0000-000089100000}"/>
    <hyperlink ref="K2110" r:id="rId4235" display="https://www.ebihoreanul.ro/stiri/28-de-noi-imbolnaviri-cu-covid-19-in-bihor-inclusiv-in-randul-personalului-upu-smurd-158401.html" xr:uid="{00000000-0004-0000-0000-00008A100000}"/>
    <hyperlink ref="T2110" r:id="rId4236" display="http://www.ms.ro/2020/08/26/buletin-informativ-26-08-2020" xr:uid="{00000000-0004-0000-0000-00008B100000}"/>
    <hyperlink ref="K2111" r:id="rId4237" display="https://www.ebihoreanul.ro/stiri/28-de-noi-imbolnaviri-cu-covid-19-in-bihor-inclusiv-in-randul-personalului-upu-smurd-158401.html" xr:uid="{00000000-0004-0000-0000-00008C100000}"/>
    <hyperlink ref="T2111" r:id="rId4238" display="http://www.ms.ro/2020/08/26/buletin-informativ-26-08-2020" xr:uid="{00000000-0004-0000-0000-00008D100000}"/>
  </hyperlinks>
  <pageMargins left="0.7" right="0.7" top="0.75" bottom="0.75" header="0.3" footer="0.3"/>
  <pageSetup orientation="portrait" r:id="rId42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4" max="4" width="24.08984375" customWidth="1"/>
  </cols>
  <sheetData>
    <row r="1" spans="1: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5" ht="15.75" customHeight="1">
      <c r="A2" s="10"/>
      <c r="C2" s="5"/>
    </row>
    <row r="3" spans="1:5" ht="15.75" customHeight="1">
      <c r="A3" s="11"/>
      <c r="C3" s="5"/>
    </row>
    <row r="4" spans="1:5" ht="15.75" customHeight="1">
      <c r="A4" s="11"/>
      <c r="C4" s="5"/>
    </row>
    <row r="5" spans="1:5" ht="15.75" customHeight="1">
      <c r="A5" s="11"/>
      <c r="C5" s="5"/>
    </row>
    <row r="6" spans="1:5" ht="15.75" customHeight="1">
      <c r="A6" s="11"/>
      <c r="C6" s="5"/>
    </row>
    <row r="7" spans="1:5" ht="15.75" customHeight="1">
      <c r="A7" s="11"/>
      <c r="C7" s="5"/>
    </row>
    <row r="8" spans="1:5" ht="15.75" customHeight="1">
      <c r="A8" s="11"/>
      <c r="C8" s="5"/>
    </row>
    <row r="9" spans="1:5" ht="15.75" customHeight="1">
      <c r="A9" s="11"/>
      <c r="C9" s="5"/>
    </row>
    <row r="10" spans="1:5" ht="15.75" customHeight="1">
      <c r="A10" s="11"/>
      <c r="C10" s="5"/>
    </row>
    <row r="11" spans="1:5" ht="15.75" customHeight="1">
      <c r="A11" s="11"/>
      <c r="C11" s="5"/>
    </row>
    <row r="12" spans="1:5" ht="15.75" customHeight="1">
      <c r="A12" s="11"/>
      <c r="C12" s="5"/>
    </row>
    <row r="13" spans="1:5" ht="15.75" customHeight="1">
      <c r="A13" s="11"/>
      <c r="C13" s="5"/>
    </row>
    <row r="14" spans="1:5" ht="15.75" customHeight="1">
      <c r="A14" s="11"/>
      <c r="C14" s="5"/>
    </row>
    <row r="15" spans="1:5" ht="15.75" customHeight="1">
      <c r="A15" s="11"/>
      <c r="C15" s="5"/>
    </row>
    <row r="16" spans="1:5" ht="15.75" customHeight="1">
      <c r="A16" s="11"/>
      <c r="C16" s="5"/>
    </row>
    <row r="17" spans="1:3" ht="15.75" customHeight="1">
      <c r="A17" s="11"/>
      <c r="C17" s="5"/>
    </row>
    <row r="18" spans="1:3" ht="15.75" customHeight="1">
      <c r="A18" s="11"/>
      <c r="C18" s="5"/>
    </row>
    <row r="19" spans="1:3" ht="15.75" customHeight="1">
      <c r="A19" s="11"/>
      <c r="C19" s="5"/>
    </row>
    <row r="20" spans="1:3" ht="15.75" customHeight="1">
      <c r="A20" s="11"/>
      <c r="C20" s="5"/>
    </row>
    <row r="21" spans="1:3" ht="15.75" customHeight="1">
      <c r="A21" s="11"/>
      <c r="C21" s="5"/>
    </row>
    <row r="22" spans="1:3" ht="15.75" customHeight="1">
      <c r="A22" s="11"/>
      <c r="C22" s="5"/>
    </row>
    <row r="23" spans="1:3" ht="15.75" customHeight="1">
      <c r="A23" s="11"/>
      <c r="C23" s="5"/>
    </row>
    <row r="24" spans="1:3" ht="15.75" customHeight="1">
      <c r="A24" s="11"/>
      <c r="C24" s="5"/>
    </row>
    <row r="25" spans="1:3" ht="15.75" customHeight="1">
      <c r="A25" s="11"/>
      <c r="C25" s="5"/>
    </row>
    <row r="26" spans="1:3" ht="15.75" customHeight="1">
      <c r="A26" s="11"/>
      <c r="C26" s="5"/>
    </row>
    <row r="27" spans="1:3" ht="15.75" customHeight="1">
      <c r="A27" s="11"/>
      <c r="C27" s="5"/>
    </row>
    <row r="28" spans="1:3" ht="15.75" customHeight="1">
      <c r="A28" s="11"/>
      <c r="C28" s="5"/>
    </row>
    <row r="29" spans="1:3" ht="15.75" customHeight="1">
      <c r="A29" s="11"/>
      <c r="C29" s="5"/>
    </row>
    <row r="30" spans="1:3" ht="15.75" customHeight="1">
      <c r="A30" s="11"/>
      <c r="C30" s="5"/>
    </row>
    <row r="31" spans="1:3" ht="15.75" customHeight="1">
      <c r="A31" s="11"/>
      <c r="C31" s="5"/>
    </row>
    <row r="32" spans="1:3" ht="15.75" customHeight="1">
      <c r="A32" s="11"/>
      <c r="C32" s="5"/>
    </row>
    <row r="33" spans="1:3" ht="15.75" customHeight="1">
      <c r="A33" s="11"/>
      <c r="C33" s="5"/>
    </row>
    <row r="34" spans="1:3" ht="15.75" customHeight="1">
      <c r="A34" s="11"/>
      <c r="C34" s="5"/>
    </row>
    <row r="35" spans="1:3" ht="15.75" customHeight="1">
      <c r="A35" s="11"/>
      <c r="C35" s="5"/>
    </row>
    <row r="36" spans="1:3" ht="15.75" customHeight="1">
      <c r="A36" s="11"/>
      <c r="C36" s="5"/>
    </row>
    <row r="37" spans="1:3" ht="15.75" customHeight="1">
      <c r="A37" s="11"/>
      <c r="C37" s="5"/>
    </row>
    <row r="38" spans="1:3" ht="15.75" customHeight="1">
      <c r="A38" s="11"/>
      <c r="C38" s="5"/>
    </row>
    <row r="39" spans="1:3" ht="15.75" customHeight="1">
      <c r="A39" s="11"/>
      <c r="C39" s="5"/>
    </row>
    <row r="40" spans="1:3" ht="15.75" customHeight="1">
      <c r="A40" s="11"/>
      <c r="C40" s="5"/>
    </row>
    <row r="41" spans="1:3" ht="15.75" customHeight="1">
      <c r="A41" s="11"/>
      <c r="C41" s="5"/>
    </row>
    <row r="42" spans="1:3" ht="15.75" customHeight="1">
      <c r="A42" s="11"/>
      <c r="C42" s="5"/>
    </row>
    <row r="43" spans="1:3" ht="12.5">
      <c r="A43" s="11"/>
      <c r="C43" s="5"/>
    </row>
    <row r="44" spans="1:3" ht="12.5">
      <c r="A44" s="11"/>
      <c r="C44" s="5"/>
    </row>
    <row r="45" spans="1:3" ht="12.5">
      <c r="A45" s="11"/>
      <c r="C45" s="5"/>
    </row>
    <row r="46" spans="1:3" ht="12.5">
      <c r="A46" s="11"/>
      <c r="C46" s="5"/>
    </row>
    <row r="47" spans="1:3" ht="12.5">
      <c r="A47" s="11"/>
      <c r="C47" s="5"/>
    </row>
    <row r="48" spans="1:3" ht="12.5">
      <c r="A48" s="11"/>
      <c r="C48" s="5"/>
    </row>
    <row r="49" spans="1:3" ht="12.5">
      <c r="A49" s="11"/>
      <c r="C49" s="5"/>
    </row>
    <row r="50" spans="1:3" ht="12.5">
      <c r="A50" s="11"/>
      <c r="C50" s="5"/>
    </row>
    <row r="51" spans="1:3" ht="12.5">
      <c r="A51" s="11"/>
      <c r="C51" s="5"/>
    </row>
    <row r="52" spans="1:3" ht="12.5">
      <c r="A52" s="11"/>
      <c r="C52" s="5"/>
    </row>
    <row r="53" spans="1:3" ht="12.5">
      <c r="A53" s="11"/>
      <c r="C53" s="5"/>
    </row>
    <row r="54" spans="1:3" ht="12.5">
      <c r="A54" s="11"/>
      <c r="C54" s="5"/>
    </row>
    <row r="55" spans="1:3" ht="12.5">
      <c r="A55" s="11"/>
      <c r="C55" s="5"/>
    </row>
    <row r="56" spans="1:3" ht="12.5">
      <c r="A56" s="11"/>
      <c r="C56" s="5"/>
    </row>
    <row r="57" spans="1:3" ht="12.5">
      <c r="A57" s="11"/>
      <c r="C57" s="5"/>
    </row>
    <row r="58" spans="1:3" ht="12.5">
      <c r="A58" s="11"/>
      <c r="C58" s="5"/>
    </row>
    <row r="59" spans="1:3" ht="12.5">
      <c r="A59" s="11"/>
      <c r="C59" s="5"/>
    </row>
    <row r="60" spans="1:3" ht="12.5">
      <c r="A60" s="11"/>
      <c r="C60" s="5"/>
    </row>
    <row r="61" spans="1:3" ht="12.5">
      <c r="A61" s="11"/>
      <c r="C61" s="5"/>
    </row>
    <row r="62" spans="1:3" ht="12.5">
      <c r="A62" s="11"/>
      <c r="C62" s="5"/>
    </row>
    <row r="63" spans="1:3" ht="12.5">
      <c r="A63" s="11"/>
      <c r="C63" s="5"/>
    </row>
    <row r="64" spans="1:3" ht="12.5">
      <c r="A64" s="11"/>
      <c r="C64" s="5"/>
    </row>
    <row r="65" spans="1:3" ht="12.5">
      <c r="A65" s="11"/>
      <c r="C65" s="5"/>
    </row>
    <row r="66" spans="1:3" ht="12.5">
      <c r="A66" s="11"/>
      <c r="C66" s="5"/>
    </row>
    <row r="67" spans="1:3" ht="12.5">
      <c r="A67" s="11"/>
      <c r="C67" s="5"/>
    </row>
    <row r="68" spans="1:3" ht="12.5">
      <c r="A68" s="11"/>
      <c r="C68" s="5"/>
    </row>
    <row r="69" spans="1:3" ht="12.5">
      <c r="A69" s="11"/>
      <c r="C69" s="5"/>
    </row>
    <row r="70" spans="1:3" ht="12.5">
      <c r="A70" s="11"/>
      <c r="C70" s="5"/>
    </row>
    <row r="71" spans="1:3" ht="12.5">
      <c r="A71" s="11"/>
      <c r="C71" s="5"/>
    </row>
    <row r="72" spans="1:3" ht="12.5">
      <c r="A72" s="11"/>
      <c r="C72" s="5"/>
    </row>
    <row r="73" spans="1:3" ht="12.5">
      <c r="A73" s="11"/>
      <c r="C73" s="5"/>
    </row>
    <row r="74" spans="1:3" ht="12.5">
      <c r="A74" s="11"/>
      <c r="C74" s="5"/>
    </row>
    <row r="75" spans="1:3" ht="12.5">
      <c r="A75" s="11"/>
      <c r="C75" s="5"/>
    </row>
    <row r="76" spans="1:3" ht="12.5">
      <c r="A76" s="11"/>
      <c r="C76" s="5"/>
    </row>
    <row r="77" spans="1:3" ht="12.5">
      <c r="A77" s="11"/>
      <c r="C77" s="5"/>
    </row>
    <row r="78" spans="1:3" ht="12.5">
      <c r="A78" s="11"/>
      <c r="C78" s="5"/>
    </row>
    <row r="79" spans="1:3" ht="12.5">
      <c r="A79" s="11"/>
      <c r="C79" s="5"/>
    </row>
    <row r="80" spans="1:3" ht="12.5">
      <c r="A80" s="11"/>
      <c r="C80" s="5"/>
    </row>
    <row r="81" spans="1:3" ht="12.5">
      <c r="A81" s="11"/>
      <c r="C81" s="5"/>
    </row>
    <row r="82" spans="1:3" ht="12.5">
      <c r="A82" s="11"/>
      <c r="C82" s="5"/>
    </row>
    <row r="83" spans="1:3" ht="12.5">
      <c r="A83" s="11"/>
      <c r="C83" s="5"/>
    </row>
    <row r="84" spans="1:3" ht="12.5">
      <c r="A84" s="11"/>
      <c r="C84" s="5"/>
    </row>
    <row r="85" spans="1:3" ht="12.5">
      <c r="A85" s="11"/>
      <c r="C85" s="5"/>
    </row>
    <row r="86" spans="1:3" ht="12.5">
      <c r="A86" s="11"/>
      <c r="C86" s="5"/>
    </row>
    <row r="87" spans="1:3" ht="12.5">
      <c r="A87" s="11"/>
      <c r="C87" s="5"/>
    </row>
    <row r="88" spans="1:3" ht="12.5">
      <c r="A88" s="11"/>
      <c r="C88" s="5"/>
    </row>
    <row r="89" spans="1:3" ht="12.5">
      <c r="A89" s="11"/>
      <c r="C89" s="5"/>
    </row>
    <row r="90" spans="1:3" ht="12.5">
      <c r="A90" s="11"/>
      <c r="C90" s="5"/>
    </row>
    <row r="91" spans="1:3" ht="12.5">
      <c r="A91" s="11"/>
      <c r="C91" s="5"/>
    </row>
    <row r="92" spans="1:3" ht="12.5">
      <c r="A92" s="11"/>
      <c r="C92" s="5"/>
    </row>
    <row r="93" spans="1:3" ht="12.5">
      <c r="A93" s="11"/>
      <c r="C93" s="5"/>
    </row>
    <row r="94" spans="1:3" ht="12.5">
      <c r="A94" s="11"/>
      <c r="C94" s="5"/>
    </row>
    <row r="95" spans="1:3" ht="12.5">
      <c r="A95" s="11"/>
      <c r="C95" s="5"/>
    </row>
    <row r="96" spans="1:3" ht="12.5">
      <c r="A96" s="11"/>
      <c r="C96" s="5"/>
    </row>
    <row r="97" spans="1:3" ht="12.5">
      <c r="A97" s="11"/>
      <c r="C97" s="5"/>
    </row>
    <row r="98" spans="1:3" ht="12.5">
      <c r="A98" s="11"/>
      <c r="C98" s="5"/>
    </row>
    <row r="99" spans="1:3" ht="12.5">
      <c r="A99" s="11"/>
      <c r="C99" s="5"/>
    </row>
    <row r="100" spans="1:3" ht="12.5">
      <c r="A100" s="11"/>
      <c r="C100" s="5"/>
    </row>
    <row r="101" spans="1:3" ht="12.5">
      <c r="A101" s="11"/>
      <c r="C101" s="5"/>
    </row>
    <row r="102" spans="1:3" ht="12.5">
      <c r="A102" s="11"/>
      <c r="C102" s="5"/>
    </row>
    <row r="103" spans="1:3" ht="12.5">
      <c r="A103" s="11"/>
      <c r="C103" s="5"/>
    </row>
    <row r="104" spans="1:3" ht="12.5">
      <c r="A104" s="11"/>
      <c r="C104" s="5"/>
    </row>
    <row r="105" spans="1:3" ht="12.5">
      <c r="A105" s="11"/>
      <c r="C105" s="5"/>
    </row>
    <row r="106" spans="1:3" ht="12.5">
      <c r="A106" s="11"/>
      <c r="C106" s="5"/>
    </row>
    <row r="107" spans="1:3" ht="12.5">
      <c r="A107" s="11"/>
      <c r="C107" s="5"/>
    </row>
    <row r="108" spans="1:3" ht="12.5">
      <c r="A108" s="11"/>
      <c r="C108" s="5"/>
    </row>
    <row r="109" spans="1:3" ht="12.5">
      <c r="A109" s="11"/>
      <c r="C109" s="5"/>
    </row>
    <row r="110" spans="1:3" ht="12.5">
      <c r="A110" s="11"/>
      <c r="C110" s="5"/>
    </row>
    <row r="111" spans="1:3" ht="12.5">
      <c r="A111" s="11"/>
      <c r="C111" s="5"/>
    </row>
    <row r="112" spans="1:3" ht="12.5">
      <c r="A112" s="11"/>
      <c r="C112" s="5"/>
    </row>
    <row r="113" spans="1:3" ht="12.5">
      <c r="A113" s="11"/>
      <c r="C113" s="5"/>
    </row>
    <row r="114" spans="1:3" ht="12.5">
      <c r="A114" s="11"/>
      <c r="C114" s="5"/>
    </row>
    <row r="115" spans="1:3" ht="12.5">
      <c r="A115" s="11"/>
      <c r="C115" s="5"/>
    </row>
    <row r="116" spans="1:3" ht="12.5">
      <c r="A116" s="11"/>
      <c r="C116" s="5"/>
    </row>
    <row r="117" spans="1:3" ht="12.5">
      <c r="A117" s="11"/>
      <c r="C117" s="5"/>
    </row>
    <row r="118" spans="1:3" ht="12.5">
      <c r="A118" s="11"/>
      <c r="C118" s="5"/>
    </row>
    <row r="119" spans="1:3" ht="12.5">
      <c r="A119" s="11"/>
      <c r="C119" s="5"/>
    </row>
    <row r="120" spans="1:3" ht="12.5">
      <c r="A120" s="11"/>
      <c r="C120" s="5"/>
    </row>
    <row r="121" spans="1:3" ht="12.5">
      <c r="A121" s="11"/>
      <c r="C121" s="5"/>
    </row>
    <row r="122" spans="1:3" ht="12.5">
      <c r="A122" s="11"/>
      <c r="C122" s="5"/>
    </row>
    <row r="123" spans="1:3" ht="12.5">
      <c r="A123" s="11"/>
      <c r="C123" s="5"/>
    </row>
    <row r="124" spans="1:3" ht="12.5">
      <c r="A124" s="11"/>
      <c r="C124" s="5"/>
    </row>
    <row r="125" spans="1:3" ht="12.5">
      <c r="A125" s="11"/>
      <c r="C125" s="5"/>
    </row>
    <row r="126" spans="1:3" ht="12.5">
      <c r="A126" s="11"/>
      <c r="C126" s="5"/>
    </row>
    <row r="127" spans="1:3" ht="12.5">
      <c r="A127" s="11"/>
      <c r="C127" s="5"/>
    </row>
    <row r="128" spans="1:3" ht="12.5">
      <c r="A128" s="11"/>
      <c r="C128" s="5"/>
    </row>
    <row r="129" spans="1:3" ht="12.5">
      <c r="A129" s="11"/>
      <c r="C129" s="5"/>
    </row>
    <row r="130" spans="1:3" ht="12.5">
      <c r="A130" s="11"/>
      <c r="C130" s="5"/>
    </row>
    <row r="131" spans="1:3" ht="12.5">
      <c r="A131" s="11"/>
      <c r="C131" s="5"/>
    </row>
    <row r="132" spans="1:3" ht="12.5">
      <c r="A132" s="11"/>
      <c r="C132" s="5"/>
    </row>
    <row r="133" spans="1:3" ht="12.5">
      <c r="A133" s="11"/>
      <c r="C133" s="5"/>
    </row>
    <row r="134" spans="1:3" ht="12.5">
      <c r="A134" s="11"/>
      <c r="C134" s="5"/>
    </row>
    <row r="135" spans="1:3" ht="12.5">
      <c r="A135" s="11"/>
      <c r="C135" s="5"/>
    </row>
    <row r="136" spans="1:3" ht="12.5">
      <c r="A136" s="11"/>
      <c r="C136" s="5"/>
    </row>
    <row r="137" spans="1:3" ht="12.5">
      <c r="A137" s="11"/>
      <c r="C137" s="5"/>
    </row>
    <row r="138" spans="1:3" ht="12.5">
      <c r="A138" s="11"/>
      <c r="C138" s="5"/>
    </row>
    <row r="139" spans="1:3" ht="12.5">
      <c r="A139" s="11"/>
      <c r="C139" s="5"/>
    </row>
    <row r="140" spans="1:3" ht="12.5">
      <c r="A140" s="11"/>
      <c r="C140" s="5"/>
    </row>
    <row r="141" spans="1:3" ht="12.5">
      <c r="A141" s="11"/>
      <c r="C141" s="5"/>
    </row>
    <row r="142" spans="1:3" ht="12.5">
      <c r="A142" s="11"/>
      <c r="C142" s="5"/>
    </row>
    <row r="143" spans="1:3" ht="12.5">
      <c r="A143" s="11"/>
      <c r="C143" s="5"/>
    </row>
    <row r="144" spans="1:3" ht="12.5">
      <c r="A144" s="11"/>
      <c r="C144" s="5"/>
    </row>
    <row r="145" spans="1:3" ht="12.5">
      <c r="A145" s="11"/>
      <c r="C145" s="5"/>
    </row>
    <row r="146" spans="1:3" ht="12.5">
      <c r="A146" s="11"/>
      <c r="C146" s="5"/>
    </row>
    <row r="147" spans="1:3" ht="12.5">
      <c r="A147" s="11"/>
      <c r="C147" s="5"/>
    </row>
    <row r="148" spans="1:3" ht="12.5">
      <c r="A148" s="11"/>
      <c r="C148" s="5"/>
    </row>
    <row r="149" spans="1:3" ht="12.5">
      <c r="A149" s="11"/>
      <c r="C149" s="5"/>
    </row>
    <row r="150" spans="1:3" ht="12.5">
      <c r="A150" s="11"/>
      <c r="C150" s="5"/>
    </row>
    <row r="151" spans="1:3" ht="12.5">
      <c r="A151" s="11"/>
      <c r="C151" s="5"/>
    </row>
    <row r="152" spans="1:3" ht="12.5">
      <c r="A152" s="11"/>
      <c r="C152" s="5"/>
    </row>
    <row r="153" spans="1:3" ht="12.5">
      <c r="A153" s="11"/>
      <c r="C153" s="5"/>
    </row>
    <row r="154" spans="1:3" ht="12.5">
      <c r="A154" s="11"/>
      <c r="C154" s="5"/>
    </row>
    <row r="155" spans="1:3" ht="12.5">
      <c r="A155" s="11"/>
      <c r="C155" s="5"/>
    </row>
    <row r="156" spans="1:3" ht="12.5">
      <c r="A156" s="11"/>
      <c r="C156" s="5"/>
    </row>
    <row r="157" spans="1:3" ht="12.5">
      <c r="A157" s="11"/>
      <c r="C157" s="5"/>
    </row>
    <row r="158" spans="1:3" ht="12.5">
      <c r="A158" s="11"/>
      <c r="C158" s="5"/>
    </row>
    <row r="159" spans="1:3" ht="12.5">
      <c r="A159" s="11"/>
      <c r="C159" s="5"/>
    </row>
    <row r="160" spans="1:3" ht="12.5">
      <c r="A160" s="11"/>
      <c r="C160" s="5"/>
    </row>
    <row r="161" spans="1:3" ht="12.5">
      <c r="A161" s="11"/>
      <c r="C161" s="5"/>
    </row>
    <row r="162" spans="1:3" ht="12.5">
      <c r="A162" s="11"/>
      <c r="C162" s="5"/>
    </row>
    <row r="163" spans="1:3" ht="12.5">
      <c r="A163" s="11"/>
      <c r="C163" s="5"/>
    </row>
    <row r="164" spans="1:3" ht="12.5">
      <c r="A164" s="11"/>
      <c r="C164" s="5"/>
    </row>
    <row r="165" spans="1:3" ht="12.5">
      <c r="A165" s="11"/>
      <c r="C165" s="5"/>
    </row>
    <row r="166" spans="1:3" ht="12.5">
      <c r="A166" s="11"/>
      <c r="C166" s="5"/>
    </row>
    <row r="167" spans="1:3" ht="12.5">
      <c r="A167" s="11"/>
      <c r="C167" s="5"/>
    </row>
    <row r="168" spans="1:3" ht="12.5">
      <c r="A168" s="11"/>
      <c r="C168" s="5"/>
    </row>
    <row r="169" spans="1:3" ht="12.5">
      <c r="A169" s="11"/>
      <c r="C169" s="5"/>
    </row>
    <row r="170" spans="1:3" ht="12.5">
      <c r="A170" s="11"/>
      <c r="C170" s="5"/>
    </row>
    <row r="171" spans="1:3" ht="12.5">
      <c r="A171" s="11"/>
      <c r="C171" s="5"/>
    </row>
    <row r="172" spans="1:3" ht="12.5">
      <c r="A172" s="11"/>
      <c r="C172" s="5"/>
    </row>
    <row r="173" spans="1:3" ht="12.5">
      <c r="A173" s="11"/>
      <c r="C173" s="5"/>
    </row>
    <row r="174" spans="1:3" ht="12.5">
      <c r="A174" s="11"/>
      <c r="C174" s="5"/>
    </row>
    <row r="175" spans="1:3" ht="12.5">
      <c r="A175" s="11"/>
      <c r="C175" s="5"/>
    </row>
    <row r="176" spans="1:3" ht="12.5">
      <c r="A176" s="11"/>
      <c r="C176" s="5"/>
    </row>
    <row r="177" spans="1:3" ht="12.5">
      <c r="A177" s="11"/>
      <c r="C177" s="5"/>
    </row>
    <row r="178" spans="1:3" ht="12.5">
      <c r="A178" s="11"/>
      <c r="C178" s="5"/>
    </row>
    <row r="179" spans="1:3" ht="12.5">
      <c r="A179" s="11"/>
      <c r="C179" s="5"/>
    </row>
    <row r="180" spans="1:3" ht="12.5">
      <c r="A180" s="11"/>
      <c r="C180" s="5"/>
    </row>
    <row r="181" spans="1:3" ht="12.5">
      <c r="A181" s="11"/>
      <c r="C181" s="5"/>
    </row>
    <row r="182" spans="1:3" ht="12.5">
      <c r="A182" s="11"/>
      <c r="C182" s="5"/>
    </row>
    <row r="183" spans="1:3" ht="12.5">
      <c r="A183" s="11"/>
      <c r="C183" s="5"/>
    </row>
    <row r="184" spans="1:3" ht="12.5">
      <c r="A184" s="11"/>
      <c r="C184" s="5"/>
    </row>
    <row r="185" spans="1:3" ht="12.5">
      <c r="A185" s="11"/>
      <c r="C185" s="5"/>
    </row>
    <row r="186" spans="1:3" ht="12.5">
      <c r="A186" s="11"/>
      <c r="C186" s="5"/>
    </row>
    <row r="187" spans="1:3" ht="12.5">
      <c r="A187" s="11"/>
      <c r="C187" s="5"/>
    </row>
    <row r="188" spans="1:3" ht="12.5">
      <c r="A188" s="11"/>
      <c r="C188" s="5"/>
    </row>
    <row r="189" spans="1:3" ht="12.5">
      <c r="A189" s="11"/>
      <c r="C189" s="5"/>
    </row>
    <row r="190" spans="1:3" ht="12.5">
      <c r="A190" s="11"/>
      <c r="C190" s="5"/>
    </row>
    <row r="191" spans="1:3" ht="12.5">
      <c r="A191" s="11"/>
      <c r="C191" s="5"/>
    </row>
    <row r="192" spans="1:3" ht="12.5">
      <c r="A192" s="11"/>
      <c r="C192" s="5"/>
    </row>
    <row r="193" spans="1:3" ht="12.5">
      <c r="A193" s="11"/>
      <c r="C193" s="5"/>
    </row>
    <row r="194" spans="1:3" ht="12.5">
      <c r="A194" s="11"/>
      <c r="C194" s="5"/>
    </row>
    <row r="195" spans="1:3" ht="12.5">
      <c r="A195" s="11"/>
      <c r="C195" s="5"/>
    </row>
    <row r="196" spans="1:3" ht="12.5">
      <c r="A196" s="11"/>
      <c r="C196" s="5"/>
    </row>
    <row r="197" spans="1:3" ht="12.5">
      <c r="A197" s="11"/>
      <c r="C197" s="5"/>
    </row>
    <row r="198" spans="1:3" ht="12.5">
      <c r="A198" s="11"/>
      <c r="C198" s="5"/>
    </row>
    <row r="199" spans="1:3" ht="12.5">
      <c r="A199" s="11"/>
      <c r="C199" s="5"/>
    </row>
    <row r="200" spans="1:3" ht="12.5">
      <c r="A200" s="11"/>
      <c r="C200" s="5"/>
    </row>
    <row r="201" spans="1:3" ht="12.5">
      <c r="A201" s="11"/>
      <c r="C201" s="5"/>
    </row>
    <row r="202" spans="1:3" ht="12.5">
      <c r="A202" s="11"/>
      <c r="C202" s="5"/>
    </row>
    <row r="203" spans="1:3" ht="12.5">
      <c r="A203" s="11"/>
      <c r="C203" s="5"/>
    </row>
    <row r="204" spans="1:3" ht="12.5">
      <c r="A204" s="11"/>
      <c r="C204" s="5"/>
    </row>
    <row r="205" spans="1:3" ht="12.5">
      <c r="A205" s="11"/>
      <c r="C205" s="5"/>
    </row>
    <row r="206" spans="1:3" ht="12.5">
      <c r="A206" s="11"/>
      <c r="C206" s="5"/>
    </row>
    <row r="207" spans="1:3" ht="12.5">
      <c r="A207" s="11"/>
      <c r="C207" s="5"/>
    </row>
    <row r="208" spans="1:3" ht="12.5">
      <c r="A208" s="11"/>
      <c r="C208" s="5"/>
    </row>
    <row r="209" spans="1:3" ht="12.5">
      <c r="A209" s="11"/>
      <c r="C209" s="5"/>
    </row>
    <row r="210" spans="1:3" ht="12.5">
      <c r="A210" s="11"/>
      <c r="C210" s="5"/>
    </row>
    <row r="211" spans="1:3" ht="12.5">
      <c r="A211" s="11"/>
      <c r="C211" s="5"/>
    </row>
    <row r="212" spans="1:3" ht="12.5">
      <c r="A212" s="11"/>
      <c r="C212" s="5"/>
    </row>
    <row r="213" spans="1:3" ht="12.5">
      <c r="A213" s="11"/>
      <c r="C213" s="5"/>
    </row>
    <row r="214" spans="1:3" ht="12.5">
      <c r="A214" s="11"/>
      <c r="C214" s="5"/>
    </row>
    <row r="215" spans="1:3" ht="12.5">
      <c r="A215" s="11"/>
      <c r="C215" s="5"/>
    </row>
    <row r="216" spans="1:3" ht="12.5">
      <c r="A216" s="11"/>
      <c r="C216" s="5"/>
    </row>
    <row r="217" spans="1:3" ht="12.5">
      <c r="A217" s="11"/>
      <c r="C217" s="5"/>
    </row>
    <row r="218" spans="1:3" ht="12.5">
      <c r="A218" s="11"/>
      <c r="C218" s="5"/>
    </row>
    <row r="219" spans="1:3" ht="12.5">
      <c r="A219" s="11"/>
      <c r="C219" s="5"/>
    </row>
    <row r="220" spans="1:3" ht="12.5">
      <c r="A220" s="11"/>
      <c r="C220" s="5"/>
    </row>
    <row r="221" spans="1:3" ht="12.5">
      <c r="A221" s="11"/>
      <c r="C221" s="5"/>
    </row>
    <row r="222" spans="1:3" ht="12.5">
      <c r="A222" s="11"/>
      <c r="C222" s="5"/>
    </row>
    <row r="223" spans="1:3" ht="12.5">
      <c r="A223" s="11"/>
      <c r="C223" s="5"/>
    </row>
    <row r="224" spans="1:3" ht="12.5">
      <c r="A224" s="11"/>
      <c r="C224" s="5"/>
    </row>
    <row r="225" spans="1:3" ht="12.5">
      <c r="A225" s="11"/>
      <c r="C225" s="5"/>
    </row>
    <row r="226" spans="1:3" ht="12.5">
      <c r="A226" s="11"/>
      <c r="C226" s="5"/>
    </row>
    <row r="227" spans="1:3" ht="12.5">
      <c r="A227" s="11"/>
      <c r="C227" s="5"/>
    </row>
    <row r="228" spans="1:3" ht="12.5">
      <c r="A228" s="11"/>
      <c r="C228" s="5"/>
    </row>
    <row r="229" spans="1:3" ht="12.5">
      <c r="A229" s="11"/>
      <c r="C229" s="5"/>
    </row>
    <row r="230" spans="1:3" ht="12.5">
      <c r="A230" s="11"/>
      <c r="C230" s="5"/>
    </row>
    <row r="231" spans="1:3" ht="12.5">
      <c r="A231" s="11"/>
      <c r="C231" s="5"/>
    </row>
    <row r="232" spans="1:3" ht="12.5">
      <c r="A232" s="11"/>
      <c r="C232" s="5"/>
    </row>
    <row r="233" spans="1:3" ht="12.5">
      <c r="A233" s="11"/>
      <c r="C233" s="5"/>
    </row>
    <row r="234" spans="1:3" ht="12.5">
      <c r="A234" s="11"/>
      <c r="C234" s="5"/>
    </row>
    <row r="235" spans="1:3" ht="12.5">
      <c r="A235" s="11"/>
      <c r="C235" s="5"/>
    </row>
    <row r="236" spans="1:3" ht="12.5">
      <c r="A236" s="11"/>
      <c r="C236" s="5"/>
    </row>
    <row r="237" spans="1:3" ht="12.5">
      <c r="A237" s="11"/>
      <c r="C237" s="5"/>
    </row>
    <row r="238" spans="1:3" ht="12.5">
      <c r="A238" s="11"/>
      <c r="C238" s="5"/>
    </row>
    <row r="239" spans="1:3" ht="12.5">
      <c r="A239" s="11"/>
      <c r="C239" s="5"/>
    </row>
    <row r="240" spans="1:3" ht="12.5">
      <c r="A240" s="11"/>
      <c r="C240" s="5"/>
    </row>
    <row r="241" spans="1:3" ht="12.5">
      <c r="A241" s="11"/>
      <c r="C241" s="5"/>
    </row>
    <row r="242" spans="1:3" ht="12.5">
      <c r="A242" s="11"/>
      <c r="C242" s="5"/>
    </row>
    <row r="243" spans="1:3" ht="12.5">
      <c r="A243" s="11"/>
      <c r="C243" s="5"/>
    </row>
    <row r="244" spans="1:3" ht="12.5">
      <c r="A244" s="11"/>
      <c r="C244" s="5"/>
    </row>
    <row r="245" spans="1:3" ht="12.5">
      <c r="A245" s="11"/>
      <c r="C245" s="5"/>
    </row>
    <row r="246" spans="1:3" ht="12.5">
      <c r="A246" s="11"/>
      <c r="C246" s="5"/>
    </row>
    <row r="247" spans="1:3" ht="12.5">
      <c r="A247" s="11"/>
      <c r="C247" s="5"/>
    </row>
    <row r="248" spans="1:3" ht="12.5">
      <c r="A248" s="11"/>
      <c r="C248" s="5"/>
    </row>
    <row r="249" spans="1:3" ht="12.5">
      <c r="A249" s="11"/>
      <c r="C249" s="5"/>
    </row>
    <row r="250" spans="1:3" ht="12.5">
      <c r="A250" s="11"/>
      <c r="C250" s="5"/>
    </row>
    <row r="251" spans="1:3" ht="12.5">
      <c r="A251" s="11"/>
      <c r="C251" s="5"/>
    </row>
    <row r="252" spans="1:3" ht="12.5">
      <c r="A252" s="11"/>
      <c r="C252" s="5"/>
    </row>
    <row r="253" spans="1:3" ht="12.5">
      <c r="A253" s="11"/>
      <c r="C253" s="5"/>
    </row>
    <row r="254" spans="1:3" ht="12.5">
      <c r="A254" s="11"/>
      <c r="C254" s="5"/>
    </row>
    <row r="255" spans="1:3" ht="12.5">
      <c r="A255" s="11"/>
      <c r="C255" s="5"/>
    </row>
    <row r="256" spans="1:3" ht="12.5">
      <c r="A256" s="11"/>
      <c r="C256" s="5"/>
    </row>
    <row r="257" spans="1:3" ht="12.5">
      <c r="A257" s="11"/>
      <c r="C257" s="5"/>
    </row>
    <row r="258" spans="1:3" ht="12.5">
      <c r="A258" s="11"/>
      <c r="C258" s="5"/>
    </row>
    <row r="259" spans="1:3" ht="12.5">
      <c r="A259" s="11"/>
      <c r="C259" s="5"/>
    </row>
    <row r="260" spans="1:3" ht="12.5">
      <c r="A260" s="11"/>
      <c r="C260" s="5"/>
    </row>
    <row r="261" spans="1:3" ht="12.5">
      <c r="A261" s="11"/>
      <c r="C261" s="5"/>
    </row>
    <row r="262" spans="1:3" ht="12.5">
      <c r="A262" s="11"/>
      <c r="C262" s="5"/>
    </row>
    <row r="263" spans="1:3" ht="12.5">
      <c r="A263" s="11"/>
      <c r="C263" s="5"/>
    </row>
    <row r="264" spans="1:3" ht="12.5">
      <c r="A264" s="11"/>
      <c r="C264" s="5"/>
    </row>
    <row r="265" spans="1:3" ht="12.5">
      <c r="A265" s="11"/>
      <c r="C265" s="5"/>
    </row>
    <row r="266" spans="1:3" ht="12.5">
      <c r="A266" s="11"/>
      <c r="C266" s="5"/>
    </row>
    <row r="267" spans="1:3" ht="12.5">
      <c r="A267" s="11"/>
      <c r="C267" s="5"/>
    </row>
    <row r="268" spans="1:3" ht="12.5">
      <c r="A268" s="11"/>
      <c r="C268" s="5"/>
    </row>
    <row r="269" spans="1:3" ht="12.5">
      <c r="A269" s="11"/>
      <c r="C269" s="5"/>
    </row>
    <row r="270" spans="1:3" ht="12.5">
      <c r="A270" s="11"/>
      <c r="C270" s="5"/>
    </row>
    <row r="271" spans="1:3" ht="12.5">
      <c r="A271" s="11"/>
      <c r="C271" s="5"/>
    </row>
    <row r="272" spans="1:3" ht="12.5">
      <c r="A272" s="11"/>
      <c r="C272" s="5"/>
    </row>
    <row r="273" spans="1:3" ht="12.5">
      <c r="A273" s="11"/>
      <c r="C273" s="5"/>
    </row>
    <row r="274" spans="1:3" ht="12.5">
      <c r="A274" s="11"/>
      <c r="C274" s="5"/>
    </row>
    <row r="275" spans="1:3" ht="12.5">
      <c r="A275" s="11"/>
      <c r="C275" s="5"/>
    </row>
    <row r="276" spans="1:3" ht="12.5">
      <c r="A276" s="11"/>
      <c r="C276" s="5"/>
    </row>
    <row r="277" spans="1:3" ht="12.5">
      <c r="A277" s="11"/>
      <c r="C277" s="5"/>
    </row>
    <row r="278" spans="1:3" ht="12.5">
      <c r="A278" s="11"/>
      <c r="C278" s="5"/>
    </row>
    <row r="279" spans="1:3" ht="12.5">
      <c r="A279" s="11"/>
      <c r="C279" s="5"/>
    </row>
    <row r="280" spans="1:3" ht="12.5">
      <c r="A280" s="11"/>
      <c r="C280" s="5"/>
    </row>
    <row r="281" spans="1:3" ht="12.5">
      <c r="A281" s="11"/>
      <c r="C281" s="5"/>
    </row>
    <row r="282" spans="1:3" ht="12.5">
      <c r="A282" s="11"/>
      <c r="C282" s="5"/>
    </row>
    <row r="283" spans="1:3" ht="12.5">
      <c r="A283" s="11"/>
      <c r="C283" s="5"/>
    </row>
    <row r="284" spans="1:3" ht="12.5">
      <c r="A284" s="11"/>
      <c r="C284" s="5"/>
    </row>
    <row r="285" spans="1:3" ht="12.5">
      <c r="A285" s="11"/>
      <c r="C285" s="5"/>
    </row>
    <row r="286" spans="1:3" ht="12.5">
      <c r="A286" s="11"/>
      <c r="C286" s="5"/>
    </row>
    <row r="287" spans="1:3" ht="12.5">
      <c r="A287" s="11"/>
      <c r="C287" s="5"/>
    </row>
    <row r="288" spans="1:3" ht="12.5">
      <c r="A288" s="11"/>
      <c r="C288" s="5"/>
    </row>
    <row r="289" spans="1:3" ht="12.5">
      <c r="A289" s="11"/>
      <c r="C289" s="5"/>
    </row>
    <row r="290" spans="1:3" ht="12.5">
      <c r="A290" s="11"/>
      <c r="C290" s="5"/>
    </row>
    <row r="291" spans="1:3" ht="12.5">
      <c r="A291" s="11"/>
      <c r="C291" s="5"/>
    </row>
    <row r="292" spans="1:3" ht="12.5">
      <c r="A292" s="11"/>
      <c r="C292" s="5"/>
    </row>
    <row r="293" spans="1:3" ht="12.5">
      <c r="A293" s="11"/>
      <c r="C293" s="5"/>
    </row>
    <row r="294" spans="1:3" ht="12.5">
      <c r="A294" s="11"/>
      <c r="C294" s="5"/>
    </row>
    <row r="295" spans="1:3" ht="12.5">
      <c r="A295" s="11"/>
      <c r="C295" s="5"/>
    </row>
    <row r="296" spans="1:3" ht="12.5">
      <c r="A296" s="11"/>
      <c r="C296" s="5"/>
    </row>
    <row r="297" spans="1:3" ht="12.5">
      <c r="A297" s="11"/>
      <c r="C297" s="5"/>
    </row>
    <row r="298" spans="1:3" ht="12.5">
      <c r="A298" s="11"/>
      <c r="C298" s="5"/>
    </row>
    <row r="299" spans="1:3" ht="12.5">
      <c r="A299" s="11"/>
      <c r="C299" s="5"/>
    </row>
    <row r="300" spans="1:3" ht="12.5">
      <c r="A300" s="11"/>
      <c r="C300" s="5"/>
    </row>
    <row r="301" spans="1:3" ht="12.5">
      <c r="A301" s="11"/>
      <c r="C301" s="5"/>
    </row>
    <row r="302" spans="1:3" ht="12.5">
      <c r="A302" s="11"/>
      <c r="C302" s="5"/>
    </row>
    <row r="303" spans="1:3" ht="12.5">
      <c r="A303" s="11"/>
      <c r="C303" s="5"/>
    </row>
    <row r="304" spans="1:3" ht="12.5">
      <c r="A304" s="11"/>
      <c r="C304" s="5"/>
    </row>
    <row r="305" spans="1:3" ht="12.5">
      <c r="A305" s="11"/>
      <c r="C305" s="5"/>
    </row>
    <row r="306" spans="1:3" ht="12.5">
      <c r="A306" s="11"/>
      <c r="C306" s="5"/>
    </row>
    <row r="307" spans="1:3" ht="12.5">
      <c r="A307" s="11"/>
      <c r="C307" s="5"/>
    </row>
    <row r="308" spans="1:3" ht="12.5">
      <c r="A308" s="11"/>
      <c r="C308" s="5"/>
    </row>
    <row r="309" spans="1:3" ht="12.5">
      <c r="A309" s="11"/>
      <c r="C309" s="5"/>
    </row>
    <row r="310" spans="1:3" ht="12.5">
      <c r="A310" s="11"/>
      <c r="C310" s="5"/>
    </row>
    <row r="311" spans="1:3" ht="12.5">
      <c r="A311" s="11"/>
      <c r="C311" s="5"/>
    </row>
    <row r="312" spans="1:3" ht="12.5">
      <c r="A312" s="11"/>
      <c r="C312" s="5"/>
    </row>
    <row r="313" spans="1:3" ht="12.5">
      <c r="A313" s="11"/>
      <c r="C313" s="5"/>
    </row>
    <row r="314" spans="1:3" ht="12.5">
      <c r="A314" s="11"/>
      <c r="C314" s="5"/>
    </row>
    <row r="315" spans="1:3" ht="12.5">
      <c r="A315" s="11"/>
      <c r="C315" s="5"/>
    </row>
    <row r="316" spans="1:3" ht="12.5">
      <c r="A316" s="11"/>
      <c r="C316" s="5"/>
    </row>
    <row r="317" spans="1:3" ht="12.5">
      <c r="A317" s="11"/>
      <c r="C317" s="5"/>
    </row>
    <row r="318" spans="1:3" ht="12.5">
      <c r="A318" s="11"/>
      <c r="C318" s="5"/>
    </row>
    <row r="319" spans="1:3" ht="12.5">
      <c r="A319" s="11"/>
      <c r="C319" s="5"/>
    </row>
    <row r="320" spans="1:3" ht="12.5">
      <c r="A320" s="11"/>
      <c r="C320" s="5"/>
    </row>
    <row r="321" spans="1:3" ht="12.5">
      <c r="A321" s="11"/>
      <c r="C321" s="5"/>
    </row>
    <row r="322" spans="1:3" ht="12.5">
      <c r="A322" s="11"/>
      <c r="C322" s="5"/>
    </row>
    <row r="323" spans="1:3" ht="12.5">
      <c r="A323" s="11"/>
      <c r="C323" s="5"/>
    </row>
    <row r="324" spans="1:3" ht="12.5">
      <c r="A324" s="11"/>
      <c r="C324" s="5"/>
    </row>
    <row r="325" spans="1:3" ht="12.5">
      <c r="A325" s="11"/>
      <c r="C325" s="5"/>
    </row>
    <row r="326" spans="1:3" ht="12.5">
      <c r="A326" s="11"/>
      <c r="C326" s="5"/>
    </row>
    <row r="327" spans="1:3" ht="12.5">
      <c r="A327" s="11"/>
      <c r="C327" s="5"/>
    </row>
    <row r="328" spans="1:3" ht="12.5">
      <c r="A328" s="11"/>
      <c r="C328" s="5"/>
    </row>
    <row r="329" spans="1:3" ht="12.5">
      <c r="A329" s="11"/>
      <c r="C329" s="5"/>
    </row>
    <row r="330" spans="1:3" ht="12.5">
      <c r="A330" s="11"/>
      <c r="C330" s="5"/>
    </row>
    <row r="331" spans="1:3" ht="12.5">
      <c r="A331" s="11"/>
      <c r="C331" s="5"/>
    </row>
    <row r="332" spans="1:3" ht="12.5">
      <c r="A332" s="11"/>
      <c r="C332" s="5"/>
    </row>
    <row r="333" spans="1:3" ht="12.5">
      <c r="A333" s="11"/>
      <c r="C333" s="5"/>
    </row>
    <row r="334" spans="1:3" ht="12.5">
      <c r="A334" s="11"/>
      <c r="C334" s="5"/>
    </row>
    <row r="335" spans="1:3" ht="12.5">
      <c r="A335" s="11"/>
      <c r="C335" s="5"/>
    </row>
    <row r="336" spans="1:3" ht="12.5">
      <c r="A336" s="11"/>
      <c r="C336" s="5"/>
    </row>
    <row r="337" spans="1:3" ht="12.5">
      <c r="A337" s="11"/>
      <c r="C337" s="5"/>
    </row>
    <row r="338" spans="1:3" ht="12.5">
      <c r="A338" s="11"/>
      <c r="C338" s="5"/>
    </row>
    <row r="339" spans="1:3" ht="12.5">
      <c r="A339" s="11"/>
      <c r="C339" s="5"/>
    </row>
    <row r="340" spans="1:3" ht="12.5">
      <c r="A340" s="11"/>
      <c r="C340" s="5"/>
    </row>
    <row r="341" spans="1:3" ht="12.5">
      <c r="A341" s="11"/>
      <c r="C341" s="5"/>
    </row>
    <row r="342" spans="1:3" ht="12.5">
      <c r="A342" s="11"/>
      <c r="C342" s="5"/>
    </row>
    <row r="343" spans="1:3" ht="12.5">
      <c r="A343" s="11"/>
      <c r="C343" s="5"/>
    </row>
    <row r="344" spans="1:3" ht="12.5">
      <c r="A344" s="11"/>
      <c r="C344" s="5"/>
    </row>
    <row r="345" spans="1:3" ht="12.5">
      <c r="A345" s="11"/>
      <c r="C345" s="5"/>
    </row>
    <row r="346" spans="1:3" ht="12.5">
      <c r="A346" s="11"/>
      <c r="C346" s="5"/>
    </row>
    <row r="347" spans="1:3" ht="12.5">
      <c r="A347" s="11"/>
      <c r="C347" s="5"/>
    </row>
    <row r="348" spans="1:3" ht="12.5">
      <c r="A348" s="11"/>
      <c r="C348" s="5"/>
    </row>
    <row r="349" spans="1:3" ht="12.5">
      <c r="A349" s="11"/>
      <c r="C349" s="5"/>
    </row>
    <row r="350" spans="1:3" ht="12.5">
      <c r="A350" s="11"/>
      <c r="C350" s="5"/>
    </row>
    <row r="351" spans="1:3" ht="12.5">
      <c r="A351" s="11"/>
      <c r="C351" s="5"/>
    </row>
    <row r="352" spans="1:3" ht="12.5">
      <c r="A352" s="11"/>
      <c r="C352" s="5"/>
    </row>
    <row r="353" spans="1:3" ht="12.5">
      <c r="A353" s="11"/>
      <c r="C353" s="5"/>
    </row>
    <row r="354" spans="1:3" ht="12.5">
      <c r="A354" s="11"/>
      <c r="C354" s="5"/>
    </row>
    <row r="355" spans="1:3" ht="12.5">
      <c r="A355" s="11"/>
      <c r="C355" s="5"/>
    </row>
    <row r="356" spans="1:3" ht="12.5">
      <c r="A356" s="11"/>
      <c r="C356" s="5"/>
    </row>
    <row r="357" spans="1:3" ht="12.5">
      <c r="A357" s="11"/>
      <c r="C357" s="5"/>
    </row>
    <row r="358" spans="1:3" ht="12.5">
      <c r="A358" s="11"/>
      <c r="C358" s="5"/>
    </row>
    <row r="359" spans="1:3" ht="12.5">
      <c r="A359" s="11"/>
      <c r="C359" s="5"/>
    </row>
    <row r="360" spans="1:3" ht="12.5">
      <c r="A360" s="11"/>
      <c r="C360" s="5"/>
    </row>
    <row r="361" spans="1:3" ht="12.5">
      <c r="A361" s="11"/>
      <c r="C361" s="5"/>
    </row>
    <row r="362" spans="1:3" ht="12.5">
      <c r="A362" s="11"/>
      <c r="C362" s="5"/>
    </row>
    <row r="363" spans="1:3" ht="12.5">
      <c r="A363" s="11"/>
      <c r="C363" s="5"/>
    </row>
    <row r="364" spans="1:3" ht="12.5">
      <c r="A364" s="11"/>
      <c r="C364" s="5"/>
    </row>
    <row r="365" spans="1:3" ht="12.5">
      <c r="A365" s="11"/>
      <c r="C365" s="5"/>
    </row>
    <row r="366" spans="1:3" ht="12.5">
      <c r="A366" s="11"/>
      <c r="C366" s="5"/>
    </row>
    <row r="367" spans="1:3" ht="12.5">
      <c r="A367" s="11"/>
      <c r="C367" s="5"/>
    </row>
    <row r="368" spans="1:3" ht="12.5">
      <c r="A368" s="11"/>
      <c r="C368" s="5"/>
    </row>
    <row r="369" spans="1:3" ht="12.5">
      <c r="A369" s="11"/>
      <c r="C369" s="5"/>
    </row>
    <row r="370" spans="1:3" ht="12.5">
      <c r="A370" s="11"/>
      <c r="C370" s="5"/>
    </row>
    <row r="371" spans="1:3" ht="12.5">
      <c r="A371" s="11"/>
      <c r="C371" s="5"/>
    </row>
    <row r="372" spans="1:3" ht="12.5">
      <c r="A372" s="11"/>
      <c r="C372" s="5"/>
    </row>
    <row r="373" spans="1:3" ht="12.5">
      <c r="A373" s="11"/>
      <c r="C373" s="5"/>
    </row>
    <row r="374" spans="1:3" ht="12.5">
      <c r="A374" s="11"/>
      <c r="C374" s="5"/>
    </row>
    <row r="375" spans="1:3" ht="12.5">
      <c r="A375" s="11"/>
      <c r="C375" s="5"/>
    </row>
    <row r="376" spans="1:3" ht="12.5">
      <c r="A376" s="11"/>
      <c r="C376" s="5"/>
    </row>
    <row r="377" spans="1:3" ht="12.5">
      <c r="A377" s="11"/>
      <c r="C377" s="5"/>
    </row>
    <row r="378" spans="1:3" ht="12.5">
      <c r="A378" s="11"/>
      <c r="C378" s="5"/>
    </row>
    <row r="379" spans="1:3" ht="12.5">
      <c r="A379" s="11"/>
      <c r="C379" s="5"/>
    </row>
    <row r="380" spans="1:3" ht="12.5">
      <c r="A380" s="11"/>
      <c r="C380" s="5"/>
    </row>
    <row r="381" spans="1:3" ht="12.5">
      <c r="A381" s="11"/>
      <c r="C381" s="5"/>
    </row>
    <row r="382" spans="1:3" ht="12.5">
      <c r="A382" s="11"/>
      <c r="C382" s="5"/>
    </row>
    <row r="383" spans="1:3" ht="12.5">
      <c r="A383" s="11"/>
      <c r="C383" s="5"/>
    </row>
    <row r="384" spans="1:3" ht="12.5">
      <c r="A384" s="11"/>
      <c r="C384" s="5"/>
    </row>
    <row r="385" spans="1:3" ht="12.5">
      <c r="A385" s="11"/>
      <c r="C385" s="5"/>
    </row>
    <row r="386" spans="1:3" ht="12.5">
      <c r="A386" s="11"/>
      <c r="C386" s="5"/>
    </row>
    <row r="387" spans="1:3" ht="12.5">
      <c r="A387" s="11"/>
      <c r="C387" s="5"/>
    </row>
    <row r="388" spans="1:3" ht="12.5">
      <c r="A388" s="11"/>
      <c r="C388" s="5"/>
    </row>
    <row r="389" spans="1:3" ht="12.5">
      <c r="A389" s="11"/>
      <c r="C389" s="5"/>
    </row>
    <row r="390" spans="1:3" ht="12.5">
      <c r="A390" s="11"/>
      <c r="C390" s="5"/>
    </row>
    <row r="391" spans="1:3" ht="12.5">
      <c r="A391" s="11"/>
      <c r="C391" s="5"/>
    </row>
    <row r="392" spans="1:3" ht="12.5">
      <c r="A392" s="11"/>
      <c r="C392" s="5"/>
    </row>
    <row r="393" spans="1:3" ht="12.5">
      <c r="A393" s="11"/>
      <c r="C393" s="5"/>
    </row>
    <row r="394" spans="1:3" ht="12.5">
      <c r="A394" s="11"/>
      <c r="C394" s="5"/>
    </row>
    <row r="395" spans="1:3" ht="12.5">
      <c r="A395" s="11"/>
      <c r="C395" s="5"/>
    </row>
    <row r="396" spans="1:3" ht="12.5">
      <c r="A396" s="11"/>
      <c r="C396" s="5"/>
    </row>
    <row r="397" spans="1:3" ht="12.5">
      <c r="A397" s="11"/>
      <c r="C397" s="5"/>
    </row>
    <row r="398" spans="1:3" ht="12.5">
      <c r="A398" s="11"/>
      <c r="C398" s="5"/>
    </row>
    <row r="399" spans="1:3" ht="12.5">
      <c r="A399" s="11"/>
      <c r="C399" s="5"/>
    </row>
    <row r="400" spans="1:3" ht="12.5">
      <c r="A400" s="11"/>
      <c r="C400" s="5"/>
    </row>
    <row r="401" spans="1:3" ht="12.5">
      <c r="A401" s="11"/>
      <c r="C401" s="5"/>
    </row>
    <row r="402" spans="1:3" ht="12.5">
      <c r="A402" s="11"/>
      <c r="C402" s="5"/>
    </row>
    <row r="403" spans="1:3" ht="12.5">
      <c r="A403" s="11"/>
      <c r="C403" s="5"/>
    </row>
    <row r="404" spans="1:3" ht="12.5">
      <c r="A404" s="11"/>
      <c r="C404" s="5"/>
    </row>
    <row r="405" spans="1:3" ht="12.5">
      <c r="A405" s="11"/>
      <c r="C405" s="5"/>
    </row>
    <row r="406" spans="1:3" ht="12.5">
      <c r="A406" s="11"/>
      <c r="C406" s="5"/>
    </row>
    <row r="407" spans="1:3" ht="12.5">
      <c r="A407" s="11"/>
      <c r="C407" s="5"/>
    </row>
    <row r="408" spans="1:3" ht="12.5">
      <c r="A408" s="11"/>
      <c r="C408" s="5"/>
    </row>
    <row r="409" spans="1:3" ht="12.5">
      <c r="A409" s="11"/>
      <c r="C409" s="5"/>
    </row>
    <row r="410" spans="1:3" ht="12.5">
      <c r="A410" s="11"/>
      <c r="C410" s="5"/>
    </row>
    <row r="411" spans="1:3" ht="12.5">
      <c r="A411" s="11"/>
      <c r="C411" s="5"/>
    </row>
    <row r="412" spans="1:3" ht="12.5">
      <c r="A412" s="11"/>
      <c r="C412" s="5"/>
    </row>
    <row r="413" spans="1:3" ht="12.5">
      <c r="A413" s="11"/>
      <c r="C413" s="5"/>
    </row>
    <row r="414" spans="1:3" ht="12.5">
      <c r="A414" s="11"/>
      <c r="C414" s="5"/>
    </row>
    <row r="415" spans="1:3" ht="12.5">
      <c r="A415" s="11"/>
      <c r="C415" s="5"/>
    </row>
    <row r="416" spans="1:3" ht="12.5">
      <c r="A416" s="11"/>
      <c r="C416" s="5"/>
    </row>
    <row r="417" spans="1:3" ht="12.5">
      <c r="A417" s="11"/>
      <c r="C417" s="5"/>
    </row>
    <row r="418" spans="1:3" ht="12.5">
      <c r="A418" s="11"/>
      <c r="C418" s="5"/>
    </row>
    <row r="419" spans="1:3" ht="12.5">
      <c r="A419" s="11"/>
      <c r="C419" s="5"/>
    </row>
    <row r="420" spans="1:3" ht="12.5">
      <c r="A420" s="11"/>
      <c r="C420" s="5"/>
    </row>
    <row r="421" spans="1:3" ht="12.5">
      <c r="A421" s="11"/>
      <c r="C421" s="5"/>
    </row>
    <row r="422" spans="1:3" ht="12.5">
      <c r="A422" s="11"/>
      <c r="C422" s="5"/>
    </row>
    <row r="423" spans="1:3" ht="12.5">
      <c r="A423" s="11"/>
      <c r="C423" s="5"/>
    </row>
    <row r="424" spans="1:3" ht="12.5">
      <c r="A424" s="11"/>
      <c r="C424" s="5"/>
    </row>
    <row r="425" spans="1:3" ht="12.5">
      <c r="A425" s="11"/>
      <c r="C425" s="5"/>
    </row>
    <row r="426" spans="1:3" ht="12.5">
      <c r="A426" s="11"/>
      <c r="C426" s="5"/>
    </row>
    <row r="427" spans="1:3" ht="12.5">
      <c r="A427" s="11"/>
      <c r="C427" s="5"/>
    </row>
    <row r="428" spans="1:3" ht="12.5">
      <c r="A428" s="11"/>
      <c r="C428" s="5"/>
    </row>
    <row r="429" spans="1:3" ht="12.5">
      <c r="A429" s="11"/>
      <c r="C429" s="5"/>
    </row>
    <row r="430" spans="1:3" ht="12.5">
      <c r="A430" s="11"/>
      <c r="C430" s="5"/>
    </row>
    <row r="431" spans="1:3" ht="12.5">
      <c r="A431" s="11"/>
      <c r="C431" s="5"/>
    </row>
    <row r="432" spans="1:3" ht="12.5">
      <c r="A432" s="11"/>
      <c r="C432" s="5"/>
    </row>
    <row r="433" spans="1:3" ht="12.5">
      <c r="A433" s="11"/>
      <c r="C433" s="5"/>
    </row>
    <row r="434" spans="1:3" ht="12.5">
      <c r="A434" s="11"/>
      <c r="C434" s="5"/>
    </row>
    <row r="435" spans="1:3" ht="12.5">
      <c r="A435" s="11"/>
      <c r="C435" s="5"/>
    </row>
    <row r="436" spans="1:3" ht="12.5">
      <c r="A436" s="11"/>
      <c r="C436" s="5"/>
    </row>
    <row r="437" spans="1:3" ht="12.5">
      <c r="A437" s="11"/>
      <c r="C437" s="5"/>
    </row>
    <row r="438" spans="1:3" ht="12.5">
      <c r="A438" s="11"/>
      <c r="C438" s="5"/>
    </row>
    <row r="439" spans="1:3" ht="12.5">
      <c r="A439" s="11"/>
      <c r="C439" s="5"/>
    </row>
    <row r="440" spans="1:3" ht="12.5">
      <c r="A440" s="11"/>
      <c r="C440" s="5"/>
    </row>
    <row r="441" spans="1:3" ht="12.5">
      <c r="A441" s="11"/>
      <c r="C441" s="5"/>
    </row>
    <row r="442" spans="1:3" ht="12.5">
      <c r="A442" s="11"/>
      <c r="C442" s="5"/>
    </row>
    <row r="443" spans="1:3" ht="12.5">
      <c r="A443" s="11"/>
      <c r="C443" s="5"/>
    </row>
    <row r="444" spans="1:3" ht="12.5">
      <c r="A444" s="11"/>
      <c r="C444" s="5"/>
    </row>
    <row r="445" spans="1:3" ht="12.5">
      <c r="A445" s="11"/>
      <c r="C445" s="5"/>
    </row>
    <row r="446" spans="1:3" ht="12.5">
      <c r="A446" s="11"/>
      <c r="C446" s="5"/>
    </row>
    <row r="447" spans="1:3" ht="12.5">
      <c r="A447" s="11"/>
      <c r="C447" s="5"/>
    </row>
    <row r="448" spans="1:3" ht="12.5">
      <c r="A448" s="11"/>
      <c r="C448" s="5"/>
    </row>
    <row r="449" spans="1:3" ht="12.5">
      <c r="A449" s="11"/>
      <c r="C449" s="5"/>
    </row>
    <row r="450" spans="1:3" ht="12.5">
      <c r="A450" s="11"/>
      <c r="C450" s="5"/>
    </row>
    <row r="451" spans="1:3" ht="12.5">
      <c r="A451" s="11"/>
      <c r="C451" s="5"/>
    </row>
    <row r="452" spans="1:3" ht="12.5">
      <c r="A452" s="11"/>
      <c r="C452" s="5"/>
    </row>
    <row r="453" spans="1:3" ht="12.5">
      <c r="A453" s="11"/>
      <c r="C453" s="5"/>
    </row>
    <row r="454" spans="1:3" ht="12.5">
      <c r="A454" s="11"/>
      <c r="C454" s="5"/>
    </row>
    <row r="455" spans="1:3" ht="12.5">
      <c r="A455" s="11"/>
      <c r="C455" s="5"/>
    </row>
    <row r="456" spans="1:3" ht="12.5">
      <c r="A456" s="11"/>
      <c r="C456" s="5"/>
    </row>
    <row r="457" spans="1:3" ht="12.5">
      <c r="A457" s="11"/>
      <c r="C457" s="5"/>
    </row>
    <row r="458" spans="1:3" ht="12.5">
      <c r="A458" s="11"/>
      <c r="C458" s="5"/>
    </row>
    <row r="459" spans="1:3" ht="12.5">
      <c r="A459" s="11"/>
      <c r="C459" s="5"/>
    </row>
    <row r="460" spans="1:3" ht="12.5">
      <c r="A460" s="11"/>
      <c r="C460" s="5"/>
    </row>
    <row r="461" spans="1:3" ht="12.5">
      <c r="A461" s="11"/>
      <c r="C461" s="5"/>
    </row>
    <row r="462" spans="1:3" ht="12.5">
      <c r="A462" s="11"/>
      <c r="C462" s="5"/>
    </row>
    <row r="463" spans="1:3" ht="12.5">
      <c r="A463" s="11"/>
      <c r="C463" s="5"/>
    </row>
    <row r="464" spans="1:3" ht="12.5">
      <c r="A464" s="11"/>
      <c r="C464" s="5"/>
    </row>
    <row r="465" spans="1:3" ht="12.5">
      <c r="A465" s="11"/>
      <c r="C465" s="5"/>
    </row>
    <row r="466" spans="1:3" ht="12.5">
      <c r="A466" s="11"/>
      <c r="C466" s="5"/>
    </row>
    <row r="467" spans="1:3" ht="12.5">
      <c r="A467" s="11"/>
      <c r="C467" s="5"/>
    </row>
    <row r="468" spans="1:3" ht="12.5">
      <c r="A468" s="11"/>
      <c r="C468" s="5"/>
    </row>
    <row r="469" spans="1:3" ht="12.5">
      <c r="A469" s="11"/>
      <c r="C469" s="5"/>
    </row>
    <row r="470" spans="1:3" ht="12.5">
      <c r="A470" s="11"/>
      <c r="C470" s="5"/>
    </row>
    <row r="471" spans="1:3" ht="12.5">
      <c r="A471" s="11"/>
      <c r="C471" s="5"/>
    </row>
    <row r="472" spans="1:3" ht="12.5">
      <c r="A472" s="11"/>
      <c r="C472" s="5"/>
    </row>
    <row r="473" spans="1:3" ht="12.5">
      <c r="A473" s="11"/>
      <c r="C473" s="5"/>
    </row>
    <row r="474" spans="1:3" ht="12.5">
      <c r="A474" s="11"/>
      <c r="C474" s="5"/>
    </row>
    <row r="475" spans="1:3" ht="12.5">
      <c r="A475" s="11"/>
      <c r="C475" s="5"/>
    </row>
    <row r="476" spans="1:3" ht="12.5">
      <c r="A476" s="11"/>
      <c r="C476" s="5"/>
    </row>
    <row r="477" spans="1:3" ht="12.5">
      <c r="A477" s="11"/>
      <c r="C477" s="5"/>
    </row>
    <row r="478" spans="1:3" ht="12.5">
      <c r="A478" s="11"/>
      <c r="C478" s="5"/>
    </row>
    <row r="479" spans="1:3" ht="12.5">
      <c r="A479" s="11"/>
      <c r="C479" s="5"/>
    </row>
    <row r="480" spans="1:3" ht="12.5">
      <c r="A480" s="11"/>
      <c r="C480" s="5"/>
    </row>
    <row r="481" spans="1:3" ht="12.5">
      <c r="A481" s="11"/>
      <c r="C481" s="5"/>
    </row>
    <row r="482" spans="1:3" ht="12.5">
      <c r="A482" s="11"/>
      <c r="C482" s="5"/>
    </row>
    <row r="483" spans="1:3" ht="12.5">
      <c r="A483" s="11"/>
      <c r="C483" s="5"/>
    </row>
    <row r="484" spans="1:3" ht="12.5">
      <c r="A484" s="11"/>
      <c r="C484" s="5"/>
    </row>
    <row r="485" spans="1:3" ht="12.5">
      <c r="A485" s="11"/>
      <c r="C485" s="5"/>
    </row>
    <row r="486" spans="1:3" ht="12.5">
      <c r="A486" s="11"/>
      <c r="C486" s="5"/>
    </row>
    <row r="487" spans="1:3" ht="12.5">
      <c r="A487" s="11"/>
      <c r="C487" s="5"/>
    </row>
    <row r="488" spans="1:3" ht="12.5">
      <c r="A488" s="11"/>
      <c r="C488" s="5"/>
    </row>
    <row r="489" spans="1:3" ht="12.5">
      <c r="A489" s="11"/>
      <c r="C489" s="5"/>
    </row>
    <row r="490" spans="1:3" ht="12.5">
      <c r="A490" s="11"/>
      <c r="C490" s="5"/>
    </row>
    <row r="491" spans="1:3" ht="12.5">
      <c r="A491" s="11"/>
      <c r="C491" s="5"/>
    </row>
    <row r="492" spans="1:3" ht="12.5">
      <c r="A492" s="11"/>
      <c r="C492" s="5"/>
    </row>
    <row r="493" spans="1:3" ht="12.5">
      <c r="A493" s="11"/>
      <c r="C493" s="5"/>
    </row>
    <row r="494" spans="1:3" ht="12.5">
      <c r="A494" s="11"/>
      <c r="C494" s="5"/>
    </row>
    <row r="495" spans="1:3" ht="12.5">
      <c r="A495" s="11"/>
      <c r="C495" s="5"/>
    </row>
    <row r="496" spans="1:3" ht="12.5">
      <c r="A496" s="11"/>
      <c r="C496" s="5"/>
    </row>
    <row r="497" spans="1:3" ht="12.5">
      <c r="A497" s="11"/>
      <c r="C497" s="5"/>
    </row>
    <row r="498" spans="1:3" ht="12.5">
      <c r="A498" s="11"/>
      <c r="C498" s="5"/>
    </row>
    <row r="499" spans="1:3" ht="12.5">
      <c r="A499" s="11"/>
      <c r="C499" s="5"/>
    </row>
    <row r="500" spans="1:3" ht="12.5">
      <c r="A500" s="11"/>
      <c r="C500" s="5"/>
    </row>
    <row r="501" spans="1:3" ht="12.5">
      <c r="A501" s="11"/>
      <c r="C501" s="5"/>
    </row>
    <row r="502" spans="1:3" ht="12.5">
      <c r="A502" s="11"/>
      <c r="C502" s="5"/>
    </row>
    <row r="503" spans="1:3" ht="12.5">
      <c r="A503" s="11"/>
      <c r="C503" s="5"/>
    </row>
    <row r="504" spans="1:3" ht="12.5">
      <c r="A504" s="11"/>
      <c r="C504" s="5"/>
    </row>
    <row r="505" spans="1:3" ht="12.5">
      <c r="A505" s="11"/>
      <c r="C505" s="5"/>
    </row>
    <row r="506" spans="1:3" ht="12.5">
      <c r="A506" s="11"/>
      <c r="C506" s="5"/>
    </row>
    <row r="507" spans="1:3" ht="12.5">
      <c r="A507" s="11"/>
      <c r="C507" s="5"/>
    </row>
    <row r="508" spans="1:3" ht="12.5">
      <c r="A508" s="11"/>
      <c r="C508" s="5"/>
    </row>
    <row r="509" spans="1:3" ht="12.5">
      <c r="A509" s="11"/>
      <c r="C509" s="5"/>
    </row>
    <row r="510" spans="1:3" ht="12.5">
      <c r="A510" s="11"/>
      <c r="C510" s="5"/>
    </row>
    <row r="511" spans="1:3" ht="12.5">
      <c r="A511" s="11"/>
      <c r="C511" s="5"/>
    </row>
    <row r="512" spans="1:3" ht="12.5">
      <c r="A512" s="11"/>
      <c r="C512" s="5"/>
    </row>
    <row r="513" spans="1:3" ht="12.5">
      <c r="A513" s="11"/>
      <c r="C513" s="5"/>
    </row>
    <row r="514" spans="1:3" ht="12.5">
      <c r="A514" s="11"/>
      <c r="C514" s="5"/>
    </row>
    <row r="515" spans="1:3" ht="12.5">
      <c r="A515" s="11"/>
      <c r="C515" s="5"/>
    </row>
    <row r="516" spans="1:3" ht="12.5">
      <c r="A516" s="11"/>
      <c r="C516" s="5"/>
    </row>
    <row r="517" spans="1:3" ht="12.5">
      <c r="A517" s="11"/>
      <c r="C517" s="5"/>
    </row>
    <row r="518" spans="1:3" ht="12.5">
      <c r="A518" s="11"/>
      <c r="C518" s="5"/>
    </row>
    <row r="519" spans="1:3" ht="12.5">
      <c r="A519" s="11"/>
      <c r="C519" s="5"/>
    </row>
    <row r="520" spans="1:3" ht="12.5">
      <c r="A520" s="11"/>
      <c r="C520" s="5"/>
    </row>
    <row r="521" spans="1:3" ht="12.5">
      <c r="A521" s="11"/>
      <c r="C521" s="5"/>
    </row>
    <row r="522" spans="1:3" ht="12.5">
      <c r="A522" s="11"/>
      <c r="C522" s="5"/>
    </row>
    <row r="523" spans="1:3" ht="12.5">
      <c r="A523" s="11"/>
      <c r="C523" s="5"/>
    </row>
    <row r="524" spans="1:3" ht="12.5">
      <c r="A524" s="11"/>
      <c r="C524" s="5"/>
    </row>
    <row r="525" spans="1:3" ht="12.5">
      <c r="A525" s="11"/>
      <c r="C525" s="5"/>
    </row>
    <row r="526" spans="1:3" ht="12.5">
      <c r="A526" s="11"/>
      <c r="C526" s="5"/>
    </row>
    <row r="527" spans="1:3" ht="12.5">
      <c r="A527" s="11"/>
      <c r="C527" s="5"/>
    </row>
    <row r="528" spans="1:3" ht="12.5">
      <c r="A528" s="11"/>
      <c r="C528" s="5"/>
    </row>
    <row r="529" spans="1:3" ht="12.5">
      <c r="A529" s="11"/>
      <c r="C529" s="5"/>
    </row>
    <row r="530" spans="1:3" ht="12.5">
      <c r="A530" s="11"/>
      <c r="C530" s="5"/>
    </row>
    <row r="531" spans="1:3" ht="12.5">
      <c r="A531" s="11"/>
      <c r="C531" s="5"/>
    </row>
    <row r="532" spans="1:3" ht="12.5">
      <c r="A532" s="11"/>
      <c r="C532" s="5"/>
    </row>
    <row r="533" spans="1:3" ht="12.5">
      <c r="A533" s="11"/>
      <c r="C533" s="5"/>
    </row>
    <row r="534" spans="1:3" ht="12.5">
      <c r="A534" s="11"/>
      <c r="C534" s="5"/>
    </row>
    <row r="535" spans="1:3" ht="12.5">
      <c r="A535" s="11"/>
      <c r="C535" s="5"/>
    </row>
    <row r="536" spans="1:3" ht="12.5">
      <c r="A536" s="11"/>
      <c r="C536" s="5"/>
    </row>
    <row r="537" spans="1:3" ht="12.5">
      <c r="A537" s="11"/>
      <c r="C537" s="5"/>
    </row>
    <row r="538" spans="1:3" ht="12.5">
      <c r="A538" s="11"/>
      <c r="C538" s="5"/>
    </row>
    <row r="539" spans="1:3" ht="12.5">
      <c r="A539" s="11"/>
      <c r="C539" s="5"/>
    </row>
    <row r="540" spans="1:3" ht="12.5">
      <c r="A540" s="11"/>
      <c r="C540" s="5"/>
    </row>
    <row r="541" spans="1:3" ht="12.5">
      <c r="A541" s="11"/>
      <c r="C541" s="5"/>
    </row>
    <row r="542" spans="1:3" ht="12.5">
      <c r="A542" s="11"/>
      <c r="C542" s="5"/>
    </row>
    <row r="543" spans="1:3" ht="12.5">
      <c r="A543" s="11"/>
      <c r="C543" s="5"/>
    </row>
    <row r="544" spans="1:3" ht="12.5">
      <c r="A544" s="11"/>
      <c r="C544" s="5"/>
    </row>
    <row r="545" spans="1:3" ht="12.5">
      <c r="A545" s="11"/>
      <c r="C545" s="5"/>
    </row>
    <row r="546" spans="1:3" ht="12.5">
      <c r="A546" s="11"/>
      <c r="C546" s="5"/>
    </row>
    <row r="547" spans="1:3" ht="12.5">
      <c r="A547" s="11"/>
      <c r="C547" s="5"/>
    </row>
    <row r="548" spans="1:3" ht="12.5">
      <c r="A548" s="11"/>
      <c r="C548" s="5"/>
    </row>
    <row r="549" spans="1:3" ht="12.5">
      <c r="A549" s="11"/>
      <c r="C549" s="5"/>
    </row>
    <row r="550" spans="1:3" ht="12.5">
      <c r="A550" s="11"/>
      <c r="C550" s="5"/>
    </row>
    <row r="551" spans="1:3" ht="12.5">
      <c r="A551" s="11"/>
      <c r="C551" s="5"/>
    </row>
    <row r="552" spans="1:3" ht="12.5">
      <c r="A552" s="11"/>
      <c r="C552" s="5"/>
    </row>
    <row r="553" spans="1:3" ht="12.5">
      <c r="A553" s="11"/>
      <c r="C553" s="5"/>
    </row>
    <row r="554" spans="1:3" ht="12.5">
      <c r="A554" s="11"/>
      <c r="C554" s="5"/>
    </row>
    <row r="555" spans="1:3" ht="12.5">
      <c r="A555" s="11"/>
      <c r="C555" s="5"/>
    </row>
    <row r="556" spans="1:3" ht="12.5">
      <c r="A556" s="11"/>
      <c r="C556" s="5"/>
    </row>
    <row r="557" spans="1:3" ht="12.5">
      <c r="A557" s="11"/>
      <c r="C557" s="5"/>
    </row>
    <row r="558" spans="1:3" ht="12.5">
      <c r="A558" s="11"/>
      <c r="C558" s="5"/>
    </row>
    <row r="559" spans="1:3" ht="12.5">
      <c r="A559" s="11"/>
      <c r="C559" s="5"/>
    </row>
    <row r="560" spans="1:3" ht="12.5">
      <c r="A560" s="11"/>
      <c r="C560" s="5"/>
    </row>
    <row r="561" spans="1:3" ht="12.5">
      <c r="A561" s="11"/>
      <c r="C561" s="5"/>
    </row>
    <row r="562" spans="1:3" ht="12.5">
      <c r="A562" s="11"/>
      <c r="C562" s="5"/>
    </row>
    <row r="563" spans="1:3" ht="12.5">
      <c r="A563" s="11"/>
      <c r="C563" s="5"/>
    </row>
    <row r="564" spans="1:3" ht="12.5">
      <c r="A564" s="11"/>
      <c r="C564" s="5"/>
    </row>
    <row r="565" spans="1:3" ht="12.5">
      <c r="A565" s="11"/>
      <c r="C565" s="5"/>
    </row>
    <row r="566" spans="1:3" ht="12.5">
      <c r="A566" s="11"/>
      <c r="C566" s="5"/>
    </row>
    <row r="567" spans="1:3" ht="12.5">
      <c r="A567" s="11"/>
      <c r="C567" s="5"/>
    </row>
    <row r="568" spans="1:3" ht="12.5">
      <c r="A568" s="11"/>
      <c r="C568" s="5"/>
    </row>
    <row r="569" spans="1:3" ht="12.5">
      <c r="A569" s="11"/>
      <c r="C569" s="5"/>
    </row>
    <row r="570" spans="1:3" ht="12.5">
      <c r="A570" s="11"/>
      <c r="C570" s="5"/>
    </row>
    <row r="571" spans="1:3" ht="12.5">
      <c r="A571" s="11"/>
      <c r="C571" s="5"/>
    </row>
    <row r="572" spans="1:3" ht="12.5">
      <c r="A572" s="11"/>
      <c r="C572" s="5"/>
    </row>
    <row r="573" spans="1:3" ht="12.5">
      <c r="A573" s="11"/>
      <c r="C573" s="5"/>
    </row>
    <row r="574" spans="1:3" ht="12.5">
      <c r="A574" s="11"/>
      <c r="C574" s="5"/>
    </row>
    <row r="575" spans="1:3" ht="12.5">
      <c r="A575" s="11"/>
      <c r="C575" s="5"/>
    </row>
    <row r="576" spans="1:3" ht="12.5">
      <c r="A576" s="11"/>
      <c r="C576" s="5"/>
    </row>
    <row r="577" spans="1:3" ht="12.5">
      <c r="A577" s="11"/>
      <c r="C577" s="5"/>
    </row>
    <row r="578" spans="1:3" ht="12.5">
      <c r="A578" s="11"/>
      <c r="C578" s="5"/>
    </row>
    <row r="579" spans="1:3" ht="12.5">
      <c r="A579" s="11"/>
      <c r="C579" s="5"/>
    </row>
    <row r="580" spans="1:3" ht="12.5">
      <c r="A580" s="11"/>
      <c r="C580" s="5"/>
    </row>
    <row r="581" spans="1:3" ht="12.5">
      <c r="A581" s="11"/>
      <c r="C581" s="5"/>
    </row>
    <row r="582" spans="1:3" ht="12.5">
      <c r="A582" s="11"/>
      <c r="C582" s="5"/>
    </row>
    <row r="583" spans="1:3" ht="12.5">
      <c r="A583" s="11"/>
      <c r="C583" s="5"/>
    </row>
    <row r="584" spans="1:3" ht="12.5">
      <c r="A584" s="11"/>
      <c r="C584" s="5"/>
    </row>
    <row r="585" spans="1:3" ht="12.5">
      <c r="A585" s="11"/>
      <c r="C585" s="5"/>
    </row>
    <row r="586" spans="1:3" ht="12.5">
      <c r="A586" s="11"/>
      <c r="C586" s="5"/>
    </row>
    <row r="587" spans="1:3" ht="12.5">
      <c r="A587" s="11"/>
      <c r="C587" s="5"/>
    </row>
    <row r="588" spans="1:3" ht="12.5">
      <c r="A588" s="11"/>
      <c r="C588" s="5"/>
    </row>
    <row r="589" spans="1:3" ht="12.5">
      <c r="A589" s="11"/>
      <c r="C589" s="5"/>
    </row>
    <row r="590" spans="1:3" ht="12.5">
      <c r="A590" s="11"/>
      <c r="C590" s="5"/>
    </row>
    <row r="591" spans="1:3" ht="12.5">
      <c r="A591" s="11"/>
      <c r="C591" s="5"/>
    </row>
    <row r="592" spans="1:3" ht="12.5">
      <c r="A592" s="11"/>
      <c r="C592" s="5"/>
    </row>
    <row r="593" spans="1:3" ht="12.5">
      <c r="A593" s="11"/>
      <c r="C593" s="5"/>
    </row>
    <row r="594" spans="1:3" ht="12.5">
      <c r="A594" s="11"/>
      <c r="C594" s="5"/>
    </row>
    <row r="595" spans="1:3" ht="12.5">
      <c r="A595" s="11"/>
      <c r="C595" s="5"/>
    </row>
    <row r="596" spans="1:3" ht="12.5">
      <c r="A596" s="11"/>
      <c r="C596" s="5"/>
    </row>
    <row r="597" spans="1:3" ht="12.5">
      <c r="A597" s="11"/>
      <c r="C597" s="5"/>
    </row>
    <row r="598" spans="1:3" ht="12.5">
      <c r="A598" s="11"/>
      <c r="C598" s="5"/>
    </row>
    <row r="599" spans="1:3" ht="12.5">
      <c r="A599" s="11"/>
      <c r="C599" s="5"/>
    </row>
    <row r="600" spans="1:3" ht="12.5">
      <c r="A600" s="11"/>
      <c r="C600" s="5"/>
    </row>
    <row r="601" spans="1:3" ht="12.5">
      <c r="A601" s="11"/>
      <c r="C601" s="5"/>
    </row>
    <row r="602" spans="1:3" ht="12.5">
      <c r="A602" s="11"/>
      <c r="C602" s="5"/>
    </row>
    <row r="603" spans="1:3" ht="12.5">
      <c r="A603" s="11"/>
      <c r="C603" s="5"/>
    </row>
    <row r="604" spans="1:3" ht="12.5">
      <c r="A604" s="11"/>
      <c r="C604" s="5"/>
    </row>
    <row r="605" spans="1:3" ht="12.5">
      <c r="A605" s="11"/>
      <c r="C605" s="5"/>
    </row>
    <row r="606" spans="1:3" ht="12.5">
      <c r="A606" s="11"/>
      <c r="C606" s="5"/>
    </row>
    <row r="607" spans="1:3" ht="12.5">
      <c r="A607" s="11"/>
      <c r="C607" s="5"/>
    </row>
    <row r="608" spans="1:3" ht="12.5">
      <c r="A608" s="11"/>
      <c r="C608" s="5"/>
    </row>
    <row r="609" spans="1:3" ht="12.5">
      <c r="A609" s="11"/>
      <c r="C609" s="5"/>
    </row>
    <row r="610" spans="1:3" ht="12.5">
      <c r="A610" s="11"/>
      <c r="C610" s="5"/>
    </row>
    <row r="611" spans="1:3" ht="12.5">
      <c r="A611" s="11"/>
      <c r="C611" s="5"/>
    </row>
    <row r="612" spans="1:3" ht="12.5">
      <c r="A612" s="11"/>
      <c r="C612" s="5"/>
    </row>
    <row r="613" spans="1:3" ht="12.5">
      <c r="A613" s="11"/>
      <c r="C613" s="5"/>
    </row>
    <row r="614" spans="1:3" ht="12.5">
      <c r="A614" s="11"/>
      <c r="C614" s="5"/>
    </row>
    <row r="615" spans="1:3" ht="12.5">
      <c r="A615" s="11"/>
      <c r="C615" s="5"/>
    </row>
    <row r="616" spans="1:3" ht="12.5">
      <c r="A616" s="11"/>
      <c r="C616" s="5"/>
    </row>
    <row r="617" spans="1:3" ht="12.5">
      <c r="A617" s="11"/>
      <c r="C617" s="5"/>
    </row>
    <row r="618" spans="1:3" ht="12.5">
      <c r="A618" s="11"/>
      <c r="C618" s="5"/>
    </row>
    <row r="619" spans="1:3" ht="12.5">
      <c r="A619" s="11"/>
      <c r="C619" s="5"/>
    </row>
    <row r="620" spans="1:3" ht="12.5">
      <c r="A620" s="11"/>
      <c r="C620" s="5"/>
    </row>
    <row r="621" spans="1:3" ht="12.5">
      <c r="A621" s="11"/>
      <c r="C621" s="5"/>
    </row>
    <row r="622" spans="1:3" ht="12.5">
      <c r="A622" s="11"/>
      <c r="C622" s="5"/>
    </row>
    <row r="623" spans="1:3" ht="12.5">
      <c r="A623" s="11"/>
      <c r="C623" s="5"/>
    </row>
    <row r="624" spans="1:3" ht="12.5">
      <c r="A624" s="11"/>
      <c r="C624" s="5"/>
    </row>
    <row r="625" spans="1:3" ht="12.5">
      <c r="A625" s="11"/>
      <c r="C625" s="5"/>
    </row>
    <row r="626" spans="1:3" ht="12.5">
      <c r="A626" s="11"/>
      <c r="C626" s="5"/>
    </row>
    <row r="627" spans="1:3" ht="12.5">
      <c r="A627" s="11"/>
      <c r="C627" s="5"/>
    </row>
    <row r="628" spans="1:3" ht="12.5">
      <c r="A628" s="11"/>
      <c r="C628" s="5"/>
    </row>
    <row r="629" spans="1:3" ht="12.5">
      <c r="A629" s="11"/>
      <c r="C629" s="5"/>
    </row>
    <row r="630" spans="1:3" ht="12.5">
      <c r="A630" s="11"/>
      <c r="C630" s="5"/>
    </row>
    <row r="631" spans="1:3" ht="12.5">
      <c r="A631" s="11"/>
      <c r="C631" s="5"/>
    </row>
    <row r="632" spans="1:3" ht="12.5">
      <c r="A632" s="11"/>
      <c r="C632" s="5"/>
    </row>
    <row r="633" spans="1:3" ht="12.5">
      <c r="A633" s="11"/>
      <c r="C633" s="5"/>
    </row>
    <row r="634" spans="1:3" ht="12.5">
      <c r="A634" s="11"/>
      <c r="C634" s="5"/>
    </row>
    <row r="635" spans="1:3" ht="12.5">
      <c r="A635" s="11"/>
      <c r="C635" s="5"/>
    </row>
    <row r="636" spans="1:3" ht="12.5">
      <c r="A636" s="11"/>
      <c r="C636" s="5"/>
    </row>
    <row r="637" spans="1:3" ht="12.5">
      <c r="A637" s="11"/>
      <c r="C637" s="5"/>
    </row>
    <row r="638" spans="1:3" ht="12.5">
      <c r="A638" s="11"/>
      <c r="C638" s="5"/>
    </row>
    <row r="639" spans="1:3" ht="12.5">
      <c r="A639" s="11"/>
      <c r="C639" s="5"/>
    </row>
    <row r="640" spans="1:3" ht="12.5">
      <c r="A640" s="11"/>
      <c r="C640" s="5"/>
    </row>
    <row r="641" spans="1:3" ht="12.5">
      <c r="A641" s="11"/>
      <c r="C641" s="5"/>
    </row>
    <row r="642" spans="1:3" ht="12.5">
      <c r="A642" s="11"/>
      <c r="C642" s="5"/>
    </row>
    <row r="643" spans="1:3" ht="12.5">
      <c r="A643" s="11"/>
      <c r="C643" s="5"/>
    </row>
    <row r="644" spans="1:3" ht="12.5">
      <c r="A644" s="11"/>
      <c r="C644" s="5"/>
    </row>
    <row r="645" spans="1:3" ht="12.5">
      <c r="A645" s="11"/>
      <c r="C645" s="5"/>
    </row>
    <row r="646" spans="1:3" ht="12.5">
      <c r="A646" s="11"/>
      <c r="C646" s="5"/>
    </row>
    <row r="647" spans="1:3" ht="12.5">
      <c r="A647" s="11"/>
      <c r="C647" s="5"/>
    </row>
    <row r="648" spans="1:3" ht="12.5">
      <c r="A648" s="11"/>
      <c r="C648" s="5"/>
    </row>
    <row r="649" spans="1:3" ht="12.5">
      <c r="A649" s="11"/>
      <c r="C649" s="5"/>
    </row>
    <row r="650" spans="1:3" ht="12.5">
      <c r="A650" s="11"/>
      <c r="C650" s="5"/>
    </row>
    <row r="651" spans="1:3" ht="12.5">
      <c r="A651" s="11"/>
      <c r="C651" s="5"/>
    </row>
    <row r="652" spans="1:3" ht="12.5">
      <c r="A652" s="11"/>
      <c r="C652" s="5"/>
    </row>
    <row r="653" spans="1:3" ht="12.5">
      <c r="A653" s="11"/>
      <c r="C653" s="5"/>
    </row>
    <row r="654" spans="1:3" ht="12.5">
      <c r="A654" s="11"/>
      <c r="C654" s="5"/>
    </row>
    <row r="655" spans="1:3" ht="12.5">
      <c r="A655" s="11"/>
      <c r="C655" s="5"/>
    </row>
    <row r="656" spans="1:3" ht="12.5">
      <c r="A656" s="11"/>
      <c r="C656" s="5"/>
    </row>
    <row r="657" spans="1:3" ht="12.5">
      <c r="A657" s="11"/>
      <c r="C657" s="5"/>
    </row>
    <row r="658" spans="1:3" ht="12.5">
      <c r="A658" s="11"/>
      <c r="C658" s="5"/>
    </row>
    <row r="659" spans="1:3" ht="12.5">
      <c r="A659" s="11"/>
      <c r="C659" s="5"/>
    </row>
    <row r="660" spans="1:3" ht="12.5">
      <c r="A660" s="11"/>
      <c r="C660" s="5"/>
    </row>
    <row r="661" spans="1:3" ht="12.5">
      <c r="A661" s="11"/>
      <c r="C661" s="5"/>
    </row>
    <row r="662" spans="1:3" ht="12.5">
      <c r="A662" s="11"/>
      <c r="C662" s="5"/>
    </row>
    <row r="663" spans="1:3" ht="12.5">
      <c r="A663" s="11"/>
      <c r="C663" s="5"/>
    </row>
    <row r="664" spans="1:3" ht="12.5">
      <c r="A664" s="11"/>
      <c r="C664" s="5"/>
    </row>
    <row r="665" spans="1:3" ht="12.5">
      <c r="A665" s="11"/>
      <c r="C665" s="5"/>
    </row>
    <row r="666" spans="1:3" ht="12.5">
      <c r="A666" s="11"/>
      <c r="C666" s="5"/>
    </row>
    <row r="667" spans="1:3" ht="12.5">
      <c r="A667" s="11"/>
      <c r="C667" s="5"/>
    </row>
    <row r="668" spans="1:3" ht="12.5">
      <c r="A668" s="11"/>
      <c r="C668" s="5"/>
    </row>
    <row r="669" spans="1:3" ht="12.5">
      <c r="A669" s="11"/>
      <c r="C669" s="5"/>
    </row>
    <row r="670" spans="1:3" ht="12.5">
      <c r="A670" s="11"/>
      <c r="C670" s="5"/>
    </row>
    <row r="671" spans="1:3" ht="12.5">
      <c r="A671" s="11"/>
      <c r="C671" s="5"/>
    </row>
    <row r="672" spans="1:3" ht="12.5">
      <c r="A672" s="11"/>
      <c r="C672" s="5"/>
    </row>
    <row r="673" spans="1:3" ht="12.5">
      <c r="A673" s="11"/>
      <c r="C673" s="5"/>
    </row>
    <row r="674" spans="1:3" ht="12.5">
      <c r="A674" s="11"/>
      <c r="C674" s="5"/>
    </row>
    <row r="675" spans="1:3" ht="12.5">
      <c r="A675" s="11"/>
      <c r="C675" s="5"/>
    </row>
    <row r="676" spans="1:3" ht="12.5">
      <c r="A676" s="11"/>
      <c r="C676" s="5"/>
    </row>
    <row r="677" spans="1:3" ht="12.5">
      <c r="A677" s="11"/>
      <c r="C677" s="5"/>
    </row>
    <row r="678" spans="1:3" ht="12.5">
      <c r="A678" s="11"/>
      <c r="C678" s="5"/>
    </row>
    <row r="679" spans="1:3" ht="12.5">
      <c r="A679" s="11"/>
      <c r="C679" s="5"/>
    </row>
    <row r="680" spans="1:3" ht="12.5">
      <c r="A680" s="11"/>
      <c r="C680" s="5"/>
    </row>
    <row r="681" spans="1:3" ht="12.5">
      <c r="A681" s="11"/>
      <c r="C681" s="5"/>
    </row>
    <row r="682" spans="1:3" ht="12.5">
      <c r="A682" s="11"/>
      <c r="C682" s="5"/>
    </row>
    <row r="683" spans="1:3" ht="12.5">
      <c r="A683" s="11"/>
      <c r="C683" s="5"/>
    </row>
    <row r="684" spans="1:3" ht="12.5">
      <c r="A684" s="11"/>
      <c r="C684" s="5"/>
    </row>
    <row r="685" spans="1:3" ht="12.5">
      <c r="A685" s="11"/>
      <c r="C685" s="5"/>
    </row>
    <row r="686" spans="1:3" ht="12.5">
      <c r="A686" s="11"/>
      <c r="C686" s="5"/>
    </row>
    <row r="687" spans="1:3" ht="12.5">
      <c r="A687" s="11"/>
      <c r="C687" s="5"/>
    </row>
    <row r="688" spans="1:3" ht="12.5">
      <c r="A688" s="11"/>
      <c r="C688" s="5"/>
    </row>
    <row r="689" spans="1:3" ht="12.5">
      <c r="A689" s="11"/>
      <c r="C689" s="5"/>
    </row>
    <row r="690" spans="1:3" ht="12.5">
      <c r="A690" s="11"/>
      <c r="C690" s="5"/>
    </row>
    <row r="691" spans="1:3" ht="12.5">
      <c r="A691" s="11"/>
      <c r="C691" s="5"/>
    </row>
    <row r="692" spans="1:3" ht="12.5">
      <c r="A692" s="11"/>
      <c r="C692" s="5"/>
    </row>
    <row r="693" spans="1:3" ht="12.5">
      <c r="A693" s="11"/>
      <c r="C693" s="5"/>
    </row>
    <row r="694" spans="1:3" ht="12.5">
      <c r="A694" s="11"/>
      <c r="C694" s="5"/>
    </row>
    <row r="695" spans="1:3" ht="12.5">
      <c r="A695" s="11"/>
      <c r="C695" s="5"/>
    </row>
    <row r="696" spans="1:3" ht="12.5">
      <c r="A696" s="11"/>
      <c r="C696" s="5"/>
    </row>
    <row r="697" spans="1:3" ht="12.5">
      <c r="A697" s="11"/>
      <c r="C697" s="5"/>
    </row>
    <row r="698" spans="1:3" ht="12.5">
      <c r="A698" s="11"/>
      <c r="C698" s="5"/>
    </row>
    <row r="699" spans="1:3" ht="12.5">
      <c r="A699" s="11"/>
      <c r="C699" s="5"/>
    </row>
    <row r="700" spans="1:3" ht="12.5">
      <c r="A700" s="11"/>
      <c r="C700" s="5"/>
    </row>
    <row r="701" spans="1:3" ht="12.5">
      <c r="A701" s="11"/>
      <c r="C701" s="5"/>
    </row>
    <row r="702" spans="1:3" ht="12.5">
      <c r="A702" s="11"/>
      <c r="C702" s="5"/>
    </row>
    <row r="703" spans="1:3" ht="12.5">
      <c r="A703" s="11"/>
      <c r="C703" s="5"/>
    </row>
    <row r="704" spans="1:3" ht="12.5">
      <c r="A704" s="11"/>
      <c r="C704" s="5"/>
    </row>
    <row r="705" spans="1:3" ht="12.5">
      <c r="A705" s="11"/>
      <c r="C705" s="5"/>
    </row>
    <row r="706" spans="1:3" ht="12.5">
      <c r="A706" s="11"/>
      <c r="C706" s="5"/>
    </row>
    <row r="707" spans="1:3" ht="12.5">
      <c r="A707" s="11"/>
      <c r="C707" s="5"/>
    </row>
    <row r="708" spans="1:3" ht="12.5">
      <c r="A708" s="11"/>
      <c r="C708" s="5"/>
    </row>
    <row r="709" spans="1:3" ht="12.5">
      <c r="A709" s="11"/>
      <c r="C709" s="5"/>
    </row>
    <row r="710" spans="1:3" ht="12.5">
      <c r="A710" s="11"/>
      <c r="C710" s="5"/>
    </row>
    <row r="711" spans="1:3" ht="12.5">
      <c r="A711" s="11"/>
      <c r="C711" s="5"/>
    </row>
    <row r="712" spans="1:3" ht="12.5">
      <c r="A712" s="11"/>
      <c r="C712" s="5"/>
    </row>
    <row r="713" spans="1:3" ht="12.5">
      <c r="A713" s="11"/>
      <c r="C713" s="5"/>
    </row>
    <row r="714" spans="1:3" ht="12.5">
      <c r="A714" s="11"/>
      <c r="C714" s="5"/>
    </row>
    <row r="715" spans="1:3" ht="12.5">
      <c r="A715" s="11"/>
      <c r="C715" s="5"/>
    </row>
    <row r="716" spans="1:3" ht="12.5">
      <c r="A716" s="11"/>
      <c r="C716" s="5"/>
    </row>
    <row r="717" spans="1:3" ht="12.5">
      <c r="A717" s="11"/>
      <c r="C717" s="5"/>
    </row>
    <row r="718" spans="1:3" ht="12.5">
      <c r="A718" s="11"/>
      <c r="C718" s="5"/>
    </row>
    <row r="719" spans="1:3" ht="12.5">
      <c r="A719" s="11"/>
      <c r="C719" s="5"/>
    </row>
    <row r="720" spans="1:3" ht="12.5">
      <c r="A720" s="11"/>
      <c r="C720" s="5"/>
    </row>
    <row r="721" spans="1:3" ht="12.5">
      <c r="A721" s="11"/>
      <c r="C721" s="5"/>
    </row>
    <row r="722" spans="1:3" ht="12.5">
      <c r="A722" s="11"/>
      <c r="C722" s="5"/>
    </row>
    <row r="723" spans="1:3" ht="12.5">
      <c r="A723" s="11"/>
      <c r="C723" s="5"/>
    </row>
    <row r="724" spans="1:3" ht="12.5">
      <c r="A724" s="11"/>
      <c r="C724" s="5"/>
    </row>
    <row r="725" spans="1:3" ht="12.5">
      <c r="A725" s="11"/>
      <c r="C725" s="5"/>
    </row>
    <row r="726" spans="1:3" ht="12.5">
      <c r="A726" s="11"/>
      <c r="C726" s="5"/>
    </row>
    <row r="727" spans="1:3" ht="12.5">
      <c r="A727" s="11"/>
      <c r="C727" s="5"/>
    </row>
    <row r="728" spans="1:3" ht="12.5">
      <c r="A728" s="11"/>
      <c r="C728" s="5"/>
    </row>
    <row r="729" spans="1:3" ht="12.5">
      <c r="A729" s="11"/>
      <c r="C729" s="5"/>
    </row>
    <row r="730" spans="1:3" ht="12.5">
      <c r="A730" s="11"/>
      <c r="C730" s="5"/>
    </row>
    <row r="731" spans="1:3" ht="12.5">
      <c r="A731" s="11"/>
      <c r="C731" s="5"/>
    </row>
    <row r="732" spans="1:3" ht="12.5">
      <c r="A732" s="11"/>
      <c r="C732" s="5"/>
    </row>
    <row r="733" spans="1:3" ht="12.5">
      <c r="A733" s="11"/>
      <c r="C733" s="5"/>
    </row>
    <row r="734" spans="1:3" ht="12.5">
      <c r="A734" s="11"/>
      <c r="C734" s="5"/>
    </row>
    <row r="735" spans="1:3" ht="12.5">
      <c r="A735" s="11"/>
      <c r="C735" s="5"/>
    </row>
    <row r="736" spans="1:3" ht="12.5">
      <c r="A736" s="11"/>
      <c r="C736" s="5"/>
    </row>
    <row r="737" spans="1:3" ht="12.5">
      <c r="A737" s="11"/>
      <c r="C737" s="5"/>
    </row>
    <row r="738" spans="1:3" ht="12.5">
      <c r="A738" s="11"/>
      <c r="C738" s="5"/>
    </row>
    <row r="739" spans="1:3" ht="12.5">
      <c r="A739" s="11"/>
      <c r="C739" s="5"/>
    </row>
    <row r="740" spans="1:3" ht="12.5">
      <c r="A740" s="11"/>
      <c r="C740" s="5"/>
    </row>
    <row r="741" spans="1:3" ht="12.5">
      <c r="A741" s="11"/>
      <c r="C741" s="5"/>
    </row>
    <row r="742" spans="1:3" ht="12.5">
      <c r="A742" s="11"/>
      <c r="C742" s="5"/>
    </row>
    <row r="743" spans="1:3" ht="12.5">
      <c r="A743" s="11"/>
      <c r="C743" s="5"/>
    </row>
    <row r="744" spans="1:3" ht="12.5">
      <c r="A744" s="11"/>
      <c r="C744" s="5"/>
    </row>
    <row r="745" spans="1:3" ht="12.5">
      <c r="A745" s="11"/>
      <c r="C745" s="5"/>
    </row>
    <row r="746" spans="1:3" ht="12.5">
      <c r="A746" s="11"/>
      <c r="C746" s="5"/>
    </row>
    <row r="747" spans="1:3" ht="12.5">
      <c r="A747" s="11"/>
      <c r="C747" s="5"/>
    </row>
    <row r="748" spans="1:3" ht="12.5">
      <c r="A748" s="11"/>
      <c r="C748" s="5"/>
    </row>
    <row r="749" spans="1:3" ht="12.5">
      <c r="A749" s="11"/>
      <c r="C749" s="5"/>
    </row>
    <row r="750" spans="1:3" ht="12.5">
      <c r="A750" s="11"/>
      <c r="C750" s="5"/>
    </row>
    <row r="751" spans="1:3" ht="12.5">
      <c r="A751" s="11"/>
      <c r="C751" s="5"/>
    </row>
    <row r="752" spans="1:3" ht="12.5">
      <c r="A752" s="11"/>
      <c r="C752" s="5"/>
    </row>
    <row r="753" spans="1:3" ht="12.5">
      <c r="A753" s="11"/>
      <c r="C753" s="5"/>
    </row>
    <row r="754" spans="1:3" ht="12.5">
      <c r="A754" s="11"/>
      <c r="C754" s="5"/>
    </row>
    <row r="755" spans="1:3" ht="12.5">
      <c r="A755" s="11"/>
      <c r="C755" s="5"/>
    </row>
    <row r="756" spans="1:3" ht="12.5">
      <c r="A756" s="11"/>
      <c r="C756" s="5"/>
    </row>
    <row r="757" spans="1:3" ht="12.5">
      <c r="A757" s="11"/>
      <c r="C757" s="5"/>
    </row>
    <row r="758" spans="1:3" ht="12.5">
      <c r="A758" s="11"/>
      <c r="C758" s="5"/>
    </row>
    <row r="759" spans="1:3" ht="12.5">
      <c r="A759" s="11"/>
      <c r="C759" s="5"/>
    </row>
    <row r="760" spans="1:3" ht="12.5">
      <c r="A760" s="11"/>
      <c r="C760" s="5"/>
    </row>
    <row r="761" spans="1:3" ht="12.5">
      <c r="A761" s="11"/>
      <c r="C761" s="5"/>
    </row>
    <row r="762" spans="1:3" ht="12.5">
      <c r="A762" s="11"/>
      <c r="C762" s="5"/>
    </row>
    <row r="763" spans="1:3" ht="12.5">
      <c r="A763" s="11"/>
      <c r="C763" s="5"/>
    </row>
    <row r="764" spans="1:3" ht="12.5">
      <c r="A764" s="11"/>
      <c r="C764" s="5"/>
    </row>
    <row r="765" spans="1:3" ht="12.5">
      <c r="A765" s="11"/>
      <c r="C765" s="5"/>
    </row>
    <row r="766" spans="1:3" ht="12.5">
      <c r="A766" s="11"/>
      <c r="C766" s="5"/>
    </row>
    <row r="767" spans="1:3" ht="12.5">
      <c r="A767" s="11"/>
      <c r="C767" s="5"/>
    </row>
    <row r="768" spans="1:3" ht="12.5">
      <c r="A768" s="11"/>
      <c r="C768" s="5"/>
    </row>
    <row r="769" spans="1:3" ht="12.5">
      <c r="A769" s="11"/>
      <c r="C769" s="5"/>
    </row>
    <row r="770" spans="1:3" ht="12.5">
      <c r="A770" s="11"/>
      <c r="C770" s="5"/>
    </row>
    <row r="771" spans="1:3" ht="12.5">
      <c r="A771" s="11"/>
      <c r="C771" s="5"/>
    </row>
    <row r="772" spans="1:3" ht="12.5">
      <c r="A772" s="11"/>
      <c r="C772" s="5"/>
    </row>
    <row r="773" spans="1:3" ht="12.5">
      <c r="A773" s="11"/>
      <c r="C773" s="5"/>
    </row>
    <row r="774" spans="1:3" ht="12.5">
      <c r="A774" s="11"/>
      <c r="C774" s="5"/>
    </row>
    <row r="775" spans="1:3" ht="12.5">
      <c r="A775" s="11"/>
      <c r="C775" s="5"/>
    </row>
    <row r="776" spans="1:3" ht="12.5">
      <c r="A776" s="11"/>
      <c r="C776" s="5"/>
    </row>
    <row r="777" spans="1:3" ht="12.5">
      <c r="A777" s="11"/>
      <c r="C777" s="5"/>
    </row>
    <row r="778" spans="1:3" ht="12.5">
      <c r="A778" s="11"/>
      <c r="C778" s="5"/>
    </row>
    <row r="779" spans="1:3" ht="12.5">
      <c r="A779" s="11"/>
      <c r="C779" s="5"/>
    </row>
    <row r="780" spans="1:3" ht="12.5">
      <c r="A780" s="11"/>
      <c r="C780" s="5"/>
    </row>
    <row r="781" spans="1:3" ht="12.5">
      <c r="A781" s="11"/>
      <c r="C781" s="5"/>
    </row>
    <row r="782" spans="1:3" ht="12.5">
      <c r="A782" s="11"/>
      <c r="C782" s="5"/>
    </row>
    <row r="783" spans="1:3" ht="12.5">
      <c r="A783" s="11"/>
      <c r="C783" s="5"/>
    </row>
    <row r="784" spans="1:3" ht="12.5">
      <c r="A784" s="11"/>
      <c r="C784" s="5"/>
    </row>
    <row r="785" spans="1:3" ht="12.5">
      <c r="A785" s="11"/>
      <c r="C785" s="5"/>
    </row>
    <row r="786" spans="1:3" ht="12.5">
      <c r="A786" s="11"/>
      <c r="C786" s="5"/>
    </row>
    <row r="787" spans="1:3" ht="12.5">
      <c r="A787" s="11"/>
      <c r="C787" s="5"/>
    </row>
    <row r="788" spans="1:3" ht="12.5">
      <c r="A788" s="11"/>
      <c r="C788" s="5"/>
    </row>
    <row r="789" spans="1:3" ht="12.5">
      <c r="A789" s="11"/>
      <c r="C789" s="5"/>
    </row>
    <row r="790" spans="1:3" ht="12.5">
      <c r="A790" s="11"/>
      <c r="C790" s="5"/>
    </row>
    <row r="791" spans="1:3" ht="12.5">
      <c r="A791" s="11"/>
      <c r="C791" s="5"/>
    </row>
    <row r="792" spans="1:3" ht="12.5">
      <c r="A792" s="11"/>
      <c r="C792" s="5"/>
    </row>
    <row r="793" spans="1:3" ht="12.5">
      <c r="A793" s="11"/>
      <c r="C793" s="5"/>
    </row>
    <row r="794" spans="1:3" ht="12.5">
      <c r="A794" s="11"/>
      <c r="C794" s="5"/>
    </row>
    <row r="795" spans="1:3" ht="12.5">
      <c r="A795" s="11"/>
      <c r="C795" s="5"/>
    </row>
    <row r="796" spans="1:3" ht="12.5">
      <c r="A796" s="11"/>
      <c r="C796" s="5"/>
    </row>
    <row r="797" spans="1:3" ht="12.5">
      <c r="A797" s="11"/>
      <c r="C797" s="5"/>
    </row>
    <row r="798" spans="1:3" ht="12.5">
      <c r="A798" s="11"/>
      <c r="C798" s="5"/>
    </row>
    <row r="799" spans="1:3" ht="12.5">
      <c r="A799" s="11"/>
      <c r="C799" s="5"/>
    </row>
    <row r="800" spans="1:3" ht="12.5">
      <c r="A800" s="11"/>
      <c r="C800" s="5"/>
    </row>
    <row r="801" spans="1:3" ht="12.5">
      <c r="A801" s="11"/>
      <c r="C801" s="5"/>
    </row>
    <row r="802" spans="1:3" ht="12.5">
      <c r="A802" s="11"/>
      <c r="C802" s="5"/>
    </row>
    <row r="803" spans="1:3" ht="12.5">
      <c r="A803" s="11"/>
      <c r="C803" s="5"/>
    </row>
    <row r="804" spans="1:3" ht="12.5">
      <c r="A804" s="11"/>
      <c r="C804" s="5"/>
    </row>
    <row r="805" spans="1:3" ht="12.5">
      <c r="A805" s="11"/>
      <c r="C805" s="5"/>
    </row>
    <row r="806" spans="1:3" ht="12.5">
      <c r="A806" s="11"/>
      <c r="C806" s="5"/>
    </row>
    <row r="807" spans="1:3" ht="12.5">
      <c r="A807" s="11"/>
      <c r="C807" s="5"/>
    </row>
    <row r="808" spans="1:3" ht="12.5">
      <c r="A808" s="11"/>
      <c r="C808" s="5"/>
    </row>
    <row r="809" spans="1:3" ht="12.5">
      <c r="A809" s="11"/>
      <c r="C809" s="5"/>
    </row>
    <row r="810" spans="1:3" ht="12.5">
      <c r="A810" s="11"/>
      <c r="C810" s="5"/>
    </row>
    <row r="811" spans="1:3" ht="12.5">
      <c r="A811" s="11"/>
      <c r="C811" s="5"/>
    </row>
    <row r="812" spans="1:3" ht="12.5">
      <c r="A812" s="11"/>
      <c r="C812" s="5"/>
    </row>
    <row r="813" spans="1:3" ht="12.5">
      <c r="A813" s="11"/>
      <c r="C813" s="5"/>
    </row>
    <row r="814" spans="1:3" ht="12.5">
      <c r="A814" s="11"/>
      <c r="C814" s="5"/>
    </row>
    <row r="815" spans="1:3" ht="12.5">
      <c r="A815" s="11"/>
      <c r="C815" s="5"/>
    </row>
    <row r="816" spans="1:3" ht="12.5">
      <c r="A816" s="11"/>
      <c r="C816" s="5"/>
    </row>
    <row r="817" spans="1:3" ht="12.5">
      <c r="A817" s="11"/>
      <c r="C817" s="5"/>
    </row>
    <row r="818" spans="1:3" ht="12.5">
      <c r="A818" s="11"/>
      <c r="C818" s="5"/>
    </row>
    <row r="819" spans="1:3" ht="12.5">
      <c r="A819" s="11"/>
      <c r="C819" s="5"/>
    </row>
    <row r="820" spans="1:3" ht="12.5">
      <c r="A820" s="11"/>
      <c r="C820" s="5"/>
    </row>
    <row r="821" spans="1:3" ht="12.5">
      <c r="A821" s="11"/>
      <c r="C821" s="5"/>
    </row>
    <row r="822" spans="1:3" ht="12.5">
      <c r="A822" s="11"/>
      <c r="C822" s="5"/>
    </row>
    <row r="823" spans="1:3" ht="12.5">
      <c r="A823" s="11"/>
      <c r="C823" s="5"/>
    </row>
    <row r="824" spans="1:3" ht="12.5">
      <c r="A824" s="11"/>
      <c r="C824" s="5"/>
    </row>
    <row r="825" spans="1:3" ht="12.5">
      <c r="A825" s="11"/>
      <c r="C825" s="5"/>
    </row>
    <row r="826" spans="1:3" ht="12.5">
      <c r="A826" s="11"/>
      <c r="C826" s="5"/>
    </row>
    <row r="827" spans="1:3" ht="12.5">
      <c r="A827" s="11"/>
      <c r="C827" s="5"/>
    </row>
    <row r="828" spans="1:3" ht="12.5">
      <c r="A828" s="11"/>
      <c r="C828" s="5"/>
    </row>
    <row r="829" spans="1:3" ht="12.5">
      <c r="A829" s="11"/>
      <c r="C829" s="5"/>
    </row>
    <row r="830" spans="1:3" ht="12.5">
      <c r="A830" s="11"/>
      <c r="C830" s="5"/>
    </row>
    <row r="831" spans="1:3" ht="12.5">
      <c r="A831" s="11"/>
      <c r="C831" s="5"/>
    </row>
    <row r="832" spans="1:3" ht="12.5">
      <c r="A832" s="11"/>
      <c r="C832" s="5"/>
    </row>
    <row r="833" spans="1:3" ht="12.5">
      <c r="A833" s="11"/>
      <c r="C833" s="5"/>
    </row>
    <row r="834" spans="1:3" ht="12.5">
      <c r="A834" s="11"/>
      <c r="C834" s="5"/>
    </row>
    <row r="835" spans="1:3" ht="12.5">
      <c r="A835" s="11"/>
      <c r="C835" s="5"/>
    </row>
    <row r="836" spans="1:3" ht="12.5">
      <c r="A836" s="11"/>
      <c r="C836" s="5"/>
    </row>
    <row r="837" spans="1:3" ht="12.5">
      <c r="A837" s="11"/>
      <c r="C837" s="5"/>
    </row>
    <row r="838" spans="1:3" ht="12.5">
      <c r="A838" s="11"/>
      <c r="C838" s="5"/>
    </row>
    <row r="839" spans="1:3" ht="12.5">
      <c r="A839" s="11"/>
      <c r="C839" s="5"/>
    </row>
    <row r="840" spans="1:3" ht="12.5">
      <c r="A840" s="11"/>
      <c r="C840" s="5"/>
    </row>
    <row r="841" spans="1:3" ht="12.5">
      <c r="A841" s="11"/>
      <c r="C841" s="5"/>
    </row>
    <row r="842" spans="1:3" ht="12.5">
      <c r="A842" s="11"/>
      <c r="C842" s="5"/>
    </row>
    <row r="843" spans="1:3" ht="12.5">
      <c r="A843" s="11"/>
      <c r="C843" s="5"/>
    </row>
    <row r="844" spans="1:3" ht="12.5">
      <c r="A844" s="11"/>
      <c r="C844" s="5"/>
    </row>
    <row r="845" spans="1:3" ht="12.5">
      <c r="A845" s="11"/>
      <c r="C845" s="5"/>
    </row>
    <row r="846" spans="1:3" ht="12.5">
      <c r="A846" s="11"/>
      <c r="C846" s="5"/>
    </row>
    <row r="847" spans="1:3" ht="12.5">
      <c r="A847" s="11"/>
      <c r="C847" s="5"/>
    </row>
    <row r="848" spans="1:3" ht="12.5">
      <c r="A848" s="11"/>
      <c r="C848" s="5"/>
    </row>
    <row r="849" spans="1:3" ht="12.5">
      <c r="A849" s="11"/>
      <c r="C849" s="5"/>
    </row>
    <row r="850" spans="1:3" ht="12.5">
      <c r="A850" s="11"/>
      <c r="C850" s="5"/>
    </row>
    <row r="851" spans="1:3" ht="12.5">
      <c r="A851" s="11"/>
      <c r="C851" s="5"/>
    </row>
    <row r="852" spans="1:3" ht="12.5">
      <c r="A852" s="11"/>
      <c r="C852" s="5"/>
    </row>
    <row r="853" spans="1:3" ht="12.5">
      <c r="A853" s="11"/>
      <c r="C853" s="5"/>
    </row>
    <row r="854" spans="1:3" ht="12.5">
      <c r="A854" s="11"/>
      <c r="C854" s="5"/>
    </row>
    <row r="855" spans="1:3" ht="12.5">
      <c r="A855" s="11"/>
      <c r="C855" s="5"/>
    </row>
    <row r="856" spans="1:3" ht="12.5">
      <c r="A856" s="11"/>
      <c r="C856" s="5"/>
    </row>
    <row r="857" spans="1:3" ht="12.5">
      <c r="A857" s="11"/>
      <c r="C857" s="5"/>
    </row>
    <row r="858" spans="1:3" ht="12.5">
      <c r="A858" s="11"/>
      <c r="C858" s="5"/>
    </row>
    <row r="859" spans="1:3" ht="12.5">
      <c r="A859" s="11"/>
      <c r="C859" s="5"/>
    </row>
    <row r="860" spans="1:3" ht="12.5">
      <c r="A860" s="11"/>
      <c r="C860" s="5"/>
    </row>
    <row r="861" spans="1:3" ht="12.5">
      <c r="A861" s="11"/>
      <c r="C861" s="5"/>
    </row>
    <row r="862" spans="1:3" ht="12.5">
      <c r="A862" s="11"/>
      <c r="C862" s="5"/>
    </row>
    <row r="863" spans="1:3" ht="12.5">
      <c r="A863" s="11"/>
      <c r="C863" s="5"/>
    </row>
    <row r="864" spans="1:3" ht="12.5">
      <c r="A864" s="11"/>
      <c r="C864" s="5"/>
    </row>
    <row r="865" spans="1:3" ht="12.5">
      <c r="A865" s="11"/>
      <c r="C865" s="5"/>
    </row>
    <row r="866" spans="1:3" ht="12.5">
      <c r="A866" s="11"/>
      <c r="C866" s="5"/>
    </row>
    <row r="867" spans="1:3" ht="12.5">
      <c r="A867" s="11"/>
      <c r="C867" s="5"/>
    </row>
    <row r="868" spans="1:3" ht="12.5">
      <c r="A868" s="11"/>
      <c r="C868" s="5"/>
    </row>
    <row r="869" spans="1:3" ht="12.5">
      <c r="A869" s="11"/>
      <c r="C869" s="5"/>
    </row>
    <row r="870" spans="1:3" ht="12.5">
      <c r="A870" s="11"/>
      <c r="C870" s="5"/>
    </row>
    <row r="871" spans="1:3" ht="12.5">
      <c r="A871" s="11"/>
      <c r="C871" s="5"/>
    </row>
    <row r="872" spans="1:3" ht="12.5">
      <c r="A872" s="11"/>
      <c r="C872" s="5"/>
    </row>
    <row r="873" spans="1:3" ht="12.5">
      <c r="A873" s="11"/>
      <c r="C873" s="5"/>
    </row>
    <row r="874" spans="1:3" ht="12.5">
      <c r="A874" s="11"/>
      <c r="C874" s="5"/>
    </row>
    <row r="875" spans="1:3" ht="12.5">
      <c r="A875" s="11"/>
      <c r="C875" s="5"/>
    </row>
    <row r="876" spans="1:3" ht="12.5">
      <c r="A876" s="11"/>
      <c r="C876" s="5"/>
    </row>
    <row r="877" spans="1:3" ht="12.5">
      <c r="A877" s="11"/>
      <c r="C877" s="5"/>
    </row>
    <row r="878" spans="1:3" ht="12.5">
      <c r="A878" s="11"/>
      <c r="C878" s="5"/>
    </row>
    <row r="879" spans="1:3" ht="12.5">
      <c r="A879" s="11"/>
      <c r="C879" s="5"/>
    </row>
    <row r="880" spans="1:3" ht="12.5">
      <c r="A880" s="11"/>
      <c r="C880" s="5"/>
    </row>
    <row r="881" spans="1:3" ht="12.5">
      <c r="A881" s="11"/>
      <c r="C881" s="5"/>
    </row>
    <row r="882" spans="1:3" ht="12.5">
      <c r="A882" s="11"/>
      <c r="C882" s="5"/>
    </row>
    <row r="883" spans="1:3" ht="12.5">
      <c r="A883" s="11"/>
      <c r="C883" s="5"/>
    </row>
    <row r="884" spans="1:3" ht="12.5">
      <c r="A884" s="11"/>
      <c r="C884" s="5"/>
    </row>
    <row r="885" spans="1:3" ht="12.5">
      <c r="A885" s="11"/>
      <c r="C885" s="5"/>
    </row>
    <row r="886" spans="1:3" ht="12.5">
      <c r="A886" s="11"/>
      <c r="C886" s="5"/>
    </row>
    <row r="887" spans="1:3" ht="12.5">
      <c r="A887" s="11"/>
      <c r="C887" s="5"/>
    </row>
    <row r="888" spans="1:3" ht="12.5">
      <c r="A888" s="11"/>
      <c r="C888" s="5"/>
    </row>
    <row r="889" spans="1:3" ht="12.5">
      <c r="A889" s="11"/>
      <c r="C889" s="5"/>
    </row>
    <row r="890" spans="1:3" ht="12.5">
      <c r="A890" s="11"/>
      <c r="C890" s="5"/>
    </row>
    <row r="891" spans="1:3" ht="12.5">
      <c r="A891" s="11"/>
      <c r="C891" s="5"/>
    </row>
    <row r="892" spans="1:3" ht="12.5">
      <c r="A892" s="11"/>
      <c r="C892" s="5"/>
    </row>
    <row r="893" spans="1:3" ht="12.5">
      <c r="A893" s="11"/>
      <c r="C893" s="5"/>
    </row>
    <row r="894" spans="1:3" ht="12.5">
      <c r="A894" s="11"/>
      <c r="C894" s="5"/>
    </row>
    <row r="895" spans="1:3" ht="12.5">
      <c r="A895" s="11"/>
      <c r="C895" s="5"/>
    </row>
    <row r="896" spans="1:3" ht="12.5">
      <c r="A896" s="11"/>
      <c r="C896" s="5"/>
    </row>
    <row r="897" spans="1:3" ht="12.5">
      <c r="A897" s="11"/>
      <c r="C897" s="5"/>
    </row>
    <row r="898" spans="1:3" ht="12.5">
      <c r="A898" s="11"/>
      <c r="C898" s="5"/>
    </row>
    <row r="899" spans="1:3" ht="12.5">
      <c r="A899" s="11"/>
      <c r="C899" s="5"/>
    </row>
    <row r="900" spans="1:3" ht="12.5">
      <c r="A900" s="11"/>
      <c r="C900" s="5"/>
    </row>
    <row r="901" spans="1:3" ht="12.5">
      <c r="A901" s="11"/>
      <c r="C901" s="5"/>
    </row>
    <row r="902" spans="1:3" ht="12.5">
      <c r="A902" s="11"/>
      <c r="C902" s="5"/>
    </row>
    <row r="903" spans="1:3" ht="12.5">
      <c r="A903" s="11"/>
      <c r="C903" s="5"/>
    </row>
    <row r="904" spans="1:3" ht="12.5">
      <c r="A904" s="11"/>
      <c r="C904" s="5"/>
    </row>
    <row r="905" spans="1:3" ht="12.5">
      <c r="A905" s="11"/>
      <c r="C905" s="5"/>
    </row>
    <row r="906" spans="1:3" ht="12.5">
      <c r="A906" s="11"/>
      <c r="C906" s="5"/>
    </row>
    <row r="907" spans="1:3" ht="12.5">
      <c r="A907" s="11"/>
      <c r="C907" s="5"/>
    </row>
    <row r="908" spans="1:3" ht="12.5">
      <c r="A908" s="11"/>
      <c r="C908" s="5"/>
    </row>
    <row r="909" spans="1:3" ht="12.5">
      <c r="A909" s="11"/>
      <c r="C909" s="5"/>
    </row>
    <row r="910" spans="1:3" ht="12.5">
      <c r="A910" s="11"/>
      <c r="C910" s="5"/>
    </row>
    <row r="911" spans="1:3" ht="12.5">
      <c r="A911" s="11"/>
      <c r="C911" s="5"/>
    </row>
    <row r="912" spans="1:3" ht="12.5">
      <c r="A912" s="11"/>
      <c r="C912" s="5"/>
    </row>
    <row r="913" spans="1:3" ht="12.5">
      <c r="A913" s="11"/>
      <c r="C913" s="5"/>
    </row>
    <row r="914" spans="1:3" ht="12.5">
      <c r="A914" s="11"/>
      <c r="C914" s="5"/>
    </row>
    <row r="915" spans="1:3" ht="12.5">
      <c r="A915" s="11"/>
      <c r="C915" s="5"/>
    </row>
    <row r="916" spans="1:3" ht="12.5">
      <c r="A916" s="11"/>
      <c r="C916" s="5"/>
    </row>
    <row r="917" spans="1:3" ht="12.5">
      <c r="A917" s="11"/>
      <c r="C917" s="5"/>
    </row>
    <row r="918" spans="1:3" ht="12.5">
      <c r="A918" s="11"/>
      <c r="C918" s="5"/>
    </row>
    <row r="919" spans="1:3" ht="12.5">
      <c r="A919" s="11"/>
      <c r="C919" s="5"/>
    </row>
    <row r="920" spans="1:3" ht="12.5">
      <c r="A920" s="11"/>
      <c r="C920" s="5"/>
    </row>
    <row r="921" spans="1:3" ht="12.5">
      <c r="A921" s="11"/>
      <c r="C921" s="5"/>
    </row>
    <row r="922" spans="1:3" ht="12.5">
      <c r="A922" s="11"/>
      <c r="C922" s="5"/>
    </row>
    <row r="923" spans="1:3" ht="12.5">
      <c r="A923" s="11"/>
      <c r="C923" s="5"/>
    </row>
    <row r="924" spans="1:3" ht="12.5">
      <c r="A924" s="11"/>
      <c r="C924" s="5"/>
    </row>
    <row r="925" spans="1:3" ht="12.5">
      <c r="A925" s="11"/>
      <c r="C925" s="5"/>
    </row>
    <row r="926" spans="1:3" ht="12.5">
      <c r="A926" s="11"/>
      <c r="C926" s="5"/>
    </row>
    <row r="927" spans="1:3" ht="12.5">
      <c r="A927" s="11"/>
      <c r="C927" s="5"/>
    </row>
    <row r="928" spans="1:3" ht="12.5">
      <c r="A928" s="11"/>
      <c r="C928" s="5"/>
    </row>
    <row r="929" spans="1:3" ht="12.5">
      <c r="A929" s="11"/>
      <c r="C929" s="5"/>
    </row>
    <row r="930" spans="1:3" ht="12.5">
      <c r="A930" s="11"/>
      <c r="C930" s="5"/>
    </row>
    <row r="931" spans="1:3" ht="12.5">
      <c r="A931" s="11"/>
      <c r="C931" s="5"/>
    </row>
    <row r="932" spans="1:3" ht="12.5">
      <c r="A932" s="11"/>
      <c r="C932" s="5"/>
    </row>
    <row r="933" spans="1:3" ht="12.5">
      <c r="A933" s="11"/>
      <c r="C933" s="5"/>
    </row>
    <row r="934" spans="1:3" ht="12.5">
      <c r="A934" s="11"/>
      <c r="C934" s="5"/>
    </row>
    <row r="935" spans="1:3" ht="12.5">
      <c r="A935" s="11"/>
      <c r="C935" s="5"/>
    </row>
    <row r="936" spans="1:3" ht="12.5">
      <c r="A936" s="11"/>
      <c r="C936" s="5"/>
    </row>
    <row r="937" spans="1:3" ht="12.5">
      <c r="A937" s="11"/>
      <c r="C937" s="5"/>
    </row>
    <row r="938" spans="1:3" ht="12.5">
      <c r="A938" s="11"/>
      <c r="C938" s="5"/>
    </row>
    <row r="939" spans="1:3" ht="12.5">
      <c r="A939" s="11"/>
      <c r="C939" s="5"/>
    </row>
    <row r="940" spans="1:3" ht="12.5">
      <c r="A940" s="11"/>
      <c r="C940" s="5"/>
    </row>
    <row r="941" spans="1:3" ht="12.5">
      <c r="A941" s="11"/>
      <c r="C941" s="5"/>
    </row>
    <row r="942" spans="1:3" ht="12.5">
      <c r="A942" s="11"/>
      <c r="C942" s="5"/>
    </row>
    <row r="943" spans="1:3" ht="12.5">
      <c r="A943" s="11"/>
      <c r="C943" s="5"/>
    </row>
    <row r="944" spans="1:3" ht="12.5">
      <c r="A944" s="11"/>
      <c r="C944" s="5"/>
    </row>
    <row r="945" spans="1:3" ht="12.5">
      <c r="A945" s="11"/>
      <c r="C945" s="5"/>
    </row>
    <row r="946" spans="1:3" ht="12.5">
      <c r="A946" s="11"/>
      <c r="C946" s="5"/>
    </row>
    <row r="947" spans="1:3" ht="12.5">
      <c r="A947" s="11"/>
      <c r="C947" s="5"/>
    </row>
    <row r="948" spans="1:3" ht="12.5">
      <c r="A948" s="11"/>
      <c r="C948" s="5"/>
    </row>
    <row r="949" spans="1:3" ht="12.5">
      <c r="A949" s="11"/>
      <c r="C949" s="5"/>
    </row>
    <row r="950" spans="1:3" ht="12.5">
      <c r="A950" s="11"/>
      <c r="C950" s="5"/>
    </row>
    <row r="951" spans="1:3" ht="12.5">
      <c r="A951" s="11"/>
      <c r="C951" s="5"/>
    </row>
    <row r="952" spans="1:3" ht="12.5">
      <c r="A952" s="11"/>
      <c r="C952" s="5"/>
    </row>
    <row r="953" spans="1:3" ht="12.5">
      <c r="A953" s="11"/>
      <c r="C953" s="5"/>
    </row>
    <row r="954" spans="1:3" ht="12.5">
      <c r="A954" s="11"/>
      <c r="C954" s="5"/>
    </row>
    <row r="955" spans="1:3" ht="12.5">
      <c r="A955" s="11"/>
      <c r="C955" s="5"/>
    </row>
    <row r="956" spans="1:3" ht="12.5">
      <c r="A956" s="11"/>
      <c r="C956" s="5"/>
    </row>
    <row r="957" spans="1:3" ht="12.5">
      <c r="A957" s="11"/>
      <c r="C957" s="5"/>
    </row>
    <row r="958" spans="1:3" ht="12.5">
      <c r="A958" s="11"/>
      <c r="C958" s="5"/>
    </row>
    <row r="959" spans="1:3" ht="12.5">
      <c r="A959" s="11"/>
      <c r="C959" s="5"/>
    </row>
    <row r="960" spans="1:3" ht="12.5">
      <c r="A960" s="11"/>
      <c r="C960" s="5"/>
    </row>
    <row r="961" spans="1:3" ht="12.5">
      <c r="A961" s="11"/>
      <c r="C961" s="5"/>
    </row>
    <row r="962" spans="1:3" ht="12.5">
      <c r="A962" s="11"/>
      <c r="C962" s="5"/>
    </row>
    <row r="963" spans="1:3" ht="12.5">
      <c r="A963" s="11"/>
      <c r="C963" s="5"/>
    </row>
    <row r="964" spans="1:3" ht="12.5">
      <c r="A964" s="11"/>
      <c r="C964" s="5"/>
    </row>
    <row r="965" spans="1:3" ht="12.5">
      <c r="A965" s="11"/>
      <c r="C965" s="5"/>
    </row>
    <row r="966" spans="1:3" ht="12.5">
      <c r="A966" s="11"/>
      <c r="C966" s="5"/>
    </row>
    <row r="967" spans="1:3" ht="12.5">
      <c r="A967" s="11"/>
      <c r="C967" s="5"/>
    </row>
    <row r="968" spans="1:3" ht="12.5">
      <c r="A968" s="11"/>
      <c r="C968" s="5"/>
    </row>
    <row r="969" spans="1:3" ht="12.5">
      <c r="A969" s="11"/>
      <c r="C969" s="5"/>
    </row>
    <row r="970" spans="1:3" ht="12.5">
      <c r="A970" s="11"/>
      <c r="C970" s="5"/>
    </row>
    <row r="971" spans="1:3" ht="12.5">
      <c r="A971" s="11"/>
      <c r="C971" s="5"/>
    </row>
    <row r="972" spans="1:3" ht="12.5">
      <c r="A972" s="11"/>
      <c r="C972" s="5"/>
    </row>
    <row r="973" spans="1:3" ht="12.5">
      <c r="A973" s="11"/>
      <c r="C973" s="5"/>
    </row>
    <row r="974" spans="1:3" ht="12.5">
      <c r="A974" s="11"/>
      <c r="C974" s="5"/>
    </row>
    <row r="975" spans="1:3" ht="12.5">
      <c r="A975" s="11"/>
      <c r="C975" s="5"/>
    </row>
    <row r="976" spans="1:3" ht="12.5">
      <c r="A976" s="11"/>
      <c r="C976" s="5"/>
    </row>
    <row r="977" spans="1:3" ht="12.5">
      <c r="A977" s="11"/>
      <c r="C977" s="5"/>
    </row>
    <row r="978" spans="1:3" ht="12.5">
      <c r="A978" s="11"/>
      <c r="C978" s="5"/>
    </row>
    <row r="979" spans="1:3" ht="12.5">
      <c r="A979" s="11"/>
      <c r="C979" s="5"/>
    </row>
    <row r="980" spans="1:3" ht="12.5">
      <c r="A980" s="11"/>
      <c r="C980" s="5"/>
    </row>
    <row r="981" spans="1:3" ht="12.5">
      <c r="A981" s="11"/>
      <c r="C981" s="5"/>
    </row>
    <row r="982" spans="1:3" ht="12.5">
      <c r="A982" s="11"/>
      <c r="C982" s="5"/>
    </row>
    <row r="983" spans="1:3" ht="12.5">
      <c r="A983" s="11"/>
      <c r="C983" s="5"/>
    </row>
    <row r="984" spans="1:3" ht="12.5">
      <c r="A984" s="11"/>
      <c r="C984" s="5"/>
    </row>
    <row r="985" spans="1:3" ht="12.5">
      <c r="A985" s="11"/>
      <c r="C985" s="5"/>
    </row>
    <row r="986" spans="1:3" ht="12.5">
      <c r="A986" s="11"/>
      <c r="C986" s="5"/>
    </row>
    <row r="987" spans="1:3" ht="12.5">
      <c r="A987" s="11"/>
      <c r="C987" s="5"/>
    </row>
    <row r="988" spans="1:3" ht="12.5">
      <c r="A988" s="11"/>
      <c r="C988" s="5"/>
    </row>
    <row r="989" spans="1:3" ht="12.5">
      <c r="A989" s="11"/>
      <c r="C989" s="5"/>
    </row>
    <row r="990" spans="1:3" ht="12.5">
      <c r="A990" s="11"/>
      <c r="C990" s="5"/>
    </row>
    <row r="991" spans="1:3" ht="12.5">
      <c r="A991" s="11"/>
      <c r="C991" s="5"/>
    </row>
    <row r="992" spans="1:3" ht="12.5">
      <c r="A992" s="11"/>
      <c r="C992" s="5"/>
    </row>
    <row r="993" spans="1:3" ht="12.5">
      <c r="A993" s="11"/>
      <c r="C993" s="5"/>
    </row>
    <row r="994" spans="1:3" ht="12.5">
      <c r="A994" s="11"/>
      <c r="C994" s="5"/>
    </row>
    <row r="995" spans="1:3" ht="12.5">
      <c r="A995" s="11"/>
      <c r="C995" s="5"/>
    </row>
    <row r="996" spans="1:3" ht="12.5">
      <c r="A996" s="11"/>
      <c r="C996" s="5"/>
    </row>
    <row r="997" spans="1:3" ht="12.5">
      <c r="A997" s="11"/>
      <c r="C997" s="5"/>
    </row>
    <row r="998" spans="1:3" ht="12.5">
      <c r="A998" s="11"/>
      <c r="C998" s="5"/>
    </row>
    <row r="999" spans="1:3" ht="12.5">
      <c r="A999" s="11"/>
      <c r="C999" s="5"/>
    </row>
    <row r="1000" spans="1:3" ht="12.5">
      <c r="A1000" s="11"/>
      <c r="C1000" s="5"/>
    </row>
  </sheetData>
  <dataValidations count="1">
    <dataValidation type="list" allowBlank="1" sqref="C2:C1000" xr:uid="{00000000-0002-0000-0100-000000000000}">
      <formula1>"Diagnosticați,Vindecați,Decedați"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Cazuri individuale cu dată spec</vt:lpstr>
      <vt:lpstr>Cazuri fără dată specificată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Horvat Norbert</cp:lastModifiedBy>
  <dcterms:modified xsi:type="dcterms:W3CDTF">2020-08-26T20:31:20Z</dcterms:modified>
</cp:coreProperties>
</file>