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horva\Desktop\Practica\Practica_covid19_UTCN\Script_generare_date\decese\"/>
    </mc:Choice>
  </mc:AlternateContent>
  <xr:revisionPtr revIDLastSave="0" documentId="13_ncr:1_{6BD685F9-828D-4EC1-AA1D-3A4B2B794F1E}" xr6:coauthVersionLast="43" xr6:coauthVersionMax="43" xr10:uidLastSave="{00000000-0000-0000-0000-000000000000}"/>
  <bookViews>
    <workbookView xWindow="2660" yWindow="2660" windowWidth="28800" windowHeight="15460" xr2:uid="{00000000-000D-0000-FFFF-FFFF00000000}"/>
  </bookViews>
  <sheets>
    <sheet name="Cazuri individuale cu dată spec" sheetId="1" r:id="rId1"/>
    <sheet name="Cazuri fără dată specificată"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T97" i="1" l="1"/>
  <c r="AS97" i="1"/>
  <c r="AR97" i="1"/>
  <c r="AQ97" i="1"/>
  <c r="AP97" i="1"/>
  <c r="AO97" i="1"/>
  <c r="AN97" i="1"/>
  <c r="AM97" i="1"/>
  <c r="AL97" i="1"/>
  <c r="AK97" i="1"/>
  <c r="AJ97" i="1"/>
  <c r="AI97" i="1"/>
  <c r="AH97" i="1"/>
  <c r="AG97" i="1"/>
  <c r="AF97" i="1"/>
  <c r="AE97" i="1"/>
  <c r="AD97" i="1"/>
  <c r="AC97" i="1"/>
  <c r="AB97" i="1"/>
  <c r="AA97" i="1"/>
  <c r="Y97" i="1"/>
  <c r="W97" i="1"/>
  <c r="V97" i="1"/>
  <c r="U97" i="1"/>
  <c r="T97" i="1"/>
  <c r="S97" i="1"/>
  <c r="R97" i="1"/>
  <c r="Q97" i="1"/>
  <c r="P97" i="1"/>
  <c r="O97" i="1"/>
  <c r="N97" i="1"/>
  <c r="M97" i="1"/>
  <c r="L97" i="1"/>
  <c r="K97" i="1"/>
  <c r="J97" i="1"/>
  <c r="I97" i="1"/>
  <c r="H97" i="1"/>
  <c r="G97" i="1"/>
  <c r="F97" i="1"/>
  <c r="E97" i="1"/>
  <c r="D97" i="1"/>
  <c r="C97" i="1"/>
  <c r="A97" i="1"/>
  <c r="AT96" i="1"/>
  <c r="AS96" i="1"/>
  <c r="AR96" i="1"/>
  <c r="AQ96" i="1"/>
  <c r="AP96" i="1"/>
  <c r="AO96" i="1"/>
  <c r="AN96" i="1"/>
  <c r="AM96" i="1"/>
  <c r="AL96" i="1"/>
  <c r="AK96" i="1"/>
  <c r="AJ96" i="1"/>
  <c r="AI96" i="1"/>
  <c r="AH96" i="1"/>
  <c r="AG96" i="1"/>
  <c r="AF96" i="1"/>
  <c r="AE96" i="1"/>
  <c r="AD96" i="1"/>
  <c r="AC96" i="1"/>
  <c r="AB96" i="1"/>
  <c r="AA96" i="1"/>
  <c r="Y96" i="1"/>
  <c r="W96" i="1"/>
  <c r="V96" i="1"/>
  <c r="U96" i="1"/>
  <c r="T96" i="1"/>
  <c r="S96" i="1"/>
  <c r="R96" i="1"/>
  <c r="Q96" i="1"/>
  <c r="P96" i="1"/>
  <c r="O96" i="1"/>
  <c r="N96" i="1"/>
  <c r="M96" i="1"/>
  <c r="L96" i="1"/>
  <c r="K96" i="1"/>
  <c r="J96" i="1"/>
  <c r="I96" i="1"/>
  <c r="H96" i="1"/>
  <c r="G96" i="1"/>
  <c r="F96" i="1"/>
  <c r="E96" i="1"/>
  <c r="D96" i="1"/>
  <c r="C96" i="1"/>
  <c r="B96" i="1"/>
  <c r="A96" i="1"/>
  <c r="AT95" i="1"/>
  <c r="AS95" i="1"/>
  <c r="AR95" i="1"/>
  <c r="AQ95" i="1"/>
  <c r="AP95" i="1"/>
  <c r="AO95" i="1"/>
  <c r="AN95" i="1"/>
  <c r="AM95" i="1"/>
  <c r="AL95" i="1"/>
  <c r="AK95" i="1"/>
  <c r="AJ95" i="1"/>
  <c r="AI95" i="1"/>
  <c r="AH95" i="1"/>
  <c r="AG95" i="1"/>
  <c r="AF95" i="1"/>
  <c r="AE95" i="1"/>
  <c r="AD95" i="1"/>
  <c r="AC95" i="1"/>
  <c r="AB95" i="1"/>
  <c r="AA95" i="1"/>
  <c r="Y95" i="1"/>
  <c r="W95" i="1"/>
  <c r="V95" i="1"/>
  <c r="U95" i="1"/>
  <c r="T95" i="1"/>
  <c r="S95" i="1"/>
  <c r="R95" i="1"/>
  <c r="Q95" i="1"/>
  <c r="P95" i="1"/>
  <c r="O95" i="1"/>
  <c r="N95" i="1"/>
  <c r="M95" i="1"/>
  <c r="L95" i="1"/>
  <c r="K95" i="1"/>
  <c r="J95" i="1"/>
  <c r="I95" i="1"/>
  <c r="H95" i="1"/>
  <c r="G95" i="1"/>
  <c r="F95" i="1"/>
  <c r="E95" i="1"/>
  <c r="D95" i="1"/>
  <c r="C95" i="1"/>
  <c r="A95" i="1"/>
  <c r="AT94" i="1"/>
  <c r="AS94" i="1"/>
  <c r="AR94" i="1"/>
  <c r="AQ94" i="1"/>
  <c r="AP94" i="1"/>
  <c r="AO94" i="1"/>
  <c r="AN94" i="1"/>
  <c r="AM94" i="1"/>
  <c r="AL94" i="1"/>
  <c r="AK94" i="1"/>
  <c r="AJ94" i="1"/>
  <c r="AI94" i="1"/>
  <c r="AH94" i="1"/>
  <c r="AG94" i="1"/>
  <c r="AF94" i="1"/>
  <c r="AE94" i="1"/>
  <c r="AD94" i="1"/>
  <c r="AC94" i="1"/>
  <c r="AB94" i="1"/>
  <c r="AA94" i="1"/>
  <c r="Y94" i="1"/>
  <c r="W94" i="1"/>
  <c r="V94" i="1"/>
  <c r="U94" i="1"/>
  <c r="T94" i="1"/>
  <c r="S94" i="1"/>
  <c r="R94" i="1"/>
  <c r="Q94" i="1"/>
  <c r="P94" i="1"/>
  <c r="O94" i="1"/>
  <c r="N94" i="1"/>
  <c r="M94" i="1"/>
  <c r="L94" i="1"/>
  <c r="K94" i="1"/>
  <c r="J94" i="1"/>
  <c r="I94" i="1"/>
  <c r="G94" i="1"/>
  <c r="F94" i="1"/>
  <c r="E94" i="1"/>
  <c r="D94" i="1"/>
  <c r="C94" i="1"/>
  <c r="A94" i="1"/>
  <c r="AT93" i="1"/>
  <c r="AS93" i="1"/>
  <c r="AR93" i="1"/>
  <c r="AQ93" i="1"/>
  <c r="AP93" i="1"/>
  <c r="AO93" i="1"/>
  <c r="AN93" i="1"/>
  <c r="AM93" i="1"/>
  <c r="AL93" i="1"/>
  <c r="AK93" i="1"/>
  <c r="AJ93" i="1"/>
  <c r="AI93" i="1"/>
  <c r="AH93" i="1"/>
  <c r="AG93" i="1"/>
  <c r="AF93" i="1"/>
  <c r="AE93" i="1"/>
  <c r="AD93" i="1"/>
  <c r="AC93" i="1"/>
  <c r="AB93" i="1"/>
  <c r="AA93" i="1"/>
  <c r="Y93" i="1"/>
  <c r="W93" i="1"/>
  <c r="V93" i="1"/>
  <c r="U93" i="1"/>
  <c r="T93" i="1"/>
  <c r="S93" i="1"/>
  <c r="R93" i="1"/>
  <c r="Q93" i="1"/>
  <c r="P93" i="1"/>
  <c r="O93" i="1"/>
  <c r="N93" i="1"/>
  <c r="M93" i="1"/>
  <c r="L93" i="1"/>
  <c r="K93" i="1"/>
  <c r="J93" i="1"/>
  <c r="I93" i="1"/>
  <c r="G93" i="1"/>
  <c r="F93" i="1"/>
  <c r="E93" i="1"/>
  <c r="D93" i="1"/>
  <c r="C93" i="1"/>
  <c r="A93" i="1"/>
  <c r="AT92" i="1"/>
  <c r="AS92" i="1"/>
  <c r="AR92" i="1"/>
  <c r="AQ92" i="1"/>
  <c r="AP92" i="1"/>
  <c r="AO92" i="1"/>
  <c r="AN92" i="1"/>
  <c r="AM92" i="1"/>
  <c r="AL92" i="1"/>
  <c r="AK92" i="1"/>
  <c r="AJ92" i="1"/>
  <c r="AI92" i="1"/>
  <c r="AH92" i="1"/>
  <c r="AG92" i="1"/>
  <c r="AF92" i="1"/>
  <c r="AE92" i="1"/>
  <c r="AD92" i="1"/>
  <c r="AC92" i="1"/>
  <c r="AB92" i="1"/>
  <c r="AA92" i="1"/>
  <c r="Y92" i="1"/>
  <c r="W92" i="1"/>
  <c r="V92" i="1"/>
  <c r="U92" i="1"/>
  <c r="T92" i="1"/>
  <c r="S92" i="1"/>
  <c r="R92" i="1"/>
  <c r="Q92" i="1"/>
  <c r="P92" i="1"/>
  <c r="O92" i="1"/>
  <c r="N92" i="1"/>
  <c r="M92" i="1"/>
  <c r="L92" i="1"/>
  <c r="K92" i="1"/>
  <c r="J92" i="1"/>
  <c r="I92" i="1"/>
  <c r="H92" i="1"/>
  <c r="G92" i="1"/>
  <c r="F92" i="1"/>
  <c r="E92" i="1"/>
  <c r="D92" i="1"/>
  <c r="C92" i="1"/>
  <c r="B92" i="1"/>
  <c r="A92" i="1"/>
  <c r="AT91" i="1"/>
  <c r="AS91" i="1"/>
  <c r="AR91" i="1"/>
  <c r="AQ91" i="1"/>
  <c r="AP91" i="1"/>
  <c r="AO91" i="1"/>
  <c r="AN91" i="1"/>
  <c r="AM91" i="1"/>
  <c r="AL91" i="1"/>
  <c r="AK91" i="1"/>
  <c r="AJ91" i="1"/>
  <c r="AI91" i="1"/>
  <c r="AH91" i="1"/>
  <c r="AG91" i="1"/>
  <c r="AF91" i="1"/>
  <c r="AE91" i="1"/>
  <c r="AD91" i="1"/>
  <c r="AC91" i="1"/>
  <c r="AB91" i="1"/>
  <c r="AA91" i="1"/>
  <c r="Y91" i="1"/>
  <c r="W91" i="1"/>
  <c r="V91" i="1"/>
  <c r="U91" i="1"/>
  <c r="T91" i="1"/>
  <c r="S91" i="1"/>
  <c r="R91" i="1"/>
  <c r="Q91" i="1"/>
  <c r="P91" i="1"/>
  <c r="O91" i="1"/>
  <c r="N91" i="1"/>
  <c r="M91" i="1"/>
  <c r="L91" i="1"/>
  <c r="K91" i="1"/>
  <c r="J91" i="1"/>
  <c r="I91" i="1"/>
  <c r="G91" i="1"/>
  <c r="F91" i="1"/>
  <c r="E91" i="1"/>
  <c r="D91" i="1"/>
  <c r="C91" i="1"/>
  <c r="A91" i="1"/>
  <c r="AT90" i="1"/>
  <c r="AS90" i="1"/>
  <c r="AR90" i="1"/>
  <c r="AQ90" i="1"/>
  <c r="AP90" i="1"/>
  <c r="AO90" i="1"/>
  <c r="AN90" i="1"/>
  <c r="AM90" i="1"/>
  <c r="AL90" i="1"/>
  <c r="AK90" i="1"/>
  <c r="AJ90" i="1"/>
  <c r="AI90" i="1"/>
  <c r="AH90" i="1"/>
  <c r="AG90" i="1"/>
  <c r="AF90" i="1"/>
  <c r="AE90" i="1"/>
  <c r="AD90" i="1"/>
  <c r="AC90" i="1"/>
  <c r="AB90" i="1"/>
  <c r="AA90" i="1"/>
  <c r="Y90" i="1"/>
  <c r="W90" i="1"/>
  <c r="V90" i="1"/>
  <c r="U90" i="1"/>
  <c r="T90" i="1"/>
  <c r="S90" i="1"/>
  <c r="R90" i="1"/>
  <c r="Q90" i="1"/>
  <c r="P90" i="1"/>
  <c r="O90" i="1"/>
  <c r="N90" i="1"/>
  <c r="M90" i="1"/>
  <c r="L90" i="1"/>
  <c r="K90" i="1"/>
  <c r="J90" i="1"/>
  <c r="I90" i="1"/>
  <c r="G90" i="1"/>
  <c r="F90" i="1"/>
  <c r="E90" i="1"/>
  <c r="D90" i="1"/>
  <c r="C90" i="1"/>
  <c r="A90" i="1"/>
  <c r="AT89" i="1"/>
  <c r="AS89" i="1"/>
  <c r="AR89" i="1"/>
  <c r="AQ89" i="1"/>
  <c r="AP89" i="1"/>
  <c r="AO89" i="1"/>
  <c r="AN89" i="1"/>
  <c r="AM89" i="1"/>
  <c r="AL89" i="1"/>
  <c r="AK89" i="1"/>
  <c r="AJ89" i="1"/>
  <c r="AI89" i="1"/>
  <c r="AH89" i="1"/>
  <c r="AG89" i="1"/>
  <c r="AF89" i="1"/>
  <c r="AE89" i="1"/>
  <c r="AD89" i="1"/>
  <c r="AC89" i="1"/>
  <c r="AB89" i="1"/>
  <c r="AA89" i="1"/>
  <c r="Y89" i="1"/>
  <c r="W89" i="1"/>
  <c r="V89" i="1"/>
  <c r="U89" i="1"/>
  <c r="T89" i="1"/>
  <c r="S89" i="1"/>
  <c r="R89" i="1"/>
  <c r="Q89" i="1"/>
  <c r="P89" i="1"/>
  <c r="O89" i="1"/>
  <c r="N89" i="1"/>
  <c r="M89" i="1"/>
  <c r="L89" i="1"/>
  <c r="K89" i="1"/>
  <c r="J89" i="1"/>
  <c r="I89" i="1"/>
  <c r="G89" i="1"/>
  <c r="F89" i="1"/>
  <c r="E89" i="1"/>
  <c r="D89" i="1"/>
  <c r="C89" i="1"/>
  <c r="A89" i="1"/>
  <c r="AT88" i="1"/>
  <c r="AS88" i="1"/>
  <c r="AR88" i="1"/>
  <c r="AQ88" i="1"/>
  <c r="AP88" i="1"/>
  <c r="AO88" i="1"/>
  <c r="AN88" i="1"/>
  <c r="AM88" i="1"/>
  <c r="AL88" i="1"/>
  <c r="AK88" i="1"/>
  <c r="AJ88" i="1"/>
  <c r="AI88" i="1"/>
  <c r="AH88" i="1"/>
  <c r="AG88" i="1"/>
  <c r="AF88" i="1"/>
  <c r="AE88" i="1"/>
  <c r="AD88" i="1"/>
  <c r="AC88" i="1"/>
  <c r="AB88" i="1"/>
  <c r="AA88" i="1"/>
  <c r="Y88" i="1"/>
  <c r="W88" i="1"/>
  <c r="V88" i="1"/>
  <c r="U88" i="1"/>
  <c r="T88" i="1"/>
  <c r="S88" i="1"/>
  <c r="R88" i="1"/>
  <c r="Q88" i="1"/>
  <c r="P88" i="1"/>
  <c r="O88" i="1"/>
  <c r="N88" i="1"/>
  <c r="M88" i="1"/>
  <c r="L88" i="1"/>
  <c r="K88" i="1"/>
  <c r="J88" i="1"/>
  <c r="I88" i="1"/>
  <c r="G88" i="1"/>
  <c r="F88" i="1"/>
  <c r="E88" i="1"/>
  <c r="D88" i="1"/>
  <c r="C88" i="1"/>
  <c r="A88" i="1"/>
  <c r="AT87" i="1"/>
  <c r="AS87" i="1"/>
  <c r="AR87" i="1"/>
  <c r="AQ87" i="1"/>
  <c r="AP87" i="1"/>
  <c r="AO87" i="1"/>
  <c r="AN87" i="1"/>
  <c r="AM87" i="1"/>
  <c r="AL87" i="1"/>
  <c r="AK87" i="1"/>
  <c r="AJ87" i="1"/>
  <c r="AI87" i="1"/>
  <c r="AH87" i="1"/>
  <c r="AG87" i="1"/>
  <c r="AF87" i="1"/>
  <c r="AE87" i="1"/>
  <c r="AD87" i="1"/>
  <c r="AC87" i="1"/>
  <c r="AB87" i="1"/>
  <c r="AA87" i="1"/>
  <c r="Y87" i="1"/>
  <c r="W87" i="1"/>
  <c r="V87" i="1"/>
  <c r="U87" i="1"/>
  <c r="T87" i="1"/>
  <c r="S87" i="1"/>
  <c r="R87" i="1"/>
  <c r="Q87" i="1"/>
  <c r="P87" i="1"/>
  <c r="O87" i="1"/>
  <c r="N87" i="1"/>
  <c r="M87" i="1"/>
  <c r="L87" i="1"/>
  <c r="K87" i="1"/>
  <c r="J87" i="1"/>
  <c r="I87" i="1"/>
  <c r="G87" i="1"/>
  <c r="F87" i="1"/>
  <c r="E87" i="1"/>
  <c r="D87" i="1"/>
  <c r="C87" i="1"/>
  <c r="A87" i="1"/>
  <c r="AT86" i="1"/>
  <c r="AS86" i="1"/>
  <c r="AR86" i="1"/>
  <c r="AQ86" i="1"/>
  <c r="AP86" i="1"/>
  <c r="AO86" i="1"/>
  <c r="AN86" i="1"/>
  <c r="AM86" i="1"/>
  <c r="AL86" i="1"/>
  <c r="AK86" i="1"/>
  <c r="AJ86" i="1"/>
  <c r="AI86" i="1"/>
  <c r="AH86" i="1"/>
  <c r="AG86" i="1"/>
  <c r="AF86" i="1"/>
  <c r="AE86" i="1"/>
  <c r="AD86" i="1"/>
  <c r="AC86" i="1"/>
  <c r="AB86" i="1"/>
  <c r="AA86" i="1"/>
  <c r="Y86" i="1"/>
  <c r="W86" i="1"/>
  <c r="V86" i="1"/>
  <c r="U86" i="1"/>
  <c r="T86" i="1"/>
  <c r="S86" i="1"/>
  <c r="R86" i="1"/>
  <c r="Q86" i="1"/>
  <c r="P86" i="1"/>
  <c r="O86" i="1"/>
  <c r="N86" i="1"/>
  <c r="M86" i="1"/>
  <c r="L86" i="1"/>
  <c r="K86" i="1"/>
  <c r="J86" i="1"/>
  <c r="I86" i="1"/>
  <c r="G86" i="1"/>
  <c r="F86" i="1"/>
  <c r="E86" i="1"/>
  <c r="D86" i="1"/>
  <c r="C86" i="1"/>
  <c r="A86" i="1"/>
  <c r="AT85" i="1"/>
  <c r="AS85" i="1"/>
  <c r="AR85" i="1"/>
  <c r="AQ85" i="1"/>
  <c r="AP85" i="1"/>
  <c r="AO85" i="1"/>
  <c r="AN85" i="1"/>
  <c r="AM85" i="1"/>
  <c r="AL85" i="1"/>
  <c r="AK85" i="1"/>
  <c r="AJ85" i="1"/>
  <c r="AI85" i="1"/>
  <c r="AH85" i="1"/>
  <c r="AG85" i="1"/>
  <c r="AF85" i="1"/>
  <c r="AE85" i="1"/>
  <c r="AD85" i="1"/>
  <c r="AC85" i="1"/>
  <c r="AB85" i="1"/>
  <c r="V85" i="1"/>
  <c r="U85" i="1"/>
  <c r="S85" i="1"/>
  <c r="R85" i="1"/>
  <c r="Q85" i="1"/>
  <c r="P85" i="1"/>
  <c r="O85" i="1"/>
  <c r="N85" i="1"/>
  <c r="M85" i="1"/>
  <c r="L85" i="1"/>
  <c r="K85" i="1"/>
  <c r="J85" i="1"/>
  <c r="I85" i="1"/>
  <c r="H85" i="1"/>
  <c r="G85" i="1"/>
  <c r="F85" i="1"/>
  <c r="E85" i="1"/>
  <c r="D85" i="1"/>
  <c r="C85" i="1"/>
  <c r="B85" i="1"/>
  <c r="A85" i="1"/>
  <c r="AT84" i="1"/>
  <c r="AS84" i="1"/>
  <c r="AR84" i="1"/>
  <c r="AQ84" i="1"/>
  <c r="AP84" i="1"/>
  <c r="AO84" i="1"/>
  <c r="AN84" i="1"/>
  <c r="AM84" i="1"/>
  <c r="AL84" i="1"/>
  <c r="AK84" i="1"/>
  <c r="AJ84" i="1"/>
  <c r="AI84" i="1"/>
  <c r="AH84" i="1"/>
  <c r="AG84" i="1"/>
  <c r="AF84" i="1"/>
  <c r="AE84" i="1"/>
  <c r="AD84" i="1"/>
  <c r="AC84" i="1"/>
  <c r="AB84" i="1"/>
  <c r="AA84" i="1"/>
  <c r="Y84" i="1"/>
  <c r="W84" i="1"/>
  <c r="V84" i="1"/>
  <c r="U84" i="1"/>
  <c r="S84" i="1"/>
  <c r="R84" i="1"/>
  <c r="Q84" i="1"/>
  <c r="P84" i="1"/>
  <c r="O84" i="1"/>
  <c r="N84" i="1"/>
  <c r="M84" i="1"/>
  <c r="L84" i="1"/>
  <c r="K84" i="1"/>
  <c r="J84" i="1"/>
  <c r="I84" i="1"/>
  <c r="G84" i="1"/>
  <c r="F84" i="1"/>
  <c r="E84" i="1"/>
  <c r="D84" i="1"/>
  <c r="C84" i="1"/>
  <c r="B84" i="1"/>
  <c r="A84" i="1"/>
  <c r="AT83" i="1"/>
  <c r="AS83" i="1"/>
  <c r="AR83" i="1"/>
  <c r="AQ83" i="1"/>
  <c r="AP83" i="1"/>
  <c r="AO83" i="1"/>
  <c r="AN83" i="1"/>
  <c r="AM83" i="1"/>
  <c r="AL83" i="1"/>
  <c r="AK83" i="1"/>
  <c r="AJ83" i="1"/>
  <c r="AI83" i="1"/>
  <c r="AH83" i="1"/>
  <c r="AG83" i="1"/>
  <c r="AF83" i="1"/>
  <c r="AE83" i="1"/>
  <c r="AD83" i="1"/>
  <c r="AC83" i="1"/>
  <c r="AB83" i="1"/>
  <c r="AA83" i="1"/>
  <c r="Y83" i="1"/>
  <c r="W83" i="1"/>
  <c r="V83" i="1"/>
  <c r="U83" i="1"/>
  <c r="T83" i="1"/>
  <c r="S83" i="1"/>
  <c r="R83" i="1"/>
  <c r="Q83" i="1"/>
  <c r="P83" i="1"/>
  <c r="O83" i="1"/>
  <c r="N83" i="1"/>
  <c r="M83" i="1"/>
  <c r="L83" i="1"/>
  <c r="K83" i="1"/>
  <c r="J83" i="1"/>
  <c r="I83" i="1"/>
  <c r="H83" i="1"/>
  <c r="G83" i="1"/>
  <c r="F83" i="1"/>
  <c r="E83" i="1"/>
  <c r="D83" i="1"/>
  <c r="C83" i="1"/>
  <c r="A83" i="1"/>
  <c r="AT82" i="1"/>
  <c r="AS82" i="1"/>
  <c r="AR82" i="1"/>
  <c r="AQ82" i="1"/>
  <c r="AP82" i="1"/>
  <c r="AO82" i="1"/>
  <c r="AN82" i="1"/>
  <c r="AM82" i="1"/>
  <c r="AL82" i="1"/>
  <c r="AK82" i="1"/>
  <c r="AJ82" i="1"/>
  <c r="AI82" i="1"/>
  <c r="AH82" i="1"/>
  <c r="AG82" i="1"/>
  <c r="AF82" i="1"/>
  <c r="AE82" i="1"/>
  <c r="AD82" i="1"/>
  <c r="AB82" i="1"/>
  <c r="AA82" i="1"/>
  <c r="Y82" i="1"/>
  <c r="W82" i="1"/>
  <c r="V82" i="1"/>
  <c r="U82" i="1"/>
  <c r="T82" i="1"/>
  <c r="S82" i="1"/>
  <c r="R82" i="1"/>
  <c r="Q82" i="1"/>
  <c r="P82" i="1"/>
  <c r="O82" i="1"/>
  <c r="N82" i="1"/>
  <c r="M82" i="1"/>
  <c r="L82" i="1"/>
  <c r="K82" i="1"/>
  <c r="J82" i="1"/>
  <c r="I82" i="1"/>
  <c r="G82" i="1"/>
  <c r="F82" i="1"/>
  <c r="E82" i="1"/>
  <c r="D82" i="1"/>
  <c r="C82" i="1"/>
  <c r="A82" i="1"/>
  <c r="AT81" i="1"/>
  <c r="AS81" i="1"/>
  <c r="AR81" i="1"/>
  <c r="AQ81" i="1"/>
  <c r="AP81" i="1"/>
  <c r="AO81" i="1"/>
  <c r="AN81" i="1"/>
  <c r="AM81" i="1"/>
  <c r="AL81" i="1"/>
  <c r="AK81" i="1"/>
  <c r="AJ81" i="1"/>
  <c r="AI81" i="1"/>
  <c r="AH81" i="1"/>
  <c r="AG81" i="1"/>
  <c r="AF81" i="1"/>
  <c r="AE81" i="1"/>
  <c r="AD81" i="1"/>
  <c r="AC81" i="1"/>
  <c r="AB81" i="1"/>
  <c r="AA81" i="1"/>
  <c r="Y81" i="1"/>
  <c r="W81" i="1"/>
  <c r="V81" i="1"/>
  <c r="U81" i="1"/>
  <c r="T81" i="1"/>
  <c r="S81" i="1"/>
  <c r="R81" i="1"/>
  <c r="Q81" i="1"/>
  <c r="P81" i="1"/>
  <c r="O81" i="1"/>
  <c r="N81" i="1"/>
  <c r="M81" i="1"/>
  <c r="L81" i="1"/>
  <c r="K81" i="1"/>
  <c r="J81" i="1"/>
  <c r="I81" i="1"/>
  <c r="G81" i="1"/>
  <c r="F81" i="1"/>
  <c r="E81" i="1"/>
  <c r="D81" i="1"/>
  <c r="C81" i="1"/>
  <c r="A81" i="1"/>
  <c r="AT80" i="1"/>
  <c r="AS80" i="1"/>
  <c r="AR80" i="1"/>
  <c r="AQ80" i="1"/>
  <c r="AP80" i="1"/>
  <c r="AO80" i="1"/>
  <c r="AN80" i="1"/>
  <c r="AM80" i="1"/>
  <c r="AL80" i="1"/>
  <c r="AK80" i="1"/>
  <c r="AJ80" i="1"/>
  <c r="AI80" i="1"/>
  <c r="AH80" i="1"/>
  <c r="AG80" i="1"/>
  <c r="AF80" i="1"/>
  <c r="AE80" i="1"/>
  <c r="AD80" i="1"/>
  <c r="AC80" i="1"/>
  <c r="AB80" i="1"/>
  <c r="AA80" i="1"/>
  <c r="Y80" i="1"/>
  <c r="W80" i="1"/>
  <c r="V80" i="1"/>
  <c r="U80" i="1"/>
  <c r="T80" i="1"/>
  <c r="S80" i="1"/>
  <c r="R80" i="1"/>
  <c r="Q80" i="1"/>
  <c r="P80" i="1"/>
  <c r="O80" i="1"/>
  <c r="N80" i="1"/>
  <c r="M80" i="1"/>
  <c r="L80" i="1"/>
  <c r="K80" i="1"/>
  <c r="J80" i="1"/>
  <c r="I80" i="1"/>
  <c r="G80" i="1"/>
  <c r="F80" i="1"/>
  <c r="E80" i="1"/>
  <c r="D80" i="1"/>
  <c r="C80" i="1"/>
  <c r="A80" i="1"/>
  <c r="AT79" i="1"/>
  <c r="AS79" i="1"/>
  <c r="AR79" i="1"/>
  <c r="AQ79" i="1"/>
  <c r="AP79" i="1"/>
  <c r="AO79" i="1"/>
  <c r="AN79" i="1"/>
  <c r="AM79" i="1"/>
  <c r="AL79" i="1"/>
  <c r="AK79" i="1"/>
  <c r="AJ79" i="1"/>
  <c r="AI79" i="1"/>
  <c r="AH79" i="1"/>
  <c r="AG79" i="1"/>
  <c r="AF79" i="1"/>
  <c r="AE79" i="1"/>
  <c r="AD79" i="1"/>
  <c r="AC79" i="1"/>
  <c r="AB79" i="1"/>
  <c r="AA79" i="1"/>
  <c r="Y79" i="1"/>
  <c r="W79" i="1"/>
  <c r="V79" i="1"/>
  <c r="U79" i="1"/>
  <c r="T79" i="1"/>
  <c r="S79" i="1"/>
  <c r="R79" i="1"/>
  <c r="Q79" i="1"/>
  <c r="P79" i="1"/>
  <c r="O79" i="1"/>
  <c r="N79" i="1"/>
  <c r="M79" i="1"/>
  <c r="L79" i="1"/>
  <c r="K79" i="1"/>
  <c r="J79" i="1"/>
  <c r="I79" i="1"/>
  <c r="G79" i="1"/>
  <c r="F79" i="1"/>
  <c r="E79" i="1"/>
  <c r="D79" i="1"/>
  <c r="C79" i="1"/>
  <c r="A79" i="1"/>
  <c r="AT78" i="1"/>
  <c r="AS78" i="1"/>
  <c r="AR78" i="1"/>
  <c r="AQ78" i="1"/>
  <c r="AP78" i="1"/>
  <c r="AO78" i="1"/>
  <c r="AN78" i="1"/>
  <c r="AM78" i="1"/>
  <c r="AL78" i="1"/>
  <c r="AK78" i="1"/>
  <c r="AJ78" i="1"/>
  <c r="AI78" i="1"/>
  <c r="AH78" i="1"/>
  <c r="AG78" i="1"/>
  <c r="AF78" i="1"/>
  <c r="AE78" i="1"/>
  <c r="AD78" i="1"/>
  <c r="AC78" i="1"/>
  <c r="AB78" i="1"/>
  <c r="AA78" i="1"/>
  <c r="Z78" i="1"/>
  <c r="Y78" i="1"/>
  <c r="W78" i="1"/>
  <c r="V78" i="1"/>
  <c r="U78" i="1"/>
  <c r="T78" i="1"/>
  <c r="S78" i="1"/>
  <c r="R78" i="1"/>
  <c r="Q78" i="1"/>
  <c r="P78" i="1"/>
  <c r="O78" i="1"/>
  <c r="N78" i="1"/>
  <c r="M78" i="1"/>
  <c r="L78" i="1"/>
  <c r="K78" i="1"/>
  <c r="J78" i="1"/>
  <c r="I78" i="1"/>
  <c r="G78" i="1"/>
  <c r="F78" i="1"/>
  <c r="E78" i="1"/>
  <c r="D78" i="1"/>
  <c r="C78" i="1"/>
  <c r="A78" i="1"/>
  <c r="AT77" i="1"/>
  <c r="AS77" i="1"/>
  <c r="AR77" i="1"/>
  <c r="AQ77" i="1"/>
  <c r="AP77" i="1"/>
  <c r="AO77" i="1"/>
  <c r="AN77" i="1"/>
  <c r="AM77" i="1"/>
  <c r="AL77" i="1"/>
  <c r="AK77" i="1"/>
  <c r="AJ77" i="1"/>
  <c r="AI77" i="1"/>
  <c r="AH77" i="1"/>
  <c r="AG77" i="1"/>
  <c r="AF77" i="1"/>
  <c r="AE77" i="1"/>
  <c r="AD77" i="1"/>
  <c r="AC77" i="1"/>
  <c r="AB77" i="1"/>
  <c r="AA77" i="1"/>
  <c r="Y77" i="1"/>
  <c r="W77" i="1"/>
  <c r="V77" i="1"/>
  <c r="U77" i="1"/>
  <c r="T77" i="1"/>
  <c r="S77" i="1"/>
  <c r="R77" i="1"/>
  <c r="Q77" i="1"/>
  <c r="P77" i="1"/>
  <c r="O77" i="1"/>
  <c r="N77" i="1"/>
  <c r="M77" i="1"/>
  <c r="L77" i="1"/>
  <c r="K77" i="1"/>
  <c r="J77" i="1"/>
  <c r="I77" i="1"/>
  <c r="G77" i="1"/>
  <c r="F77" i="1"/>
  <c r="E77" i="1"/>
  <c r="D77" i="1"/>
  <c r="C77" i="1"/>
  <c r="A77" i="1"/>
  <c r="AT76" i="1"/>
  <c r="AS76" i="1"/>
  <c r="AR76" i="1"/>
  <c r="AQ76" i="1"/>
  <c r="AP76" i="1"/>
  <c r="AO76" i="1"/>
  <c r="AN76" i="1"/>
  <c r="AM76" i="1"/>
  <c r="AL76" i="1"/>
  <c r="AK76" i="1"/>
  <c r="AJ76" i="1"/>
  <c r="AI76" i="1"/>
  <c r="AH76" i="1"/>
  <c r="AG76" i="1"/>
  <c r="AF76" i="1"/>
  <c r="AE76" i="1"/>
  <c r="AD76" i="1"/>
  <c r="AC76" i="1"/>
  <c r="AB76" i="1"/>
  <c r="V76" i="1"/>
  <c r="U76" i="1"/>
  <c r="T76" i="1"/>
  <c r="S76" i="1"/>
  <c r="R76" i="1"/>
  <c r="Q76" i="1"/>
  <c r="P76" i="1"/>
  <c r="O76" i="1"/>
  <c r="N76" i="1"/>
  <c r="M76" i="1"/>
  <c r="L76" i="1"/>
  <c r="K76" i="1"/>
  <c r="J76" i="1"/>
  <c r="I76" i="1"/>
  <c r="G76" i="1"/>
  <c r="F76" i="1"/>
  <c r="E76" i="1"/>
  <c r="D76" i="1"/>
  <c r="C76" i="1"/>
  <c r="A76" i="1"/>
  <c r="AT75" i="1"/>
  <c r="AS75" i="1"/>
  <c r="AR75" i="1"/>
  <c r="AQ75" i="1"/>
  <c r="AP75" i="1"/>
  <c r="AO75" i="1"/>
  <c r="AN75" i="1"/>
  <c r="AM75" i="1"/>
  <c r="AL75" i="1"/>
  <c r="AK75" i="1"/>
  <c r="AJ75" i="1"/>
  <c r="AI75" i="1"/>
  <c r="AH75" i="1"/>
  <c r="AG75" i="1"/>
  <c r="AF75" i="1"/>
  <c r="AE75" i="1"/>
  <c r="AD75" i="1"/>
  <c r="AC75" i="1"/>
  <c r="AB75" i="1"/>
  <c r="V75" i="1"/>
  <c r="U75" i="1"/>
  <c r="T75" i="1"/>
  <c r="S75" i="1"/>
  <c r="R75" i="1"/>
  <c r="Q75" i="1"/>
  <c r="P75" i="1"/>
  <c r="O75" i="1"/>
  <c r="N75" i="1"/>
  <c r="M75" i="1"/>
  <c r="L75" i="1"/>
  <c r="K75" i="1"/>
  <c r="J75" i="1"/>
  <c r="I75" i="1"/>
  <c r="G75" i="1"/>
  <c r="F75" i="1"/>
  <c r="E75" i="1"/>
  <c r="D75" i="1"/>
  <c r="C75" i="1"/>
  <c r="A75" i="1"/>
  <c r="AT74" i="1"/>
  <c r="AS74" i="1"/>
  <c r="AR74" i="1"/>
  <c r="AQ74" i="1"/>
  <c r="AP74" i="1"/>
  <c r="AO74" i="1"/>
  <c r="AN74" i="1"/>
  <c r="AM74" i="1"/>
  <c r="AL74" i="1"/>
  <c r="AK74" i="1"/>
  <c r="AJ74" i="1"/>
  <c r="AI74" i="1"/>
  <c r="AH74" i="1"/>
  <c r="AG74" i="1"/>
  <c r="AF74" i="1"/>
  <c r="AE74" i="1"/>
  <c r="AD74" i="1"/>
  <c r="AB74" i="1"/>
  <c r="AA74" i="1"/>
  <c r="Y74" i="1"/>
  <c r="W74" i="1"/>
  <c r="V74" i="1"/>
  <c r="U74" i="1"/>
  <c r="T74" i="1"/>
  <c r="S74" i="1"/>
  <c r="R74" i="1"/>
  <c r="Q74" i="1"/>
  <c r="P74" i="1"/>
  <c r="O74" i="1"/>
  <c r="N74" i="1"/>
  <c r="M74" i="1"/>
  <c r="L74" i="1"/>
  <c r="K74" i="1"/>
  <c r="J74" i="1"/>
  <c r="I74" i="1"/>
  <c r="G74" i="1"/>
  <c r="F74" i="1"/>
  <c r="E74" i="1"/>
  <c r="D74" i="1"/>
  <c r="C74" i="1"/>
  <c r="A74" i="1"/>
  <c r="AT73" i="1"/>
  <c r="AS73" i="1"/>
  <c r="AR73" i="1"/>
  <c r="AQ73" i="1"/>
  <c r="AP73" i="1"/>
  <c r="AO73" i="1"/>
  <c r="AN73" i="1"/>
  <c r="AM73" i="1"/>
  <c r="AL73" i="1"/>
  <c r="AK73" i="1"/>
  <c r="AJ73" i="1"/>
  <c r="AI73" i="1"/>
  <c r="AH73" i="1"/>
  <c r="AG73" i="1"/>
  <c r="AF73" i="1"/>
  <c r="AE73" i="1"/>
  <c r="AD73" i="1"/>
  <c r="AC73" i="1"/>
  <c r="AB73" i="1"/>
  <c r="V73" i="1"/>
  <c r="U73" i="1"/>
  <c r="T73" i="1"/>
  <c r="S73" i="1"/>
  <c r="R73" i="1"/>
  <c r="Q73" i="1"/>
  <c r="P73" i="1"/>
  <c r="O73" i="1"/>
  <c r="N73" i="1"/>
  <c r="M73" i="1"/>
  <c r="L73" i="1"/>
  <c r="K73" i="1"/>
  <c r="J73" i="1"/>
  <c r="I73" i="1"/>
  <c r="G73" i="1"/>
  <c r="F73" i="1"/>
  <c r="E73" i="1"/>
  <c r="D73" i="1"/>
  <c r="C73" i="1"/>
  <c r="A73" i="1"/>
  <c r="AT72" i="1"/>
  <c r="AS72" i="1"/>
  <c r="AR72" i="1"/>
  <c r="AQ72" i="1"/>
  <c r="AP72" i="1"/>
  <c r="AO72" i="1"/>
  <c r="AN72" i="1"/>
  <c r="AM72" i="1"/>
  <c r="AL72" i="1"/>
  <c r="AK72" i="1"/>
  <c r="AJ72" i="1"/>
  <c r="AI72" i="1"/>
  <c r="AH72" i="1"/>
  <c r="AG72" i="1"/>
  <c r="AF72" i="1"/>
  <c r="AE72" i="1"/>
  <c r="AD72" i="1"/>
  <c r="AC72" i="1"/>
  <c r="AB72" i="1"/>
  <c r="V72" i="1"/>
  <c r="U72" i="1"/>
  <c r="T72" i="1"/>
  <c r="S72" i="1"/>
  <c r="R72" i="1"/>
  <c r="Q72" i="1"/>
  <c r="P72" i="1"/>
  <c r="O72" i="1"/>
  <c r="N72" i="1"/>
  <c r="M72" i="1"/>
  <c r="L72" i="1"/>
  <c r="K72" i="1"/>
  <c r="J72" i="1"/>
  <c r="I72" i="1"/>
  <c r="G72" i="1"/>
  <c r="F72" i="1"/>
  <c r="E72" i="1"/>
  <c r="D72" i="1"/>
  <c r="C72" i="1"/>
  <c r="B72" i="1"/>
  <c r="A72" i="1"/>
  <c r="AT71" i="1"/>
  <c r="AS71" i="1"/>
  <c r="AR71" i="1"/>
  <c r="AQ71" i="1"/>
  <c r="AP71" i="1"/>
  <c r="AO71" i="1"/>
  <c r="AN71" i="1"/>
  <c r="AM71" i="1"/>
  <c r="AL71" i="1"/>
  <c r="AK71" i="1"/>
  <c r="AJ71" i="1"/>
  <c r="AI71" i="1"/>
  <c r="AH71" i="1"/>
  <c r="AG71" i="1"/>
  <c r="AF71" i="1"/>
  <c r="AE71" i="1"/>
  <c r="AD71" i="1"/>
  <c r="AC71" i="1"/>
  <c r="AB71" i="1"/>
  <c r="V71" i="1"/>
  <c r="U71" i="1"/>
  <c r="T71" i="1"/>
  <c r="S71" i="1"/>
  <c r="R71" i="1"/>
  <c r="Q71" i="1"/>
  <c r="P71" i="1"/>
  <c r="O71" i="1"/>
  <c r="N71" i="1"/>
  <c r="M71" i="1"/>
  <c r="L71" i="1"/>
  <c r="K71" i="1"/>
  <c r="J71" i="1"/>
  <c r="I71" i="1"/>
  <c r="G71" i="1"/>
  <c r="F71" i="1"/>
  <c r="E71" i="1"/>
  <c r="D71" i="1"/>
  <c r="C71" i="1"/>
  <c r="A71" i="1"/>
  <c r="AT70" i="1"/>
  <c r="AS70" i="1"/>
  <c r="AR70" i="1"/>
  <c r="AQ70" i="1"/>
  <c r="AP70" i="1"/>
  <c r="AO70" i="1"/>
  <c r="AN70" i="1"/>
  <c r="AM70" i="1"/>
  <c r="AL70" i="1"/>
  <c r="AK70" i="1"/>
  <c r="AJ70" i="1"/>
  <c r="AI70" i="1"/>
  <c r="AH70" i="1"/>
  <c r="AG70" i="1"/>
  <c r="AD70" i="1"/>
  <c r="AB70" i="1"/>
  <c r="AA70" i="1"/>
  <c r="Y70" i="1"/>
  <c r="W70" i="1"/>
  <c r="V70" i="1"/>
  <c r="U70" i="1"/>
  <c r="T70" i="1"/>
  <c r="S70" i="1"/>
  <c r="R70" i="1"/>
  <c r="Q70" i="1"/>
  <c r="P70" i="1"/>
  <c r="O70" i="1"/>
  <c r="N70" i="1"/>
  <c r="M70" i="1"/>
  <c r="L70" i="1"/>
  <c r="K70" i="1"/>
  <c r="J70" i="1"/>
  <c r="I70" i="1"/>
  <c r="G70" i="1"/>
  <c r="F70" i="1"/>
  <c r="E70" i="1"/>
  <c r="D70" i="1"/>
  <c r="C70" i="1"/>
  <c r="A70" i="1"/>
  <c r="AT69" i="1"/>
  <c r="AS69" i="1"/>
  <c r="AR69" i="1"/>
  <c r="AQ69" i="1"/>
  <c r="AP69" i="1"/>
  <c r="AO69" i="1"/>
  <c r="AN69" i="1"/>
  <c r="AM69" i="1"/>
  <c r="AL69" i="1"/>
  <c r="AK69" i="1"/>
  <c r="AJ69" i="1"/>
  <c r="AI69" i="1"/>
  <c r="AH69" i="1"/>
  <c r="AG69" i="1"/>
  <c r="AD69" i="1"/>
  <c r="AB69" i="1"/>
  <c r="V69" i="1"/>
  <c r="U69" i="1"/>
  <c r="T69" i="1"/>
  <c r="S69" i="1"/>
  <c r="R69" i="1"/>
  <c r="Q69" i="1"/>
  <c r="P69" i="1"/>
  <c r="O69" i="1"/>
  <c r="N69" i="1"/>
  <c r="M69" i="1"/>
  <c r="L69" i="1"/>
  <c r="K69" i="1"/>
  <c r="J69" i="1"/>
  <c r="I69" i="1"/>
  <c r="G69" i="1"/>
  <c r="F69" i="1"/>
  <c r="E69" i="1"/>
  <c r="D69" i="1"/>
  <c r="C69" i="1"/>
  <c r="A69" i="1"/>
  <c r="AT68" i="1"/>
  <c r="AS68" i="1"/>
  <c r="AR68" i="1"/>
  <c r="AQ68" i="1"/>
  <c r="AP68" i="1"/>
  <c r="AO68" i="1"/>
  <c r="AN68" i="1"/>
  <c r="AM68" i="1"/>
  <c r="AL68" i="1"/>
  <c r="AK68" i="1"/>
  <c r="AJ68" i="1"/>
  <c r="AI68" i="1"/>
  <c r="AH68" i="1"/>
  <c r="AG68" i="1"/>
  <c r="AD68" i="1"/>
  <c r="AB68" i="1"/>
  <c r="V68" i="1"/>
  <c r="U68" i="1"/>
  <c r="T68" i="1"/>
  <c r="S68" i="1"/>
  <c r="R68" i="1"/>
  <c r="Q68" i="1"/>
  <c r="P68" i="1"/>
  <c r="O68" i="1"/>
  <c r="N68" i="1"/>
  <c r="M68" i="1"/>
  <c r="L68" i="1"/>
  <c r="K68" i="1"/>
  <c r="J68" i="1"/>
  <c r="I68" i="1"/>
  <c r="G68" i="1"/>
  <c r="F68" i="1"/>
  <c r="E68" i="1"/>
  <c r="D68" i="1"/>
  <c r="C68" i="1"/>
  <c r="A68" i="1"/>
  <c r="AT67" i="1"/>
  <c r="AS67" i="1"/>
  <c r="AR67" i="1"/>
  <c r="AQ67" i="1"/>
  <c r="AP67" i="1"/>
  <c r="AO67" i="1"/>
  <c r="AN67" i="1"/>
  <c r="AM67" i="1"/>
  <c r="AL67" i="1"/>
  <c r="AK67" i="1"/>
  <c r="AJ67" i="1"/>
  <c r="AI67" i="1"/>
  <c r="AH67" i="1"/>
  <c r="AG67" i="1"/>
  <c r="AD67" i="1"/>
  <c r="AB67" i="1"/>
  <c r="V67" i="1"/>
  <c r="U67" i="1"/>
  <c r="T67" i="1"/>
  <c r="S67" i="1"/>
  <c r="R67" i="1"/>
  <c r="Q67" i="1"/>
  <c r="P67" i="1"/>
  <c r="O67" i="1"/>
  <c r="N67" i="1"/>
  <c r="M67" i="1"/>
  <c r="L67" i="1"/>
  <c r="K67" i="1"/>
  <c r="J67" i="1"/>
  <c r="I67" i="1"/>
  <c r="G67" i="1"/>
  <c r="F67" i="1"/>
  <c r="E67" i="1"/>
  <c r="D67" i="1"/>
  <c r="C67" i="1"/>
  <c r="A67" i="1"/>
  <c r="AT66" i="1"/>
  <c r="AS66" i="1"/>
  <c r="AR66" i="1"/>
  <c r="AQ66" i="1"/>
  <c r="AP66" i="1"/>
  <c r="AO66" i="1"/>
  <c r="AN66" i="1"/>
  <c r="AM66" i="1"/>
  <c r="AL66" i="1"/>
  <c r="AK66" i="1"/>
  <c r="AJ66" i="1"/>
  <c r="AI66" i="1"/>
  <c r="AH66" i="1"/>
  <c r="AG66" i="1"/>
  <c r="AF66" i="1"/>
  <c r="AD66" i="1"/>
  <c r="AB66" i="1"/>
  <c r="V66" i="1"/>
  <c r="U66" i="1"/>
  <c r="T66" i="1"/>
  <c r="S66" i="1"/>
  <c r="R66" i="1"/>
  <c r="Q66" i="1"/>
  <c r="P66" i="1"/>
  <c r="O66" i="1"/>
  <c r="N66" i="1"/>
  <c r="M66" i="1"/>
  <c r="L66" i="1"/>
  <c r="K66" i="1"/>
  <c r="J66" i="1"/>
  <c r="I66" i="1"/>
  <c r="G66" i="1"/>
  <c r="F66" i="1"/>
  <c r="E66" i="1"/>
  <c r="D66" i="1"/>
  <c r="C66" i="1"/>
  <c r="B66" i="1"/>
  <c r="A66" i="1"/>
  <c r="AT65" i="1"/>
  <c r="AS65" i="1"/>
  <c r="AR65" i="1"/>
  <c r="AQ65" i="1"/>
  <c r="AP65" i="1"/>
  <c r="AO65" i="1"/>
  <c r="AN65" i="1"/>
  <c r="AM65" i="1"/>
  <c r="AL65" i="1"/>
  <c r="AK65" i="1"/>
  <c r="AJ65" i="1"/>
  <c r="AI65" i="1"/>
  <c r="AH65" i="1"/>
  <c r="AG65" i="1"/>
  <c r="AD65" i="1"/>
  <c r="AB65" i="1"/>
  <c r="V65" i="1"/>
  <c r="U65" i="1"/>
  <c r="T65" i="1"/>
  <c r="S65" i="1"/>
  <c r="R65" i="1"/>
  <c r="Q65" i="1"/>
  <c r="P65" i="1"/>
  <c r="O65" i="1"/>
  <c r="M65" i="1"/>
  <c r="L65" i="1"/>
  <c r="K65" i="1"/>
  <c r="J65" i="1"/>
  <c r="I65" i="1"/>
  <c r="G65" i="1"/>
  <c r="F65" i="1"/>
  <c r="E65" i="1"/>
  <c r="D65" i="1"/>
  <c r="C65" i="1"/>
  <c r="A65" i="1"/>
  <c r="AT64" i="1"/>
  <c r="AS64" i="1"/>
  <c r="AR64" i="1"/>
  <c r="AQ64" i="1"/>
  <c r="AP64" i="1"/>
  <c r="AO64" i="1"/>
  <c r="AN64" i="1"/>
  <c r="AM64" i="1"/>
  <c r="AL64" i="1"/>
  <c r="AK64" i="1"/>
  <c r="AJ64" i="1"/>
  <c r="AI64" i="1"/>
  <c r="AH64" i="1"/>
  <c r="AG64" i="1"/>
  <c r="AD64" i="1"/>
  <c r="AB64" i="1"/>
  <c r="AA64" i="1"/>
  <c r="Y64" i="1"/>
  <c r="X64" i="1"/>
  <c r="W64" i="1"/>
  <c r="V64" i="1"/>
  <c r="U64" i="1"/>
  <c r="T64" i="1"/>
  <c r="S64" i="1"/>
  <c r="R64" i="1"/>
  <c r="Q64" i="1"/>
  <c r="P64" i="1"/>
  <c r="O64" i="1"/>
  <c r="M64" i="1"/>
  <c r="L64" i="1"/>
  <c r="K64" i="1"/>
  <c r="J64" i="1"/>
  <c r="I64" i="1"/>
  <c r="G64" i="1"/>
  <c r="F64" i="1"/>
  <c r="E64" i="1"/>
  <c r="D64" i="1"/>
  <c r="C64" i="1"/>
  <c r="A64" i="1"/>
  <c r="AT63" i="1"/>
  <c r="AS63" i="1"/>
  <c r="AR63" i="1"/>
  <c r="AQ63" i="1"/>
  <c r="AP63" i="1"/>
  <c r="AO63" i="1"/>
  <c r="AN63" i="1"/>
  <c r="AM63" i="1"/>
  <c r="AL63" i="1"/>
  <c r="AK63" i="1"/>
  <c r="AJ63" i="1"/>
  <c r="AI63" i="1"/>
  <c r="AH63" i="1"/>
  <c r="AG63" i="1"/>
  <c r="AD63" i="1"/>
  <c r="AB63" i="1"/>
  <c r="AA63" i="1"/>
  <c r="Y63" i="1"/>
  <c r="X63" i="1"/>
  <c r="W63" i="1"/>
  <c r="V63" i="1"/>
  <c r="U63" i="1"/>
  <c r="T63" i="1"/>
  <c r="S63" i="1"/>
  <c r="R63" i="1"/>
  <c r="Q63" i="1"/>
  <c r="P63" i="1"/>
  <c r="O63" i="1"/>
  <c r="M63" i="1"/>
  <c r="L63" i="1"/>
  <c r="K63" i="1"/>
  <c r="J63" i="1"/>
  <c r="I63" i="1"/>
  <c r="G63" i="1"/>
  <c r="F63" i="1"/>
  <c r="E63" i="1"/>
  <c r="D63" i="1"/>
  <c r="C63" i="1"/>
  <c r="A63" i="1"/>
  <c r="AT62" i="1"/>
  <c r="AS62" i="1"/>
  <c r="AR62" i="1"/>
  <c r="AQ62" i="1"/>
  <c r="AP62" i="1"/>
  <c r="AO62" i="1"/>
  <c r="AN62" i="1"/>
  <c r="AM62" i="1"/>
  <c r="AL62" i="1"/>
  <c r="AK62" i="1"/>
  <c r="AJ62" i="1"/>
  <c r="AI62" i="1"/>
  <c r="AH62" i="1"/>
  <c r="AG62" i="1"/>
  <c r="AD62" i="1"/>
  <c r="AB62" i="1"/>
  <c r="AA62" i="1"/>
  <c r="Z62" i="1"/>
  <c r="Y62" i="1"/>
  <c r="W62" i="1"/>
  <c r="V62" i="1"/>
  <c r="U62" i="1"/>
  <c r="T62" i="1"/>
  <c r="S62" i="1"/>
  <c r="R62" i="1"/>
  <c r="Q62" i="1"/>
  <c r="P62" i="1"/>
  <c r="O62" i="1"/>
  <c r="N62" i="1"/>
  <c r="M62" i="1"/>
  <c r="L62" i="1"/>
  <c r="K62" i="1"/>
  <c r="J62" i="1"/>
  <c r="I62" i="1"/>
  <c r="G62" i="1"/>
  <c r="F62" i="1"/>
  <c r="E62" i="1"/>
  <c r="D62" i="1"/>
  <c r="C62" i="1"/>
  <c r="A62" i="1"/>
  <c r="AT61" i="1"/>
  <c r="AS61" i="1"/>
  <c r="AR61" i="1"/>
  <c r="AQ61" i="1"/>
  <c r="AP61" i="1"/>
  <c r="AO61" i="1"/>
  <c r="AN61" i="1"/>
  <c r="AM61" i="1"/>
  <c r="AL61" i="1"/>
  <c r="AK61" i="1"/>
  <c r="AJ61" i="1"/>
  <c r="AI61" i="1"/>
  <c r="AH61" i="1"/>
  <c r="AG61" i="1"/>
  <c r="AF61" i="1"/>
  <c r="AE61" i="1"/>
  <c r="AD61" i="1"/>
  <c r="AB61" i="1"/>
  <c r="AA61" i="1"/>
  <c r="Y61" i="1"/>
  <c r="X61" i="1"/>
  <c r="W61" i="1"/>
  <c r="V61" i="1"/>
  <c r="U61" i="1"/>
  <c r="T61" i="1"/>
  <c r="S61" i="1"/>
  <c r="R61" i="1"/>
  <c r="Q61" i="1"/>
  <c r="P61" i="1"/>
  <c r="O61" i="1"/>
  <c r="N61" i="1"/>
  <c r="M61" i="1"/>
  <c r="L61" i="1"/>
  <c r="K61" i="1"/>
  <c r="J61" i="1"/>
  <c r="I61" i="1"/>
  <c r="G61" i="1"/>
  <c r="F61" i="1"/>
  <c r="E61" i="1"/>
  <c r="D61" i="1"/>
  <c r="C61" i="1"/>
  <c r="B61" i="1"/>
  <c r="A61" i="1"/>
  <c r="AT60" i="1"/>
  <c r="AS60" i="1"/>
  <c r="AR60" i="1"/>
  <c r="AQ60" i="1"/>
  <c r="AP60" i="1"/>
  <c r="AO60" i="1"/>
  <c r="AN60" i="1"/>
  <c r="AM60" i="1"/>
  <c r="AL60" i="1"/>
  <c r="AK60" i="1"/>
  <c r="AJ60" i="1"/>
  <c r="AI60" i="1"/>
  <c r="AH60" i="1"/>
  <c r="AG60" i="1"/>
  <c r="AD60" i="1"/>
  <c r="AB60" i="1"/>
  <c r="AA60" i="1"/>
  <c r="Y60" i="1"/>
  <c r="X60" i="1"/>
  <c r="W60" i="1"/>
  <c r="V60" i="1"/>
  <c r="U60" i="1"/>
  <c r="T60" i="1"/>
  <c r="S60" i="1"/>
  <c r="R60" i="1"/>
  <c r="Q60" i="1"/>
  <c r="P60" i="1"/>
  <c r="O60" i="1"/>
  <c r="N60" i="1"/>
  <c r="M60" i="1"/>
  <c r="L60" i="1"/>
  <c r="K60" i="1"/>
  <c r="J60" i="1"/>
  <c r="I60" i="1"/>
  <c r="G60" i="1"/>
  <c r="F60" i="1"/>
  <c r="E60" i="1"/>
  <c r="D60" i="1"/>
  <c r="C60" i="1"/>
  <c r="A60" i="1"/>
  <c r="AT59" i="1"/>
  <c r="AS59" i="1"/>
  <c r="AR59" i="1"/>
  <c r="AQ59" i="1"/>
  <c r="AP59" i="1"/>
  <c r="AO59" i="1"/>
  <c r="AN59" i="1"/>
  <c r="AM59" i="1"/>
  <c r="AL59" i="1"/>
  <c r="AK59" i="1"/>
  <c r="AJ59" i="1"/>
  <c r="AI59" i="1"/>
  <c r="AH59" i="1"/>
  <c r="AG59" i="1"/>
  <c r="AD59" i="1"/>
  <c r="AC59" i="1"/>
  <c r="AB59" i="1"/>
  <c r="AA59" i="1"/>
  <c r="Y59" i="1"/>
  <c r="X59" i="1"/>
  <c r="W59" i="1"/>
  <c r="V59" i="1"/>
  <c r="U59" i="1"/>
  <c r="T59" i="1"/>
  <c r="S59" i="1"/>
  <c r="R59" i="1"/>
  <c r="Q59" i="1"/>
  <c r="P59" i="1"/>
  <c r="O59" i="1"/>
  <c r="N59" i="1"/>
  <c r="M59" i="1"/>
  <c r="L59" i="1"/>
  <c r="K59" i="1"/>
  <c r="J59" i="1"/>
  <c r="I59" i="1"/>
  <c r="G59" i="1"/>
  <c r="F59" i="1"/>
  <c r="E59" i="1"/>
  <c r="D59" i="1"/>
  <c r="C59" i="1"/>
  <c r="A59" i="1"/>
  <c r="AT58" i="1"/>
  <c r="AS58" i="1"/>
  <c r="AR58" i="1"/>
  <c r="AQ58" i="1"/>
  <c r="AP58" i="1"/>
  <c r="AO58" i="1"/>
  <c r="AN58" i="1"/>
  <c r="AM58" i="1"/>
  <c r="AL58" i="1"/>
  <c r="AK58" i="1"/>
  <c r="AJ58" i="1"/>
  <c r="AI58" i="1"/>
  <c r="AH58" i="1"/>
  <c r="AG58" i="1"/>
  <c r="AD58" i="1"/>
  <c r="AB58" i="1"/>
  <c r="AA58" i="1"/>
  <c r="Y58" i="1"/>
  <c r="X58" i="1"/>
  <c r="W58" i="1"/>
  <c r="V58" i="1"/>
  <c r="U58" i="1"/>
  <c r="T58" i="1"/>
  <c r="S58" i="1"/>
  <c r="R58" i="1"/>
  <c r="Q58" i="1"/>
  <c r="P58" i="1"/>
  <c r="O58" i="1"/>
  <c r="N58" i="1"/>
  <c r="M58" i="1"/>
  <c r="L58" i="1"/>
  <c r="K58" i="1"/>
  <c r="J58" i="1"/>
  <c r="I58" i="1"/>
  <c r="G58" i="1"/>
  <c r="F58" i="1"/>
  <c r="E58" i="1"/>
  <c r="D58" i="1"/>
  <c r="C58" i="1"/>
  <c r="A58" i="1"/>
  <c r="AT57" i="1"/>
  <c r="AS57" i="1"/>
  <c r="AR57" i="1"/>
  <c r="AQ57" i="1"/>
  <c r="AP57" i="1"/>
  <c r="AO57" i="1"/>
  <c r="AN57" i="1"/>
  <c r="AM57" i="1"/>
  <c r="AL57" i="1"/>
  <c r="AK57" i="1"/>
  <c r="AJ57" i="1"/>
  <c r="AI57" i="1"/>
  <c r="AH57" i="1"/>
  <c r="AG57" i="1"/>
  <c r="AD57" i="1"/>
  <c r="AB57" i="1"/>
  <c r="AA57" i="1"/>
  <c r="Y57" i="1"/>
  <c r="W57" i="1"/>
  <c r="V57" i="1"/>
  <c r="U57" i="1"/>
  <c r="T57" i="1"/>
  <c r="S57" i="1"/>
  <c r="R57" i="1"/>
  <c r="Q57" i="1"/>
  <c r="P57" i="1"/>
  <c r="O57" i="1"/>
  <c r="M57" i="1"/>
  <c r="L57" i="1"/>
  <c r="K57" i="1"/>
  <c r="J57" i="1"/>
  <c r="I57" i="1"/>
  <c r="G57" i="1"/>
  <c r="F57" i="1"/>
  <c r="E57" i="1"/>
  <c r="D57" i="1"/>
  <c r="C57" i="1"/>
  <c r="A57" i="1"/>
  <c r="AT56" i="1"/>
  <c r="AS56" i="1"/>
  <c r="AR56" i="1"/>
  <c r="AQ56" i="1"/>
  <c r="AP56" i="1"/>
  <c r="AO56" i="1"/>
  <c r="AN56" i="1"/>
  <c r="AM56" i="1"/>
  <c r="AL56" i="1"/>
  <c r="AK56" i="1"/>
  <c r="AJ56" i="1"/>
  <c r="AI56" i="1"/>
  <c r="AH56" i="1"/>
  <c r="AG56" i="1"/>
  <c r="AD56" i="1"/>
  <c r="AB56" i="1"/>
  <c r="AA56" i="1"/>
  <c r="Y56" i="1"/>
  <c r="W56" i="1"/>
  <c r="V56" i="1"/>
  <c r="U56" i="1"/>
  <c r="T56" i="1"/>
  <c r="S56" i="1"/>
  <c r="R56" i="1"/>
  <c r="Q56" i="1"/>
  <c r="P56" i="1"/>
  <c r="O56" i="1"/>
  <c r="N56" i="1"/>
  <c r="M56" i="1"/>
  <c r="L56" i="1"/>
  <c r="K56" i="1"/>
  <c r="J56" i="1"/>
  <c r="I56" i="1"/>
  <c r="G56" i="1"/>
  <c r="F56" i="1"/>
  <c r="E56" i="1"/>
  <c r="D56" i="1"/>
  <c r="C56" i="1"/>
  <c r="A56" i="1"/>
  <c r="AT55" i="1"/>
  <c r="AS55" i="1"/>
  <c r="AR55" i="1"/>
  <c r="AQ55" i="1"/>
  <c r="AP55" i="1"/>
  <c r="AO55" i="1"/>
  <c r="AN55" i="1"/>
  <c r="AM55" i="1"/>
  <c r="AL55" i="1"/>
  <c r="AK55" i="1"/>
  <c r="AJ55" i="1"/>
  <c r="AI55" i="1"/>
  <c r="AH55" i="1"/>
  <c r="AG55" i="1"/>
  <c r="AD55" i="1"/>
  <c r="AB55" i="1"/>
  <c r="AA55" i="1"/>
  <c r="Y55" i="1"/>
  <c r="X55" i="1"/>
  <c r="W55" i="1"/>
  <c r="V55" i="1"/>
  <c r="U55" i="1"/>
  <c r="T55" i="1"/>
  <c r="S55" i="1"/>
  <c r="R55" i="1"/>
  <c r="Q55" i="1"/>
  <c r="P55" i="1"/>
  <c r="O55" i="1"/>
  <c r="N55" i="1"/>
  <c r="M55" i="1"/>
  <c r="L55" i="1"/>
  <c r="K55" i="1"/>
  <c r="J55" i="1"/>
  <c r="I55" i="1"/>
  <c r="G55" i="1"/>
  <c r="F55" i="1"/>
  <c r="E55" i="1"/>
  <c r="D55" i="1"/>
  <c r="C55" i="1"/>
  <c r="A55" i="1"/>
  <c r="AT54" i="1"/>
  <c r="AS54" i="1"/>
  <c r="AR54" i="1"/>
  <c r="AQ54" i="1"/>
  <c r="AP54" i="1"/>
  <c r="AO54" i="1"/>
  <c r="AN54" i="1"/>
  <c r="AM54" i="1"/>
  <c r="AL54" i="1"/>
  <c r="AK54" i="1"/>
  <c r="AJ54" i="1"/>
  <c r="AI54" i="1"/>
  <c r="AH54" i="1"/>
  <c r="AG54" i="1"/>
  <c r="AD54" i="1"/>
  <c r="AC54" i="1"/>
  <c r="AB54" i="1"/>
  <c r="AA54" i="1"/>
  <c r="Z54" i="1"/>
  <c r="Y54" i="1"/>
  <c r="W54" i="1"/>
  <c r="V54" i="1"/>
  <c r="U54" i="1"/>
  <c r="T54" i="1"/>
  <c r="S54" i="1"/>
  <c r="R54" i="1"/>
  <c r="Q54" i="1"/>
  <c r="P54" i="1"/>
  <c r="O54" i="1"/>
  <c r="N54" i="1"/>
  <c r="M54" i="1"/>
  <c r="L54" i="1"/>
  <c r="K54" i="1"/>
  <c r="J54" i="1"/>
  <c r="I54" i="1"/>
  <c r="G54" i="1"/>
  <c r="F54" i="1"/>
  <c r="E54" i="1"/>
  <c r="D54" i="1"/>
  <c r="C54" i="1"/>
  <c r="A54" i="1"/>
  <c r="AT53" i="1"/>
  <c r="AS53" i="1"/>
  <c r="AR53" i="1"/>
  <c r="AQ53" i="1"/>
  <c r="AP53" i="1"/>
  <c r="AO53" i="1"/>
  <c r="AN53" i="1"/>
  <c r="AM53" i="1"/>
  <c r="AL53" i="1"/>
  <c r="AK53" i="1"/>
  <c r="AJ53" i="1"/>
  <c r="AI53" i="1"/>
  <c r="AH53" i="1"/>
  <c r="AG53" i="1"/>
  <c r="AF53" i="1"/>
  <c r="AE53" i="1"/>
  <c r="AD53" i="1"/>
  <c r="AB53" i="1"/>
  <c r="AA53" i="1"/>
  <c r="Y53" i="1"/>
  <c r="W53" i="1"/>
  <c r="V53" i="1"/>
  <c r="U53" i="1"/>
  <c r="T53" i="1"/>
  <c r="S53" i="1"/>
  <c r="R53" i="1"/>
  <c r="Q53" i="1"/>
  <c r="P53" i="1"/>
  <c r="O53" i="1"/>
  <c r="N53" i="1"/>
  <c r="M53" i="1"/>
  <c r="L53" i="1"/>
  <c r="K53" i="1"/>
  <c r="J53" i="1"/>
  <c r="I53" i="1"/>
  <c r="G53" i="1"/>
  <c r="F53" i="1"/>
  <c r="E53" i="1"/>
  <c r="D53" i="1"/>
  <c r="C53" i="1"/>
  <c r="A53" i="1"/>
  <c r="AT52" i="1"/>
  <c r="AS52" i="1"/>
  <c r="AR52" i="1"/>
  <c r="AQ52" i="1"/>
  <c r="AP52" i="1"/>
  <c r="AO52" i="1"/>
  <c r="AN52" i="1"/>
  <c r="AM52" i="1"/>
  <c r="AL52" i="1"/>
  <c r="AK52" i="1"/>
  <c r="AJ52" i="1"/>
  <c r="AI52" i="1"/>
  <c r="AH52" i="1"/>
  <c r="AG52" i="1"/>
  <c r="AD52" i="1"/>
  <c r="AB52" i="1"/>
  <c r="AA52" i="1"/>
  <c r="Y52" i="1"/>
  <c r="W52" i="1"/>
  <c r="V52" i="1"/>
  <c r="U52" i="1"/>
  <c r="T52" i="1"/>
  <c r="S52" i="1"/>
  <c r="R52" i="1"/>
  <c r="Q52" i="1"/>
  <c r="P52" i="1"/>
  <c r="O52" i="1"/>
  <c r="N52" i="1"/>
  <c r="M52" i="1"/>
  <c r="L52" i="1"/>
  <c r="K52" i="1"/>
  <c r="J52" i="1"/>
  <c r="I52" i="1"/>
  <c r="G52" i="1"/>
  <c r="F52" i="1"/>
  <c r="E52" i="1"/>
  <c r="D52" i="1"/>
  <c r="C52" i="1"/>
  <c r="A52" i="1"/>
  <c r="AT51" i="1"/>
  <c r="AS51" i="1"/>
  <c r="AR51" i="1"/>
  <c r="AQ51" i="1"/>
  <c r="AP51" i="1"/>
  <c r="AO51" i="1"/>
  <c r="AN51" i="1"/>
  <c r="AM51" i="1"/>
  <c r="AL51" i="1"/>
  <c r="AK51" i="1"/>
  <c r="AJ51" i="1"/>
  <c r="AI51" i="1"/>
  <c r="AH51" i="1"/>
  <c r="AG51" i="1"/>
  <c r="AD51" i="1"/>
  <c r="AB51" i="1"/>
  <c r="AA51" i="1"/>
  <c r="Y51" i="1"/>
  <c r="W51" i="1"/>
  <c r="V51" i="1"/>
  <c r="U51" i="1"/>
  <c r="T51" i="1"/>
  <c r="S51" i="1"/>
  <c r="R51" i="1"/>
  <c r="Q51" i="1"/>
  <c r="P51" i="1"/>
  <c r="O51" i="1"/>
  <c r="N51" i="1"/>
  <c r="M51" i="1"/>
  <c r="L51" i="1"/>
  <c r="K51" i="1"/>
  <c r="J51" i="1"/>
  <c r="I51" i="1"/>
  <c r="G51" i="1"/>
  <c r="F51" i="1"/>
  <c r="E51" i="1"/>
  <c r="D51" i="1"/>
  <c r="C51" i="1"/>
  <c r="A51" i="1"/>
  <c r="AT50" i="1"/>
  <c r="AS50" i="1"/>
  <c r="AR50" i="1"/>
  <c r="AQ50" i="1"/>
  <c r="AP50" i="1"/>
  <c r="AO50" i="1"/>
  <c r="AN50" i="1"/>
  <c r="AM50" i="1"/>
  <c r="AL50" i="1"/>
  <c r="AK50" i="1"/>
  <c r="AJ50" i="1"/>
  <c r="AI50" i="1"/>
  <c r="AH50" i="1"/>
  <c r="AG50" i="1"/>
  <c r="AD50" i="1"/>
  <c r="AB50" i="1"/>
  <c r="AA50" i="1"/>
  <c r="Y50" i="1"/>
  <c r="W50" i="1"/>
  <c r="V50" i="1"/>
  <c r="U50" i="1"/>
  <c r="T50" i="1"/>
  <c r="S50" i="1"/>
  <c r="R50" i="1"/>
  <c r="Q50" i="1"/>
  <c r="P50" i="1"/>
  <c r="O50" i="1"/>
  <c r="N50" i="1"/>
  <c r="M50" i="1"/>
  <c r="L50" i="1"/>
  <c r="K50" i="1"/>
  <c r="J50" i="1"/>
  <c r="I50" i="1"/>
  <c r="G50" i="1"/>
  <c r="F50" i="1"/>
  <c r="E50" i="1"/>
  <c r="D50" i="1"/>
  <c r="C50" i="1"/>
  <c r="A50" i="1"/>
  <c r="AT49" i="1"/>
  <c r="AS49" i="1"/>
  <c r="AR49" i="1"/>
  <c r="AQ49" i="1"/>
  <c r="AP49" i="1"/>
  <c r="AO49" i="1"/>
  <c r="AN49" i="1"/>
  <c r="AM49" i="1"/>
  <c r="AL49" i="1"/>
  <c r="AK49" i="1"/>
  <c r="AJ49" i="1"/>
  <c r="AI49" i="1"/>
  <c r="AH49" i="1"/>
  <c r="AG49" i="1"/>
  <c r="AF49" i="1"/>
  <c r="AE49" i="1"/>
  <c r="AD49" i="1"/>
  <c r="AB49" i="1"/>
  <c r="AA49" i="1"/>
  <c r="Y49" i="1"/>
  <c r="W49" i="1"/>
  <c r="V49" i="1"/>
  <c r="U49" i="1"/>
  <c r="T49" i="1"/>
  <c r="S49" i="1"/>
  <c r="R49" i="1"/>
  <c r="Q49" i="1"/>
  <c r="P49" i="1"/>
  <c r="O49" i="1"/>
  <c r="N49" i="1"/>
  <c r="M49" i="1"/>
  <c r="L49" i="1"/>
  <c r="K49" i="1"/>
  <c r="J49" i="1"/>
  <c r="I49" i="1"/>
  <c r="G49" i="1"/>
  <c r="F49" i="1"/>
  <c r="E49" i="1"/>
  <c r="D49" i="1"/>
  <c r="C49" i="1"/>
  <c r="B49" i="1"/>
  <c r="A49" i="1"/>
  <c r="AT48" i="1"/>
  <c r="AS48" i="1"/>
  <c r="AR48" i="1"/>
  <c r="AQ48" i="1"/>
  <c r="AP48" i="1"/>
  <c r="AO48" i="1"/>
  <c r="AN48" i="1"/>
  <c r="AM48" i="1"/>
  <c r="AL48" i="1"/>
  <c r="AK48" i="1"/>
  <c r="AJ48" i="1"/>
  <c r="AI48" i="1"/>
  <c r="AH48" i="1"/>
  <c r="AG48" i="1"/>
  <c r="AF48" i="1"/>
  <c r="AE48" i="1"/>
  <c r="AD48" i="1"/>
  <c r="AB48" i="1"/>
  <c r="AA48" i="1"/>
  <c r="Y48" i="1"/>
  <c r="W48" i="1"/>
  <c r="V48" i="1"/>
  <c r="U48" i="1"/>
  <c r="S48" i="1"/>
  <c r="R48" i="1"/>
  <c r="Q48" i="1"/>
  <c r="P48" i="1"/>
  <c r="O48" i="1"/>
  <c r="N48" i="1"/>
  <c r="M48" i="1"/>
  <c r="L48" i="1"/>
  <c r="K48" i="1"/>
  <c r="J48" i="1"/>
  <c r="I48" i="1"/>
  <c r="G48" i="1"/>
  <c r="F48" i="1"/>
  <c r="E48" i="1"/>
  <c r="D48" i="1"/>
  <c r="C48" i="1"/>
  <c r="A48" i="1"/>
  <c r="AT47" i="1"/>
  <c r="AS47" i="1"/>
  <c r="AR47" i="1"/>
  <c r="AQ47" i="1"/>
  <c r="AP47" i="1"/>
  <c r="AO47" i="1"/>
  <c r="AN47" i="1"/>
  <c r="AM47" i="1"/>
  <c r="AL47" i="1"/>
  <c r="AK47" i="1"/>
  <c r="AJ47" i="1"/>
  <c r="AI47" i="1"/>
  <c r="AH47" i="1"/>
  <c r="AG47" i="1"/>
  <c r="AF47" i="1"/>
  <c r="AE47" i="1"/>
  <c r="AD47" i="1"/>
  <c r="AB47" i="1"/>
  <c r="AA47" i="1"/>
  <c r="Y47" i="1"/>
  <c r="W47" i="1"/>
  <c r="V47" i="1"/>
  <c r="U47" i="1"/>
  <c r="S47" i="1"/>
  <c r="R47" i="1"/>
  <c r="Q47" i="1"/>
  <c r="P47" i="1"/>
  <c r="O47" i="1"/>
  <c r="N47" i="1"/>
  <c r="M47" i="1"/>
  <c r="L47" i="1"/>
  <c r="K47" i="1"/>
  <c r="J47" i="1"/>
  <c r="I47" i="1"/>
  <c r="G47" i="1"/>
  <c r="F47" i="1"/>
  <c r="E47" i="1"/>
  <c r="D47" i="1"/>
  <c r="C47" i="1"/>
  <c r="B47" i="1"/>
  <c r="A47" i="1"/>
  <c r="AT46" i="1"/>
  <c r="AS46" i="1"/>
  <c r="AR46" i="1"/>
  <c r="AQ46" i="1"/>
  <c r="AP46" i="1"/>
  <c r="AO46" i="1"/>
  <c r="AN46" i="1"/>
  <c r="AM46" i="1"/>
  <c r="AL46" i="1"/>
  <c r="AK46" i="1"/>
  <c r="AJ46" i="1"/>
  <c r="AI46" i="1"/>
  <c r="AH46" i="1"/>
  <c r="AG46" i="1"/>
  <c r="AD46" i="1"/>
  <c r="AB46" i="1"/>
  <c r="AA46" i="1"/>
  <c r="Z46" i="1"/>
  <c r="Y46" i="1"/>
  <c r="W46" i="1"/>
  <c r="V46" i="1"/>
  <c r="U46" i="1"/>
  <c r="T46" i="1"/>
  <c r="S46" i="1"/>
  <c r="R46" i="1"/>
  <c r="Q46" i="1"/>
  <c r="P46" i="1"/>
  <c r="O46" i="1"/>
  <c r="N46" i="1"/>
  <c r="M46" i="1"/>
  <c r="L46" i="1"/>
  <c r="K46" i="1"/>
  <c r="J46" i="1"/>
  <c r="I46" i="1"/>
  <c r="G46" i="1"/>
  <c r="F46" i="1"/>
  <c r="E46" i="1"/>
  <c r="D46" i="1"/>
  <c r="C46" i="1"/>
  <c r="A46" i="1"/>
  <c r="AT45" i="1"/>
  <c r="AS45" i="1"/>
  <c r="AR45" i="1"/>
  <c r="AQ45" i="1"/>
  <c r="AP45" i="1"/>
  <c r="AO45" i="1"/>
  <c r="AN45" i="1"/>
  <c r="AM45" i="1"/>
  <c r="AL45" i="1"/>
  <c r="AK45" i="1"/>
  <c r="AJ45" i="1"/>
  <c r="AI45" i="1"/>
  <c r="AH45" i="1"/>
  <c r="AG45" i="1"/>
  <c r="AF45" i="1"/>
  <c r="AE45" i="1"/>
  <c r="AD45" i="1"/>
  <c r="AC45" i="1"/>
  <c r="AB45" i="1"/>
  <c r="AA45" i="1"/>
  <c r="Y45" i="1"/>
  <c r="X45" i="1"/>
  <c r="W45" i="1"/>
  <c r="V45" i="1"/>
  <c r="U45" i="1"/>
  <c r="T45" i="1"/>
  <c r="S45" i="1"/>
  <c r="R45" i="1"/>
  <c r="Q45" i="1"/>
  <c r="P45" i="1"/>
  <c r="O45" i="1"/>
  <c r="N45" i="1"/>
  <c r="M45" i="1"/>
  <c r="L45" i="1"/>
  <c r="K45" i="1"/>
  <c r="J45" i="1"/>
  <c r="I45" i="1"/>
  <c r="G45" i="1"/>
  <c r="F45" i="1"/>
  <c r="E45" i="1"/>
  <c r="D45" i="1"/>
  <c r="C45" i="1"/>
  <c r="A45" i="1"/>
  <c r="AT44" i="1"/>
  <c r="AS44" i="1"/>
  <c r="AR44" i="1"/>
  <c r="AQ44" i="1"/>
  <c r="AP44" i="1"/>
  <c r="AO44" i="1"/>
  <c r="AN44" i="1"/>
  <c r="AM44" i="1"/>
  <c r="AL44" i="1"/>
  <c r="AK44" i="1"/>
  <c r="AJ44" i="1"/>
  <c r="AI44" i="1"/>
  <c r="AH44" i="1"/>
  <c r="AG44" i="1"/>
  <c r="AF44" i="1"/>
  <c r="AD44" i="1"/>
  <c r="AB44" i="1"/>
  <c r="AA44" i="1"/>
  <c r="Z44" i="1"/>
  <c r="Y44" i="1"/>
  <c r="W44" i="1"/>
  <c r="V44" i="1"/>
  <c r="U44" i="1"/>
  <c r="T44" i="1"/>
  <c r="S44" i="1"/>
  <c r="R44" i="1"/>
  <c r="Q44" i="1"/>
  <c r="P44" i="1"/>
  <c r="O44" i="1"/>
  <c r="N44" i="1"/>
  <c r="M44" i="1"/>
  <c r="L44" i="1"/>
  <c r="K44" i="1"/>
  <c r="J44" i="1"/>
  <c r="I44" i="1"/>
  <c r="G44" i="1"/>
  <c r="F44" i="1"/>
  <c r="E44" i="1"/>
  <c r="D44" i="1"/>
  <c r="C44" i="1"/>
  <c r="A44" i="1"/>
  <c r="AT43" i="1"/>
  <c r="AS43" i="1"/>
  <c r="AR43" i="1"/>
  <c r="AQ43" i="1"/>
  <c r="AP43" i="1"/>
  <c r="AO43" i="1"/>
  <c r="AN43" i="1"/>
  <c r="AM43" i="1"/>
  <c r="AL43" i="1"/>
  <c r="AK43" i="1"/>
  <c r="AJ43" i="1"/>
  <c r="AI43" i="1"/>
  <c r="AH43" i="1"/>
  <c r="AG43" i="1"/>
  <c r="AF43" i="1"/>
  <c r="AD43" i="1"/>
  <c r="AB43" i="1"/>
  <c r="AA43" i="1"/>
  <c r="Y43" i="1"/>
  <c r="W43" i="1"/>
  <c r="V43" i="1"/>
  <c r="U43" i="1"/>
  <c r="T43" i="1"/>
  <c r="S43" i="1"/>
  <c r="R43" i="1"/>
  <c r="Q43" i="1"/>
  <c r="P43" i="1"/>
  <c r="O43" i="1"/>
  <c r="N43" i="1"/>
  <c r="M43" i="1"/>
  <c r="L43" i="1"/>
  <c r="K43" i="1"/>
  <c r="J43" i="1"/>
  <c r="I43" i="1"/>
  <c r="G43" i="1"/>
  <c r="F43" i="1"/>
  <c r="E43" i="1"/>
  <c r="D43" i="1"/>
  <c r="C43" i="1"/>
  <c r="A43" i="1"/>
  <c r="AT42" i="1"/>
  <c r="AS42" i="1"/>
  <c r="AR42" i="1"/>
  <c r="AQ42" i="1"/>
  <c r="AP42" i="1"/>
  <c r="AO42" i="1"/>
  <c r="AN42" i="1"/>
  <c r="AM42" i="1"/>
  <c r="AL42" i="1"/>
  <c r="AK42" i="1"/>
  <c r="AJ42" i="1"/>
  <c r="AI42" i="1"/>
  <c r="AH42" i="1"/>
  <c r="AG42" i="1"/>
  <c r="AF42" i="1"/>
  <c r="AD42" i="1"/>
  <c r="AC42" i="1"/>
  <c r="AB42" i="1"/>
  <c r="AA42" i="1"/>
  <c r="Y42" i="1"/>
  <c r="W42" i="1"/>
  <c r="V42" i="1"/>
  <c r="U42" i="1"/>
  <c r="T42" i="1"/>
  <c r="S42" i="1"/>
  <c r="R42" i="1"/>
  <c r="Q42" i="1"/>
  <c r="P42" i="1"/>
  <c r="O42" i="1"/>
  <c r="N42" i="1"/>
  <c r="M42" i="1"/>
  <c r="L42" i="1"/>
  <c r="K42" i="1"/>
  <c r="J42" i="1"/>
  <c r="I42" i="1"/>
  <c r="G42" i="1"/>
  <c r="F42" i="1"/>
  <c r="E42" i="1"/>
  <c r="D42" i="1"/>
  <c r="C42" i="1"/>
  <c r="A42" i="1"/>
  <c r="AT41" i="1"/>
  <c r="AS41" i="1"/>
  <c r="AR41" i="1"/>
  <c r="AQ41" i="1"/>
  <c r="AP41" i="1"/>
  <c r="AO41" i="1"/>
  <c r="AN41" i="1"/>
  <c r="AM41" i="1"/>
  <c r="AL41" i="1"/>
  <c r="AK41" i="1"/>
  <c r="AJ41" i="1"/>
  <c r="AI41" i="1"/>
  <c r="AH41" i="1"/>
  <c r="AG41" i="1"/>
  <c r="AF41" i="1"/>
  <c r="AD41" i="1"/>
  <c r="AC41" i="1"/>
  <c r="AB41" i="1"/>
  <c r="AA41" i="1"/>
  <c r="Y41" i="1"/>
  <c r="W41" i="1"/>
  <c r="V41" i="1"/>
  <c r="U41" i="1"/>
  <c r="T41" i="1"/>
  <c r="S41" i="1"/>
  <c r="R41" i="1"/>
  <c r="Q41" i="1"/>
  <c r="P41" i="1"/>
  <c r="O41" i="1"/>
  <c r="N41" i="1"/>
  <c r="M41" i="1"/>
  <c r="L41" i="1"/>
  <c r="K41" i="1"/>
  <c r="J41" i="1"/>
  <c r="I41" i="1"/>
  <c r="G41" i="1"/>
  <c r="F41" i="1"/>
  <c r="E41" i="1"/>
  <c r="D41" i="1"/>
  <c r="C41" i="1"/>
  <c r="A41" i="1"/>
  <c r="AT40" i="1"/>
  <c r="AS40" i="1"/>
  <c r="AR40" i="1"/>
  <c r="AQ40" i="1"/>
  <c r="AP40" i="1"/>
  <c r="AO40" i="1"/>
  <c r="AN40" i="1"/>
  <c r="AM40" i="1"/>
  <c r="AL40" i="1"/>
  <c r="AK40" i="1"/>
  <c r="AJ40" i="1"/>
  <c r="AI40" i="1"/>
  <c r="AH40" i="1"/>
  <c r="AG40" i="1"/>
  <c r="AF40" i="1"/>
  <c r="AD40" i="1"/>
  <c r="AB40" i="1"/>
  <c r="AA40" i="1"/>
  <c r="Y40" i="1"/>
  <c r="W40" i="1"/>
  <c r="V40" i="1"/>
  <c r="U40" i="1"/>
  <c r="T40" i="1"/>
  <c r="S40" i="1"/>
  <c r="R40" i="1"/>
  <c r="Q40" i="1"/>
  <c r="P40" i="1"/>
  <c r="O40" i="1"/>
  <c r="N40" i="1"/>
  <c r="M40" i="1"/>
  <c r="L40" i="1"/>
  <c r="K40" i="1"/>
  <c r="J40" i="1"/>
  <c r="I40" i="1"/>
  <c r="G40" i="1"/>
  <c r="F40" i="1"/>
  <c r="E40" i="1"/>
  <c r="D40" i="1"/>
  <c r="C40" i="1"/>
  <c r="A40" i="1"/>
  <c r="AT39" i="1"/>
  <c r="AS39" i="1"/>
  <c r="AR39" i="1"/>
  <c r="AQ39" i="1"/>
  <c r="AP39" i="1"/>
  <c r="AO39" i="1"/>
  <c r="AN39" i="1"/>
  <c r="AM39" i="1"/>
  <c r="AL39" i="1"/>
  <c r="AK39" i="1"/>
  <c r="AJ39" i="1"/>
  <c r="AI39" i="1"/>
  <c r="AH39" i="1"/>
  <c r="AG39" i="1"/>
  <c r="AF39" i="1"/>
  <c r="AD39" i="1"/>
  <c r="AC39" i="1"/>
  <c r="AB39" i="1"/>
  <c r="AA39" i="1"/>
  <c r="Z39" i="1"/>
  <c r="Y39" i="1"/>
  <c r="W39" i="1"/>
  <c r="V39" i="1"/>
  <c r="U39" i="1"/>
  <c r="T39" i="1"/>
  <c r="S39" i="1"/>
  <c r="R39" i="1"/>
  <c r="Q39" i="1"/>
  <c r="P39" i="1"/>
  <c r="O39" i="1"/>
  <c r="N39" i="1"/>
  <c r="M39" i="1"/>
  <c r="L39" i="1"/>
  <c r="K39" i="1"/>
  <c r="J39" i="1"/>
  <c r="I39" i="1"/>
  <c r="G39" i="1"/>
  <c r="F39" i="1"/>
  <c r="E39" i="1"/>
  <c r="D39" i="1"/>
  <c r="C39" i="1"/>
  <c r="A39" i="1"/>
  <c r="AT38" i="1"/>
  <c r="AS38" i="1"/>
  <c r="AR38" i="1"/>
  <c r="AQ38" i="1"/>
  <c r="AP38" i="1"/>
  <c r="AO38" i="1"/>
  <c r="AN38" i="1"/>
  <c r="AM38" i="1"/>
  <c r="AL38" i="1"/>
  <c r="AK38" i="1"/>
  <c r="AJ38" i="1"/>
  <c r="AI38" i="1"/>
  <c r="AH38" i="1"/>
  <c r="AG38" i="1"/>
  <c r="AD38" i="1"/>
  <c r="AB38" i="1"/>
  <c r="AA38" i="1"/>
  <c r="Y38" i="1"/>
  <c r="W38" i="1"/>
  <c r="V38" i="1"/>
  <c r="U38" i="1"/>
  <c r="S38" i="1"/>
  <c r="R38" i="1"/>
  <c r="Q38" i="1"/>
  <c r="P38" i="1"/>
  <c r="O38" i="1"/>
  <c r="M38" i="1"/>
  <c r="L38" i="1"/>
  <c r="K38" i="1"/>
  <c r="J38" i="1"/>
  <c r="I38" i="1"/>
  <c r="G38" i="1"/>
  <c r="F38" i="1"/>
  <c r="E38" i="1"/>
  <c r="D38" i="1"/>
  <c r="C38" i="1"/>
  <c r="A38" i="1"/>
  <c r="AT37" i="1"/>
  <c r="AS37" i="1"/>
  <c r="AR37" i="1"/>
  <c r="AQ37" i="1"/>
  <c r="AP37" i="1"/>
  <c r="AO37" i="1"/>
  <c r="AN37" i="1"/>
  <c r="AM37" i="1"/>
  <c r="AL37" i="1"/>
  <c r="AK37" i="1"/>
  <c r="AJ37" i="1"/>
  <c r="AI37" i="1"/>
  <c r="AH37" i="1"/>
  <c r="AG37" i="1"/>
  <c r="AD37" i="1"/>
  <c r="AB37" i="1"/>
  <c r="AA37" i="1"/>
  <c r="Y37" i="1"/>
  <c r="W37" i="1"/>
  <c r="V37" i="1"/>
  <c r="U37" i="1"/>
  <c r="S37" i="1"/>
  <c r="R37" i="1"/>
  <c r="Q37" i="1"/>
  <c r="P37" i="1"/>
  <c r="O37" i="1"/>
  <c r="M37" i="1"/>
  <c r="L37" i="1"/>
  <c r="K37" i="1"/>
  <c r="J37" i="1"/>
  <c r="I37" i="1"/>
  <c r="G37" i="1"/>
  <c r="F37" i="1"/>
  <c r="E37" i="1"/>
  <c r="D37" i="1"/>
  <c r="C37" i="1"/>
  <c r="A37" i="1"/>
  <c r="AT36" i="1"/>
  <c r="AS36" i="1"/>
  <c r="AR36" i="1"/>
  <c r="AQ36" i="1"/>
  <c r="AP36" i="1"/>
  <c r="AO36" i="1"/>
  <c r="AN36" i="1"/>
  <c r="AM36" i="1"/>
  <c r="AL36" i="1"/>
  <c r="AK36" i="1"/>
  <c r="AJ36" i="1"/>
  <c r="AI36" i="1"/>
  <c r="AH36" i="1"/>
  <c r="AG36" i="1"/>
  <c r="AD36" i="1"/>
  <c r="AB36" i="1"/>
  <c r="AA36" i="1"/>
  <c r="Y36" i="1"/>
  <c r="W36" i="1"/>
  <c r="V36" i="1"/>
  <c r="U36" i="1"/>
  <c r="S36" i="1"/>
  <c r="R36" i="1"/>
  <c r="Q36" i="1"/>
  <c r="P36" i="1"/>
  <c r="O36" i="1"/>
  <c r="M36" i="1"/>
  <c r="L36" i="1"/>
  <c r="K36" i="1"/>
  <c r="J36" i="1"/>
  <c r="I36" i="1"/>
  <c r="G36" i="1"/>
  <c r="F36" i="1"/>
  <c r="E36" i="1"/>
  <c r="D36" i="1"/>
  <c r="C36" i="1"/>
  <c r="A36" i="1"/>
  <c r="AT35" i="1"/>
  <c r="AS35" i="1"/>
  <c r="AR35" i="1"/>
  <c r="AQ35" i="1"/>
  <c r="AP35" i="1"/>
  <c r="AO35" i="1"/>
  <c r="AN35" i="1"/>
  <c r="AM35" i="1"/>
  <c r="AL35" i="1"/>
  <c r="AK35" i="1"/>
  <c r="AJ35" i="1"/>
  <c r="AI35" i="1"/>
  <c r="AH35" i="1"/>
  <c r="AG35" i="1"/>
  <c r="AD35" i="1"/>
  <c r="AB35" i="1"/>
  <c r="AA35" i="1"/>
  <c r="Y35" i="1"/>
  <c r="W35" i="1"/>
  <c r="V35" i="1"/>
  <c r="U35" i="1"/>
  <c r="S35" i="1"/>
  <c r="R35" i="1"/>
  <c r="Q35" i="1"/>
  <c r="P35" i="1"/>
  <c r="O35" i="1"/>
  <c r="M35" i="1"/>
  <c r="L35" i="1"/>
  <c r="K35" i="1"/>
  <c r="J35" i="1"/>
  <c r="I35" i="1"/>
  <c r="G35" i="1"/>
  <c r="F35" i="1"/>
  <c r="E35" i="1"/>
  <c r="D35" i="1"/>
  <c r="C35" i="1"/>
  <c r="A35" i="1"/>
  <c r="AT34" i="1"/>
  <c r="AS34" i="1"/>
  <c r="AR34" i="1"/>
  <c r="AQ34" i="1"/>
  <c r="AP34" i="1"/>
  <c r="AO34" i="1"/>
  <c r="AN34" i="1"/>
  <c r="AM34" i="1"/>
  <c r="AL34" i="1"/>
  <c r="AK34" i="1"/>
  <c r="AJ34" i="1"/>
  <c r="AI34" i="1"/>
  <c r="AH34" i="1"/>
  <c r="AG34" i="1"/>
  <c r="AD34" i="1"/>
  <c r="AB34" i="1"/>
  <c r="AA34" i="1"/>
  <c r="Y34" i="1"/>
  <c r="W34" i="1"/>
  <c r="V34" i="1"/>
  <c r="U34" i="1"/>
  <c r="S34" i="1"/>
  <c r="R34" i="1"/>
  <c r="Q34" i="1"/>
  <c r="P34" i="1"/>
  <c r="O34" i="1"/>
  <c r="M34" i="1"/>
  <c r="L34" i="1"/>
  <c r="K34" i="1"/>
  <c r="J34" i="1"/>
  <c r="I34" i="1"/>
  <c r="G34" i="1"/>
  <c r="F34" i="1"/>
  <c r="E34" i="1"/>
  <c r="D34" i="1"/>
  <c r="C34" i="1"/>
  <c r="A34" i="1"/>
  <c r="AT33" i="1"/>
  <c r="AS33" i="1"/>
  <c r="AR33" i="1"/>
  <c r="AQ33" i="1"/>
  <c r="AP33" i="1"/>
  <c r="AO33" i="1"/>
  <c r="AN33" i="1"/>
  <c r="AM33" i="1"/>
  <c r="AL33" i="1"/>
  <c r="AK33" i="1"/>
  <c r="AJ33" i="1"/>
  <c r="AI33" i="1"/>
  <c r="AH33" i="1"/>
  <c r="AG33" i="1"/>
  <c r="AD33" i="1"/>
  <c r="AB33" i="1"/>
  <c r="AA33" i="1"/>
  <c r="Y33" i="1"/>
  <c r="W33" i="1"/>
  <c r="V33" i="1"/>
  <c r="U33" i="1"/>
  <c r="S33" i="1"/>
  <c r="R33" i="1"/>
  <c r="Q33" i="1"/>
  <c r="P33" i="1"/>
  <c r="O33" i="1"/>
  <c r="M33" i="1"/>
  <c r="L33" i="1"/>
  <c r="K33" i="1"/>
  <c r="J33" i="1"/>
  <c r="I33" i="1"/>
  <c r="G33" i="1"/>
  <c r="F33" i="1"/>
  <c r="E33" i="1"/>
  <c r="D33" i="1"/>
  <c r="C33" i="1"/>
  <c r="A33" i="1"/>
  <c r="AT32" i="1"/>
  <c r="AS32" i="1"/>
  <c r="AR32" i="1"/>
  <c r="AQ32" i="1"/>
  <c r="AP32" i="1"/>
  <c r="AO32" i="1"/>
  <c r="AN32" i="1"/>
  <c r="AM32" i="1"/>
  <c r="AL32" i="1"/>
  <c r="AK32" i="1"/>
  <c r="AJ32" i="1"/>
  <c r="AI32" i="1"/>
  <c r="AH32" i="1"/>
  <c r="AG32" i="1"/>
  <c r="AD32" i="1"/>
  <c r="AB32" i="1"/>
  <c r="AA32" i="1"/>
  <c r="Y32" i="1"/>
  <c r="W32" i="1"/>
  <c r="V32" i="1"/>
  <c r="U32" i="1"/>
  <c r="S32" i="1"/>
  <c r="R32" i="1"/>
  <c r="Q32" i="1"/>
  <c r="P32" i="1"/>
  <c r="O32" i="1"/>
  <c r="M32" i="1"/>
  <c r="L32" i="1"/>
  <c r="K32" i="1"/>
  <c r="J32" i="1"/>
  <c r="I32" i="1"/>
  <c r="G32" i="1"/>
  <c r="F32" i="1"/>
  <c r="E32" i="1"/>
  <c r="D32" i="1"/>
  <c r="C32" i="1"/>
  <c r="A32" i="1"/>
  <c r="AT31" i="1"/>
  <c r="AS31" i="1"/>
  <c r="AR31" i="1"/>
  <c r="AQ31" i="1"/>
  <c r="AP31" i="1"/>
  <c r="AO31" i="1"/>
  <c r="AN31" i="1"/>
  <c r="AM31" i="1"/>
  <c r="AL31" i="1"/>
  <c r="AK31" i="1"/>
  <c r="AJ31" i="1"/>
  <c r="AI31" i="1"/>
  <c r="AH31" i="1"/>
  <c r="AG31" i="1"/>
  <c r="AD31" i="1"/>
  <c r="AB31" i="1"/>
  <c r="AA31" i="1"/>
  <c r="Y31" i="1"/>
  <c r="W31" i="1"/>
  <c r="V31" i="1"/>
  <c r="U31" i="1"/>
  <c r="S31" i="1"/>
  <c r="R31" i="1"/>
  <c r="Q31" i="1"/>
  <c r="P31" i="1"/>
  <c r="O31" i="1"/>
  <c r="M31" i="1"/>
  <c r="L31" i="1"/>
  <c r="K31" i="1"/>
  <c r="J31" i="1"/>
  <c r="I31" i="1"/>
  <c r="G31" i="1"/>
  <c r="F31" i="1"/>
  <c r="E31" i="1"/>
  <c r="D31" i="1"/>
  <c r="C31" i="1"/>
  <c r="A31" i="1"/>
  <c r="AT30" i="1"/>
  <c r="AS30" i="1"/>
  <c r="AR30" i="1"/>
  <c r="AQ30" i="1"/>
  <c r="AP30" i="1"/>
  <c r="AO30" i="1"/>
  <c r="AN30" i="1"/>
  <c r="AM30" i="1"/>
  <c r="AL30" i="1"/>
  <c r="AK30" i="1"/>
  <c r="AJ30" i="1"/>
  <c r="AI30" i="1"/>
  <c r="AH30" i="1"/>
  <c r="AG30" i="1"/>
  <c r="AD30" i="1"/>
  <c r="AB30" i="1"/>
  <c r="AA30" i="1"/>
  <c r="Y30" i="1"/>
  <c r="W30" i="1"/>
  <c r="V30" i="1"/>
  <c r="U30" i="1"/>
  <c r="S30" i="1"/>
  <c r="R30" i="1"/>
  <c r="Q30" i="1"/>
  <c r="P30" i="1"/>
  <c r="O30" i="1"/>
  <c r="M30" i="1"/>
  <c r="L30" i="1"/>
  <c r="K30" i="1"/>
  <c r="J30" i="1"/>
  <c r="I30" i="1"/>
  <c r="G30" i="1"/>
  <c r="F30" i="1"/>
  <c r="E30" i="1"/>
  <c r="D30" i="1"/>
  <c r="C30" i="1"/>
  <c r="A30" i="1"/>
  <c r="AT29" i="1"/>
  <c r="AS29" i="1"/>
  <c r="AR29" i="1"/>
  <c r="AQ29" i="1"/>
  <c r="AP29" i="1"/>
  <c r="AO29" i="1"/>
  <c r="AN29" i="1"/>
  <c r="AM29" i="1"/>
  <c r="AL29" i="1"/>
  <c r="AK29" i="1"/>
  <c r="AJ29" i="1"/>
  <c r="AI29" i="1"/>
  <c r="AH29" i="1"/>
  <c r="AG29" i="1"/>
  <c r="AD29" i="1"/>
  <c r="AB29" i="1"/>
  <c r="AA29" i="1"/>
  <c r="Y29" i="1"/>
  <c r="W29" i="1"/>
  <c r="V29" i="1"/>
  <c r="U29" i="1"/>
  <c r="S29" i="1"/>
  <c r="R29" i="1"/>
  <c r="Q29" i="1"/>
  <c r="P29" i="1"/>
  <c r="O29" i="1"/>
  <c r="M29" i="1"/>
  <c r="L29" i="1"/>
  <c r="K29" i="1"/>
  <c r="J29" i="1"/>
  <c r="I29" i="1"/>
  <c r="G29" i="1"/>
  <c r="F29" i="1"/>
  <c r="E29" i="1"/>
  <c r="D29" i="1"/>
  <c r="C29" i="1"/>
  <c r="A29" i="1"/>
  <c r="AT28" i="1"/>
  <c r="AS28" i="1"/>
  <c r="AR28" i="1"/>
  <c r="AQ28" i="1"/>
  <c r="AP28" i="1"/>
  <c r="AO28" i="1"/>
  <c r="AN28" i="1"/>
  <c r="AM28" i="1"/>
  <c r="AL28" i="1"/>
  <c r="AK28" i="1"/>
  <c r="AJ28" i="1"/>
  <c r="AI28" i="1"/>
  <c r="AH28" i="1"/>
  <c r="AG28" i="1"/>
  <c r="AD28" i="1"/>
  <c r="AB28" i="1"/>
  <c r="AA28" i="1"/>
  <c r="Y28" i="1"/>
  <c r="W28" i="1"/>
  <c r="V28" i="1"/>
  <c r="U28" i="1"/>
  <c r="S28" i="1"/>
  <c r="R28" i="1"/>
  <c r="Q28" i="1"/>
  <c r="P28" i="1"/>
  <c r="O28" i="1"/>
  <c r="M28" i="1"/>
  <c r="L28" i="1"/>
  <c r="K28" i="1"/>
  <c r="J28" i="1"/>
  <c r="I28" i="1"/>
  <c r="G28" i="1"/>
  <c r="F28" i="1"/>
  <c r="E28" i="1"/>
  <c r="D28" i="1"/>
  <c r="C28" i="1"/>
  <c r="A28" i="1"/>
  <c r="AT27" i="1"/>
  <c r="AS27" i="1"/>
  <c r="AR27" i="1"/>
  <c r="AQ27" i="1"/>
  <c r="AP27" i="1"/>
  <c r="AO27" i="1"/>
  <c r="AN27" i="1"/>
  <c r="AM27" i="1"/>
  <c r="AL27" i="1"/>
  <c r="AK27" i="1"/>
  <c r="AJ27" i="1"/>
  <c r="AI27" i="1"/>
  <c r="AH27" i="1"/>
  <c r="AG27" i="1"/>
  <c r="AD27" i="1"/>
  <c r="AB27" i="1"/>
  <c r="AA27" i="1"/>
  <c r="Y27" i="1"/>
  <c r="W27" i="1"/>
  <c r="V27" i="1"/>
  <c r="U27" i="1"/>
  <c r="S27" i="1"/>
  <c r="R27" i="1"/>
  <c r="Q27" i="1"/>
  <c r="P27" i="1"/>
  <c r="O27" i="1"/>
  <c r="M27" i="1"/>
  <c r="L27" i="1"/>
  <c r="K27" i="1"/>
  <c r="J27" i="1"/>
  <c r="I27" i="1"/>
  <c r="G27" i="1"/>
  <c r="F27" i="1"/>
  <c r="E27" i="1"/>
  <c r="D27" i="1"/>
  <c r="C27" i="1"/>
  <c r="A27" i="1"/>
  <c r="AT26" i="1"/>
  <c r="AS26" i="1"/>
  <c r="AR26" i="1"/>
  <c r="AQ26" i="1"/>
  <c r="AP26" i="1"/>
  <c r="AO26" i="1"/>
  <c r="AN26" i="1"/>
  <c r="AM26" i="1"/>
  <c r="AL26" i="1"/>
  <c r="AK26" i="1"/>
  <c r="AJ26" i="1"/>
  <c r="AI26" i="1"/>
  <c r="AH26" i="1"/>
  <c r="AG26" i="1"/>
  <c r="AD26" i="1"/>
  <c r="AB26" i="1"/>
  <c r="AA26" i="1"/>
  <c r="Y26" i="1"/>
  <c r="W26" i="1"/>
  <c r="V26" i="1"/>
  <c r="U26" i="1"/>
  <c r="S26" i="1"/>
  <c r="R26" i="1"/>
  <c r="Q26" i="1"/>
  <c r="P26" i="1"/>
  <c r="O26" i="1"/>
  <c r="M26" i="1"/>
  <c r="L26" i="1"/>
  <c r="K26" i="1"/>
  <c r="J26" i="1"/>
  <c r="I26" i="1"/>
  <c r="G26" i="1"/>
  <c r="F26" i="1"/>
  <c r="E26" i="1"/>
  <c r="D26" i="1"/>
  <c r="C26" i="1"/>
  <c r="A26" i="1"/>
  <c r="AT25" i="1"/>
  <c r="AS25" i="1"/>
  <c r="AR25" i="1"/>
  <c r="AQ25" i="1"/>
  <c r="AP25" i="1"/>
  <c r="AO25" i="1"/>
  <c r="AN25" i="1"/>
  <c r="AM25" i="1"/>
  <c r="AL25" i="1"/>
  <c r="AK25" i="1"/>
  <c r="AJ25" i="1"/>
  <c r="AI25" i="1"/>
  <c r="AH25" i="1"/>
  <c r="AG25" i="1"/>
  <c r="AD25" i="1"/>
  <c r="AB25" i="1"/>
  <c r="AA25" i="1"/>
  <c r="Y25" i="1"/>
  <c r="W25" i="1"/>
  <c r="V25" i="1"/>
  <c r="U25" i="1"/>
  <c r="S25" i="1"/>
  <c r="R25" i="1"/>
  <c r="Q25" i="1"/>
  <c r="P25" i="1"/>
  <c r="O25" i="1"/>
  <c r="M25" i="1"/>
  <c r="L25" i="1"/>
  <c r="K25" i="1"/>
  <c r="J25" i="1"/>
  <c r="I25" i="1"/>
  <c r="G25" i="1"/>
  <c r="F25" i="1"/>
  <c r="E25" i="1"/>
  <c r="D25" i="1"/>
  <c r="C25" i="1"/>
  <c r="A25" i="1"/>
  <c r="AT24" i="1"/>
  <c r="AS24" i="1"/>
  <c r="AR24" i="1"/>
  <c r="AQ24" i="1"/>
  <c r="AP24" i="1"/>
  <c r="AO24" i="1"/>
  <c r="AN24" i="1"/>
  <c r="AM24" i="1"/>
  <c r="AL24" i="1"/>
  <c r="AK24" i="1"/>
  <c r="AJ24" i="1"/>
  <c r="AI24" i="1"/>
  <c r="AH24" i="1"/>
  <c r="AG24" i="1"/>
  <c r="AD24" i="1"/>
  <c r="AB24" i="1"/>
  <c r="AA24" i="1"/>
  <c r="Y24" i="1"/>
  <c r="W24" i="1"/>
  <c r="V24" i="1"/>
  <c r="U24" i="1"/>
  <c r="S24" i="1"/>
  <c r="R24" i="1"/>
  <c r="Q24" i="1"/>
  <c r="P24" i="1"/>
  <c r="O24" i="1"/>
  <c r="M24" i="1"/>
  <c r="L24" i="1"/>
  <c r="K24" i="1"/>
  <c r="J24" i="1"/>
  <c r="I24" i="1"/>
  <c r="G24" i="1"/>
  <c r="F24" i="1"/>
  <c r="E24" i="1"/>
  <c r="D24" i="1"/>
  <c r="C24" i="1"/>
  <c r="A24" i="1"/>
  <c r="AT23" i="1"/>
  <c r="AS23" i="1"/>
  <c r="AR23" i="1"/>
  <c r="AQ23" i="1"/>
  <c r="AP23" i="1"/>
  <c r="AO23" i="1"/>
  <c r="AN23" i="1"/>
  <c r="AM23" i="1"/>
  <c r="AL23" i="1"/>
  <c r="AK23" i="1"/>
  <c r="AJ23" i="1"/>
  <c r="AI23" i="1"/>
  <c r="AH23" i="1"/>
  <c r="AG23" i="1"/>
  <c r="AD23" i="1"/>
  <c r="AB23" i="1"/>
  <c r="AA23" i="1"/>
  <c r="Y23" i="1"/>
  <c r="W23" i="1"/>
  <c r="V23" i="1"/>
  <c r="U23" i="1"/>
  <c r="S23" i="1"/>
  <c r="R23" i="1"/>
  <c r="Q23" i="1"/>
  <c r="P23" i="1"/>
  <c r="O23" i="1"/>
  <c r="M23" i="1"/>
  <c r="L23" i="1"/>
  <c r="K23" i="1"/>
  <c r="J23" i="1"/>
  <c r="I23" i="1"/>
  <c r="G23" i="1"/>
  <c r="F23" i="1"/>
  <c r="E23" i="1"/>
  <c r="D23" i="1"/>
  <c r="C23" i="1"/>
  <c r="A23" i="1"/>
  <c r="AT22" i="1"/>
  <c r="AS22" i="1"/>
  <c r="AR22" i="1"/>
  <c r="AQ22" i="1"/>
  <c r="AP22" i="1"/>
  <c r="AO22" i="1"/>
  <c r="AN22" i="1"/>
  <c r="AM22" i="1"/>
  <c r="AL22" i="1"/>
  <c r="AK22" i="1"/>
  <c r="AJ22" i="1"/>
  <c r="AI22" i="1"/>
  <c r="AH22" i="1"/>
  <c r="AG22" i="1"/>
  <c r="AD22" i="1"/>
  <c r="AB22" i="1"/>
  <c r="AA22" i="1"/>
  <c r="Y22" i="1"/>
  <c r="W22" i="1"/>
  <c r="V22" i="1"/>
  <c r="U22" i="1"/>
  <c r="S22" i="1"/>
  <c r="R22" i="1"/>
  <c r="Q22" i="1"/>
  <c r="P22" i="1"/>
  <c r="O22" i="1"/>
  <c r="M22" i="1"/>
  <c r="L22" i="1"/>
  <c r="K22" i="1"/>
  <c r="J22" i="1"/>
  <c r="I22" i="1"/>
  <c r="G22" i="1"/>
  <c r="F22" i="1"/>
  <c r="E22" i="1"/>
  <c r="D22" i="1"/>
  <c r="C22" i="1"/>
  <c r="A22" i="1"/>
  <c r="AT21" i="1"/>
  <c r="AS21" i="1"/>
  <c r="AR21" i="1"/>
  <c r="AQ21" i="1"/>
  <c r="AP21" i="1"/>
  <c r="AO21" i="1"/>
  <c r="AN21" i="1"/>
  <c r="AM21" i="1"/>
  <c r="AL21" i="1"/>
  <c r="AK21" i="1"/>
  <c r="AJ21" i="1"/>
  <c r="AI21" i="1"/>
  <c r="AH21" i="1"/>
  <c r="AG21" i="1"/>
  <c r="AD21" i="1"/>
  <c r="AB21" i="1"/>
  <c r="AA21" i="1"/>
  <c r="Y21" i="1"/>
  <c r="W21" i="1"/>
  <c r="V21" i="1"/>
  <c r="U21" i="1"/>
  <c r="S21" i="1"/>
  <c r="R21" i="1"/>
  <c r="Q21" i="1"/>
  <c r="P21" i="1"/>
  <c r="O21" i="1"/>
  <c r="M21" i="1"/>
  <c r="L21" i="1"/>
  <c r="K21" i="1"/>
  <c r="J21" i="1"/>
  <c r="I21" i="1"/>
  <c r="G21" i="1"/>
  <c r="F21" i="1"/>
  <c r="E21" i="1"/>
  <c r="D21" i="1"/>
  <c r="C21" i="1"/>
  <c r="A21" i="1"/>
  <c r="AT20" i="1"/>
  <c r="AS20" i="1"/>
  <c r="AR20" i="1"/>
  <c r="AQ20" i="1"/>
  <c r="AP20" i="1"/>
  <c r="AO20" i="1"/>
  <c r="AN20" i="1"/>
  <c r="AM20" i="1"/>
  <c r="AL20" i="1"/>
  <c r="AK20" i="1"/>
  <c r="AJ20" i="1"/>
  <c r="AI20" i="1"/>
  <c r="AH20" i="1"/>
  <c r="AG20" i="1"/>
  <c r="AD20" i="1"/>
  <c r="AB20" i="1"/>
  <c r="AA20" i="1"/>
  <c r="Y20" i="1"/>
  <c r="W20" i="1"/>
  <c r="V20" i="1"/>
  <c r="U20" i="1"/>
  <c r="S20" i="1"/>
  <c r="R20" i="1"/>
  <c r="Q20" i="1"/>
  <c r="P20" i="1"/>
  <c r="O20" i="1"/>
  <c r="M20" i="1"/>
  <c r="L20" i="1"/>
  <c r="K20" i="1"/>
  <c r="J20" i="1"/>
  <c r="I20" i="1"/>
  <c r="G20" i="1"/>
  <c r="F20" i="1"/>
  <c r="E20" i="1"/>
  <c r="D20" i="1"/>
  <c r="C20" i="1"/>
  <c r="A20" i="1"/>
  <c r="AT19" i="1"/>
  <c r="AS19" i="1"/>
  <c r="AR19" i="1"/>
  <c r="AQ19" i="1"/>
  <c r="AP19" i="1"/>
  <c r="AO19" i="1"/>
  <c r="AN19" i="1"/>
  <c r="AM19" i="1"/>
  <c r="AL19" i="1"/>
  <c r="AK19" i="1"/>
  <c r="AJ19" i="1"/>
  <c r="AI19" i="1"/>
  <c r="AH19" i="1"/>
  <c r="AG19" i="1"/>
  <c r="AD19" i="1"/>
  <c r="AB19" i="1"/>
  <c r="AA19" i="1"/>
  <c r="Y19" i="1"/>
  <c r="W19" i="1"/>
  <c r="V19" i="1"/>
  <c r="U19" i="1"/>
  <c r="S19" i="1"/>
  <c r="R19" i="1"/>
  <c r="Q19" i="1"/>
  <c r="P19" i="1"/>
  <c r="O19" i="1"/>
  <c r="M19" i="1"/>
  <c r="L19" i="1"/>
  <c r="K19" i="1"/>
  <c r="J19" i="1"/>
  <c r="I19" i="1"/>
  <c r="G19" i="1"/>
  <c r="F19" i="1"/>
  <c r="E19" i="1"/>
  <c r="D19" i="1"/>
  <c r="C19" i="1"/>
  <c r="A19" i="1"/>
  <c r="AT18" i="1"/>
  <c r="AS18" i="1"/>
  <c r="AR18" i="1"/>
  <c r="AQ18" i="1"/>
  <c r="AP18" i="1"/>
  <c r="AO18" i="1"/>
  <c r="AN18" i="1"/>
  <c r="AM18" i="1"/>
  <c r="AL18" i="1"/>
  <c r="AK18" i="1"/>
  <c r="AJ18" i="1"/>
  <c r="AI18" i="1"/>
  <c r="AH18" i="1"/>
  <c r="AG18" i="1"/>
  <c r="AD18" i="1"/>
  <c r="AB18" i="1"/>
  <c r="AA18" i="1"/>
  <c r="Y18" i="1"/>
  <c r="W18" i="1"/>
  <c r="V18" i="1"/>
  <c r="U18" i="1"/>
  <c r="S18" i="1"/>
  <c r="R18" i="1"/>
  <c r="Q18" i="1"/>
  <c r="P18" i="1"/>
  <c r="O18" i="1"/>
  <c r="M18" i="1"/>
  <c r="L18" i="1"/>
  <c r="K18" i="1"/>
  <c r="J18" i="1"/>
  <c r="I18" i="1"/>
  <c r="G18" i="1"/>
  <c r="F18" i="1"/>
  <c r="E18" i="1"/>
  <c r="D18" i="1"/>
  <c r="C18" i="1"/>
  <c r="A18" i="1"/>
  <c r="AT17" i="1"/>
  <c r="AS17" i="1"/>
  <c r="AR17" i="1"/>
  <c r="AQ17" i="1"/>
  <c r="AP17" i="1"/>
  <c r="AO17" i="1"/>
  <c r="AN17" i="1"/>
  <c r="AM17" i="1"/>
  <c r="AL17" i="1"/>
  <c r="AK17" i="1"/>
  <c r="AJ17" i="1"/>
  <c r="AI17" i="1"/>
  <c r="AH17" i="1"/>
  <c r="AG17" i="1"/>
  <c r="AD17" i="1"/>
  <c r="AB17" i="1"/>
  <c r="AA17" i="1"/>
  <c r="Y17" i="1"/>
  <c r="W17" i="1"/>
  <c r="V17" i="1"/>
  <c r="U17" i="1"/>
  <c r="S17" i="1"/>
  <c r="R17" i="1"/>
  <c r="Q17" i="1"/>
  <c r="P17" i="1"/>
  <c r="O17" i="1"/>
  <c r="M17" i="1"/>
  <c r="L17" i="1"/>
  <c r="K17" i="1"/>
  <c r="J17" i="1"/>
  <c r="I17" i="1"/>
  <c r="G17" i="1"/>
  <c r="F17" i="1"/>
  <c r="E17" i="1"/>
  <c r="D17" i="1"/>
  <c r="C17" i="1"/>
  <c r="A17" i="1"/>
  <c r="AT16" i="1"/>
  <c r="AS16" i="1"/>
  <c r="AR16" i="1"/>
  <c r="AQ16" i="1"/>
  <c r="AP16" i="1"/>
  <c r="AO16" i="1"/>
  <c r="AN16" i="1"/>
  <c r="AM16" i="1"/>
  <c r="AL16" i="1"/>
  <c r="AK16" i="1"/>
  <c r="AJ16" i="1"/>
  <c r="AI16" i="1"/>
  <c r="AH16" i="1"/>
  <c r="AG16" i="1"/>
  <c r="AD16" i="1"/>
  <c r="AB16" i="1"/>
  <c r="AA16" i="1"/>
  <c r="Y16" i="1"/>
  <c r="W16" i="1"/>
  <c r="V16" i="1"/>
  <c r="U16" i="1"/>
  <c r="S16" i="1"/>
  <c r="R16" i="1"/>
  <c r="Q16" i="1"/>
  <c r="P16" i="1"/>
  <c r="O16" i="1"/>
  <c r="M16" i="1"/>
  <c r="L16" i="1"/>
  <c r="K16" i="1"/>
  <c r="J16" i="1"/>
  <c r="I16" i="1"/>
  <c r="G16" i="1"/>
  <c r="F16" i="1"/>
  <c r="E16" i="1"/>
  <c r="D16" i="1"/>
  <c r="C16" i="1"/>
  <c r="A16" i="1"/>
  <c r="AT15" i="1"/>
  <c r="AS15" i="1"/>
  <c r="AR15" i="1"/>
  <c r="AQ15" i="1"/>
  <c r="AP15" i="1"/>
  <c r="AO15" i="1"/>
  <c r="AN15" i="1"/>
  <c r="AM15" i="1"/>
  <c r="AL15" i="1"/>
  <c r="AK15" i="1"/>
  <c r="AJ15" i="1"/>
  <c r="AI15" i="1"/>
  <c r="AH15" i="1"/>
  <c r="AG15" i="1"/>
  <c r="AD15" i="1"/>
  <c r="AB15" i="1"/>
  <c r="AA15" i="1"/>
  <c r="Y15" i="1"/>
  <c r="W15" i="1"/>
  <c r="V15" i="1"/>
  <c r="U15" i="1"/>
  <c r="S15" i="1"/>
  <c r="R15" i="1"/>
  <c r="Q15" i="1"/>
  <c r="P15" i="1"/>
  <c r="O15" i="1"/>
  <c r="M15" i="1"/>
  <c r="L15" i="1"/>
  <c r="K15" i="1"/>
  <c r="J15" i="1"/>
  <c r="I15" i="1"/>
  <c r="G15" i="1"/>
  <c r="F15" i="1"/>
  <c r="E15" i="1"/>
  <c r="D15" i="1"/>
  <c r="C15" i="1"/>
  <c r="A15" i="1"/>
  <c r="AT14" i="1"/>
  <c r="AS14" i="1"/>
  <c r="AR14" i="1"/>
  <c r="AQ14" i="1"/>
  <c r="AP14" i="1"/>
  <c r="AO14" i="1"/>
  <c r="AN14" i="1"/>
  <c r="AM14" i="1"/>
  <c r="AL14" i="1"/>
  <c r="AK14" i="1"/>
  <c r="AJ14" i="1"/>
  <c r="AI14" i="1"/>
  <c r="AH14" i="1"/>
  <c r="AG14" i="1"/>
  <c r="AD14" i="1"/>
  <c r="AB14" i="1"/>
  <c r="AA14" i="1"/>
  <c r="Y14" i="1"/>
  <c r="W14" i="1"/>
  <c r="V14" i="1"/>
  <c r="U14" i="1"/>
  <c r="S14" i="1"/>
  <c r="R14" i="1"/>
  <c r="Q14" i="1"/>
  <c r="P14" i="1"/>
  <c r="O14" i="1"/>
  <c r="M14" i="1"/>
  <c r="L14" i="1"/>
  <c r="K14" i="1"/>
  <c r="J14" i="1"/>
  <c r="I14" i="1"/>
  <c r="G14" i="1"/>
  <c r="F14" i="1"/>
  <c r="E14" i="1"/>
  <c r="D14" i="1"/>
  <c r="C14" i="1"/>
  <c r="A14" i="1"/>
  <c r="AT13" i="1"/>
  <c r="AS13" i="1"/>
  <c r="AR13" i="1"/>
  <c r="AQ13" i="1"/>
  <c r="AP13" i="1"/>
  <c r="AO13" i="1"/>
  <c r="AN13" i="1"/>
  <c r="AM13" i="1"/>
  <c r="AL13" i="1"/>
  <c r="AK13" i="1"/>
  <c r="AJ13" i="1"/>
  <c r="AI13" i="1"/>
  <c r="AH13" i="1"/>
  <c r="AG13" i="1"/>
  <c r="AD13" i="1"/>
  <c r="AB13" i="1"/>
  <c r="AA13" i="1"/>
  <c r="Y13" i="1"/>
  <c r="W13" i="1"/>
  <c r="V13" i="1"/>
  <c r="U13" i="1"/>
  <c r="S13" i="1"/>
  <c r="R13" i="1"/>
  <c r="Q13" i="1"/>
  <c r="P13" i="1"/>
  <c r="O13" i="1"/>
  <c r="M13" i="1"/>
  <c r="L13" i="1"/>
  <c r="K13" i="1"/>
  <c r="J13" i="1"/>
  <c r="I13" i="1"/>
  <c r="G13" i="1"/>
  <c r="F13" i="1"/>
  <c r="E13" i="1"/>
  <c r="D13" i="1"/>
  <c r="C13" i="1"/>
  <c r="A13" i="1"/>
  <c r="AT12" i="1"/>
  <c r="AS12" i="1"/>
  <c r="AR12" i="1"/>
  <c r="AQ12" i="1"/>
  <c r="AP12" i="1"/>
  <c r="AO12" i="1"/>
  <c r="AN12" i="1"/>
  <c r="AM12" i="1"/>
  <c r="AL12" i="1"/>
  <c r="AK12" i="1"/>
  <c r="AJ12" i="1"/>
  <c r="AI12" i="1"/>
  <c r="AH12" i="1"/>
  <c r="AG12" i="1"/>
  <c r="AD12" i="1"/>
  <c r="AB12" i="1"/>
  <c r="AA12" i="1"/>
  <c r="Y12" i="1"/>
  <c r="W12" i="1"/>
  <c r="V12" i="1"/>
  <c r="U12" i="1"/>
  <c r="S12" i="1"/>
  <c r="R12" i="1"/>
  <c r="Q12" i="1"/>
  <c r="P12" i="1"/>
  <c r="O12" i="1"/>
  <c r="M12" i="1"/>
  <c r="L12" i="1"/>
  <c r="K12" i="1"/>
  <c r="J12" i="1"/>
  <c r="I12" i="1"/>
  <c r="G12" i="1"/>
  <c r="F12" i="1"/>
  <c r="E12" i="1"/>
  <c r="D12" i="1"/>
  <c r="C12" i="1"/>
  <c r="A12" i="1"/>
  <c r="AT11" i="1"/>
  <c r="AS11" i="1"/>
  <c r="AR11" i="1"/>
  <c r="AQ11" i="1"/>
  <c r="AP11" i="1"/>
  <c r="AO11" i="1"/>
  <c r="AN11" i="1"/>
  <c r="AM11" i="1"/>
  <c r="AL11" i="1"/>
  <c r="AK11" i="1"/>
  <c r="AJ11" i="1"/>
  <c r="AI11" i="1"/>
  <c r="AH11" i="1"/>
  <c r="AG11" i="1"/>
  <c r="AD11" i="1"/>
  <c r="AB11" i="1"/>
  <c r="AA11" i="1"/>
  <c r="Y11" i="1"/>
  <c r="W11" i="1"/>
  <c r="V11" i="1"/>
  <c r="U11" i="1"/>
  <c r="S11" i="1"/>
  <c r="R11" i="1"/>
  <c r="Q11" i="1"/>
  <c r="P11" i="1"/>
  <c r="O11" i="1"/>
  <c r="M11" i="1"/>
  <c r="L11" i="1"/>
  <c r="K11" i="1"/>
  <c r="J11" i="1"/>
  <c r="I11" i="1"/>
  <c r="G11" i="1"/>
  <c r="F11" i="1"/>
  <c r="E11" i="1"/>
  <c r="D11" i="1"/>
  <c r="C11" i="1"/>
  <c r="A11" i="1"/>
  <c r="AT10" i="1"/>
  <c r="AS10" i="1"/>
  <c r="AR10" i="1"/>
  <c r="AQ10" i="1"/>
  <c r="AP10" i="1"/>
  <c r="AO10" i="1"/>
  <c r="AN10" i="1"/>
  <c r="AM10" i="1"/>
  <c r="AL10" i="1"/>
  <c r="AK10" i="1"/>
  <c r="AJ10" i="1"/>
  <c r="AI10" i="1"/>
  <c r="AH10" i="1"/>
  <c r="AG10" i="1"/>
  <c r="AD10" i="1"/>
  <c r="AB10" i="1"/>
  <c r="V10" i="1"/>
  <c r="U10" i="1"/>
  <c r="S10" i="1"/>
  <c r="R10" i="1"/>
  <c r="Q10" i="1"/>
  <c r="P10" i="1"/>
  <c r="O10" i="1"/>
  <c r="M10" i="1"/>
  <c r="L10" i="1"/>
  <c r="K10" i="1"/>
  <c r="J10" i="1"/>
  <c r="I10" i="1"/>
  <c r="G10" i="1"/>
  <c r="F10" i="1"/>
  <c r="E10" i="1"/>
  <c r="D10" i="1"/>
  <c r="C10" i="1"/>
  <c r="A10" i="1"/>
  <c r="AT9" i="1"/>
  <c r="AS9" i="1"/>
  <c r="AR9" i="1"/>
  <c r="AQ9" i="1"/>
  <c r="AP9" i="1"/>
  <c r="AO9" i="1"/>
  <c r="AN9" i="1"/>
  <c r="AM9" i="1"/>
  <c r="AL9" i="1"/>
  <c r="AK9" i="1"/>
  <c r="AJ9" i="1"/>
  <c r="AI9" i="1"/>
  <c r="AH9" i="1"/>
  <c r="AG9" i="1"/>
  <c r="AD9" i="1"/>
  <c r="AB9" i="1"/>
  <c r="V9" i="1"/>
  <c r="U9" i="1"/>
  <c r="S9" i="1"/>
  <c r="R9" i="1"/>
  <c r="Q9" i="1"/>
  <c r="P9" i="1"/>
  <c r="O9" i="1"/>
  <c r="M9" i="1"/>
  <c r="L9" i="1"/>
  <c r="K9" i="1"/>
  <c r="J9" i="1"/>
  <c r="I9" i="1"/>
  <c r="G9" i="1"/>
  <c r="F9" i="1"/>
  <c r="E9" i="1"/>
  <c r="D9" i="1"/>
  <c r="C9" i="1"/>
  <c r="A9" i="1"/>
  <c r="AT8" i="1"/>
  <c r="AS8" i="1"/>
  <c r="AR8" i="1"/>
  <c r="AQ8" i="1"/>
  <c r="AP8" i="1"/>
  <c r="AO8" i="1"/>
  <c r="AN8" i="1"/>
  <c r="AM8" i="1"/>
  <c r="AL8" i="1"/>
  <c r="AK8" i="1"/>
  <c r="AJ8" i="1"/>
  <c r="AI8" i="1"/>
  <c r="AH8" i="1"/>
  <c r="AG8" i="1"/>
  <c r="AD8" i="1"/>
  <c r="AB8" i="1"/>
  <c r="V8" i="1"/>
  <c r="U8" i="1"/>
  <c r="S8" i="1"/>
  <c r="R8" i="1"/>
  <c r="Q8" i="1"/>
  <c r="P8" i="1"/>
  <c r="O8" i="1"/>
  <c r="M8" i="1"/>
  <c r="L8" i="1"/>
  <c r="K8" i="1"/>
  <c r="J8" i="1"/>
  <c r="I8" i="1"/>
  <c r="G8" i="1"/>
  <c r="F8" i="1"/>
  <c r="E8" i="1"/>
  <c r="D8" i="1"/>
  <c r="C8" i="1"/>
  <c r="A8" i="1"/>
  <c r="AT7" i="1"/>
  <c r="AS7" i="1"/>
  <c r="AR7" i="1"/>
  <c r="AQ7" i="1"/>
  <c r="AP7" i="1"/>
  <c r="AO7" i="1"/>
  <c r="AN7" i="1"/>
  <c r="AM7" i="1"/>
  <c r="AL7" i="1"/>
  <c r="AK7" i="1"/>
  <c r="AJ7" i="1"/>
  <c r="AI7" i="1"/>
  <c r="AH7" i="1"/>
  <c r="AG7" i="1"/>
  <c r="AD7" i="1"/>
  <c r="AB7" i="1"/>
  <c r="V7" i="1"/>
  <c r="U7" i="1"/>
  <c r="S7" i="1"/>
  <c r="R7" i="1"/>
  <c r="Q7" i="1"/>
  <c r="P7" i="1"/>
  <c r="O7" i="1"/>
  <c r="M7" i="1"/>
  <c r="L7" i="1"/>
  <c r="K7" i="1"/>
  <c r="J7" i="1"/>
  <c r="I7" i="1"/>
  <c r="G7" i="1"/>
  <c r="F7" i="1"/>
  <c r="E7" i="1"/>
  <c r="D7" i="1"/>
  <c r="C7" i="1"/>
  <c r="A7" i="1"/>
  <c r="AT6" i="1"/>
  <c r="AS6" i="1"/>
  <c r="AR6" i="1"/>
  <c r="AQ6" i="1"/>
  <c r="AP6" i="1"/>
  <c r="AO6" i="1"/>
  <c r="AN6" i="1"/>
  <c r="AM6" i="1"/>
  <c r="AL6" i="1"/>
  <c r="AK6" i="1"/>
  <c r="AJ6" i="1"/>
  <c r="AI6" i="1"/>
  <c r="AH6" i="1"/>
  <c r="AG6" i="1"/>
  <c r="AD6" i="1"/>
  <c r="AB6" i="1"/>
  <c r="V6" i="1"/>
  <c r="U6" i="1"/>
  <c r="S6" i="1"/>
  <c r="R6" i="1"/>
  <c r="Q6" i="1"/>
  <c r="P6" i="1"/>
  <c r="O6" i="1"/>
  <c r="M6" i="1"/>
  <c r="L6" i="1"/>
  <c r="K6" i="1"/>
  <c r="J6" i="1"/>
  <c r="G6" i="1"/>
  <c r="F6" i="1"/>
  <c r="E6" i="1"/>
  <c r="D6" i="1"/>
  <c r="C6" i="1"/>
  <c r="A6" i="1"/>
  <c r="AT5" i="1"/>
  <c r="AS5" i="1"/>
  <c r="AR5" i="1"/>
  <c r="AQ5" i="1"/>
  <c r="AP5" i="1"/>
  <c r="AO5" i="1"/>
  <c r="AN5" i="1"/>
  <c r="AM5" i="1"/>
  <c r="AL5" i="1"/>
  <c r="AK5" i="1"/>
  <c r="AJ5" i="1"/>
  <c r="AI5" i="1"/>
  <c r="AH5" i="1"/>
  <c r="AG5" i="1"/>
  <c r="AD5" i="1"/>
  <c r="AB5" i="1"/>
  <c r="V5" i="1"/>
  <c r="U5" i="1"/>
  <c r="S5" i="1"/>
  <c r="R5" i="1"/>
  <c r="Q5" i="1"/>
  <c r="P5" i="1"/>
  <c r="O5" i="1"/>
  <c r="M5" i="1"/>
  <c r="L5" i="1"/>
  <c r="K5" i="1"/>
  <c r="J5" i="1"/>
  <c r="G5" i="1"/>
  <c r="F5" i="1"/>
  <c r="E5" i="1"/>
  <c r="D5" i="1"/>
  <c r="C5" i="1"/>
  <c r="A5" i="1"/>
  <c r="AT4" i="1"/>
  <c r="AS4" i="1"/>
  <c r="AR4" i="1"/>
  <c r="AQ4" i="1"/>
  <c r="AP4" i="1"/>
  <c r="AO4" i="1"/>
  <c r="AN4" i="1"/>
  <c r="AM4" i="1"/>
  <c r="AL4" i="1"/>
  <c r="AK4" i="1"/>
  <c r="AJ4" i="1"/>
  <c r="AI4" i="1"/>
  <c r="AH4" i="1"/>
  <c r="AG4" i="1"/>
  <c r="AD4" i="1"/>
  <c r="AB4" i="1"/>
  <c r="V4" i="1"/>
  <c r="U4" i="1"/>
  <c r="S4" i="1"/>
  <c r="R4" i="1"/>
  <c r="Q4" i="1"/>
  <c r="P4" i="1"/>
  <c r="O4" i="1"/>
  <c r="M4" i="1"/>
  <c r="L4" i="1"/>
  <c r="K4" i="1"/>
  <c r="J4" i="1"/>
  <c r="G4" i="1"/>
  <c r="F4" i="1"/>
  <c r="E4" i="1"/>
  <c r="D4" i="1"/>
  <c r="C4" i="1"/>
  <c r="A4" i="1"/>
  <c r="AT3" i="1"/>
  <c r="AS3" i="1"/>
  <c r="AR3" i="1"/>
  <c r="AQ3" i="1"/>
  <c r="AP3" i="1"/>
  <c r="AO3" i="1"/>
  <c r="AN3" i="1"/>
  <c r="AM3" i="1"/>
  <c r="AL3" i="1"/>
  <c r="AK3" i="1"/>
  <c r="AJ3" i="1"/>
  <c r="AI3" i="1"/>
  <c r="AH3" i="1"/>
  <c r="AG3" i="1"/>
  <c r="AD3" i="1"/>
  <c r="AB3" i="1"/>
  <c r="V3" i="1"/>
  <c r="U3" i="1"/>
  <c r="S3" i="1"/>
  <c r="R3" i="1"/>
  <c r="Q3" i="1"/>
  <c r="P3" i="1"/>
  <c r="O3" i="1"/>
  <c r="M3" i="1"/>
  <c r="L3" i="1"/>
  <c r="K3" i="1"/>
  <c r="J3" i="1"/>
  <c r="G3" i="1"/>
  <c r="F3" i="1"/>
  <c r="E3" i="1"/>
  <c r="D3" i="1"/>
  <c r="C3" i="1"/>
  <c r="A3" i="1"/>
  <c r="AT2" i="1"/>
  <c r="AS2" i="1"/>
  <c r="AR2" i="1"/>
  <c r="AQ2" i="1"/>
  <c r="AP2" i="1"/>
  <c r="AO2" i="1"/>
  <c r="AN2" i="1"/>
  <c r="AM2" i="1"/>
  <c r="AL2" i="1"/>
  <c r="AK2" i="1"/>
  <c r="AJ2" i="1"/>
  <c r="AI2" i="1"/>
  <c r="AH2" i="1"/>
  <c r="AG2" i="1"/>
  <c r="AD2" i="1"/>
  <c r="AB2" i="1"/>
  <c r="V2" i="1"/>
  <c r="U2" i="1"/>
  <c r="S2" i="1"/>
  <c r="R2" i="1"/>
  <c r="Q2" i="1"/>
  <c r="P2" i="1"/>
  <c r="O2" i="1"/>
  <c r="M2" i="1"/>
  <c r="L2" i="1"/>
  <c r="K2" i="1"/>
  <c r="J2" i="1"/>
  <c r="G2" i="1"/>
  <c r="F2" i="1"/>
  <c r="E2" i="1"/>
  <c r="D2" i="1"/>
  <c r="C2" i="1"/>
  <c r="A2"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F1" i="1"/>
  <c r="E1" i="1"/>
  <c r="D1" i="1"/>
  <c r="C1" i="1"/>
  <c r="B1" i="1"/>
  <c r="A1" i="1"/>
</calcChain>
</file>

<file path=xl/sharedStrings.xml><?xml version="1.0" encoding="utf-8"?>
<sst xmlns="http://schemas.openxmlformats.org/spreadsheetml/2006/main" count="6" uniqueCount="6">
  <si>
    <t>Data</t>
  </si>
  <si>
    <t xml:space="preserve">Număr </t>
  </si>
  <si>
    <t>Tip număr</t>
  </si>
  <si>
    <t>Referință</t>
  </si>
  <si>
    <t>Observații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</si>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</sst>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6">
    <font>
      <sz val="10"/>
      <color rgb="FF000000"/>
      <name val="Arial"/>
    </font>
    <font>
      <b/>
      <sz val="9"/>
      <color rgb="FFFFFFFF"/>
      <name val="Montserrat"/>
    </font>
    <font>
      <sz val="9"/>
      <color theme="1"/>
      <name val="Montserrat"/>
    </font>
    <font>
      <u/>
      <sz val="9"/>
      <color rgb="FF0000FF"/>
      <name val="Montserrat"/>
    </font>
    <font>
      <b/>
      <sz val="10"/>
      <color theme="1"/>
      <name val="Arial"/>
    </font>
    <font>
      <sz val="10"/>
      <color theme="1"/>
      <name val="Arial"/>
    </font>
  </fonts>
  <fills count="3">
    <fill>
      <patternFill patternType="none"/>
    </fill>
    <fill>
      <patternFill patternType="gray125"/>
    </fill>
    <fill>
      <patternFill patternType="solid">
        <fgColor rgb="FF46BDC6"/>
        <bgColor rgb="FF46BDC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3">
    <xf numFmtId="0" fontId="0" fillId="0" borderId="0" xfId="0" applyFont="1" applyAlignment="1"/>
    <xf numFmtId="0" fontId="1" fillId="2" borderId="1" xfId="0" applyFont="1" applyFill="1" applyBorder="1" applyAlignment="1">
      <alignment horizontal="center" vertical="top" wrapText="1"/>
    </xf>
    <xf numFmtId="0" fontId="2" fillId="0" borderId="1" xfId="0" applyFont="1" applyBorder="1" applyAlignment="1">
      <alignment vertical="top"/>
    </xf>
    <xf numFmtId="0" fontId="2" fillId="0" borderId="1" xfId="0" applyFont="1" applyBorder="1" applyAlignment="1"/>
    <xf numFmtId="3" fontId="2" fillId="0" borderId="1" xfId="0" applyNumberFormat="1" applyFont="1" applyBorder="1" applyAlignment="1"/>
    <xf numFmtId="14" fontId="2" fillId="0" borderId="1" xfId="0" applyNumberFormat="1" applyFont="1" applyBorder="1" applyAlignment="1"/>
    <xf numFmtId="0" fontId="3" fillId="0" borderId="1" xfId="0" applyFont="1" applyBorder="1" applyAlignment="1"/>
    <xf numFmtId="0" fontId="2" fillId="0" borderId="1" xfId="0" applyFont="1" applyBorder="1" applyAlignment="1">
      <alignment horizontal="center"/>
    </xf>
    <xf numFmtId="164" fontId="4" fillId="0" borderId="0" xfId="0" applyNumberFormat="1" applyFont="1" applyAlignment="1"/>
    <xf numFmtId="0" fontId="4" fillId="0" borderId="0" xfId="0" applyFont="1" applyAlignment="1"/>
    <xf numFmtId="164" fontId="5" fillId="0" borderId="0" xfId="0" applyNumberFormat="1" applyFont="1" applyAlignment="1"/>
    <xf numFmtId="0" fontId="5" fillId="0" borderId="0" xfId="0" applyFont="1"/>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ms.ro/2020/05/18/decese-1108-1120/" TargetMode="External"/><Relationship Id="rId21" Type="http://schemas.openxmlformats.org/officeDocument/2006/relationships/hyperlink" Target="http://www.ms.ro/2020/05/19/decese-1127-1137/" TargetMode="External"/><Relationship Id="rId42" Type="http://schemas.openxmlformats.org/officeDocument/2006/relationships/hyperlink" Target="http://www.ms.ro/2020/05/05/decese-828-841/" TargetMode="External"/><Relationship Id="rId47" Type="http://schemas.openxmlformats.org/officeDocument/2006/relationships/hyperlink" Target="http://www.ms.ro/2020/04/29/decese-689-693/" TargetMode="External"/><Relationship Id="rId63" Type="http://schemas.openxmlformats.org/officeDocument/2006/relationships/hyperlink" Target="http://www.ms.ro/2020/04/19/decese-435-445/" TargetMode="External"/><Relationship Id="rId68" Type="http://schemas.openxmlformats.org/officeDocument/2006/relationships/hyperlink" Target="http://www.ms.ro/2020/04/11/decese-271-282/" TargetMode="External"/><Relationship Id="rId84" Type="http://schemas.openxmlformats.org/officeDocument/2006/relationships/hyperlink" Target="http://www.ms.ro/2020/04/04/deces-134-141/" TargetMode="External"/><Relationship Id="rId89" Type="http://schemas.openxmlformats.org/officeDocument/2006/relationships/hyperlink" Target="http://www.ms.ro/2020/04/01/deces-91-92/" TargetMode="External"/><Relationship Id="rId16" Type="http://schemas.openxmlformats.org/officeDocument/2006/relationships/hyperlink" Target="http://www.ms.ro/2020/05/25/decese-1198-1202/" TargetMode="External"/><Relationship Id="rId11" Type="http://schemas.openxmlformats.org/officeDocument/2006/relationships/hyperlink" Target="http://www.ms.ro/2020/05/30/decese-1249-1253/" TargetMode="External"/><Relationship Id="rId32" Type="http://schemas.openxmlformats.org/officeDocument/2006/relationships/hyperlink" Target="http://www.ms.ro/2020/05/12/decese-992-1002/" TargetMode="External"/><Relationship Id="rId37" Type="http://schemas.openxmlformats.org/officeDocument/2006/relationships/hyperlink" Target="http://www.ms.ro/2020/05/07/decese-887-888/" TargetMode="External"/><Relationship Id="rId53" Type="http://schemas.openxmlformats.org/officeDocument/2006/relationships/hyperlink" Target="http://www.ms.ro/2020/04/27/decese-632-641/" TargetMode="External"/><Relationship Id="rId58" Type="http://schemas.openxmlformats.org/officeDocument/2006/relationships/hyperlink" Target="http://www.ms.ro/2020/04/22/decese-499-507/" TargetMode="External"/><Relationship Id="rId74" Type="http://schemas.openxmlformats.org/officeDocument/2006/relationships/hyperlink" Target="http://www.ms.ro/2020/04/09/decese-221-227/" TargetMode="External"/><Relationship Id="rId79" Type="http://schemas.openxmlformats.org/officeDocument/2006/relationships/hyperlink" Target="http://www.ms.ro/2020/04/08/deces-198-205/" TargetMode="External"/><Relationship Id="rId5" Type="http://schemas.openxmlformats.org/officeDocument/2006/relationships/hyperlink" Target="http://www.ms.ro/2020/06/08/decese-1335-1339/" TargetMode="External"/><Relationship Id="rId90" Type="http://schemas.openxmlformats.org/officeDocument/2006/relationships/hyperlink" Target="http://www.ms.ro/2020/04/01/deces-87-90/" TargetMode="External"/><Relationship Id="rId95" Type="http://schemas.openxmlformats.org/officeDocument/2006/relationships/hyperlink" Target="http://www.ms.ro/2020/03/23/al-saptelea-deces-al-unui-pacient-infectat-cu-noul-coronavirus/" TargetMode="External"/><Relationship Id="rId22" Type="http://schemas.openxmlformats.org/officeDocument/2006/relationships/hyperlink" Target="http://www.ms.ro/2020/05/19/decese-1121-1124/" TargetMode="External"/><Relationship Id="rId27" Type="http://schemas.openxmlformats.org/officeDocument/2006/relationships/hyperlink" Target="http://www.ms.ro/2020/05/14/decese/" TargetMode="External"/><Relationship Id="rId43" Type="http://schemas.openxmlformats.org/officeDocument/2006/relationships/hyperlink" Target="http://www.ms.ro/2020/05/04/decese-804-818/" TargetMode="External"/><Relationship Id="rId48" Type="http://schemas.openxmlformats.org/officeDocument/2006/relationships/hyperlink" Target="http://www.ms.ro/2020/04/29/decese-689-693/" TargetMode="External"/><Relationship Id="rId64" Type="http://schemas.openxmlformats.org/officeDocument/2006/relationships/hyperlink" Target="http://www.ms.ro/2020/04/17/decese-401-411/" TargetMode="External"/><Relationship Id="rId69" Type="http://schemas.openxmlformats.org/officeDocument/2006/relationships/hyperlink" Target="http://www.ms.ro/2020/04/10/decese-258-265/" TargetMode="External"/><Relationship Id="rId8" Type="http://schemas.openxmlformats.org/officeDocument/2006/relationships/hyperlink" Target="http://www.ms.ro/2020/06/03/decese-1289-1296/" TargetMode="External"/><Relationship Id="rId51" Type="http://schemas.openxmlformats.org/officeDocument/2006/relationships/hyperlink" Target="http://www.ms.ro/2020/04/29/decese-664-675/" TargetMode="External"/><Relationship Id="rId72" Type="http://schemas.openxmlformats.org/officeDocument/2006/relationships/hyperlink" Target="http://www.ms.ro/2020/04/09/decese-230-246/" TargetMode="External"/><Relationship Id="rId80" Type="http://schemas.openxmlformats.org/officeDocument/2006/relationships/hyperlink" Target="http://www.ms.ro/2020/04/08/deces-198-205/" TargetMode="External"/><Relationship Id="rId85" Type="http://schemas.openxmlformats.org/officeDocument/2006/relationships/hyperlink" Target="http://www.ms.ro/2020/04/03/deces-117-118/" TargetMode="External"/><Relationship Id="rId93" Type="http://schemas.openxmlformats.org/officeDocument/2006/relationships/hyperlink" Target="http://www.ms.ro/2020/03/31/deces-79/" TargetMode="External"/><Relationship Id="rId3" Type="http://schemas.openxmlformats.org/officeDocument/2006/relationships/hyperlink" Target="http://www.ms.ro/2020/06/09/decese-1346-1353/" TargetMode="External"/><Relationship Id="rId12" Type="http://schemas.openxmlformats.org/officeDocument/2006/relationships/hyperlink" Target="http://www.ms.ro/2020/05/30/decese-1249-1253/" TargetMode="External"/><Relationship Id="rId17" Type="http://schemas.openxmlformats.org/officeDocument/2006/relationships/hyperlink" Target="http://www.ms.ro/2020/05/22/decese-1160-1166/" TargetMode="External"/><Relationship Id="rId25" Type="http://schemas.openxmlformats.org/officeDocument/2006/relationships/hyperlink" Target="http://www.ms.ro/2020/05/18/decese-1108-1120/" TargetMode="External"/><Relationship Id="rId33" Type="http://schemas.openxmlformats.org/officeDocument/2006/relationships/hyperlink" Target="http://www.ms.ro/2020/05/11/decese-973-982/" TargetMode="External"/><Relationship Id="rId38" Type="http://schemas.openxmlformats.org/officeDocument/2006/relationships/hyperlink" Target="http://www.ms.ro/2020/05/06/decese-842-854/" TargetMode="External"/><Relationship Id="rId46" Type="http://schemas.openxmlformats.org/officeDocument/2006/relationships/hyperlink" Target="http://www.ms.ro/2020/04/29/decese-689-693/" TargetMode="External"/><Relationship Id="rId59" Type="http://schemas.openxmlformats.org/officeDocument/2006/relationships/hyperlink" Target="http://www.ms.ro/2020/04/22/decese-499-507/" TargetMode="External"/><Relationship Id="rId67" Type="http://schemas.openxmlformats.org/officeDocument/2006/relationships/hyperlink" Target="http://www.ms.ro/2020/04/11/decese-283-290/" TargetMode="External"/><Relationship Id="rId20" Type="http://schemas.openxmlformats.org/officeDocument/2006/relationships/hyperlink" Target="http://www.ms.ro/2020/05/20/decese-1138-1141/" TargetMode="External"/><Relationship Id="rId41" Type="http://schemas.openxmlformats.org/officeDocument/2006/relationships/hyperlink" Target="http://www.ms.ro/2020/05/05/decese-828-841/" TargetMode="External"/><Relationship Id="rId54" Type="http://schemas.openxmlformats.org/officeDocument/2006/relationships/hyperlink" Target="http://www.ms.ro/2020/04/27/decese-632-641/" TargetMode="External"/><Relationship Id="rId62" Type="http://schemas.openxmlformats.org/officeDocument/2006/relationships/hyperlink" Target="http://www.ms.ro/2020/04/19/decese-435-445/" TargetMode="External"/><Relationship Id="rId70" Type="http://schemas.openxmlformats.org/officeDocument/2006/relationships/hyperlink" Target="http://www.ms.ro/2020/04/10/deces-249-257/" TargetMode="External"/><Relationship Id="rId75" Type="http://schemas.openxmlformats.org/officeDocument/2006/relationships/hyperlink" Target="http://www.ms.ro/2020/04/09/decese-221-227/" TargetMode="External"/><Relationship Id="rId83" Type="http://schemas.openxmlformats.org/officeDocument/2006/relationships/hyperlink" Target="http://www.ms.ro/2020/04/04/deces-134-141/" TargetMode="External"/><Relationship Id="rId88" Type="http://schemas.openxmlformats.org/officeDocument/2006/relationships/hyperlink" Target="http://www.ms.ro/2020/04/01/deces-91-92/" TargetMode="External"/><Relationship Id="rId91" Type="http://schemas.openxmlformats.org/officeDocument/2006/relationships/hyperlink" Target="http://www.ms.ro/2020/04/01/decese-83-85/" TargetMode="External"/><Relationship Id="rId96" Type="http://schemas.openxmlformats.org/officeDocument/2006/relationships/hyperlink" Target="http://www.ms.ro/2020/03/22/buletin-informativ-22-03-2020/" TargetMode="External"/><Relationship Id="rId1" Type="http://schemas.openxmlformats.org/officeDocument/2006/relationships/hyperlink" Target="http://www.ms.ro/2020/06/10/decese-1356-1360/" TargetMode="External"/><Relationship Id="rId6" Type="http://schemas.openxmlformats.org/officeDocument/2006/relationships/hyperlink" Target="http://www.ms.ro/2020/06/05/decese-1306-1308/" TargetMode="External"/><Relationship Id="rId15" Type="http://schemas.openxmlformats.org/officeDocument/2006/relationships/hyperlink" Target="http://www.ms.ro/2020/05/25/decese-1198-1202/" TargetMode="External"/><Relationship Id="rId23" Type="http://schemas.openxmlformats.org/officeDocument/2006/relationships/hyperlink" Target="http://www.ms.ro/2020/05/18/decese-1108-1120/" TargetMode="External"/><Relationship Id="rId28" Type="http://schemas.openxmlformats.org/officeDocument/2006/relationships/hyperlink" Target="http://www.ms.ro/2020/05/14/decese-1037-1046/" TargetMode="External"/><Relationship Id="rId36" Type="http://schemas.openxmlformats.org/officeDocument/2006/relationships/hyperlink" Target="http://www.ms.ro/2020/05/09/decese-937-939/" TargetMode="External"/><Relationship Id="rId49" Type="http://schemas.openxmlformats.org/officeDocument/2006/relationships/hyperlink" Target="http://www.ms.ro/2020/04/29/decese-664-675/" TargetMode="External"/><Relationship Id="rId57" Type="http://schemas.openxmlformats.org/officeDocument/2006/relationships/hyperlink" Target="http://www.ms.ro/2020/04/25/decese-580-601/" TargetMode="External"/><Relationship Id="rId10" Type="http://schemas.openxmlformats.org/officeDocument/2006/relationships/hyperlink" Target="http://www.ms.ro/2020/06/02/decese-1280-1288/" TargetMode="External"/><Relationship Id="rId31" Type="http://schemas.openxmlformats.org/officeDocument/2006/relationships/hyperlink" Target="http://www.ms.ro/2020/05/12/decese-992-1002/" TargetMode="External"/><Relationship Id="rId44" Type="http://schemas.openxmlformats.org/officeDocument/2006/relationships/hyperlink" Target="http://www.ms.ro/2020/05/04/decese-804-818/" TargetMode="External"/><Relationship Id="rId52" Type="http://schemas.openxmlformats.org/officeDocument/2006/relationships/hyperlink" Target="http://www.ms.ro/2020/04/29/decese-664-675/" TargetMode="External"/><Relationship Id="rId60" Type="http://schemas.openxmlformats.org/officeDocument/2006/relationships/hyperlink" Target="http://www.ms.ro/2020/04/21/decese-483-498/" TargetMode="External"/><Relationship Id="rId65" Type="http://schemas.openxmlformats.org/officeDocument/2006/relationships/hyperlink" Target="http://www.ms.ro/2020/04/14/decese-347-351/" TargetMode="External"/><Relationship Id="rId73" Type="http://schemas.openxmlformats.org/officeDocument/2006/relationships/hyperlink" Target="http://www.ms.ro/2020/04/09/deces-228-229/" TargetMode="External"/><Relationship Id="rId78" Type="http://schemas.openxmlformats.org/officeDocument/2006/relationships/hyperlink" Target="http://www.ms.ro/2020/04/08/deces-198-205/" TargetMode="External"/><Relationship Id="rId81" Type="http://schemas.openxmlformats.org/officeDocument/2006/relationships/hyperlink" Target="http://www.ms.ro/2020/04/07/deces-177-182/" TargetMode="External"/><Relationship Id="rId86" Type="http://schemas.openxmlformats.org/officeDocument/2006/relationships/hyperlink" Target="http://www.ms.ro/2020/04/02/decese-95-107/" TargetMode="External"/><Relationship Id="rId94" Type="http://schemas.openxmlformats.org/officeDocument/2006/relationships/hyperlink" Target="http://www.ms.ro/2020/03/27/al-25-lea-deces-al-unei-persoane-infectate-cu-noul-coronavirus/" TargetMode="External"/><Relationship Id="rId4" Type="http://schemas.openxmlformats.org/officeDocument/2006/relationships/hyperlink" Target="http://www.ms.ro/2020/06/09/decese-1340-1343/" TargetMode="External"/><Relationship Id="rId9" Type="http://schemas.openxmlformats.org/officeDocument/2006/relationships/hyperlink" Target="http://www.ms.ro/2020/06/03/decese-1289-1296/" TargetMode="External"/><Relationship Id="rId13" Type="http://schemas.openxmlformats.org/officeDocument/2006/relationships/hyperlink" Target="http://www.ms.ro/2020/05/29/decese-1236-1238/" TargetMode="External"/><Relationship Id="rId18" Type="http://schemas.openxmlformats.org/officeDocument/2006/relationships/hyperlink" Target="http://www.ms.ro/2020/05/22/decese-1160-1166/" TargetMode="External"/><Relationship Id="rId39" Type="http://schemas.openxmlformats.org/officeDocument/2006/relationships/hyperlink" Target="http://www.ms.ro/2020/05/06/decese-842-854/" TargetMode="External"/><Relationship Id="rId34" Type="http://schemas.openxmlformats.org/officeDocument/2006/relationships/hyperlink" Target="http://www.ms.ro/2020/05/11/decese-962-972/" TargetMode="External"/><Relationship Id="rId50" Type="http://schemas.openxmlformats.org/officeDocument/2006/relationships/hyperlink" Target="http://www.ms.ro/2020/04/29/decese-664-675/" TargetMode="External"/><Relationship Id="rId55" Type="http://schemas.openxmlformats.org/officeDocument/2006/relationships/hyperlink" Target="http://www.ms.ro/2020/04/27/decese-632-641/" TargetMode="External"/><Relationship Id="rId76" Type="http://schemas.openxmlformats.org/officeDocument/2006/relationships/hyperlink" Target="http://www.ms.ro/2020/04/08/deces-216-220/" TargetMode="External"/><Relationship Id="rId7" Type="http://schemas.openxmlformats.org/officeDocument/2006/relationships/hyperlink" Target="http://www.ms.ro/2020/06/04/decese-1300-1305/" TargetMode="External"/><Relationship Id="rId71" Type="http://schemas.openxmlformats.org/officeDocument/2006/relationships/hyperlink" Target="http://www.ms.ro/2020/04/09/decese-230-246/" TargetMode="External"/><Relationship Id="rId92" Type="http://schemas.openxmlformats.org/officeDocument/2006/relationships/hyperlink" Target="http://www.ms.ro/2020/04/01/decese-83-85/" TargetMode="External"/><Relationship Id="rId2" Type="http://schemas.openxmlformats.org/officeDocument/2006/relationships/hyperlink" Target="http://www.ms.ro/2020/06/10/decese-1356-1360/" TargetMode="External"/><Relationship Id="rId29" Type="http://schemas.openxmlformats.org/officeDocument/2006/relationships/hyperlink" Target="http://www.ms.ro/2020/05/13/decese-1017-1030/" TargetMode="External"/><Relationship Id="rId24" Type="http://schemas.openxmlformats.org/officeDocument/2006/relationships/hyperlink" Target="http://www.ms.ro/2020/05/18/decese-1108-1120/" TargetMode="External"/><Relationship Id="rId40" Type="http://schemas.openxmlformats.org/officeDocument/2006/relationships/hyperlink" Target="http://www.ms.ro/2020/05/05/decese-828-841/" TargetMode="External"/><Relationship Id="rId45" Type="http://schemas.openxmlformats.org/officeDocument/2006/relationships/hyperlink" Target="http://www.ms.ro/2020/05/02/decese-756-771/" TargetMode="External"/><Relationship Id="rId66" Type="http://schemas.openxmlformats.org/officeDocument/2006/relationships/hyperlink" Target="http://www.ms.ro/2020/04/12/decese-291-306/" TargetMode="External"/><Relationship Id="rId87" Type="http://schemas.openxmlformats.org/officeDocument/2006/relationships/hyperlink" Target="http://www.ms.ro/2020/04/02/decese-95-107/" TargetMode="External"/><Relationship Id="rId61" Type="http://schemas.openxmlformats.org/officeDocument/2006/relationships/hyperlink" Target="http://www.ms.ro/2020/04/20/decese-452-460/" TargetMode="External"/><Relationship Id="rId82" Type="http://schemas.openxmlformats.org/officeDocument/2006/relationships/hyperlink" Target="http://www.ms.ro/2020/04/04/decese-141-146/" TargetMode="External"/><Relationship Id="rId19" Type="http://schemas.openxmlformats.org/officeDocument/2006/relationships/hyperlink" Target="http://www.ms.ro/2020/05/22/decese-1157-1159/" TargetMode="External"/><Relationship Id="rId14" Type="http://schemas.openxmlformats.org/officeDocument/2006/relationships/hyperlink" Target="http://www.ms.ro/2020/05/29/decese-1236-1238/" TargetMode="External"/><Relationship Id="rId30" Type="http://schemas.openxmlformats.org/officeDocument/2006/relationships/hyperlink" Target="http://www.ms.ro/2020/05/13/decese-1017-1030/" TargetMode="External"/><Relationship Id="rId35" Type="http://schemas.openxmlformats.org/officeDocument/2006/relationships/hyperlink" Target="http://www.ms.ro/2020/05/11/decese-962-972/" TargetMode="External"/><Relationship Id="rId56" Type="http://schemas.openxmlformats.org/officeDocument/2006/relationships/hyperlink" Target="http://www.ms.ro/2020/04/27/decese-632-641/" TargetMode="External"/><Relationship Id="rId77" Type="http://schemas.openxmlformats.org/officeDocument/2006/relationships/hyperlink" Target="http://www.ms.ro/2020/04/08/deces-211-2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581"/>
  <sheetViews>
    <sheetView tabSelected="1" workbookViewId="0">
      <selection activeCell="H12" sqref="H12"/>
    </sheetView>
  </sheetViews>
  <sheetFormatPr defaultColWidth="14.453125" defaultRowHeight="15.75" customHeight="1"/>
  <cols>
    <col min="1" max="1" width="8.453125" customWidth="1"/>
    <col min="4" max="4" width="20.7265625" customWidth="1"/>
    <col min="12" max="12" width="22.26953125" customWidth="1"/>
  </cols>
  <sheetData>
    <row r="1" spans="1:51" ht="52.5" customHeight="1">
      <c r="A1" s="1" t="str">
        <f ca="1">IFERROR(__xludf.DUMMYFUNCTION("QUERY(IMPORTRANGE(""1YxwFui0_HdcCT5ej6TuXACUUk42sButQfC563m0aPlQ"", ""Decese Detailed!A1:AT200000""), ""Select * Where Col7='București'"")"),"ID")</f>
        <v>ID</v>
      </c>
      <c r="B1" s="1" t="str">
        <f ca="1">IFERROR(__xludf.DUMMYFUNCTION("""COMPUTED_VALUE"""),"Sursă")</f>
        <v>Sursă</v>
      </c>
      <c r="C1" s="1" t="str">
        <f ca="1">IFERROR(__xludf.DUMMYFUNCTION("""COMPUTED_VALUE"""),"Deces
 nr")</f>
        <v>Deces
 nr</v>
      </c>
      <c r="D1" s="1" t="str">
        <f ca="1">IFERROR(__xludf.DUMMYFUNCTION("""COMPUTED_VALUE"""),"Sex")</f>
        <v>Sex</v>
      </c>
      <c r="E1" s="1" t="str">
        <f ca="1">IFERROR(__xludf.DUMMYFUNCTION("""COMPUTED_VALUE"""),"Varstă
 (ani)")</f>
        <v>Varstă
 (ani)</v>
      </c>
      <c r="F1" s="1" t="str">
        <f ca="1">IFERROR(__xludf.DUMMYFUNCTION("""COMPUTED_VALUE"""),"Interval
Varstă")</f>
        <v>Interval
Varstă</v>
      </c>
      <c r="G1" s="1" t="s">
        <v>5</v>
      </c>
      <c r="H1" s="1" t="str">
        <f ca="1">IFERROR(__xludf.DUMMYFUNCTION("""COMPUTED_VALUE"""),"Localitate")</f>
        <v>Localitate</v>
      </c>
      <c r="I1" s="1" t="str">
        <f ca="1">IFERROR(__xludf.DUMMYFUNCTION("""COMPUTED_VALUE"""),"Rank")</f>
        <v>Rank</v>
      </c>
      <c r="J1" s="1" t="str">
        <f ca="1">IFERROR(__xludf.DUMMYFUNCTION("""COMPUTED_VALUE"""),"Afecțiuni
 preexistente
cunoscute:")</f>
        <v>Afecțiuni
 preexistente
cunoscute:</v>
      </c>
      <c r="K1" s="1" t="str">
        <f ca="1">IFERROR(__xludf.DUMMYFUNCTION("""COMPUTED_VALUE"""),"Data comunicat
 Ministerul sănătății:")</f>
        <v>Data comunicat
 Ministerul sănătății:</v>
      </c>
      <c r="L1" s="1" t="str">
        <f ca="1">IFERROR(__xludf.DUMMYFUNCTION("""COMPUTED_VALUE"""),"Decedat la data:")</f>
        <v>Decedat la data:</v>
      </c>
      <c r="M1" s="1" t="str">
        <f ca="1">IFERROR(__xludf.DUMMYFUNCTION("""COMPUTED_VALUE"""),"Comunicat minister 
vs deces
(zile)")</f>
        <v>Comunicat minister 
vs deces
(zile)</v>
      </c>
      <c r="N1" s="1" t="str">
        <f ca="1">IFERROR(__xludf.DUMMYFUNCTION("""COMPUTED_VALUE"""),"Recoltat probe biologice pentru COVID 19 la data :")</f>
        <v>Recoltat probe biologice pentru COVID 19 la data :</v>
      </c>
      <c r="O1" s="1" t="str">
        <f ca="1">IFERROR(__xludf.DUMMYFUNCTION("""COMPUTED_VALUE"""),"Confirmat Covid19 la data:")</f>
        <v>Confirmat Covid19 la data:</v>
      </c>
      <c r="P1" s="1" t="str">
        <f ca="1">IFERROR(__xludf.DUMMYFUNCTION("""COMPUTED_VALUE"""),"Perioadă
Test =&gt; Confirmare Covid")</f>
        <v>Perioadă
Test =&gt; Confirmare Covid</v>
      </c>
      <c r="Q1" s="1" t="str">
        <f ca="1">IFERROR(__xludf.DUMMYFUNCTION("""COMPUTED_VALUE"""),"Perioadă
Confirmare Covid=&gt;Deces ")</f>
        <v xml:space="preserve">Perioadă
Confirmare Covid=&gt;Deces </v>
      </c>
      <c r="R1" s="1" t="str">
        <f ca="1">IFERROR(__xludf.DUMMYFUNCTION("""COMPUTED_VALUE"""),"Confirmat 
 post-mortem")</f>
        <v>Confirmat 
 post-mortem</v>
      </c>
      <c r="S1" s="1" t="str">
        <f ca="1">IFERROR(__xludf.DUMMYFUNCTION("""COMPUTED_VALUE"""),"Internat la data:")</f>
        <v>Internat la data:</v>
      </c>
      <c r="T1" s="1" t="str">
        <f ca="1">IFERROR(__xludf.DUMMYFUNCTION("""COMPUTED_VALUE"""),"
Internare - Deces
(zile)")</f>
        <v xml:space="preserve">
Internare - Deces
(zile)</v>
      </c>
      <c r="U1" s="1" t="str">
        <f ca="1">IFERROR(__xludf.DUMMYFUNCTION("""COMPUTED_VALUE"""),"Internat spital/
Neinternat")</f>
        <v>Internat spital/
Neinternat</v>
      </c>
      <c r="V1" s="1" t="str">
        <f ca="1">IFERROR(__xludf.DUMMYFUNCTION("""COMPUTED_VALUE"""),"Link")</f>
        <v>Link</v>
      </c>
      <c r="W1" s="1" t="str">
        <f ca="1">IFERROR(__xludf.DUMMYFUNCTION("""COMPUTED_VALUE"""),"Internat 1st time in:")</f>
        <v>Internat 1st time in:</v>
      </c>
      <c r="X1" s="1" t="str">
        <f ca="1">IFERROR(__xludf.DUMMYFUNCTION("""COMPUTED_VALUE"""),"Sectia
internare
1st time")</f>
        <v>Sectia
internare
1st time</v>
      </c>
      <c r="Y1" s="1" t="str">
        <f ca="1">IFERROR(__xludf.DUMMYFUNCTION("""COMPUTED_VALUE"""),"Transferat la:")</f>
        <v>Transferat la:</v>
      </c>
      <c r="Z1" s="1" t="str">
        <f ca="1">IFERROR(__xludf.DUMMYFUNCTION("""COMPUTED_VALUE"""),"Sectie transfer ")</f>
        <v xml:space="preserve">Sectie transfer </v>
      </c>
      <c r="AA1" s="1" t="str">
        <f ca="1">IFERROR(__xludf.DUMMYFUNCTION("""COMPUTED_VALUE"""),"Decedat la:")</f>
        <v>Decedat la:</v>
      </c>
      <c r="AB1" s="1" t="str">
        <f ca="1">IFERROR(__xludf.DUMMYFUNCTION("""COMPUTED_VALUE"""),"Descriere completa")</f>
        <v>Descriere completa</v>
      </c>
      <c r="AC1" s="1" t="str">
        <f ca="1">IFERROR(__xludf.DUMMYFUNCTION("""COMPUTED_VALUE"""),"Simptome manifestate")</f>
        <v>Simptome manifestate</v>
      </c>
      <c r="AD1" s="1" t="str">
        <f ca="1">IFERROR(__xludf.DUMMYFUNCTION("""COMPUTED_VALUE"""),"Raportat de")</f>
        <v>Raportat de</v>
      </c>
      <c r="AE1" s="1" t="str">
        <f ca="1">IFERROR(__xludf.DUMMYFUNCTION("""COMPUTED_VALUE"""),"Personal background")</f>
        <v>Personal background</v>
      </c>
      <c r="AF1" s="1" t="str">
        <f ca="1">IFERROR(__xludf.DUMMYFUNCTION("""COMPUTED_VALUE"""),"Context 
 epidemiologic")</f>
        <v>Context 
 epidemiologic</v>
      </c>
      <c r="AG1" s="1" t="str">
        <f ca="1">IFERROR(__xludf.DUMMYFUNCTION("""COMPUTED_VALUE"""),"Contact 
epidemiologic 
valid
(Da/Nu)
")</f>
        <v xml:space="preserve">Contact 
epidemiologic 
valid
(Da/Nu)
</v>
      </c>
      <c r="AH1" s="1" t="str">
        <f ca="1">IFERROR(__xludf.DUMMYFUNCTION("""COMPUTED_VALUE"""),"Contact 
repatriat 
(Da/Nu)")</f>
        <v>Contact 
repatriat 
(Da/Nu)</v>
      </c>
      <c r="AI1" s="1" t="str">
        <f ca="1">IFERROR(__xludf.DUMMYFUNCTION("""COMPUTED_VALUE"""),"Cluster 
Chart")</f>
        <v>Cluster 
Chart</v>
      </c>
      <c r="AJ1" s="1" t="str">
        <f ca="1">IFERROR(__xludf.DUMMYFUNCTION("""COMPUTED_VALUE"""),"Afecțiuni 
cardiovasculare")</f>
        <v>Afecțiuni 
cardiovasculare</v>
      </c>
      <c r="AK1" s="1" t="str">
        <f ca="1">IFERROR(__xludf.DUMMYFUNCTION("""COMPUTED_VALUE"""),"Diabet")</f>
        <v>Diabet</v>
      </c>
      <c r="AL1" s="1" t="str">
        <f ca="1">IFERROR(__xludf.DUMMYFUNCTION("""COMPUTED_VALUE"""),"Afecțiuni 
renale")</f>
        <v>Afecțiuni 
renale</v>
      </c>
      <c r="AM1" s="1" t="str">
        <f ca="1">IFERROR(__xludf.DUMMYFUNCTION("""COMPUTED_VALUE"""),"Afecțiuni 
pulmonare")</f>
        <v>Afecțiuni 
pulmonare</v>
      </c>
      <c r="AN1" s="1" t="str">
        <f ca="1">IFERROR(__xludf.DUMMYFUNCTION("""COMPUTED_VALUE"""),"Afecțiuni neurologice")</f>
        <v>Afecțiuni neurologice</v>
      </c>
      <c r="AO1" s="1" t="str">
        <f ca="1">IFERROR(__xludf.DUMMYFUNCTION("""COMPUTED_VALUE"""),"Afecțiuni
psihice")</f>
        <v>Afecțiuni
psihice</v>
      </c>
      <c r="AP1" s="1" t="str">
        <f ca="1">IFERROR(__xludf.DUMMYFUNCTION("""COMPUTED_VALUE"""),"Afecțiuni 
hepatice")</f>
        <v>Afecțiuni 
hepatice</v>
      </c>
      <c r="AQ1" s="1" t="str">
        <f ca="1">IFERROR(__xludf.DUMMYFUNCTION("""COMPUTED_VALUE"""),"Imunodeficiențe
 secundare")</f>
        <v>Imunodeficiențe
 secundare</v>
      </c>
      <c r="AR1" s="1" t="str">
        <f ca="1">IFERROR(__xludf.DUMMYFUNCTION("""COMPUTED_VALUE"""),"Obezitate")</f>
        <v>Obezitate</v>
      </c>
      <c r="AS1" s="1" t="str">
        <f ca="1">IFERROR(__xludf.DUMMYFUNCTION("""COMPUTED_VALUE"""),"Alte afecțiuni
preexistente")</f>
        <v>Alte afecțiuni
preexistente</v>
      </c>
      <c r="AT1" s="1" t="str">
        <f ca="1">IFERROR(__xludf.DUMMYFUNCTION("""COMPUTED_VALUE"""),"Fără afecțiuni
preexistente 
cunoscute")</f>
        <v>Fără afecțiuni
preexistente 
cunoscute</v>
      </c>
      <c r="AU1" s="2"/>
      <c r="AV1" s="2"/>
      <c r="AW1" s="2"/>
      <c r="AX1" s="2"/>
      <c r="AY1" s="2"/>
    </row>
    <row r="2" spans="1:51" ht="16.5" customHeight="1">
      <c r="A2" s="3">
        <f ca="1">IFERROR(__xludf.DUMMYFUNCTION("""COMPUTED_VALUE"""),19018)</f>
        <v>19018</v>
      </c>
      <c r="B2" s="3"/>
      <c r="C2" s="3">
        <f ca="1">IFERROR(__xludf.DUMMYFUNCTION("""COMPUTED_VALUE"""),1358)</f>
        <v>1358</v>
      </c>
      <c r="D2" s="3" t="str">
        <f ca="1">IFERROR(__xludf.DUMMYFUNCTION("""COMPUTED_VALUE"""),"Masculin")</f>
        <v>Masculin</v>
      </c>
      <c r="E2" s="4">
        <f ca="1">IFERROR(__xludf.DUMMYFUNCTION("""COMPUTED_VALUE"""),71)</f>
        <v>71</v>
      </c>
      <c r="F2" s="3" t="str">
        <f ca="1">IFERROR(__xludf.DUMMYFUNCTION("""COMPUTED_VALUE"""),"70-79 years")</f>
        <v>70-79 years</v>
      </c>
      <c r="G2" s="3" t="str">
        <f ca="1">IFERROR(__xludf.DUMMYFUNCTION("""COMPUTED_VALUE"""),"București")</f>
        <v>București</v>
      </c>
      <c r="H2" s="3"/>
      <c r="I2" s="3"/>
      <c r="J2" s="3" t="str">
        <f ca="1">IFERROR(__xludf.DUMMYFUNCTION("""COMPUTED_VALUE"""),"Comorbidități: HTA, Diabet Zaharat tip II, Pneumonie severa, sechele AVC.")</f>
        <v>Comorbidități: HTA, Diabet Zaharat tip II, Pneumonie severa, sechele AVC.</v>
      </c>
      <c r="K2" s="5">
        <f ca="1">IFERROR(__xludf.DUMMYFUNCTION("""COMPUTED_VALUE"""),43992)</f>
        <v>43992</v>
      </c>
      <c r="L2" s="5">
        <f ca="1">IFERROR(__xludf.DUMMYFUNCTION("""COMPUTED_VALUE"""),43991)</f>
        <v>43991</v>
      </c>
      <c r="M2" s="3" t="str">
        <f ca="1">IFERROR(__xludf.DUMMYFUNCTION("""COMPUTED_VALUE"""),"1")</f>
        <v>1</v>
      </c>
      <c r="N2" s="5"/>
      <c r="O2" s="5">
        <f ca="1">IFERROR(__xludf.DUMMYFUNCTION("""COMPUTED_VALUE"""),43981)</f>
        <v>43981</v>
      </c>
      <c r="P2" s="3" t="str">
        <f ca="1">IFERROR(__xludf.DUMMYFUNCTION("""COMPUTED_VALUE"""),"Necunoscut")</f>
        <v>Necunoscut</v>
      </c>
      <c r="Q2" s="3" t="str">
        <f ca="1">IFERROR(__xludf.DUMMYFUNCTION("""COMPUTED_VALUE"""),"10")</f>
        <v>10</v>
      </c>
      <c r="R2" s="3" t="str">
        <f ca="1">IFERROR(__xludf.DUMMYFUNCTION("""COMPUTED_VALUE"""),"Nu")</f>
        <v>Nu</v>
      </c>
      <c r="S2" s="3" t="str">
        <f ca="1">IFERROR(__xludf.DUMMYFUNCTION("""COMPUTED_VALUE"""),"?")</f>
        <v>?</v>
      </c>
      <c r="T2" s="3"/>
      <c r="U2" s="3" t="str">
        <f ca="1">IFERROR(__xludf.DUMMYFUNCTION("""COMPUTED_VALUE"""),"Nespecificat")</f>
        <v>Nespecificat</v>
      </c>
      <c r="V2" s="6" t="str">
        <f ca="1">IFERROR(__xludf.DUMMYFUNCTION("""COMPUTED_VALUE"""),"http://www.ms.ro/2020/06/10/decese-1356-1360/")</f>
        <v>http://www.ms.ro/2020/06/10/decese-1356-1360/</v>
      </c>
      <c r="W2" s="3"/>
      <c r="X2" s="3"/>
      <c r="Y2" s="3"/>
      <c r="Z2" s="3"/>
      <c r="AA2" s="3"/>
      <c r="AB2" s="3" t="str">
        <f ca="1">IFERROR(__xludf.DUMMYFUNCTION("""COMPUTED_VALUE"""),"Bărbat, 71 ani, București.
Dată confirmare: 30.05.2020.
Dată deces: 09.06.2020.
Comorbidități: HTA, Diabet Zaharat tip II, Pneumonie severa, sechele AVC.")</f>
        <v>Bărbat, 71 ani, București.
Dată confirmare: 30.05.2020.
Dată deces: 09.06.2020.
Comorbidități: HTA, Diabet Zaharat tip II, Pneumonie severa, sechele AVC.</v>
      </c>
      <c r="AC2" s="3"/>
      <c r="AD2" s="3" t="str">
        <f ca="1">IFERROR(__xludf.DUMMYFUNCTION("""COMPUTED_VALUE"""),"MS")</f>
        <v>MS</v>
      </c>
      <c r="AE2" s="3"/>
      <c r="AF2" s="3"/>
      <c r="AG2" s="3" t="str">
        <f ca="1">IFERROR(__xludf.DUMMYFUNCTION("""COMPUTED_VALUE"""),"Nu")</f>
        <v>Nu</v>
      </c>
      <c r="AH2" s="3" t="str">
        <f ca="1">IFERROR(__xludf.DUMMYFUNCTION("""COMPUTED_VALUE"""),"Nu")</f>
        <v>Nu</v>
      </c>
      <c r="AI2" s="3" t="str">
        <f ca="1">IFERROR(__xludf.DUMMYFUNCTION("""COMPUTED_VALUE"""),"Afecțiuni cardiovasculare")</f>
        <v>Afecțiuni cardiovasculare</v>
      </c>
      <c r="AJ2" s="7" t="str">
        <f ca="1">IFERROR(__xludf.DUMMYFUNCTION("""COMPUTED_VALUE"""),"Y")</f>
        <v>Y</v>
      </c>
      <c r="AK2" s="7" t="str">
        <f ca="1">IFERROR(__xludf.DUMMYFUNCTION("""COMPUTED_VALUE"""),"Y")</f>
        <v>Y</v>
      </c>
      <c r="AL2" s="7" t="str">
        <f ca="1">IFERROR(__xludf.DUMMYFUNCTION("""COMPUTED_VALUE"""),"N")</f>
        <v>N</v>
      </c>
      <c r="AM2" s="7" t="str">
        <f ca="1">IFERROR(__xludf.DUMMYFUNCTION("""COMPUTED_VALUE"""),"Y")</f>
        <v>Y</v>
      </c>
      <c r="AN2" s="7" t="str">
        <f ca="1">IFERROR(__xludf.DUMMYFUNCTION("""COMPUTED_VALUE"""),"Y")</f>
        <v>Y</v>
      </c>
      <c r="AO2" s="7" t="str">
        <f ca="1">IFERROR(__xludf.DUMMYFUNCTION("""COMPUTED_VALUE"""),"N")</f>
        <v>N</v>
      </c>
      <c r="AP2" s="7" t="str">
        <f ca="1">IFERROR(__xludf.DUMMYFUNCTION("""COMPUTED_VALUE"""),"N")</f>
        <v>N</v>
      </c>
      <c r="AQ2" s="7" t="str">
        <f ca="1">IFERROR(__xludf.DUMMYFUNCTION("""COMPUTED_VALUE"""),"N")</f>
        <v>N</v>
      </c>
      <c r="AR2" s="7" t="str">
        <f ca="1">IFERROR(__xludf.DUMMYFUNCTION("""COMPUTED_VALUE"""),"N")</f>
        <v>N</v>
      </c>
      <c r="AS2" s="7" t="str">
        <f ca="1">IFERROR(__xludf.DUMMYFUNCTION("""COMPUTED_VALUE"""),"N")</f>
        <v>N</v>
      </c>
      <c r="AT2" s="7" t="str">
        <f ca="1">IFERROR(__xludf.DUMMYFUNCTION("""COMPUTED_VALUE"""),"N")</f>
        <v>N</v>
      </c>
      <c r="AU2" s="3"/>
      <c r="AV2" s="3"/>
      <c r="AW2" s="3"/>
      <c r="AX2" s="3"/>
      <c r="AY2" s="3"/>
    </row>
    <row r="3" spans="1:51" ht="16.5" customHeight="1">
      <c r="A3" s="3">
        <f ca="1">IFERROR(__xludf.DUMMYFUNCTION("""COMPUTED_VALUE"""),20511)</f>
        <v>20511</v>
      </c>
      <c r="B3" s="3"/>
      <c r="C3" s="3">
        <f ca="1">IFERROR(__xludf.DUMMYFUNCTION("""COMPUTED_VALUE"""),1357)</f>
        <v>1357</v>
      </c>
      <c r="D3" s="3" t="str">
        <f ca="1">IFERROR(__xludf.DUMMYFUNCTION("""COMPUTED_VALUE"""),"Masculin")</f>
        <v>Masculin</v>
      </c>
      <c r="E3" s="4">
        <f ca="1">IFERROR(__xludf.DUMMYFUNCTION("""COMPUTED_VALUE"""),59)</f>
        <v>59</v>
      </c>
      <c r="F3" s="3" t="str">
        <f ca="1">IFERROR(__xludf.DUMMYFUNCTION("""COMPUTED_VALUE"""),"50-59 years")</f>
        <v>50-59 years</v>
      </c>
      <c r="G3" s="3" t="str">
        <f ca="1">IFERROR(__xludf.DUMMYFUNCTION("""COMPUTED_VALUE"""),"București")</f>
        <v>București</v>
      </c>
      <c r="H3" s="3"/>
      <c r="I3" s="3"/>
      <c r="J3" s="3" t="str">
        <f ca="1">IFERROR(__xludf.DUMMYFUNCTION("""COMPUTED_VALUE"""),"Comorbidități: Insuficiență respiratorie acută, HTA, obezitate.")</f>
        <v>Comorbidități: Insuficiență respiratorie acută, HTA, obezitate.</v>
      </c>
      <c r="K3" s="5">
        <f ca="1">IFERROR(__xludf.DUMMYFUNCTION("""COMPUTED_VALUE"""),43992)</f>
        <v>43992</v>
      </c>
      <c r="L3" s="5">
        <f ca="1">IFERROR(__xludf.DUMMYFUNCTION("""COMPUTED_VALUE"""),43991)</f>
        <v>43991</v>
      </c>
      <c r="M3" s="3" t="str">
        <f ca="1">IFERROR(__xludf.DUMMYFUNCTION("""COMPUTED_VALUE"""),"1")</f>
        <v>1</v>
      </c>
      <c r="N3" s="5"/>
      <c r="O3" s="5">
        <f ca="1">IFERROR(__xludf.DUMMYFUNCTION("""COMPUTED_VALUE"""),43990)</f>
        <v>43990</v>
      </c>
      <c r="P3" s="3" t="str">
        <f ca="1">IFERROR(__xludf.DUMMYFUNCTION("""COMPUTED_VALUE"""),"Necunoscut")</f>
        <v>Necunoscut</v>
      </c>
      <c r="Q3" s="3" t="str">
        <f ca="1">IFERROR(__xludf.DUMMYFUNCTION("""COMPUTED_VALUE"""),"1")</f>
        <v>1</v>
      </c>
      <c r="R3" s="3" t="str">
        <f ca="1">IFERROR(__xludf.DUMMYFUNCTION("""COMPUTED_VALUE"""),"Nu")</f>
        <v>Nu</v>
      </c>
      <c r="S3" s="3" t="str">
        <f ca="1">IFERROR(__xludf.DUMMYFUNCTION("""COMPUTED_VALUE"""),"?")</f>
        <v>?</v>
      </c>
      <c r="T3" s="3"/>
      <c r="U3" s="3" t="str">
        <f ca="1">IFERROR(__xludf.DUMMYFUNCTION("""COMPUTED_VALUE"""),"Nespecificat")</f>
        <v>Nespecificat</v>
      </c>
      <c r="V3" s="6" t="str">
        <f ca="1">IFERROR(__xludf.DUMMYFUNCTION("""COMPUTED_VALUE"""),"http://www.ms.ro/2020/06/10/decese-1356-1360/")</f>
        <v>http://www.ms.ro/2020/06/10/decese-1356-1360/</v>
      </c>
      <c r="W3" s="3"/>
      <c r="X3" s="3"/>
      <c r="Y3" s="3"/>
      <c r="Z3" s="3"/>
      <c r="AA3" s="3"/>
      <c r="AB3" s="3" t="str">
        <f ca="1">IFERROR(__xludf.DUMMYFUNCTION("""COMPUTED_VALUE"""),"Bărbat, 59 ani, București.
Dată confirmare: 08.06.2020.
Dată deces: 09.06.2020.
Comorbidități: Insuficiență respiratorie acută, HTA, obezitate.")</f>
        <v>Bărbat, 59 ani, București.
Dată confirmare: 08.06.2020.
Dată deces: 09.06.2020.
Comorbidități: Insuficiență respiratorie acută, HTA, obezitate.</v>
      </c>
      <c r="AC3" s="3"/>
      <c r="AD3" s="3" t="str">
        <f ca="1">IFERROR(__xludf.DUMMYFUNCTION("""COMPUTED_VALUE"""),"MS")</f>
        <v>MS</v>
      </c>
      <c r="AE3" s="3"/>
      <c r="AF3" s="3"/>
      <c r="AG3" s="3" t="str">
        <f ca="1">IFERROR(__xludf.DUMMYFUNCTION("""COMPUTED_VALUE"""),"Nu")</f>
        <v>Nu</v>
      </c>
      <c r="AH3" s="3" t="str">
        <f ca="1">IFERROR(__xludf.DUMMYFUNCTION("""COMPUTED_VALUE"""),"Nu")</f>
        <v>Nu</v>
      </c>
      <c r="AI3" s="3" t="str">
        <f ca="1">IFERROR(__xludf.DUMMYFUNCTION("""COMPUTED_VALUE"""),"Afecțiuni cardiovasculare")</f>
        <v>Afecțiuni cardiovasculare</v>
      </c>
      <c r="AJ3" s="7" t="str">
        <f ca="1">IFERROR(__xludf.DUMMYFUNCTION("""COMPUTED_VALUE"""),"Y")</f>
        <v>Y</v>
      </c>
      <c r="AK3" s="7" t="str">
        <f ca="1">IFERROR(__xludf.DUMMYFUNCTION("""COMPUTED_VALUE"""),"N")</f>
        <v>N</v>
      </c>
      <c r="AL3" s="7" t="str">
        <f ca="1">IFERROR(__xludf.DUMMYFUNCTION("""COMPUTED_VALUE"""),"N")</f>
        <v>N</v>
      </c>
      <c r="AM3" s="7" t="str">
        <f ca="1">IFERROR(__xludf.DUMMYFUNCTION("""COMPUTED_VALUE"""),"Y")</f>
        <v>Y</v>
      </c>
      <c r="AN3" s="7" t="str">
        <f ca="1">IFERROR(__xludf.DUMMYFUNCTION("""COMPUTED_VALUE"""),"N")</f>
        <v>N</v>
      </c>
      <c r="AO3" s="7" t="str">
        <f ca="1">IFERROR(__xludf.DUMMYFUNCTION("""COMPUTED_VALUE"""),"N")</f>
        <v>N</v>
      </c>
      <c r="AP3" s="7" t="str">
        <f ca="1">IFERROR(__xludf.DUMMYFUNCTION("""COMPUTED_VALUE"""),"N")</f>
        <v>N</v>
      </c>
      <c r="AQ3" s="7" t="str">
        <f ca="1">IFERROR(__xludf.DUMMYFUNCTION("""COMPUTED_VALUE"""),"N")</f>
        <v>N</v>
      </c>
      <c r="AR3" s="7" t="str">
        <f ca="1">IFERROR(__xludf.DUMMYFUNCTION("""COMPUTED_VALUE"""),"Y")</f>
        <v>Y</v>
      </c>
      <c r="AS3" s="7" t="str">
        <f ca="1">IFERROR(__xludf.DUMMYFUNCTION("""COMPUTED_VALUE"""),"N")</f>
        <v>N</v>
      </c>
      <c r="AT3" s="7" t="str">
        <f ca="1">IFERROR(__xludf.DUMMYFUNCTION("""COMPUTED_VALUE"""),"N")</f>
        <v>N</v>
      </c>
      <c r="AU3" s="3"/>
      <c r="AV3" s="3"/>
      <c r="AW3" s="3"/>
      <c r="AX3" s="3"/>
      <c r="AY3" s="3"/>
    </row>
    <row r="4" spans="1:51" ht="16.5" customHeight="1">
      <c r="A4" s="3">
        <f ca="1">IFERROR(__xludf.DUMMYFUNCTION("""COMPUTED_VALUE"""),19175)</f>
        <v>19175</v>
      </c>
      <c r="B4" s="3"/>
      <c r="C4" s="3">
        <f ca="1">IFERROR(__xludf.DUMMYFUNCTION("""COMPUTED_VALUE"""),1349)</f>
        <v>1349</v>
      </c>
      <c r="D4" s="3" t="str">
        <f ca="1">IFERROR(__xludf.DUMMYFUNCTION("""COMPUTED_VALUE"""),"Feminin")</f>
        <v>Feminin</v>
      </c>
      <c r="E4" s="4">
        <f ca="1">IFERROR(__xludf.DUMMYFUNCTION("""COMPUTED_VALUE"""),74)</f>
        <v>74</v>
      </c>
      <c r="F4" s="3" t="str">
        <f ca="1">IFERROR(__xludf.DUMMYFUNCTION("""COMPUTED_VALUE"""),"70-79 years")</f>
        <v>70-79 years</v>
      </c>
      <c r="G4" s="3" t="str">
        <f ca="1">IFERROR(__xludf.DUMMYFUNCTION("""COMPUTED_VALUE"""),"București")</f>
        <v>București</v>
      </c>
      <c r="H4" s="3"/>
      <c r="I4" s="3"/>
      <c r="J4" s="3" t="str">
        <f ca="1">IFERROR(__xludf.DUMMYFUNCTION("""COMPUTED_VALUE"""),"Comorbidități: Neoplasm pulmonar stâng, cu determinări secundare osoase, Trombembolism pulmonar bilateral, Pleurezie bilaterală, Insuficiență mitrală și tricuspidiana medie.")</f>
        <v>Comorbidități: Neoplasm pulmonar stâng, cu determinări secundare osoase, Trombembolism pulmonar bilateral, Pleurezie bilaterală, Insuficiență mitrală și tricuspidiana medie.</v>
      </c>
      <c r="K4" s="5">
        <f ca="1">IFERROR(__xludf.DUMMYFUNCTION("""COMPUTED_VALUE"""),43991)</f>
        <v>43991</v>
      </c>
      <c r="L4" s="5">
        <f ca="1">IFERROR(__xludf.DUMMYFUNCTION("""COMPUTED_VALUE"""),43991)</f>
        <v>43991</v>
      </c>
      <c r="M4" s="3" t="str">
        <f ca="1">IFERROR(__xludf.DUMMYFUNCTION("""COMPUTED_VALUE"""),"0")</f>
        <v>0</v>
      </c>
      <c r="N4" s="5"/>
      <c r="O4" s="5">
        <f ca="1">IFERROR(__xludf.DUMMYFUNCTION("""COMPUTED_VALUE"""),43982)</f>
        <v>43982</v>
      </c>
      <c r="P4" s="3" t="str">
        <f ca="1">IFERROR(__xludf.DUMMYFUNCTION("""COMPUTED_VALUE"""),"Necunoscut")</f>
        <v>Necunoscut</v>
      </c>
      <c r="Q4" s="3" t="str">
        <f ca="1">IFERROR(__xludf.DUMMYFUNCTION("""COMPUTED_VALUE"""),"9")</f>
        <v>9</v>
      </c>
      <c r="R4" s="3" t="str">
        <f ca="1">IFERROR(__xludf.DUMMYFUNCTION("""COMPUTED_VALUE"""),"Nu")</f>
        <v>Nu</v>
      </c>
      <c r="S4" s="3" t="str">
        <f ca="1">IFERROR(__xludf.DUMMYFUNCTION("""COMPUTED_VALUE"""),"?")</f>
        <v>?</v>
      </c>
      <c r="T4" s="3"/>
      <c r="U4" s="3" t="str">
        <f ca="1">IFERROR(__xludf.DUMMYFUNCTION("""COMPUTED_VALUE"""),"Nespecificat")</f>
        <v>Nespecificat</v>
      </c>
      <c r="V4" s="6" t="str">
        <f ca="1">IFERROR(__xludf.DUMMYFUNCTION("""COMPUTED_VALUE"""),"http://www.ms.ro/2020/06/09/decese-1346-1353/")</f>
        <v>http://www.ms.ro/2020/06/09/decese-1346-1353/</v>
      </c>
      <c r="W4" s="3"/>
      <c r="X4" s="3"/>
      <c r="Y4" s="3"/>
      <c r="Z4" s="3"/>
      <c r="AA4" s="3"/>
      <c r="AB4" s="3" t="str">
        <f ca="1">IFERROR(__xludf.DUMMYFUNCTION("""COMPUTED_VALUE"""),"Femeie, 74 ani, București.
Dată confirmare: 31.05.2020.
Dată deces: 09.06.2020.
Comorbidități: Neoplasm pulmonar stâng, cu determinări secundare osoase, Trombembolism pulmonar bilateral, Pleurezie bilaterală, Insuficiență mitrală și tricuspidiana med"&amp;"ie.")</f>
        <v>Femeie, 74 ani, București.
Dată confirmare: 31.05.2020.
Dată deces: 09.06.2020.
Comorbidități: Neoplasm pulmonar stâng, cu determinări secundare osoase, Trombembolism pulmonar bilateral, Pleurezie bilaterală, Insuficiență mitrală și tricuspidiana medie.</v>
      </c>
      <c r="AC4" s="3"/>
      <c r="AD4" s="3" t="str">
        <f ca="1">IFERROR(__xludf.DUMMYFUNCTION("""COMPUTED_VALUE"""),"MS")</f>
        <v>MS</v>
      </c>
      <c r="AE4" s="3"/>
      <c r="AF4" s="3"/>
      <c r="AG4" s="3" t="str">
        <f ca="1">IFERROR(__xludf.DUMMYFUNCTION("""COMPUTED_VALUE"""),"Nu")</f>
        <v>Nu</v>
      </c>
      <c r="AH4" s="3" t="str">
        <f ca="1">IFERROR(__xludf.DUMMYFUNCTION("""COMPUTED_VALUE"""),"Nu")</f>
        <v>Nu</v>
      </c>
      <c r="AI4" s="3" t="str">
        <f ca="1">IFERROR(__xludf.DUMMYFUNCTION("""COMPUTED_VALUE"""),"Afecțiuni cardiovasculare")</f>
        <v>Afecțiuni cardiovasculare</v>
      </c>
      <c r="AJ4" s="7" t="str">
        <f ca="1">IFERROR(__xludf.DUMMYFUNCTION("""COMPUTED_VALUE"""),"Y")</f>
        <v>Y</v>
      </c>
      <c r="AK4" s="7" t="str">
        <f ca="1">IFERROR(__xludf.DUMMYFUNCTION("""COMPUTED_VALUE"""),"N")</f>
        <v>N</v>
      </c>
      <c r="AL4" s="7" t="str">
        <f ca="1">IFERROR(__xludf.DUMMYFUNCTION("""COMPUTED_VALUE"""),"N")</f>
        <v>N</v>
      </c>
      <c r="AM4" s="7" t="str">
        <f ca="1">IFERROR(__xludf.DUMMYFUNCTION("""COMPUTED_VALUE"""),"Y")</f>
        <v>Y</v>
      </c>
      <c r="AN4" s="7" t="str">
        <f ca="1">IFERROR(__xludf.DUMMYFUNCTION("""COMPUTED_VALUE"""),"N")</f>
        <v>N</v>
      </c>
      <c r="AO4" s="7" t="str">
        <f ca="1">IFERROR(__xludf.DUMMYFUNCTION("""COMPUTED_VALUE"""),"N")</f>
        <v>N</v>
      </c>
      <c r="AP4" s="7" t="str">
        <f ca="1">IFERROR(__xludf.DUMMYFUNCTION("""COMPUTED_VALUE"""),"N")</f>
        <v>N</v>
      </c>
      <c r="AQ4" s="7" t="str">
        <f ca="1">IFERROR(__xludf.DUMMYFUNCTION("""COMPUTED_VALUE"""),"N")</f>
        <v>N</v>
      </c>
      <c r="AR4" s="7" t="str">
        <f ca="1">IFERROR(__xludf.DUMMYFUNCTION("""COMPUTED_VALUE"""),"N")</f>
        <v>N</v>
      </c>
      <c r="AS4" s="7" t="str">
        <f ca="1">IFERROR(__xludf.DUMMYFUNCTION("""COMPUTED_VALUE"""),"N")</f>
        <v>N</v>
      </c>
      <c r="AT4" s="7" t="str">
        <f ca="1">IFERROR(__xludf.DUMMYFUNCTION("""COMPUTED_VALUE"""),"N")</f>
        <v>N</v>
      </c>
      <c r="AU4" s="3"/>
      <c r="AV4" s="3"/>
      <c r="AW4" s="3"/>
      <c r="AX4" s="3"/>
      <c r="AY4" s="3"/>
    </row>
    <row r="5" spans="1:51" ht="16.5" customHeight="1">
      <c r="A5" s="3">
        <f ca="1">IFERROR(__xludf.DUMMYFUNCTION("""COMPUTED_VALUE"""),4043)</f>
        <v>4043</v>
      </c>
      <c r="B5" s="3"/>
      <c r="C5" s="3">
        <f ca="1">IFERROR(__xludf.DUMMYFUNCTION("""COMPUTED_VALUE"""),1340)</f>
        <v>1340</v>
      </c>
      <c r="D5" s="3" t="str">
        <f ca="1">IFERROR(__xludf.DUMMYFUNCTION("""COMPUTED_VALUE"""),"Masculin")</f>
        <v>Masculin</v>
      </c>
      <c r="E5" s="4">
        <f ca="1">IFERROR(__xludf.DUMMYFUNCTION("""COMPUTED_VALUE"""),68)</f>
        <v>68</v>
      </c>
      <c r="F5" s="3" t="str">
        <f ca="1">IFERROR(__xludf.DUMMYFUNCTION("""COMPUTED_VALUE"""),"60-69 years")</f>
        <v>60-69 years</v>
      </c>
      <c r="G5" s="3" t="str">
        <f ca="1">IFERROR(__xludf.DUMMYFUNCTION("""COMPUTED_VALUE"""),"București")</f>
        <v>București</v>
      </c>
      <c r="H5" s="3"/>
      <c r="I5" s="3"/>
      <c r="J5" s="3" t="str">
        <f ca="1">IFERROR(__xludf.DUMMYFUNCTION("""COMPUTED_VALUE"""),"Comorbidități: sarcom pleomorf nediferentiat, infecție cu Pseudomonas, E. Coli, Candida, anemie.
Începând cu data de 06.04.2020 pacientul a avut 10 teste pozitive SARS-CoV-2 (ultimul pe data de 25.05.2020), modificări CT pulmonare.")</f>
        <v>Comorbidități: sarcom pleomorf nediferentiat, infecție cu Pseudomonas, E. Coli, Candida, anemie.
Începând cu data de 06.04.2020 pacientul a avut 10 teste pozitive SARS-CoV-2 (ultimul pe data de 25.05.2020), modificări CT pulmonare.</v>
      </c>
      <c r="K5" s="5">
        <f ca="1">IFERROR(__xludf.DUMMYFUNCTION("""COMPUTED_VALUE"""),43991)</f>
        <v>43991</v>
      </c>
      <c r="L5" s="5">
        <f ca="1">IFERROR(__xludf.DUMMYFUNCTION("""COMPUTED_VALUE"""),43990)</f>
        <v>43990</v>
      </c>
      <c r="M5" s="3" t="str">
        <f ca="1">IFERROR(__xludf.DUMMYFUNCTION("""COMPUTED_VALUE"""),"1")</f>
        <v>1</v>
      </c>
      <c r="N5" s="5"/>
      <c r="O5" s="5">
        <f ca="1">IFERROR(__xludf.DUMMYFUNCTION("""COMPUTED_VALUE"""),43927)</f>
        <v>43927</v>
      </c>
      <c r="P5" s="3" t="str">
        <f ca="1">IFERROR(__xludf.DUMMYFUNCTION("""COMPUTED_VALUE"""),"Necunoscut")</f>
        <v>Necunoscut</v>
      </c>
      <c r="Q5" s="3" t="str">
        <f ca="1">IFERROR(__xludf.DUMMYFUNCTION("""COMPUTED_VALUE"""),"63")</f>
        <v>63</v>
      </c>
      <c r="R5" s="3" t="str">
        <f ca="1">IFERROR(__xludf.DUMMYFUNCTION("""COMPUTED_VALUE"""),"Nu")</f>
        <v>Nu</v>
      </c>
      <c r="S5" s="3" t="str">
        <f ca="1">IFERROR(__xludf.DUMMYFUNCTION("""COMPUTED_VALUE"""),"?")</f>
        <v>?</v>
      </c>
      <c r="T5" s="3"/>
      <c r="U5" s="3" t="str">
        <f ca="1">IFERROR(__xludf.DUMMYFUNCTION("""COMPUTED_VALUE"""),"Nespecificat")</f>
        <v>Nespecificat</v>
      </c>
      <c r="V5" s="6" t="str">
        <f ca="1">IFERROR(__xludf.DUMMYFUNCTION("""COMPUTED_VALUE"""),"http://www.ms.ro/2020/06/09/decese-1340-1343/")</f>
        <v>http://www.ms.ro/2020/06/09/decese-1340-1343/</v>
      </c>
      <c r="W5" s="3"/>
      <c r="X5" s="3"/>
      <c r="Y5" s="3"/>
      <c r="Z5" s="3"/>
      <c r="AA5" s="3"/>
      <c r="AB5" s="3" t="str">
        <f ca="1">IFERROR(__xludf.DUMMYFUNCTION("""COMPUTED_VALUE"""),"Bărbat, 68 ani, București.
Dată confirmare: 06.04.2020.
Dată deces: 08.06.2020.
Comorbidități: sarcom pleomorf nediferentiat, infecție cu Pseudomonas, E. Coli, Candida, anemie.
Începând cu data de 06.04.2020 pacientul a avut 10 teste pozitive SARS-C"&amp;"oV-2 (ultimul pe data de 25.05.2020), modificări CT pulmonare.")</f>
        <v>Bărbat, 68 ani, București.
Dată confirmare: 06.04.2020.
Dată deces: 08.06.2020.
Comorbidități: sarcom pleomorf nediferentiat, infecție cu Pseudomonas, E. Coli, Candida, anemie.
Începând cu data de 06.04.2020 pacientul a avut 10 teste pozitive SARS-CoV-2 (ultimul pe data de 25.05.2020), modificări CT pulmonare.</v>
      </c>
      <c r="AC5" s="3"/>
      <c r="AD5" s="3" t="str">
        <f ca="1">IFERROR(__xludf.DUMMYFUNCTION("""COMPUTED_VALUE"""),"MS")</f>
        <v>MS</v>
      </c>
      <c r="AE5" s="3"/>
      <c r="AF5" s="3"/>
      <c r="AG5" s="3" t="str">
        <f ca="1">IFERROR(__xludf.DUMMYFUNCTION("""COMPUTED_VALUE"""),"Nu")</f>
        <v>Nu</v>
      </c>
      <c r="AH5" s="3" t="str">
        <f ca="1">IFERROR(__xludf.DUMMYFUNCTION("""COMPUTED_VALUE"""),"Nu")</f>
        <v>Nu</v>
      </c>
      <c r="AI5" s="3" t="str">
        <f ca="1">IFERROR(__xludf.DUMMYFUNCTION("""COMPUTED_VALUE"""),"Afecțiuni pulmonare")</f>
        <v>Afecțiuni pulmonare</v>
      </c>
      <c r="AJ5" s="7" t="str">
        <f ca="1">IFERROR(__xludf.DUMMYFUNCTION("""COMPUTED_VALUE"""),"N")</f>
        <v>N</v>
      </c>
      <c r="AK5" s="7" t="str">
        <f ca="1">IFERROR(__xludf.DUMMYFUNCTION("""COMPUTED_VALUE"""),"N")</f>
        <v>N</v>
      </c>
      <c r="AL5" s="7" t="str">
        <f ca="1">IFERROR(__xludf.DUMMYFUNCTION("""COMPUTED_VALUE"""),"N")</f>
        <v>N</v>
      </c>
      <c r="AM5" s="7" t="str">
        <f ca="1">IFERROR(__xludf.DUMMYFUNCTION("""COMPUTED_VALUE"""),"Y")</f>
        <v>Y</v>
      </c>
      <c r="AN5" s="7" t="str">
        <f ca="1">IFERROR(__xludf.DUMMYFUNCTION("""COMPUTED_VALUE"""),"N")</f>
        <v>N</v>
      </c>
      <c r="AO5" s="7" t="str">
        <f ca="1">IFERROR(__xludf.DUMMYFUNCTION("""COMPUTED_VALUE"""),"N")</f>
        <v>N</v>
      </c>
      <c r="AP5" s="7" t="str">
        <f ca="1">IFERROR(__xludf.DUMMYFUNCTION("""COMPUTED_VALUE"""),"N")</f>
        <v>N</v>
      </c>
      <c r="AQ5" s="7" t="str">
        <f ca="1">IFERROR(__xludf.DUMMYFUNCTION("""COMPUTED_VALUE"""),"N")</f>
        <v>N</v>
      </c>
      <c r="AR5" s="7" t="str">
        <f ca="1">IFERROR(__xludf.DUMMYFUNCTION("""COMPUTED_VALUE"""),"N")</f>
        <v>N</v>
      </c>
      <c r="AS5" s="7" t="str">
        <f ca="1">IFERROR(__xludf.DUMMYFUNCTION("""COMPUTED_VALUE"""),"N")</f>
        <v>N</v>
      </c>
      <c r="AT5" s="7" t="str">
        <f ca="1">IFERROR(__xludf.DUMMYFUNCTION("""COMPUTED_VALUE"""),"N")</f>
        <v>N</v>
      </c>
      <c r="AU5" s="3"/>
      <c r="AV5" s="3"/>
      <c r="AW5" s="3"/>
      <c r="AX5" s="3"/>
      <c r="AY5" s="3"/>
    </row>
    <row r="6" spans="1:51" ht="16.5" customHeight="1">
      <c r="A6" s="3">
        <f ca="1">IFERROR(__xludf.DUMMYFUNCTION("""COMPUTED_VALUE"""),20147)</f>
        <v>20147</v>
      </c>
      <c r="B6" s="3"/>
      <c r="C6" s="3">
        <f ca="1">IFERROR(__xludf.DUMMYFUNCTION("""COMPUTED_VALUE"""),1338)</f>
        <v>1338</v>
      </c>
      <c r="D6" s="3" t="str">
        <f ca="1">IFERROR(__xludf.DUMMYFUNCTION("""COMPUTED_VALUE"""),"Masculin")</f>
        <v>Masculin</v>
      </c>
      <c r="E6" s="4">
        <f ca="1">IFERROR(__xludf.DUMMYFUNCTION("""COMPUTED_VALUE"""),64)</f>
        <v>64</v>
      </c>
      <c r="F6" s="3" t="str">
        <f ca="1">IFERROR(__xludf.DUMMYFUNCTION("""COMPUTED_VALUE"""),"60-69 years")</f>
        <v>60-69 years</v>
      </c>
      <c r="G6" s="3" t="str">
        <f ca="1">IFERROR(__xludf.DUMMYFUNCTION("""COMPUTED_VALUE"""),"București")</f>
        <v>București</v>
      </c>
      <c r="H6" s="3"/>
      <c r="I6" s="3"/>
      <c r="J6" s="3" t="str">
        <f ca="1">IFERROR(__xludf.DUMMYFUNCTION("""COMPUTED_VALUE"""),"Comorbidități: HTA, insuficiență renală, AVC ischemic în antecedente, ateromatoza carotidiană, demență mixtă severă, anemie microcitara.")</f>
        <v>Comorbidități: HTA, insuficiență renală, AVC ischemic în antecedente, ateromatoza carotidiană, demență mixtă severă, anemie microcitara.</v>
      </c>
      <c r="K6" s="5">
        <f ca="1">IFERROR(__xludf.DUMMYFUNCTION("""COMPUTED_VALUE"""),43990)</f>
        <v>43990</v>
      </c>
      <c r="L6" s="5">
        <f ca="1">IFERROR(__xludf.DUMMYFUNCTION("""COMPUTED_VALUE"""),43989)</f>
        <v>43989</v>
      </c>
      <c r="M6" s="3" t="str">
        <f ca="1">IFERROR(__xludf.DUMMYFUNCTION("""COMPUTED_VALUE"""),"1")</f>
        <v>1</v>
      </c>
      <c r="N6" s="5"/>
      <c r="O6" s="5">
        <f ca="1">IFERROR(__xludf.DUMMYFUNCTION("""COMPUTED_VALUE"""),43988)</f>
        <v>43988</v>
      </c>
      <c r="P6" s="3" t="str">
        <f ca="1">IFERROR(__xludf.DUMMYFUNCTION("""COMPUTED_VALUE"""),"Necunoscut")</f>
        <v>Necunoscut</v>
      </c>
      <c r="Q6" s="3" t="str">
        <f ca="1">IFERROR(__xludf.DUMMYFUNCTION("""COMPUTED_VALUE"""),"1")</f>
        <v>1</v>
      </c>
      <c r="R6" s="3" t="str">
        <f ca="1">IFERROR(__xludf.DUMMYFUNCTION("""COMPUTED_VALUE"""),"Nu")</f>
        <v>Nu</v>
      </c>
      <c r="S6" s="3" t="str">
        <f ca="1">IFERROR(__xludf.DUMMYFUNCTION("""COMPUTED_VALUE"""),"?")</f>
        <v>?</v>
      </c>
      <c r="T6" s="3"/>
      <c r="U6" s="3" t="str">
        <f ca="1">IFERROR(__xludf.DUMMYFUNCTION("""COMPUTED_VALUE"""),"Nespecificat")</f>
        <v>Nespecificat</v>
      </c>
      <c r="V6" s="6" t="str">
        <f ca="1">IFERROR(__xludf.DUMMYFUNCTION("""COMPUTED_VALUE"""),"http://www.ms.ro/2020/06/08/decese-1335-1339/")</f>
        <v>http://www.ms.ro/2020/06/08/decese-1335-1339/</v>
      </c>
      <c r="W6" s="3"/>
      <c r="X6" s="3"/>
      <c r="Y6" s="3"/>
      <c r="Z6" s="3"/>
      <c r="AA6" s="3"/>
      <c r="AB6" s="3" t="str">
        <f ca="1">IFERROR(__xludf.DUMMYFUNCTION("""COMPUTED_VALUE"""),"Bărbat, 64 ani, București.
Dată confirmare: 06.06.2020.
Dată deces: 07.06.2020.
Comorbidități: HTA, insuficiență renală, AVC ischemic în antecedente, ateromatoza carotidiană, demență mixtă severă, anemie microcitara.")</f>
        <v>Bărbat, 64 ani, București.
Dată confirmare: 06.06.2020.
Dată deces: 07.06.2020.
Comorbidități: HTA, insuficiență renală, AVC ischemic în antecedente, ateromatoza carotidiană, demență mixtă severă, anemie microcitara.</v>
      </c>
      <c r="AC6" s="3"/>
      <c r="AD6" s="3" t="str">
        <f ca="1">IFERROR(__xludf.DUMMYFUNCTION("""COMPUTED_VALUE"""),"MS")</f>
        <v>MS</v>
      </c>
      <c r="AE6" s="3"/>
      <c r="AF6" s="3"/>
      <c r="AG6" s="3" t="str">
        <f ca="1">IFERROR(__xludf.DUMMYFUNCTION("""COMPUTED_VALUE"""),"Nu")</f>
        <v>Nu</v>
      </c>
      <c r="AH6" s="3" t="str">
        <f ca="1">IFERROR(__xludf.DUMMYFUNCTION("""COMPUTED_VALUE"""),"Nu")</f>
        <v>Nu</v>
      </c>
      <c r="AI6" s="3" t="str">
        <f ca="1">IFERROR(__xludf.DUMMYFUNCTION("""COMPUTED_VALUE"""),"Afecțiuni cardiovasculare")</f>
        <v>Afecțiuni cardiovasculare</v>
      </c>
      <c r="AJ6" s="7" t="str">
        <f ca="1">IFERROR(__xludf.DUMMYFUNCTION("""COMPUTED_VALUE"""),"Y")</f>
        <v>Y</v>
      </c>
      <c r="AK6" s="7" t="str">
        <f ca="1">IFERROR(__xludf.DUMMYFUNCTION("""COMPUTED_VALUE"""),"N")</f>
        <v>N</v>
      </c>
      <c r="AL6" s="7" t="str">
        <f ca="1">IFERROR(__xludf.DUMMYFUNCTION("""COMPUTED_VALUE"""),"Y")</f>
        <v>Y</v>
      </c>
      <c r="AM6" s="7" t="str">
        <f ca="1">IFERROR(__xludf.DUMMYFUNCTION("""COMPUTED_VALUE"""),"N")</f>
        <v>N</v>
      </c>
      <c r="AN6" s="7" t="str">
        <f ca="1">IFERROR(__xludf.DUMMYFUNCTION("""COMPUTED_VALUE"""),"Y")</f>
        <v>Y</v>
      </c>
      <c r="AO6" s="7" t="str">
        <f ca="1">IFERROR(__xludf.DUMMYFUNCTION("""COMPUTED_VALUE"""),"N")</f>
        <v>N</v>
      </c>
      <c r="AP6" s="7" t="str">
        <f ca="1">IFERROR(__xludf.DUMMYFUNCTION("""COMPUTED_VALUE"""),"N")</f>
        <v>N</v>
      </c>
      <c r="AQ6" s="7" t="str">
        <f ca="1">IFERROR(__xludf.DUMMYFUNCTION("""COMPUTED_VALUE"""),"Y")</f>
        <v>Y</v>
      </c>
      <c r="AR6" s="7" t="str">
        <f ca="1">IFERROR(__xludf.DUMMYFUNCTION("""COMPUTED_VALUE"""),"N")</f>
        <v>N</v>
      </c>
      <c r="AS6" s="7" t="str">
        <f ca="1">IFERROR(__xludf.DUMMYFUNCTION("""COMPUTED_VALUE"""),"N")</f>
        <v>N</v>
      </c>
      <c r="AT6" s="7" t="str">
        <f ca="1">IFERROR(__xludf.DUMMYFUNCTION("""COMPUTED_VALUE"""),"N")</f>
        <v>N</v>
      </c>
      <c r="AU6" s="3"/>
      <c r="AV6" s="3"/>
      <c r="AW6" s="3"/>
      <c r="AX6" s="3"/>
      <c r="AY6" s="3"/>
    </row>
    <row r="7" spans="1:51" ht="16.5" customHeight="1">
      <c r="A7" s="3">
        <f ca="1">IFERROR(__xludf.DUMMYFUNCTION("""COMPUTED_VALUE"""),18469)</f>
        <v>18469</v>
      </c>
      <c r="B7" s="3"/>
      <c r="C7" s="3">
        <f ca="1">IFERROR(__xludf.DUMMYFUNCTION("""COMPUTED_VALUE"""),1308)</f>
        <v>1308</v>
      </c>
      <c r="D7" s="3" t="str">
        <f ca="1">IFERROR(__xludf.DUMMYFUNCTION("""COMPUTED_VALUE"""),"Masculin")</f>
        <v>Masculin</v>
      </c>
      <c r="E7" s="4">
        <f ca="1">IFERROR(__xludf.DUMMYFUNCTION("""COMPUTED_VALUE"""),85)</f>
        <v>85</v>
      </c>
      <c r="F7" s="3" t="str">
        <f ca="1">IFERROR(__xludf.DUMMYFUNCTION("""COMPUTED_VALUE"""),"Over 80 years")</f>
        <v>Over 80 years</v>
      </c>
      <c r="G7" s="3" t="str">
        <f ca="1">IFERROR(__xludf.DUMMYFUNCTION("""COMPUTED_VALUE"""),"București")</f>
        <v>București</v>
      </c>
      <c r="H7" s="3"/>
      <c r="I7" s="3">
        <f ca="1">IFERROR(__xludf.DUMMYFUNCTION("""COMPUTED_VALUE"""),1218)</f>
        <v>1218</v>
      </c>
      <c r="J7" s="3" t="str">
        <f ca="1">IFERROR(__xludf.DUMMYFUNCTION("""COMPUTED_VALUE"""),"Comorbidități: ICC clasa II-III NYHA, BRD complet, insuficienta aortica, Insuficienta mitrala, DZ tip II.
")</f>
        <v xml:space="preserve">Comorbidități: ICC clasa II-III NYHA, BRD complet, insuficienta aortica, Insuficienta mitrala, DZ tip II.
</v>
      </c>
      <c r="K7" s="5">
        <f ca="1">IFERROR(__xludf.DUMMYFUNCTION("""COMPUTED_VALUE"""),43987)</f>
        <v>43987</v>
      </c>
      <c r="L7" s="5">
        <f ca="1">IFERROR(__xludf.DUMMYFUNCTION("""COMPUTED_VALUE"""),43986)</f>
        <v>43986</v>
      </c>
      <c r="M7" s="3" t="str">
        <f ca="1">IFERROR(__xludf.DUMMYFUNCTION("""COMPUTED_VALUE"""),"1")</f>
        <v>1</v>
      </c>
      <c r="N7" s="5"/>
      <c r="O7" s="5">
        <f ca="1">IFERROR(__xludf.DUMMYFUNCTION("""COMPUTED_VALUE"""),43978)</f>
        <v>43978</v>
      </c>
      <c r="P7" s="3" t="str">
        <f ca="1">IFERROR(__xludf.DUMMYFUNCTION("""COMPUTED_VALUE"""),"Necunoscut")</f>
        <v>Necunoscut</v>
      </c>
      <c r="Q7" s="3" t="str">
        <f ca="1">IFERROR(__xludf.DUMMYFUNCTION("""COMPUTED_VALUE"""),"8")</f>
        <v>8</v>
      </c>
      <c r="R7" s="3" t="str">
        <f ca="1">IFERROR(__xludf.DUMMYFUNCTION("""COMPUTED_VALUE"""),"Nu")</f>
        <v>Nu</v>
      </c>
      <c r="S7" s="3" t="str">
        <f ca="1">IFERROR(__xludf.DUMMYFUNCTION("""COMPUTED_VALUE"""),"?")</f>
        <v>?</v>
      </c>
      <c r="T7" s="3"/>
      <c r="U7" s="3" t="str">
        <f ca="1">IFERROR(__xludf.DUMMYFUNCTION("""COMPUTED_VALUE"""),"Nespecificat")</f>
        <v>Nespecificat</v>
      </c>
      <c r="V7" s="6" t="str">
        <f ca="1">IFERROR(__xludf.DUMMYFUNCTION("""COMPUTED_VALUE"""),"http://www.ms.ro/2020/06/05/decese-1306-1308/")</f>
        <v>http://www.ms.ro/2020/06/05/decese-1306-1308/</v>
      </c>
      <c r="W7" s="3"/>
      <c r="X7" s="3"/>
      <c r="Y7" s="3"/>
      <c r="Z7" s="3"/>
      <c r="AA7" s="3"/>
      <c r="AB7" s="3" t="str">
        <f ca="1">IFERROR(__xludf.DUMMYFUNCTION("""COMPUTED_VALUE"""),"Bărbat, 85 ani, București.
Dată confirmării: 27.05.2020.
Dată deces: 04.06.2020.
Comorbidități: ICC clasa II-III NYHA, BRD complet, insuficienta aortica, Insuficienta mitrala, DZ tip II.
")</f>
        <v xml:space="preserve">Bărbat, 85 ani, București.
Dată confirmării: 27.05.2020.
Dată deces: 04.06.2020.
Comorbidități: ICC clasa II-III NYHA, BRD complet, insuficienta aortica, Insuficienta mitrala, DZ tip II.
</v>
      </c>
      <c r="AC7" s="3"/>
      <c r="AD7" s="3" t="str">
        <f ca="1">IFERROR(__xludf.DUMMYFUNCTION("""COMPUTED_VALUE"""),"MS")</f>
        <v>MS</v>
      </c>
      <c r="AE7" s="3"/>
      <c r="AF7" s="3"/>
      <c r="AG7" s="3" t="str">
        <f ca="1">IFERROR(__xludf.DUMMYFUNCTION("""COMPUTED_VALUE"""),"Nu")</f>
        <v>Nu</v>
      </c>
      <c r="AH7" s="3" t="str">
        <f ca="1">IFERROR(__xludf.DUMMYFUNCTION("""COMPUTED_VALUE"""),"Nu")</f>
        <v>Nu</v>
      </c>
      <c r="AI7" s="3" t="str">
        <f ca="1">IFERROR(__xludf.DUMMYFUNCTION("""COMPUTED_VALUE"""),"Afecțiuni cardiovasculare")</f>
        <v>Afecțiuni cardiovasculare</v>
      </c>
      <c r="AJ7" s="7" t="str">
        <f ca="1">IFERROR(__xludf.DUMMYFUNCTION("""COMPUTED_VALUE"""),"Y")</f>
        <v>Y</v>
      </c>
      <c r="AK7" s="7" t="str">
        <f ca="1">IFERROR(__xludf.DUMMYFUNCTION("""COMPUTED_VALUE"""),"Y")</f>
        <v>Y</v>
      </c>
      <c r="AL7" s="7" t="str">
        <f ca="1">IFERROR(__xludf.DUMMYFUNCTION("""COMPUTED_VALUE"""),"N")</f>
        <v>N</v>
      </c>
      <c r="AM7" s="7" t="str">
        <f ca="1">IFERROR(__xludf.DUMMYFUNCTION("""COMPUTED_VALUE"""),"N")</f>
        <v>N</v>
      </c>
      <c r="AN7" s="7" t="str">
        <f ca="1">IFERROR(__xludf.DUMMYFUNCTION("""COMPUTED_VALUE"""),"N")</f>
        <v>N</v>
      </c>
      <c r="AO7" s="7" t="str">
        <f ca="1">IFERROR(__xludf.DUMMYFUNCTION("""COMPUTED_VALUE"""),"N")</f>
        <v>N</v>
      </c>
      <c r="AP7" s="7" t="str">
        <f ca="1">IFERROR(__xludf.DUMMYFUNCTION("""COMPUTED_VALUE"""),"N")</f>
        <v>N</v>
      </c>
      <c r="AQ7" s="7" t="str">
        <f ca="1">IFERROR(__xludf.DUMMYFUNCTION("""COMPUTED_VALUE"""),"N")</f>
        <v>N</v>
      </c>
      <c r="AR7" s="7" t="str">
        <f ca="1">IFERROR(__xludf.DUMMYFUNCTION("""COMPUTED_VALUE"""),"N")</f>
        <v>N</v>
      </c>
      <c r="AS7" s="7" t="str">
        <f ca="1">IFERROR(__xludf.DUMMYFUNCTION("""COMPUTED_VALUE"""),"N")</f>
        <v>N</v>
      </c>
      <c r="AT7" s="7" t="str">
        <f ca="1">IFERROR(__xludf.DUMMYFUNCTION("""COMPUTED_VALUE"""),"N")</f>
        <v>N</v>
      </c>
      <c r="AU7" s="3"/>
      <c r="AV7" s="3"/>
      <c r="AW7" s="3"/>
      <c r="AX7" s="3"/>
      <c r="AY7" s="3"/>
    </row>
    <row r="8" spans="1:51" ht="16.5" customHeight="1">
      <c r="A8" s="3">
        <f ca="1">IFERROR(__xludf.DUMMYFUNCTION("""COMPUTED_VALUE"""),19017)</f>
        <v>19017</v>
      </c>
      <c r="B8" s="3"/>
      <c r="C8" s="3">
        <f ca="1">IFERROR(__xludf.DUMMYFUNCTION("""COMPUTED_VALUE"""),1302)</f>
        <v>1302</v>
      </c>
      <c r="D8" s="3" t="str">
        <f ca="1">IFERROR(__xludf.DUMMYFUNCTION("""COMPUTED_VALUE"""),"Masculin")</f>
        <v>Masculin</v>
      </c>
      <c r="E8" s="4">
        <f ca="1">IFERROR(__xludf.DUMMYFUNCTION("""COMPUTED_VALUE"""),87)</f>
        <v>87</v>
      </c>
      <c r="F8" s="3" t="str">
        <f ca="1">IFERROR(__xludf.DUMMYFUNCTION("""COMPUTED_VALUE"""),"Over 80 years")</f>
        <v>Over 80 years</v>
      </c>
      <c r="G8" s="3" t="str">
        <f ca="1">IFERROR(__xludf.DUMMYFUNCTION("""COMPUTED_VALUE"""),"București")</f>
        <v>București</v>
      </c>
      <c r="H8" s="3"/>
      <c r="I8" s="3">
        <f ca="1">IFERROR(__xludf.DUMMYFUNCTION("""COMPUTED_VALUE"""),1257)</f>
        <v>1257</v>
      </c>
      <c r="J8" s="3" t="str">
        <f ca="1">IFERROR(__xludf.DUMMYFUNCTION("""COMPUTED_VALUE"""),"Comorbidități: HTA, BCI, DZ tip II, BRC st.III, ateroscleroza teritoriu coronarian și carotidian, fibrilație atrială.")</f>
        <v>Comorbidități: HTA, BCI, DZ tip II, BRC st.III, ateroscleroza teritoriu coronarian și carotidian, fibrilație atrială.</v>
      </c>
      <c r="K8" s="5">
        <f ca="1">IFERROR(__xludf.DUMMYFUNCTION("""COMPUTED_VALUE"""),43986)</f>
        <v>43986</v>
      </c>
      <c r="L8" s="5">
        <f ca="1">IFERROR(__xludf.DUMMYFUNCTION("""COMPUTED_VALUE"""),43986)</f>
        <v>43986</v>
      </c>
      <c r="M8" s="3" t="str">
        <f ca="1">IFERROR(__xludf.DUMMYFUNCTION("""COMPUTED_VALUE"""),"0")</f>
        <v>0</v>
      </c>
      <c r="N8" s="5"/>
      <c r="O8" s="5">
        <f ca="1">IFERROR(__xludf.DUMMYFUNCTION("""COMPUTED_VALUE"""),43981)</f>
        <v>43981</v>
      </c>
      <c r="P8" s="3" t="str">
        <f ca="1">IFERROR(__xludf.DUMMYFUNCTION("""COMPUTED_VALUE"""),"Necunoscut")</f>
        <v>Necunoscut</v>
      </c>
      <c r="Q8" s="3" t="str">
        <f ca="1">IFERROR(__xludf.DUMMYFUNCTION("""COMPUTED_VALUE"""),"5")</f>
        <v>5</v>
      </c>
      <c r="R8" s="3" t="str">
        <f ca="1">IFERROR(__xludf.DUMMYFUNCTION("""COMPUTED_VALUE"""),"Nu")</f>
        <v>Nu</v>
      </c>
      <c r="S8" s="3" t="str">
        <f ca="1">IFERROR(__xludf.DUMMYFUNCTION("""COMPUTED_VALUE"""),"?")</f>
        <v>?</v>
      </c>
      <c r="T8" s="3"/>
      <c r="U8" s="3" t="str">
        <f ca="1">IFERROR(__xludf.DUMMYFUNCTION("""COMPUTED_VALUE"""),"Nespecificat")</f>
        <v>Nespecificat</v>
      </c>
      <c r="V8" s="6" t="str">
        <f ca="1">IFERROR(__xludf.DUMMYFUNCTION("""COMPUTED_VALUE"""),"http://www.ms.ro/2020/06/04/decese-1300-1305/")</f>
        <v>http://www.ms.ro/2020/06/04/decese-1300-1305/</v>
      </c>
      <c r="W8" s="3"/>
      <c r="X8" s="3"/>
      <c r="Y8" s="3"/>
      <c r="Z8" s="3"/>
      <c r="AA8" s="3"/>
      <c r="AB8" s="3" t="str">
        <f ca="1">IFERROR(__xludf.DUMMYFUNCTION("""COMPUTED_VALUE"""),"Bărbat, 87 ani, București.
Dată confirmare: 30.05.2020.
Dată deces: 04.06.2020.
Comorbidități: HTA, BCI, DZ tip II, BRC st.III, ateroscleroza teritoriu coronarian și carotidian, fibrilație atrială.")</f>
        <v>Bărbat, 87 ani, București.
Dată confirmare: 30.05.2020.
Dată deces: 04.06.2020.
Comorbidități: HTA, BCI, DZ tip II, BRC st.III, ateroscleroza teritoriu coronarian și carotidian, fibrilație atrială.</v>
      </c>
      <c r="AC8" s="3"/>
      <c r="AD8" s="3" t="str">
        <f ca="1">IFERROR(__xludf.DUMMYFUNCTION("""COMPUTED_VALUE"""),"MS")</f>
        <v>MS</v>
      </c>
      <c r="AE8" s="3"/>
      <c r="AF8" s="3"/>
      <c r="AG8" s="3" t="str">
        <f ca="1">IFERROR(__xludf.DUMMYFUNCTION("""COMPUTED_VALUE"""),"Nu")</f>
        <v>Nu</v>
      </c>
      <c r="AH8" s="3" t="str">
        <f ca="1">IFERROR(__xludf.DUMMYFUNCTION("""COMPUTED_VALUE"""),"Nu")</f>
        <v>Nu</v>
      </c>
      <c r="AI8" s="3" t="str">
        <f ca="1">IFERROR(__xludf.DUMMYFUNCTION("""COMPUTED_VALUE"""),"Afecțiuni cardiovasculare")</f>
        <v>Afecțiuni cardiovasculare</v>
      </c>
      <c r="AJ8" s="7" t="str">
        <f ca="1">IFERROR(__xludf.DUMMYFUNCTION("""COMPUTED_VALUE"""),"Y")</f>
        <v>Y</v>
      </c>
      <c r="AK8" s="7" t="str">
        <f ca="1">IFERROR(__xludf.DUMMYFUNCTION("""COMPUTED_VALUE"""),"Y")</f>
        <v>Y</v>
      </c>
      <c r="AL8" s="7" t="str">
        <f ca="1">IFERROR(__xludf.DUMMYFUNCTION("""COMPUTED_VALUE"""),"N")</f>
        <v>N</v>
      </c>
      <c r="AM8" s="7" t="str">
        <f ca="1">IFERROR(__xludf.DUMMYFUNCTION("""COMPUTED_VALUE"""),"N")</f>
        <v>N</v>
      </c>
      <c r="AN8" s="7" t="str">
        <f ca="1">IFERROR(__xludf.DUMMYFUNCTION("""COMPUTED_VALUE"""),"N")</f>
        <v>N</v>
      </c>
      <c r="AO8" s="7" t="str">
        <f ca="1">IFERROR(__xludf.DUMMYFUNCTION("""COMPUTED_VALUE"""),"N")</f>
        <v>N</v>
      </c>
      <c r="AP8" s="7" t="str">
        <f ca="1">IFERROR(__xludf.DUMMYFUNCTION("""COMPUTED_VALUE"""),"N")</f>
        <v>N</v>
      </c>
      <c r="AQ8" s="7" t="str">
        <f ca="1">IFERROR(__xludf.DUMMYFUNCTION("""COMPUTED_VALUE"""),"N")</f>
        <v>N</v>
      </c>
      <c r="AR8" s="7" t="str">
        <f ca="1">IFERROR(__xludf.DUMMYFUNCTION("""COMPUTED_VALUE"""),"N")</f>
        <v>N</v>
      </c>
      <c r="AS8" s="7" t="str">
        <f ca="1">IFERROR(__xludf.DUMMYFUNCTION("""COMPUTED_VALUE"""),"N")</f>
        <v>N</v>
      </c>
      <c r="AT8" s="7" t="str">
        <f ca="1">IFERROR(__xludf.DUMMYFUNCTION("""COMPUTED_VALUE"""),"N")</f>
        <v>N</v>
      </c>
      <c r="AU8" s="3"/>
      <c r="AV8" s="3"/>
      <c r="AW8" s="3"/>
      <c r="AX8" s="3"/>
      <c r="AY8" s="3"/>
    </row>
    <row r="9" spans="1:51" ht="16.5" customHeight="1">
      <c r="A9" s="3">
        <f ca="1">IFERROR(__xludf.DUMMYFUNCTION("""COMPUTED_VALUE"""),17451)</f>
        <v>17451</v>
      </c>
      <c r="B9" s="3"/>
      <c r="C9" s="3">
        <f ca="1">IFERROR(__xludf.DUMMYFUNCTION("""COMPUTED_VALUE"""),1296)</f>
        <v>1296</v>
      </c>
      <c r="D9" s="3" t="str">
        <f ca="1">IFERROR(__xludf.DUMMYFUNCTION("""COMPUTED_VALUE"""),"Feminin")</f>
        <v>Feminin</v>
      </c>
      <c r="E9" s="4">
        <f ca="1">IFERROR(__xludf.DUMMYFUNCTION("""COMPUTED_VALUE"""),70)</f>
        <v>70</v>
      </c>
      <c r="F9" s="3" t="str">
        <f ca="1">IFERROR(__xludf.DUMMYFUNCTION("""COMPUTED_VALUE"""),"70-79 years")</f>
        <v>70-79 years</v>
      </c>
      <c r="G9" s="3" t="str">
        <f ca="1">IFERROR(__xludf.DUMMYFUNCTION("""COMPUTED_VALUE"""),"București")</f>
        <v>București</v>
      </c>
      <c r="H9" s="3"/>
      <c r="I9" s="3">
        <f ca="1">IFERROR(__xludf.DUMMYFUNCTION("""COMPUTED_VALUE"""),672)</f>
        <v>672</v>
      </c>
      <c r="J9" s="3" t="str">
        <f ca="1">IFERROR(__xludf.DUMMYFUNCTION("""COMPUTED_VALUE"""),"Comorbidități: HTA, CIC, Steatoza hepatica, BPOC, Litiaza renala, Depresie
severa, Insuficiență venoasă circulatorie.")</f>
        <v>Comorbidități: HTA, CIC, Steatoza hepatica, BPOC, Litiaza renala, Depresie
severa, Insuficiență venoasă circulatorie.</v>
      </c>
      <c r="K9" s="5">
        <f ca="1">IFERROR(__xludf.DUMMYFUNCTION("""COMPUTED_VALUE"""),43985)</f>
        <v>43985</v>
      </c>
      <c r="L9" s="5">
        <f ca="1">IFERROR(__xludf.DUMMYFUNCTION("""COMPUTED_VALUE"""),43982)</f>
        <v>43982</v>
      </c>
      <c r="M9" s="3" t="str">
        <f ca="1">IFERROR(__xludf.DUMMYFUNCTION("""COMPUTED_VALUE"""),"3")</f>
        <v>3</v>
      </c>
      <c r="N9" s="5"/>
      <c r="O9" s="5">
        <f ca="1">IFERROR(__xludf.DUMMYFUNCTION("""COMPUTED_VALUE"""),43972)</f>
        <v>43972</v>
      </c>
      <c r="P9" s="3" t="str">
        <f ca="1">IFERROR(__xludf.DUMMYFUNCTION("""COMPUTED_VALUE"""),"Necunoscut")</f>
        <v>Necunoscut</v>
      </c>
      <c r="Q9" s="3" t="str">
        <f ca="1">IFERROR(__xludf.DUMMYFUNCTION("""COMPUTED_VALUE"""),"10")</f>
        <v>10</v>
      </c>
      <c r="R9" s="3" t="str">
        <f ca="1">IFERROR(__xludf.DUMMYFUNCTION("""COMPUTED_VALUE"""),"Nu")</f>
        <v>Nu</v>
      </c>
      <c r="S9" s="3" t="str">
        <f ca="1">IFERROR(__xludf.DUMMYFUNCTION("""COMPUTED_VALUE"""),"?")</f>
        <v>?</v>
      </c>
      <c r="T9" s="3"/>
      <c r="U9" s="3" t="str">
        <f ca="1">IFERROR(__xludf.DUMMYFUNCTION("""COMPUTED_VALUE"""),"Nespecificat")</f>
        <v>Nespecificat</v>
      </c>
      <c r="V9" s="6" t="str">
        <f ca="1">IFERROR(__xludf.DUMMYFUNCTION("""COMPUTED_VALUE"""),"http://www.ms.ro/2020/06/03/decese-1289-1296/")</f>
        <v>http://www.ms.ro/2020/06/03/decese-1289-1296/</v>
      </c>
      <c r="W9" s="3"/>
      <c r="X9" s="3"/>
      <c r="Y9" s="3"/>
      <c r="Z9" s="3"/>
      <c r="AA9" s="3"/>
      <c r="AB9" s="3" t="str">
        <f ca="1">IFERROR(__xludf.DUMMYFUNCTION("""COMPUTED_VALUE"""),"Femeie, 70 ani, municipiul București.
Dată confirmare: 21.05.2020.
Dată deces: 31.05.2020.
Comorbidități: HTA, CIC, Steatoza hepatica, BPOC, Litiaza renala, Depresie
severa, Insuficiență venoasă circulatorie.")</f>
        <v>Femeie, 70 ani, municipiul București.
Dată confirmare: 21.05.2020.
Dată deces: 31.05.2020.
Comorbidități: HTA, CIC, Steatoza hepatica, BPOC, Litiaza renala, Depresie
severa, Insuficiență venoasă circulatorie.</v>
      </c>
      <c r="AC9" s="3"/>
      <c r="AD9" s="3" t="str">
        <f ca="1">IFERROR(__xludf.DUMMYFUNCTION("""COMPUTED_VALUE"""),"MS")</f>
        <v>MS</v>
      </c>
      <c r="AE9" s="3"/>
      <c r="AF9" s="3"/>
      <c r="AG9" s="3" t="str">
        <f ca="1">IFERROR(__xludf.DUMMYFUNCTION("""COMPUTED_VALUE"""),"Nu")</f>
        <v>Nu</v>
      </c>
      <c r="AH9" s="3" t="str">
        <f ca="1">IFERROR(__xludf.DUMMYFUNCTION("""COMPUTED_VALUE"""),"Nu")</f>
        <v>Nu</v>
      </c>
      <c r="AI9" s="3" t="str">
        <f ca="1">IFERROR(__xludf.DUMMYFUNCTION("""COMPUTED_VALUE"""),"Afecțiuni cardiovasculare")</f>
        <v>Afecțiuni cardiovasculare</v>
      </c>
      <c r="AJ9" s="7" t="str">
        <f ca="1">IFERROR(__xludf.DUMMYFUNCTION("""COMPUTED_VALUE"""),"Y")</f>
        <v>Y</v>
      </c>
      <c r="AK9" s="7" t="str">
        <f ca="1">IFERROR(__xludf.DUMMYFUNCTION("""COMPUTED_VALUE"""),"N")</f>
        <v>N</v>
      </c>
      <c r="AL9" s="7" t="str">
        <f ca="1">IFERROR(__xludf.DUMMYFUNCTION("""COMPUTED_VALUE"""),"Y")</f>
        <v>Y</v>
      </c>
      <c r="AM9" s="7" t="str">
        <f ca="1">IFERROR(__xludf.DUMMYFUNCTION("""COMPUTED_VALUE"""),"Y")</f>
        <v>Y</v>
      </c>
      <c r="AN9" s="7" t="str">
        <f ca="1">IFERROR(__xludf.DUMMYFUNCTION("""COMPUTED_VALUE"""),"N")</f>
        <v>N</v>
      </c>
      <c r="AO9" s="7" t="str">
        <f ca="1">IFERROR(__xludf.DUMMYFUNCTION("""COMPUTED_VALUE"""),"Y")</f>
        <v>Y</v>
      </c>
      <c r="AP9" s="7" t="str">
        <f ca="1">IFERROR(__xludf.DUMMYFUNCTION("""COMPUTED_VALUE"""),"Y")</f>
        <v>Y</v>
      </c>
      <c r="AQ9" s="7" t="str">
        <f ca="1">IFERROR(__xludf.DUMMYFUNCTION("""COMPUTED_VALUE"""),"N")</f>
        <v>N</v>
      </c>
      <c r="AR9" s="7" t="str">
        <f ca="1">IFERROR(__xludf.DUMMYFUNCTION("""COMPUTED_VALUE"""),"N")</f>
        <v>N</v>
      </c>
      <c r="AS9" s="7" t="str">
        <f ca="1">IFERROR(__xludf.DUMMYFUNCTION("""COMPUTED_VALUE"""),"N")</f>
        <v>N</v>
      </c>
      <c r="AT9" s="7" t="str">
        <f ca="1">IFERROR(__xludf.DUMMYFUNCTION("""COMPUTED_VALUE"""),"N")</f>
        <v>N</v>
      </c>
      <c r="AU9" s="3"/>
      <c r="AV9" s="3"/>
      <c r="AW9" s="3"/>
      <c r="AX9" s="3"/>
      <c r="AY9" s="3"/>
    </row>
    <row r="10" spans="1:51" ht="16.5" customHeight="1">
      <c r="A10" s="3">
        <f ca="1">IFERROR(__xludf.DUMMYFUNCTION("""COMPUTED_VALUE"""),17234)</f>
        <v>17234</v>
      </c>
      <c r="B10" s="3"/>
      <c r="C10" s="3">
        <f ca="1">IFERROR(__xludf.DUMMYFUNCTION("""COMPUTED_VALUE"""),1291)</f>
        <v>1291</v>
      </c>
      <c r="D10" s="3" t="str">
        <f ca="1">IFERROR(__xludf.DUMMYFUNCTION("""COMPUTED_VALUE"""),"Masculin")</f>
        <v>Masculin</v>
      </c>
      <c r="E10" s="4">
        <f ca="1">IFERROR(__xludf.DUMMYFUNCTION("""COMPUTED_VALUE"""),68)</f>
        <v>68</v>
      </c>
      <c r="F10" s="3" t="str">
        <f ca="1">IFERROR(__xludf.DUMMYFUNCTION("""COMPUTED_VALUE"""),"60-69 years")</f>
        <v>60-69 years</v>
      </c>
      <c r="G10" s="3" t="str">
        <f ca="1">IFERROR(__xludf.DUMMYFUNCTION("""COMPUTED_VALUE"""),"București")</f>
        <v>București</v>
      </c>
      <c r="H10" s="3"/>
      <c r="I10" s="3">
        <f ca="1">IFERROR(__xludf.DUMMYFUNCTION("""COMPUTED_VALUE"""),590)</f>
        <v>590</v>
      </c>
      <c r="J10" s="3" t="str">
        <f ca="1">IFERROR(__xludf.DUMMYFUNCTION("""COMPUTED_VALUE"""),"Comorbidități: Carcinom colon sigmoid cu metastaze hepatice, hepatita etanolica, pancreatita etanolica.")</f>
        <v>Comorbidități: Carcinom colon sigmoid cu metastaze hepatice, hepatita etanolica, pancreatita etanolica.</v>
      </c>
      <c r="K10" s="5">
        <f ca="1">IFERROR(__xludf.DUMMYFUNCTION("""COMPUTED_VALUE"""),43985)</f>
        <v>43985</v>
      </c>
      <c r="L10" s="5">
        <f ca="1">IFERROR(__xludf.DUMMYFUNCTION("""COMPUTED_VALUE"""),43984)</f>
        <v>43984</v>
      </c>
      <c r="M10" s="3" t="str">
        <f ca="1">IFERROR(__xludf.DUMMYFUNCTION("""COMPUTED_VALUE"""),"1")</f>
        <v>1</v>
      </c>
      <c r="N10" s="5"/>
      <c r="O10" s="5">
        <f ca="1">IFERROR(__xludf.DUMMYFUNCTION("""COMPUTED_VALUE"""),43971)</f>
        <v>43971</v>
      </c>
      <c r="P10" s="3" t="str">
        <f ca="1">IFERROR(__xludf.DUMMYFUNCTION("""COMPUTED_VALUE"""),"Necunoscut")</f>
        <v>Necunoscut</v>
      </c>
      <c r="Q10" s="3" t="str">
        <f ca="1">IFERROR(__xludf.DUMMYFUNCTION("""COMPUTED_VALUE"""),"13")</f>
        <v>13</v>
      </c>
      <c r="R10" s="3" t="str">
        <f ca="1">IFERROR(__xludf.DUMMYFUNCTION("""COMPUTED_VALUE"""),"Nu")</f>
        <v>Nu</v>
      </c>
      <c r="S10" s="3" t="str">
        <f ca="1">IFERROR(__xludf.DUMMYFUNCTION("""COMPUTED_VALUE"""),"?")</f>
        <v>?</v>
      </c>
      <c r="T10" s="3"/>
      <c r="U10" s="3" t="str">
        <f ca="1">IFERROR(__xludf.DUMMYFUNCTION("""COMPUTED_VALUE"""),"Nespecificat")</f>
        <v>Nespecificat</v>
      </c>
      <c r="V10" s="6" t="str">
        <f ca="1">IFERROR(__xludf.DUMMYFUNCTION("""COMPUTED_VALUE"""),"http://www.ms.ro/2020/06/03/decese-1289-1296/")</f>
        <v>http://www.ms.ro/2020/06/03/decese-1289-1296/</v>
      </c>
      <c r="W10" s="3"/>
      <c r="X10" s="3"/>
      <c r="Y10" s="3"/>
      <c r="Z10" s="3"/>
      <c r="AA10" s="3"/>
      <c r="AB10" s="3" t="str">
        <f ca="1">IFERROR(__xludf.DUMMYFUNCTION("""COMPUTED_VALUE"""),"Bărbat, 68 ani, municipiul București.
Dată confirmare: 20.05.2020.
Dată deces: 02.06.2020.
Comorbidități: Carcinom colon sigmoid cu metastaze hepatice, hepatita etanolica, pancreatita etanolica.")</f>
        <v>Bărbat, 68 ani, municipiul București.
Dată confirmare: 20.05.2020.
Dată deces: 02.06.2020.
Comorbidități: Carcinom colon sigmoid cu metastaze hepatice, hepatita etanolica, pancreatita etanolica.</v>
      </c>
      <c r="AC10" s="3"/>
      <c r="AD10" s="3" t="str">
        <f ca="1">IFERROR(__xludf.DUMMYFUNCTION("""COMPUTED_VALUE"""),"MS")</f>
        <v>MS</v>
      </c>
      <c r="AE10" s="3"/>
      <c r="AF10" s="3"/>
      <c r="AG10" s="3" t="str">
        <f ca="1">IFERROR(__xludf.DUMMYFUNCTION("""COMPUTED_VALUE"""),"Nu")</f>
        <v>Nu</v>
      </c>
      <c r="AH10" s="3" t="str">
        <f ca="1">IFERROR(__xludf.DUMMYFUNCTION("""COMPUTED_VALUE"""),"Nu")</f>
        <v>Nu</v>
      </c>
      <c r="AI10" s="3" t="str">
        <f ca="1">IFERROR(__xludf.DUMMYFUNCTION("""COMPUTED_VALUE"""),"Afecțiuni Hepatice")</f>
        <v>Afecțiuni Hepatice</v>
      </c>
      <c r="AJ10" s="7" t="str">
        <f ca="1">IFERROR(__xludf.DUMMYFUNCTION("""COMPUTED_VALUE"""),"N")</f>
        <v>N</v>
      </c>
      <c r="AK10" s="7" t="str">
        <f ca="1">IFERROR(__xludf.DUMMYFUNCTION("""COMPUTED_VALUE"""),"N")</f>
        <v>N</v>
      </c>
      <c r="AL10" s="7" t="str">
        <f ca="1">IFERROR(__xludf.DUMMYFUNCTION("""COMPUTED_VALUE"""),"N")</f>
        <v>N</v>
      </c>
      <c r="AM10" s="7" t="str">
        <f ca="1">IFERROR(__xludf.DUMMYFUNCTION("""COMPUTED_VALUE"""),"N")</f>
        <v>N</v>
      </c>
      <c r="AN10" s="7" t="str">
        <f ca="1">IFERROR(__xludf.DUMMYFUNCTION("""COMPUTED_VALUE"""),"N")</f>
        <v>N</v>
      </c>
      <c r="AO10" s="7" t="str">
        <f ca="1">IFERROR(__xludf.DUMMYFUNCTION("""COMPUTED_VALUE"""),"N")</f>
        <v>N</v>
      </c>
      <c r="AP10" s="7" t="str">
        <f ca="1">IFERROR(__xludf.DUMMYFUNCTION("""COMPUTED_VALUE"""),"Y")</f>
        <v>Y</v>
      </c>
      <c r="AQ10" s="7" t="str">
        <f ca="1">IFERROR(__xludf.DUMMYFUNCTION("""COMPUTED_VALUE"""),"N")</f>
        <v>N</v>
      </c>
      <c r="AR10" s="7" t="str">
        <f ca="1">IFERROR(__xludf.DUMMYFUNCTION("""COMPUTED_VALUE"""),"N")</f>
        <v>N</v>
      </c>
      <c r="AS10" s="7" t="str">
        <f ca="1">IFERROR(__xludf.DUMMYFUNCTION("""COMPUTED_VALUE"""),"N")</f>
        <v>N</v>
      </c>
      <c r="AT10" s="7" t="str">
        <f ca="1">IFERROR(__xludf.DUMMYFUNCTION("""COMPUTED_VALUE"""),"N")</f>
        <v>N</v>
      </c>
      <c r="AU10" s="3"/>
      <c r="AV10" s="3"/>
      <c r="AW10" s="3"/>
      <c r="AX10" s="3"/>
      <c r="AY10" s="3"/>
    </row>
    <row r="11" spans="1:51" ht="16.5" customHeight="1">
      <c r="A11" s="3">
        <f ca="1">IFERROR(__xludf.DUMMYFUNCTION("""COMPUTED_VALUE"""),17760)</f>
        <v>17760</v>
      </c>
      <c r="B11" s="3"/>
      <c r="C11" s="3">
        <f ca="1">IFERROR(__xludf.DUMMYFUNCTION("""COMPUTED_VALUE"""),1285)</f>
        <v>1285</v>
      </c>
      <c r="D11" s="3" t="str">
        <f ca="1">IFERROR(__xludf.DUMMYFUNCTION("""COMPUTED_VALUE"""),"Masculin")</f>
        <v>Masculin</v>
      </c>
      <c r="E11" s="4">
        <f ca="1">IFERROR(__xludf.DUMMYFUNCTION("""COMPUTED_VALUE"""),84)</f>
        <v>84</v>
      </c>
      <c r="F11" s="3" t="str">
        <f ca="1">IFERROR(__xludf.DUMMYFUNCTION("""COMPUTED_VALUE"""),"Over 80 years")</f>
        <v>Over 80 years</v>
      </c>
      <c r="G11" s="3" t="str">
        <f ca="1">IFERROR(__xludf.DUMMYFUNCTION("""COMPUTED_VALUE"""),"București")</f>
        <v>București</v>
      </c>
      <c r="H11" s="3"/>
      <c r="I11" s="3">
        <f ca="1">IFERROR(__xludf.DUMMYFUNCTION("""COMPUTED_VALUE"""),1184)</f>
        <v>1184</v>
      </c>
      <c r="J11" s="3" t="str">
        <f ca="1">IFERROR(__xludf.DUMMYFUNCTION("""COMPUTED_VALUE"""),"Comorbidități: demență mixtă, AVC ischemic cu hemipareza dreapta, tulburare anxioasă depresiva, DZ tip II,boala cardiaca ischemica, HTA.")</f>
        <v>Comorbidități: demență mixtă, AVC ischemic cu hemipareza dreapta, tulburare anxioasă depresiva, DZ tip II,boala cardiaca ischemica, HTA.</v>
      </c>
      <c r="K11" s="5">
        <f ca="1">IFERROR(__xludf.DUMMYFUNCTION("""COMPUTED_VALUE"""),43984)</f>
        <v>43984</v>
      </c>
      <c r="L11" s="5">
        <f ca="1">IFERROR(__xludf.DUMMYFUNCTION("""COMPUTED_VALUE"""),43983)</f>
        <v>43983</v>
      </c>
      <c r="M11" s="3" t="str">
        <f ca="1">IFERROR(__xludf.DUMMYFUNCTION("""COMPUTED_VALUE"""),"1")</f>
        <v>1</v>
      </c>
      <c r="N11" s="5"/>
      <c r="O11" s="5">
        <f ca="1">IFERROR(__xludf.DUMMYFUNCTION("""COMPUTED_VALUE"""),43974)</f>
        <v>43974</v>
      </c>
      <c r="P11" s="3" t="str">
        <f ca="1">IFERROR(__xludf.DUMMYFUNCTION("""COMPUTED_VALUE"""),"Necunoscut")</f>
        <v>Necunoscut</v>
      </c>
      <c r="Q11" s="3" t="str">
        <f ca="1">IFERROR(__xludf.DUMMYFUNCTION("""COMPUTED_VALUE"""),"9")</f>
        <v>9</v>
      </c>
      <c r="R11" s="3" t="str">
        <f ca="1">IFERROR(__xludf.DUMMYFUNCTION("""COMPUTED_VALUE"""),"Nu")</f>
        <v>Nu</v>
      </c>
      <c r="S11" s="3" t="str">
        <f ca="1">IFERROR(__xludf.DUMMYFUNCTION("""COMPUTED_VALUE"""),"?")</f>
        <v>?</v>
      </c>
      <c r="T11" s="3"/>
      <c r="U11" s="3" t="str">
        <f ca="1">IFERROR(__xludf.DUMMYFUNCTION("""COMPUTED_VALUE"""),"Nespecificat")</f>
        <v>Nespecificat</v>
      </c>
      <c r="V11" s="6" t="str">
        <f ca="1">IFERROR(__xludf.DUMMYFUNCTION("""COMPUTED_VALUE"""),"http://www.ms.ro/2020/06/02/decese-1280-1288/")</f>
        <v>http://www.ms.ro/2020/06/02/decese-1280-1288/</v>
      </c>
      <c r="W11" s="3" t="str">
        <f ca="1">IFERROR(__xludf.DUMMYFUNCTION("""COMPUTED_VALUE"""),"Nespecificat")</f>
        <v>Nespecificat</v>
      </c>
      <c r="X11" s="3"/>
      <c r="Y11" s="3" t="str">
        <f ca="1">IFERROR(__xludf.DUMMYFUNCTION("""COMPUTED_VALUE"""),"Nespecificat")</f>
        <v>Nespecificat</v>
      </c>
      <c r="Z11" s="3"/>
      <c r="AA11" s="3" t="str">
        <f ca="1">IFERROR(__xludf.DUMMYFUNCTION("""COMPUTED_VALUE"""),"Nespecificat")</f>
        <v>Nespecificat</v>
      </c>
      <c r="AB11" s="3" t="str">
        <f ca="1">IFERROR(__xludf.DUMMYFUNCTION("""COMPUTED_VALUE"""),"Bărbat, 84 ani, București.
Dată confirmare: 23.05.2020.
Dată deces: 01.06.2020.
Comorbidități: demență mixtă, AVC ischemic cu hemipareza dreapta, tulburare anxioasă depresiva, DZ tip II,boala cardiaca ischemica, HTA.")</f>
        <v>Bărbat, 84 ani, București.
Dată confirmare: 23.05.2020.
Dată deces: 01.06.2020.
Comorbidități: demență mixtă, AVC ischemic cu hemipareza dreapta, tulburare anxioasă depresiva, DZ tip II,boala cardiaca ischemica, HTA.</v>
      </c>
      <c r="AC11" s="3"/>
      <c r="AD11" s="3" t="str">
        <f ca="1">IFERROR(__xludf.DUMMYFUNCTION("""COMPUTED_VALUE"""),"MS")</f>
        <v>MS</v>
      </c>
      <c r="AE11" s="3"/>
      <c r="AF11" s="3"/>
      <c r="AG11" s="3" t="str">
        <f ca="1">IFERROR(__xludf.DUMMYFUNCTION("""COMPUTED_VALUE"""),"Nu")</f>
        <v>Nu</v>
      </c>
      <c r="AH11" s="3" t="str">
        <f ca="1">IFERROR(__xludf.DUMMYFUNCTION("""COMPUTED_VALUE"""),"Nu")</f>
        <v>Nu</v>
      </c>
      <c r="AI11" s="3" t="str">
        <f ca="1">IFERROR(__xludf.DUMMYFUNCTION("""COMPUTED_VALUE"""),"Afecțiuni cardiovasculare")</f>
        <v>Afecțiuni cardiovasculare</v>
      </c>
      <c r="AJ11" s="7" t="str">
        <f ca="1">IFERROR(__xludf.DUMMYFUNCTION("""COMPUTED_VALUE"""),"Y")</f>
        <v>Y</v>
      </c>
      <c r="AK11" s="7" t="str">
        <f ca="1">IFERROR(__xludf.DUMMYFUNCTION("""COMPUTED_VALUE"""),"Y")</f>
        <v>Y</v>
      </c>
      <c r="AL11" s="7" t="str">
        <f ca="1">IFERROR(__xludf.DUMMYFUNCTION("""COMPUTED_VALUE"""),"N")</f>
        <v>N</v>
      </c>
      <c r="AM11" s="7" t="str">
        <f ca="1">IFERROR(__xludf.DUMMYFUNCTION("""COMPUTED_VALUE"""),"N")</f>
        <v>N</v>
      </c>
      <c r="AN11" s="7" t="str">
        <f ca="1">IFERROR(__xludf.DUMMYFUNCTION("""COMPUTED_VALUE"""),"Y")</f>
        <v>Y</v>
      </c>
      <c r="AO11" s="7" t="str">
        <f ca="1">IFERROR(__xludf.DUMMYFUNCTION("""COMPUTED_VALUE"""),"N")</f>
        <v>N</v>
      </c>
      <c r="AP11" s="7" t="str">
        <f ca="1">IFERROR(__xludf.DUMMYFUNCTION("""COMPUTED_VALUE"""),"N")</f>
        <v>N</v>
      </c>
      <c r="AQ11" s="7" t="str">
        <f ca="1">IFERROR(__xludf.DUMMYFUNCTION("""COMPUTED_VALUE"""),"N")</f>
        <v>N</v>
      </c>
      <c r="AR11" s="7" t="str">
        <f ca="1">IFERROR(__xludf.DUMMYFUNCTION("""COMPUTED_VALUE"""),"N")</f>
        <v>N</v>
      </c>
      <c r="AS11" s="7" t="str">
        <f ca="1">IFERROR(__xludf.DUMMYFUNCTION("""COMPUTED_VALUE"""),"N")</f>
        <v>N</v>
      </c>
      <c r="AT11" s="7" t="str">
        <f ca="1">IFERROR(__xludf.DUMMYFUNCTION("""COMPUTED_VALUE"""),"N")</f>
        <v>N</v>
      </c>
      <c r="AU11" s="3"/>
      <c r="AV11" s="3"/>
      <c r="AW11" s="3"/>
      <c r="AX11" s="3"/>
      <c r="AY11" s="3"/>
    </row>
    <row r="12" spans="1:51" ht="16.5" customHeight="1">
      <c r="A12" s="3">
        <f ca="1">IFERROR(__xludf.DUMMYFUNCTION("""COMPUTED_VALUE"""),18664)</f>
        <v>18664</v>
      </c>
      <c r="B12" s="3"/>
      <c r="C12" s="3">
        <f ca="1">IFERROR(__xludf.DUMMYFUNCTION("""COMPUTED_VALUE"""),1253)</f>
        <v>1253</v>
      </c>
      <c r="D12" s="3" t="str">
        <f ca="1">IFERROR(__xludf.DUMMYFUNCTION("""COMPUTED_VALUE"""),"Feminin")</f>
        <v>Feminin</v>
      </c>
      <c r="E12" s="4">
        <f ca="1">IFERROR(__xludf.DUMMYFUNCTION("""COMPUTED_VALUE"""),90)</f>
        <v>90</v>
      </c>
      <c r="F12" s="3" t="str">
        <f ca="1">IFERROR(__xludf.DUMMYFUNCTION("""COMPUTED_VALUE"""),"Over 80 years")</f>
        <v>Over 80 years</v>
      </c>
      <c r="G12" s="3" t="str">
        <f ca="1">IFERROR(__xludf.DUMMYFUNCTION("""COMPUTED_VALUE"""),"București")</f>
        <v>București</v>
      </c>
      <c r="H12" s="3"/>
      <c r="I12" s="3">
        <f ca="1">IFERROR(__xludf.DUMMYFUNCTION("""COMPUTED_VALUE"""),1310)</f>
        <v>1310</v>
      </c>
      <c r="J12" s="3" t="str">
        <f ca="1">IFERROR(__xludf.DUMMYFUNCTION("""COMPUTED_VALUE"""),"Comorbidități: Fibrilație atriala, HTA std II, IC, astm bronsic, demență Alzheimer formă mixtă, imobilizataă, escare de decubit.")</f>
        <v>Comorbidități: Fibrilație atriala, HTA std II, IC, astm bronsic, demență Alzheimer formă mixtă, imobilizataă, escare de decubit.</v>
      </c>
      <c r="K12" s="5">
        <f ca="1">IFERROR(__xludf.DUMMYFUNCTION("""COMPUTED_VALUE"""),43981)</f>
        <v>43981</v>
      </c>
      <c r="L12" s="5">
        <f ca="1">IFERROR(__xludf.DUMMYFUNCTION("""COMPUTED_VALUE"""),43980)</f>
        <v>43980</v>
      </c>
      <c r="M12" s="3" t="str">
        <f ca="1">IFERROR(__xludf.DUMMYFUNCTION("""COMPUTED_VALUE"""),"1")</f>
        <v>1</v>
      </c>
      <c r="N12" s="5"/>
      <c r="O12" s="5">
        <f ca="1">IFERROR(__xludf.DUMMYFUNCTION("""COMPUTED_VALUE"""),43979)</f>
        <v>43979</v>
      </c>
      <c r="P12" s="3" t="str">
        <f ca="1">IFERROR(__xludf.DUMMYFUNCTION("""COMPUTED_VALUE"""),"Necunoscut")</f>
        <v>Necunoscut</v>
      </c>
      <c r="Q12" s="3" t="str">
        <f ca="1">IFERROR(__xludf.DUMMYFUNCTION("""COMPUTED_VALUE"""),"1")</f>
        <v>1</v>
      </c>
      <c r="R12" s="3" t="str">
        <f ca="1">IFERROR(__xludf.DUMMYFUNCTION("""COMPUTED_VALUE"""),"Nu")</f>
        <v>Nu</v>
      </c>
      <c r="S12" s="3" t="str">
        <f ca="1">IFERROR(__xludf.DUMMYFUNCTION("""COMPUTED_VALUE"""),"?")</f>
        <v>?</v>
      </c>
      <c r="T12" s="3"/>
      <c r="U12" s="3" t="str">
        <f ca="1">IFERROR(__xludf.DUMMYFUNCTION("""COMPUTED_VALUE"""),"Nespecificat")</f>
        <v>Nespecificat</v>
      </c>
      <c r="V12" s="6" t="str">
        <f ca="1">IFERROR(__xludf.DUMMYFUNCTION("""COMPUTED_VALUE"""),"http://www.ms.ro/2020/05/30/decese-1249-1253/")</f>
        <v>http://www.ms.ro/2020/05/30/decese-1249-1253/</v>
      </c>
      <c r="W12" s="3" t="str">
        <f ca="1">IFERROR(__xludf.DUMMYFUNCTION("""COMPUTED_VALUE"""),"Nespecificat")</f>
        <v>Nespecificat</v>
      </c>
      <c r="X12" s="3"/>
      <c r="Y12" s="3" t="str">
        <f ca="1">IFERROR(__xludf.DUMMYFUNCTION("""COMPUTED_VALUE"""),"Nespecificat")</f>
        <v>Nespecificat</v>
      </c>
      <c r="Z12" s="3"/>
      <c r="AA12" s="3" t="str">
        <f ca="1">IFERROR(__xludf.DUMMYFUNCTION("""COMPUTED_VALUE"""),"Nespecificat")</f>
        <v>Nespecificat</v>
      </c>
      <c r="AB12" s="3" t="str">
        <f ca="1">IFERROR(__xludf.DUMMYFUNCTION("""COMPUTED_VALUE"""),"Femeie, 90 ani, municipiul București.
Dată confirmare: 28.05.2020.
Dată deces: 29.05.2020.
Comorbidități: Fibrilație atriala, HTA std II, IC, astm bronsic, demență Alzheimer formă mixtă, imobilizataă, escare de decubit.")</f>
        <v>Femeie, 90 ani, municipiul București.
Dată confirmare: 28.05.2020.
Dată deces: 29.05.2020.
Comorbidități: Fibrilație atriala, HTA std II, IC, astm bronsic, demență Alzheimer formă mixtă, imobilizataă, escare de decubit.</v>
      </c>
      <c r="AC12" s="3"/>
      <c r="AD12" s="3" t="str">
        <f ca="1">IFERROR(__xludf.DUMMYFUNCTION("""COMPUTED_VALUE"""),"MS")</f>
        <v>MS</v>
      </c>
      <c r="AE12" s="3"/>
      <c r="AF12" s="3"/>
      <c r="AG12" s="3" t="str">
        <f ca="1">IFERROR(__xludf.DUMMYFUNCTION("""COMPUTED_VALUE"""),"Nu")</f>
        <v>Nu</v>
      </c>
      <c r="AH12" s="3" t="str">
        <f ca="1">IFERROR(__xludf.DUMMYFUNCTION("""COMPUTED_VALUE"""),"Nu")</f>
        <v>Nu</v>
      </c>
      <c r="AI12" s="3" t="str">
        <f ca="1">IFERROR(__xludf.DUMMYFUNCTION("""COMPUTED_VALUE"""),"Afecțiuni cardiovasculare")</f>
        <v>Afecțiuni cardiovasculare</v>
      </c>
      <c r="AJ12" s="7" t="str">
        <f ca="1">IFERROR(__xludf.DUMMYFUNCTION("""COMPUTED_VALUE"""),"Y")</f>
        <v>Y</v>
      </c>
      <c r="AK12" s="7" t="str">
        <f ca="1">IFERROR(__xludf.DUMMYFUNCTION("""COMPUTED_VALUE"""),"N")</f>
        <v>N</v>
      </c>
      <c r="AL12" s="7" t="str">
        <f ca="1">IFERROR(__xludf.DUMMYFUNCTION("""COMPUTED_VALUE"""),"N")</f>
        <v>N</v>
      </c>
      <c r="AM12" s="7" t="str">
        <f ca="1">IFERROR(__xludf.DUMMYFUNCTION("""COMPUTED_VALUE"""),"Y")</f>
        <v>Y</v>
      </c>
      <c r="AN12" s="7" t="str">
        <f ca="1">IFERROR(__xludf.DUMMYFUNCTION("""COMPUTED_VALUE"""),"Y")</f>
        <v>Y</v>
      </c>
      <c r="AO12" s="7" t="str">
        <f ca="1">IFERROR(__xludf.DUMMYFUNCTION("""COMPUTED_VALUE"""),"N")</f>
        <v>N</v>
      </c>
      <c r="AP12" s="7" t="str">
        <f ca="1">IFERROR(__xludf.DUMMYFUNCTION("""COMPUTED_VALUE"""),"N")</f>
        <v>N</v>
      </c>
      <c r="AQ12" s="7" t="str">
        <f ca="1">IFERROR(__xludf.DUMMYFUNCTION("""COMPUTED_VALUE"""),"N")</f>
        <v>N</v>
      </c>
      <c r="AR12" s="7" t="str">
        <f ca="1">IFERROR(__xludf.DUMMYFUNCTION("""COMPUTED_VALUE"""),"N")</f>
        <v>N</v>
      </c>
      <c r="AS12" s="7" t="str">
        <f ca="1">IFERROR(__xludf.DUMMYFUNCTION("""COMPUTED_VALUE"""),"N")</f>
        <v>N</v>
      </c>
      <c r="AT12" s="7" t="str">
        <f ca="1">IFERROR(__xludf.DUMMYFUNCTION("""COMPUTED_VALUE"""),"N")</f>
        <v>N</v>
      </c>
      <c r="AU12" s="3"/>
      <c r="AV12" s="3"/>
      <c r="AW12" s="3"/>
      <c r="AX12" s="3"/>
      <c r="AY12" s="3"/>
    </row>
    <row r="13" spans="1:51" ht="16.5" customHeight="1">
      <c r="A13" s="3">
        <f ca="1">IFERROR(__xludf.DUMMYFUNCTION("""COMPUTED_VALUE"""),16916)</f>
        <v>16916</v>
      </c>
      <c r="B13" s="3"/>
      <c r="C13" s="3">
        <f ca="1">IFERROR(__xludf.DUMMYFUNCTION("""COMPUTED_VALUE"""),1251)</f>
        <v>1251</v>
      </c>
      <c r="D13" s="3" t="str">
        <f ca="1">IFERROR(__xludf.DUMMYFUNCTION("""COMPUTED_VALUE"""),"Masculin")</f>
        <v>Masculin</v>
      </c>
      <c r="E13" s="4">
        <f ca="1">IFERROR(__xludf.DUMMYFUNCTION("""COMPUTED_VALUE"""),81)</f>
        <v>81</v>
      </c>
      <c r="F13" s="3" t="str">
        <f ca="1">IFERROR(__xludf.DUMMYFUNCTION("""COMPUTED_VALUE"""),"Over 80 years")</f>
        <v>Over 80 years</v>
      </c>
      <c r="G13" s="3" t="str">
        <f ca="1">IFERROR(__xludf.DUMMYFUNCTION("""COMPUTED_VALUE"""),"București")</f>
        <v>București</v>
      </c>
      <c r="H13" s="3"/>
      <c r="I13" s="3">
        <f ca="1">IFERROR(__xludf.DUMMYFUNCTION("""COMPUTED_VALUE"""),1083)</f>
        <v>1083</v>
      </c>
      <c r="J13" s="3" t="str">
        <f ca="1">IFERROR(__xludf.DUMMYFUNCTION("""COMPUTED_VALUE"""),"Comorbidități: Diabet zaharat tip II, Stenoza mitrala, Insuficieță cardiacă, Insuficieță renală, BPOC, BRGE, diverticuloza colonica.")</f>
        <v>Comorbidități: Diabet zaharat tip II, Stenoza mitrala, Insuficieță cardiacă, Insuficieță renală, BPOC, BRGE, diverticuloza colonica.</v>
      </c>
      <c r="K13" s="5">
        <f ca="1">IFERROR(__xludf.DUMMYFUNCTION("""COMPUTED_VALUE"""),43981)</f>
        <v>43981</v>
      </c>
      <c r="L13" s="5">
        <f ca="1">IFERROR(__xludf.DUMMYFUNCTION("""COMPUTED_VALUE"""),43980)</f>
        <v>43980</v>
      </c>
      <c r="M13" s="3" t="str">
        <f ca="1">IFERROR(__xludf.DUMMYFUNCTION("""COMPUTED_VALUE"""),"1")</f>
        <v>1</v>
      </c>
      <c r="N13" s="5"/>
      <c r="O13" s="5">
        <f ca="1">IFERROR(__xludf.DUMMYFUNCTION("""COMPUTED_VALUE"""),43969)</f>
        <v>43969</v>
      </c>
      <c r="P13" s="3" t="str">
        <f ca="1">IFERROR(__xludf.DUMMYFUNCTION("""COMPUTED_VALUE"""),"Necunoscut")</f>
        <v>Necunoscut</v>
      </c>
      <c r="Q13" s="3" t="str">
        <f ca="1">IFERROR(__xludf.DUMMYFUNCTION("""COMPUTED_VALUE"""),"11")</f>
        <v>11</v>
      </c>
      <c r="R13" s="3" t="str">
        <f ca="1">IFERROR(__xludf.DUMMYFUNCTION("""COMPUTED_VALUE"""),"Nu")</f>
        <v>Nu</v>
      </c>
      <c r="S13" s="3" t="str">
        <f ca="1">IFERROR(__xludf.DUMMYFUNCTION("""COMPUTED_VALUE"""),"?")</f>
        <v>?</v>
      </c>
      <c r="T13" s="3"/>
      <c r="U13" s="3" t="str">
        <f ca="1">IFERROR(__xludf.DUMMYFUNCTION("""COMPUTED_VALUE"""),"Nespecificat")</f>
        <v>Nespecificat</v>
      </c>
      <c r="V13" s="6" t="str">
        <f ca="1">IFERROR(__xludf.DUMMYFUNCTION("""COMPUTED_VALUE"""),"http://www.ms.ro/2020/05/30/decese-1249-1253/")</f>
        <v>http://www.ms.ro/2020/05/30/decese-1249-1253/</v>
      </c>
      <c r="W13" s="3" t="str">
        <f ca="1">IFERROR(__xludf.DUMMYFUNCTION("""COMPUTED_VALUE"""),"Nespecificat")</f>
        <v>Nespecificat</v>
      </c>
      <c r="X13" s="3"/>
      <c r="Y13" s="3" t="str">
        <f ca="1">IFERROR(__xludf.DUMMYFUNCTION("""COMPUTED_VALUE"""),"Nespecificat")</f>
        <v>Nespecificat</v>
      </c>
      <c r="Z13" s="3"/>
      <c r="AA13" s="3" t="str">
        <f ca="1">IFERROR(__xludf.DUMMYFUNCTION("""COMPUTED_VALUE"""),"Nespecificat")</f>
        <v>Nespecificat</v>
      </c>
      <c r="AB13" s="3" t="str">
        <f ca="1">IFERROR(__xludf.DUMMYFUNCTION("""COMPUTED_VALUE"""),"Bărbat, 81 ani, municipiul București.
Dată confirmare: 18.05.2020.
Dată deces: 29.05.2020.
Comorbidități: Diabet zaharat tip II, Stenoza mitrala, Insuficieță cardiacă, Insuficieță renală, BPOC, BRGE, diverticuloza colonica.")</f>
        <v>Bărbat, 81 ani, municipiul București.
Dată confirmare: 18.05.2020.
Dată deces: 29.05.2020.
Comorbidități: Diabet zaharat tip II, Stenoza mitrala, Insuficieță cardiacă, Insuficieță renală, BPOC, BRGE, diverticuloza colonica.</v>
      </c>
      <c r="AC13" s="3"/>
      <c r="AD13" s="3" t="str">
        <f ca="1">IFERROR(__xludf.DUMMYFUNCTION("""COMPUTED_VALUE"""),"MS")</f>
        <v>MS</v>
      </c>
      <c r="AE13" s="3"/>
      <c r="AF13" s="3"/>
      <c r="AG13" s="3" t="str">
        <f ca="1">IFERROR(__xludf.DUMMYFUNCTION("""COMPUTED_VALUE"""),"Nu")</f>
        <v>Nu</v>
      </c>
      <c r="AH13" s="3" t="str">
        <f ca="1">IFERROR(__xludf.DUMMYFUNCTION("""COMPUTED_VALUE"""),"Nu")</f>
        <v>Nu</v>
      </c>
      <c r="AI13" s="3" t="str">
        <f ca="1">IFERROR(__xludf.DUMMYFUNCTION("""COMPUTED_VALUE"""),"Afecțiuni cardiovasculare")</f>
        <v>Afecțiuni cardiovasculare</v>
      </c>
      <c r="AJ13" s="7" t="str">
        <f ca="1">IFERROR(__xludf.DUMMYFUNCTION("""COMPUTED_VALUE"""),"Y")</f>
        <v>Y</v>
      </c>
      <c r="AK13" s="7" t="str">
        <f ca="1">IFERROR(__xludf.DUMMYFUNCTION("""COMPUTED_VALUE"""),"Y")</f>
        <v>Y</v>
      </c>
      <c r="AL13" s="7" t="str">
        <f ca="1">IFERROR(__xludf.DUMMYFUNCTION("""COMPUTED_VALUE"""),"Y")</f>
        <v>Y</v>
      </c>
      <c r="AM13" s="7" t="str">
        <f ca="1">IFERROR(__xludf.DUMMYFUNCTION("""COMPUTED_VALUE"""),"Y")</f>
        <v>Y</v>
      </c>
      <c r="AN13" s="7" t="str">
        <f ca="1">IFERROR(__xludf.DUMMYFUNCTION("""COMPUTED_VALUE"""),"N")</f>
        <v>N</v>
      </c>
      <c r="AO13" s="7" t="str">
        <f ca="1">IFERROR(__xludf.DUMMYFUNCTION("""COMPUTED_VALUE"""),"N")</f>
        <v>N</v>
      </c>
      <c r="AP13" s="7" t="str">
        <f ca="1">IFERROR(__xludf.DUMMYFUNCTION("""COMPUTED_VALUE"""),"N")</f>
        <v>N</v>
      </c>
      <c r="AQ13" s="7" t="str">
        <f ca="1">IFERROR(__xludf.DUMMYFUNCTION("""COMPUTED_VALUE"""),"N")</f>
        <v>N</v>
      </c>
      <c r="AR13" s="7" t="str">
        <f ca="1">IFERROR(__xludf.DUMMYFUNCTION("""COMPUTED_VALUE"""),"N")</f>
        <v>N</v>
      </c>
      <c r="AS13" s="7" t="str">
        <f ca="1">IFERROR(__xludf.DUMMYFUNCTION("""COMPUTED_VALUE"""),"N")</f>
        <v>N</v>
      </c>
      <c r="AT13" s="7" t="str">
        <f ca="1">IFERROR(__xludf.DUMMYFUNCTION("""COMPUTED_VALUE"""),"N")</f>
        <v>N</v>
      </c>
      <c r="AU13" s="3"/>
      <c r="AV13" s="3"/>
      <c r="AW13" s="3"/>
      <c r="AX13" s="3"/>
      <c r="AY13" s="3"/>
    </row>
    <row r="14" spans="1:51" ht="16.5" customHeight="1">
      <c r="A14" s="3">
        <f ca="1">IFERROR(__xludf.DUMMYFUNCTION("""COMPUTED_VALUE"""),17759)</f>
        <v>17759</v>
      </c>
      <c r="B14" s="3"/>
      <c r="C14" s="3">
        <f ca="1">IFERROR(__xludf.DUMMYFUNCTION("""COMPUTED_VALUE"""),1238)</f>
        <v>1238</v>
      </c>
      <c r="D14" s="3" t="str">
        <f ca="1">IFERROR(__xludf.DUMMYFUNCTION("""COMPUTED_VALUE"""),"Feminin")</f>
        <v>Feminin</v>
      </c>
      <c r="E14" s="4">
        <f ca="1">IFERROR(__xludf.DUMMYFUNCTION("""COMPUTED_VALUE"""),83)</f>
        <v>83</v>
      </c>
      <c r="F14" s="3" t="str">
        <f ca="1">IFERROR(__xludf.DUMMYFUNCTION("""COMPUTED_VALUE"""),"Over 80 years")</f>
        <v>Over 80 years</v>
      </c>
      <c r="G14" s="3" t="str">
        <f ca="1">IFERROR(__xludf.DUMMYFUNCTION("""COMPUTED_VALUE"""),"București")</f>
        <v>București</v>
      </c>
      <c r="H14" s="3"/>
      <c r="I14" s="3">
        <f ca="1">IFERROR(__xludf.DUMMYFUNCTION("""COMPUTED_VALUE"""),1152)</f>
        <v>1152</v>
      </c>
      <c r="J14" s="3" t="str">
        <f ca="1">IFERROR(__xludf.DUMMYFUNCTION("""COMPUTED_VALUE"""),"Comorbidități: HTA, cardiopatie ischemica, insuficienta aortica si mitrala, Alzheimer.
")</f>
        <v xml:space="preserve">Comorbidități: HTA, cardiopatie ischemica, insuficienta aortica si mitrala, Alzheimer.
</v>
      </c>
      <c r="K14" s="5">
        <f ca="1">IFERROR(__xludf.DUMMYFUNCTION("""COMPUTED_VALUE"""),43980)</f>
        <v>43980</v>
      </c>
      <c r="L14" s="5">
        <f ca="1">IFERROR(__xludf.DUMMYFUNCTION("""COMPUTED_VALUE"""),43976)</f>
        <v>43976</v>
      </c>
      <c r="M14" s="3" t="str">
        <f ca="1">IFERROR(__xludf.DUMMYFUNCTION("""COMPUTED_VALUE"""),"4")</f>
        <v>4</v>
      </c>
      <c r="N14" s="5"/>
      <c r="O14" s="5">
        <f ca="1">IFERROR(__xludf.DUMMYFUNCTION("""COMPUTED_VALUE"""),43974)</f>
        <v>43974</v>
      </c>
      <c r="P14" s="3" t="str">
        <f ca="1">IFERROR(__xludf.DUMMYFUNCTION("""COMPUTED_VALUE"""),"Necunoscut")</f>
        <v>Necunoscut</v>
      </c>
      <c r="Q14" s="3" t="str">
        <f ca="1">IFERROR(__xludf.DUMMYFUNCTION("""COMPUTED_VALUE"""),"2")</f>
        <v>2</v>
      </c>
      <c r="R14" s="3" t="str">
        <f ca="1">IFERROR(__xludf.DUMMYFUNCTION("""COMPUTED_VALUE"""),"Nu")</f>
        <v>Nu</v>
      </c>
      <c r="S14" s="3" t="str">
        <f ca="1">IFERROR(__xludf.DUMMYFUNCTION("""COMPUTED_VALUE"""),"?")</f>
        <v>?</v>
      </c>
      <c r="T14" s="3"/>
      <c r="U14" s="3" t="str">
        <f ca="1">IFERROR(__xludf.DUMMYFUNCTION("""COMPUTED_VALUE"""),"Nespecificat")</f>
        <v>Nespecificat</v>
      </c>
      <c r="V14" s="6" t="str">
        <f ca="1">IFERROR(__xludf.DUMMYFUNCTION("""COMPUTED_VALUE"""),"http://www.ms.ro/2020/05/29/decese-1236-1238/")</f>
        <v>http://www.ms.ro/2020/05/29/decese-1236-1238/</v>
      </c>
      <c r="W14" s="3" t="str">
        <f ca="1">IFERROR(__xludf.DUMMYFUNCTION("""COMPUTED_VALUE"""),"Nespecificat")</f>
        <v>Nespecificat</v>
      </c>
      <c r="X14" s="3"/>
      <c r="Y14" s="3" t="str">
        <f ca="1">IFERROR(__xludf.DUMMYFUNCTION("""COMPUTED_VALUE"""),"Nespecificat")</f>
        <v>Nespecificat</v>
      </c>
      <c r="Z14" s="3"/>
      <c r="AA14" s="3" t="str">
        <f ca="1">IFERROR(__xludf.DUMMYFUNCTION("""COMPUTED_VALUE"""),"Nespecificat")</f>
        <v>Nespecificat</v>
      </c>
      <c r="AB14" s="3" t="str">
        <f ca="1">IFERROR(__xludf.DUMMYFUNCTION("""COMPUTED_VALUE"""),"Femeie, 83 ani, București.
Dată confirmare: 23.05.2020.
Dată deces: 25.05.2020.
Comorbidități: HTA, cardiopatie ischemica, insuficienta aortica si mitrala, Alzheimer.
")</f>
        <v xml:space="preserve">Femeie, 83 ani, București.
Dată confirmare: 23.05.2020.
Dată deces: 25.05.2020.
Comorbidități: HTA, cardiopatie ischemica, insuficienta aortica si mitrala, Alzheimer.
</v>
      </c>
      <c r="AC14" s="3"/>
      <c r="AD14" s="3" t="str">
        <f ca="1">IFERROR(__xludf.DUMMYFUNCTION("""COMPUTED_VALUE"""),"MS")</f>
        <v>MS</v>
      </c>
      <c r="AE14" s="3"/>
      <c r="AF14" s="3"/>
      <c r="AG14" s="3" t="str">
        <f ca="1">IFERROR(__xludf.DUMMYFUNCTION("""COMPUTED_VALUE"""),"Nu")</f>
        <v>Nu</v>
      </c>
      <c r="AH14" s="3" t="str">
        <f ca="1">IFERROR(__xludf.DUMMYFUNCTION("""COMPUTED_VALUE"""),"Nu")</f>
        <v>Nu</v>
      </c>
      <c r="AI14" s="3" t="str">
        <f ca="1">IFERROR(__xludf.DUMMYFUNCTION("""COMPUTED_VALUE"""),"Afecțiuni cardiovasculare")</f>
        <v>Afecțiuni cardiovasculare</v>
      </c>
      <c r="AJ14" s="7" t="str">
        <f ca="1">IFERROR(__xludf.DUMMYFUNCTION("""COMPUTED_VALUE"""),"Y")</f>
        <v>Y</v>
      </c>
      <c r="AK14" s="7" t="str">
        <f ca="1">IFERROR(__xludf.DUMMYFUNCTION("""COMPUTED_VALUE"""),"N")</f>
        <v>N</v>
      </c>
      <c r="AL14" s="7" t="str">
        <f ca="1">IFERROR(__xludf.DUMMYFUNCTION("""COMPUTED_VALUE"""),"N")</f>
        <v>N</v>
      </c>
      <c r="AM14" s="7" t="str">
        <f ca="1">IFERROR(__xludf.DUMMYFUNCTION("""COMPUTED_VALUE"""),"N")</f>
        <v>N</v>
      </c>
      <c r="AN14" s="7" t="str">
        <f ca="1">IFERROR(__xludf.DUMMYFUNCTION("""COMPUTED_VALUE"""),"Y")</f>
        <v>Y</v>
      </c>
      <c r="AO14" s="7" t="str">
        <f ca="1">IFERROR(__xludf.DUMMYFUNCTION("""COMPUTED_VALUE"""),"N")</f>
        <v>N</v>
      </c>
      <c r="AP14" s="7" t="str">
        <f ca="1">IFERROR(__xludf.DUMMYFUNCTION("""COMPUTED_VALUE"""),"N")</f>
        <v>N</v>
      </c>
      <c r="AQ14" s="7" t="str">
        <f ca="1">IFERROR(__xludf.DUMMYFUNCTION("""COMPUTED_VALUE"""),"N")</f>
        <v>N</v>
      </c>
      <c r="AR14" s="7" t="str">
        <f ca="1">IFERROR(__xludf.DUMMYFUNCTION("""COMPUTED_VALUE"""),"N")</f>
        <v>N</v>
      </c>
      <c r="AS14" s="7" t="str">
        <f ca="1">IFERROR(__xludf.DUMMYFUNCTION("""COMPUTED_VALUE"""),"N")</f>
        <v>N</v>
      </c>
      <c r="AT14" s="7" t="str">
        <f ca="1">IFERROR(__xludf.DUMMYFUNCTION("""COMPUTED_VALUE"""),"N")</f>
        <v>N</v>
      </c>
      <c r="AU14" s="3"/>
      <c r="AV14" s="3"/>
      <c r="AW14" s="3"/>
      <c r="AX14" s="3"/>
      <c r="AY14" s="3"/>
    </row>
    <row r="15" spans="1:51" ht="16.5" customHeight="1">
      <c r="A15" s="3">
        <f ca="1">IFERROR(__xludf.DUMMYFUNCTION("""COMPUTED_VALUE"""),18663)</f>
        <v>18663</v>
      </c>
      <c r="B15" s="3"/>
      <c r="C15" s="3">
        <f ca="1">IFERROR(__xludf.DUMMYFUNCTION("""COMPUTED_VALUE"""),1237)</f>
        <v>1237</v>
      </c>
      <c r="D15" s="3" t="str">
        <f ca="1">IFERROR(__xludf.DUMMYFUNCTION("""COMPUTED_VALUE"""),"Feminin")</f>
        <v>Feminin</v>
      </c>
      <c r="E15" s="4">
        <f ca="1">IFERROR(__xludf.DUMMYFUNCTION("""COMPUTED_VALUE"""),80)</f>
        <v>80</v>
      </c>
      <c r="F15" s="3" t="str">
        <f ca="1">IFERROR(__xludf.DUMMYFUNCTION("""COMPUTED_VALUE"""),"Over 80 years")</f>
        <v>Over 80 years</v>
      </c>
      <c r="G15" s="3" t="str">
        <f ca="1">IFERROR(__xludf.DUMMYFUNCTION("""COMPUTED_VALUE"""),"București")</f>
        <v>București</v>
      </c>
      <c r="H15" s="3"/>
      <c r="I15" s="3">
        <f ca="1">IFERROR(__xludf.DUMMYFUNCTION("""COMPUTED_VALUE"""),1042)</f>
        <v>1042</v>
      </c>
      <c r="J15" s="3" t="str">
        <f ca="1">IFERROR(__xludf.DUMMYFUNCTION("""COMPUTED_VALUE"""),"Comorbidități: HTA, cardiomiopatie dilatativa, stenoza aortica, pneumonie bilaterala")</f>
        <v>Comorbidități: HTA, cardiomiopatie dilatativa, stenoza aortica, pneumonie bilaterala</v>
      </c>
      <c r="K15" s="5">
        <f ca="1">IFERROR(__xludf.DUMMYFUNCTION("""COMPUTED_VALUE"""),43980)</f>
        <v>43980</v>
      </c>
      <c r="L15" s="5">
        <f ca="1">IFERROR(__xludf.DUMMYFUNCTION("""COMPUTED_VALUE"""),43979)</f>
        <v>43979</v>
      </c>
      <c r="M15" s="3" t="str">
        <f ca="1">IFERROR(__xludf.DUMMYFUNCTION("""COMPUTED_VALUE"""),"1")</f>
        <v>1</v>
      </c>
      <c r="N15" s="5"/>
      <c r="O15" s="5">
        <f ca="1">IFERROR(__xludf.DUMMYFUNCTION("""COMPUTED_VALUE"""),43979)</f>
        <v>43979</v>
      </c>
      <c r="P15" s="3" t="str">
        <f ca="1">IFERROR(__xludf.DUMMYFUNCTION("""COMPUTED_VALUE"""),"Necunoscut")</f>
        <v>Necunoscut</v>
      </c>
      <c r="Q15" s="3" t="str">
        <f ca="1">IFERROR(__xludf.DUMMYFUNCTION("""COMPUTED_VALUE"""),"0")</f>
        <v>0</v>
      </c>
      <c r="R15" s="3" t="str">
        <f ca="1">IFERROR(__xludf.DUMMYFUNCTION("""COMPUTED_VALUE"""),"Nu")</f>
        <v>Nu</v>
      </c>
      <c r="S15" s="3" t="str">
        <f ca="1">IFERROR(__xludf.DUMMYFUNCTION("""COMPUTED_VALUE"""),"?")</f>
        <v>?</v>
      </c>
      <c r="T15" s="3"/>
      <c r="U15" s="3" t="str">
        <f ca="1">IFERROR(__xludf.DUMMYFUNCTION("""COMPUTED_VALUE"""),"Nespecificat")</f>
        <v>Nespecificat</v>
      </c>
      <c r="V15" s="6" t="str">
        <f ca="1">IFERROR(__xludf.DUMMYFUNCTION("""COMPUTED_VALUE"""),"http://www.ms.ro/2020/05/29/decese-1236-1238/")</f>
        <v>http://www.ms.ro/2020/05/29/decese-1236-1238/</v>
      </c>
      <c r="W15" s="3" t="str">
        <f ca="1">IFERROR(__xludf.DUMMYFUNCTION("""COMPUTED_VALUE"""),"Nespecificat")</f>
        <v>Nespecificat</v>
      </c>
      <c r="X15" s="3"/>
      <c r="Y15" s="3" t="str">
        <f ca="1">IFERROR(__xludf.DUMMYFUNCTION("""COMPUTED_VALUE"""),"Nespecificat")</f>
        <v>Nespecificat</v>
      </c>
      <c r="Z15" s="3"/>
      <c r="AA15" s="3" t="str">
        <f ca="1">IFERROR(__xludf.DUMMYFUNCTION("""COMPUTED_VALUE"""),"Nespecificat")</f>
        <v>Nespecificat</v>
      </c>
      <c r="AB15" s="3" t="str">
        <f ca="1">IFERROR(__xludf.DUMMYFUNCTION("""COMPUTED_VALUE"""),"Femeie, 80 ani, București.
Dată confirmare: 28.05.2020.
Dată deces: 28.05.2020.
Comorbidități: HTA, cardiomiopatie dilatativa, stenoza aortica, pneumonie bilaterala")</f>
        <v>Femeie, 80 ani, București.
Dată confirmare: 28.05.2020.
Dată deces: 28.05.2020.
Comorbidități: HTA, cardiomiopatie dilatativa, stenoza aortica, pneumonie bilaterala</v>
      </c>
      <c r="AC15" s="3"/>
      <c r="AD15" s="3" t="str">
        <f ca="1">IFERROR(__xludf.DUMMYFUNCTION("""COMPUTED_VALUE"""),"MS")</f>
        <v>MS</v>
      </c>
      <c r="AE15" s="3"/>
      <c r="AF15" s="3"/>
      <c r="AG15" s="3" t="str">
        <f ca="1">IFERROR(__xludf.DUMMYFUNCTION("""COMPUTED_VALUE"""),"Nu")</f>
        <v>Nu</v>
      </c>
      <c r="AH15" s="3" t="str">
        <f ca="1">IFERROR(__xludf.DUMMYFUNCTION("""COMPUTED_VALUE"""),"Nu")</f>
        <v>Nu</v>
      </c>
      <c r="AI15" s="3" t="str">
        <f ca="1">IFERROR(__xludf.DUMMYFUNCTION("""COMPUTED_VALUE"""),"Afecțiuni cardiovasculare")</f>
        <v>Afecțiuni cardiovasculare</v>
      </c>
      <c r="AJ15" s="7" t="str">
        <f ca="1">IFERROR(__xludf.DUMMYFUNCTION("""COMPUTED_VALUE"""),"Y")</f>
        <v>Y</v>
      </c>
      <c r="AK15" s="7" t="str">
        <f ca="1">IFERROR(__xludf.DUMMYFUNCTION("""COMPUTED_VALUE"""),"N")</f>
        <v>N</v>
      </c>
      <c r="AL15" s="7" t="str">
        <f ca="1">IFERROR(__xludf.DUMMYFUNCTION("""COMPUTED_VALUE"""),"N")</f>
        <v>N</v>
      </c>
      <c r="AM15" s="7" t="str">
        <f ca="1">IFERROR(__xludf.DUMMYFUNCTION("""COMPUTED_VALUE"""),"Y")</f>
        <v>Y</v>
      </c>
      <c r="AN15" s="7" t="str">
        <f ca="1">IFERROR(__xludf.DUMMYFUNCTION("""COMPUTED_VALUE"""),"N")</f>
        <v>N</v>
      </c>
      <c r="AO15" s="7" t="str">
        <f ca="1">IFERROR(__xludf.DUMMYFUNCTION("""COMPUTED_VALUE"""),"N")</f>
        <v>N</v>
      </c>
      <c r="AP15" s="7" t="str">
        <f ca="1">IFERROR(__xludf.DUMMYFUNCTION("""COMPUTED_VALUE"""),"N")</f>
        <v>N</v>
      </c>
      <c r="AQ15" s="7" t="str">
        <f ca="1">IFERROR(__xludf.DUMMYFUNCTION("""COMPUTED_VALUE"""),"N")</f>
        <v>N</v>
      </c>
      <c r="AR15" s="7" t="str">
        <f ca="1">IFERROR(__xludf.DUMMYFUNCTION("""COMPUTED_VALUE"""),"N")</f>
        <v>N</v>
      </c>
      <c r="AS15" s="7" t="str">
        <f ca="1">IFERROR(__xludf.DUMMYFUNCTION("""COMPUTED_VALUE"""),"N")</f>
        <v>N</v>
      </c>
      <c r="AT15" s="7" t="str">
        <f ca="1">IFERROR(__xludf.DUMMYFUNCTION("""COMPUTED_VALUE"""),"N")</f>
        <v>N</v>
      </c>
      <c r="AU15" s="3"/>
      <c r="AV15" s="3"/>
      <c r="AW15" s="3"/>
      <c r="AX15" s="3"/>
      <c r="AY15" s="3"/>
    </row>
    <row r="16" spans="1:51" ht="16.5" customHeight="1">
      <c r="A16" s="3">
        <f ca="1">IFERROR(__xludf.DUMMYFUNCTION("""COMPUTED_VALUE"""),15656)</f>
        <v>15656</v>
      </c>
      <c r="B16" s="3"/>
      <c r="C16" s="3">
        <f ca="1">IFERROR(__xludf.DUMMYFUNCTION("""COMPUTED_VALUE"""),1201)</f>
        <v>1201</v>
      </c>
      <c r="D16" s="3" t="str">
        <f ca="1">IFERROR(__xludf.DUMMYFUNCTION("""COMPUTED_VALUE"""),"Masculin")</f>
        <v>Masculin</v>
      </c>
      <c r="E16" s="4">
        <f ca="1">IFERROR(__xludf.DUMMYFUNCTION("""COMPUTED_VALUE"""),69)</f>
        <v>69</v>
      </c>
      <c r="F16" s="3" t="str">
        <f ca="1">IFERROR(__xludf.DUMMYFUNCTION("""COMPUTED_VALUE"""),"60-69 years")</f>
        <v>60-69 years</v>
      </c>
      <c r="G16" s="3" t="str">
        <f ca="1">IFERROR(__xludf.DUMMYFUNCTION("""COMPUTED_VALUE"""),"București")</f>
        <v>București</v>
      </c>
      <c r="H16" s="3"/>
      <c r="I16" s="3">
        <f ca="1">IFERROR(__xludf.DUMMYFUNCTION("""COMPUTED_VALUE"""),633)</f>
        <v>633</v>
      </c>
      <c r="J16" s="3" t="str">
        <f ca="1">IFERROR(__xludf.DUMMYFUNCTION("""COMPUTED_VALUE"""),"Comorbidități: HTA, neoplasm.")</f>
        <v>Comorbidități: HTA, neoplasm.</v>
      </c>
      <c r="K16" s="5">
        <f ca="1">IFERROR(__xludf.DUMMYFUNCTION("""COMPUTED_VALUE"""),43976)</f>
        <v>43976</v>
      </c>
      <c r="L16" s="5">
        <f ca="1">IFERROR(__xludf.DUMMYFUNCTION("""COMPUTED_VALUE"""),43975)</f>
        <v>43975</v>
      </c>
      <c r="M16" s="3" t="str">
        <f ca="1">IFERROR(__xludf.DUMMYFUNCTION("""COMPUTED_VALUE"""),"1")</f>
        <v>1</v>
      </c>
      <c r="N16" s="5"/>
      <c r="O16" s="5">
        <f ca="1">IFERROR(__xludf.DUMMYFUNCTION("""COMPUTED_VALUE"""),43963)</f>
        <v>43963</v>
      </c>
      <c r="P16" s="3" t="str">
        <f ca="1">IFERROR(__xludf.DUMMYFUNCTION("""COMPUTED_VALUE"""),"Necunoscut")</f>
        <v>Necunoscut</v>
      </c>
      <c r="Q16" s="3" t="str">
        <f ca="1">IFERROR(__xludf.DUMMYFUNCTION("""COMPUTED_VALUE"""),"12")</f>
        <v>12</v>
      </c>
      <c r="R16" s="3" t="str">
        <f ca="1">IFERROR(__xludf.DUMMYFUNCTION("""COMPUTED_VALUE"""),"Nu")</f>
        <v>Nu</v>
      </c>
      <c r="S16" s="3" t="str">
        <f ca="1">IFERROR(__xludf.DUMMYFUNCTION("""COMPUTED_VALUE"""),"?")</f>
        <v>?</v>
      </c>
      <c r="T16" s="3"/>
      <c r="U16" s="3" t="str">
        <f ca="1">IFERROR(__xludf.DUMMYFUNCTION("""COMPUTED_VALUE"""),"Nespecificat")</f>
        <v>Nespecificat</v>
      </c>
      <c r="V16" s="6" t="str">
        <f ca="1">IFERROR(__xludf.DUMMYFUNCTION("""COMPUTED_VALUE"""),"http://www.ms.ro/2020/05/25/decese-1198-1202/")</f>
        <v>http://www.ms.ro/2020/05/25/decese-1198-1202/</v>
      </c>
      <c r="W16" s="3" t="str">
        <f ca="1">IFERROR(__xludf.DUMMYFUNCTION("""COMPUTED_VALUE"""),"Nespecificat")</f>
        <v>Nespecificat</v>
      </c>
      <c r="X16" s="3"/>
      <c r="Y16" s="3" t="str">
        <f ca="1">IFERROR(__xludf.DUMMYFUNCTION("""COMPUTED_VALUE"""),"Nespecificat")</f>
        <v>Nespecificat</v>
      </c>
      <c r="Z16" s="3"/>
      <c r="AA16" s="3" t="str">
        <f ca="1">IFERROR(__xludf.DUMMYFUNCTION("""COMPUTED_VALUE"""),"Nespecificat")</f>
        <v>Nespecificat</v>
      </c>
      <c r="AB16" s="3" t="str">
        <f ca="1">IFERROR(__xludf.DUMMYFUNCTION("""COMPUTED_VALUE"""),"Bărbat, 69 ani, județ București.
Dată confirmare: 12.05.2020.
Dată deces: 24.05.2020.
Comorbidități: HTA, neoplasm.")</f>
        <v>Bărbat, 69 ani, județ București.
Dată confirmare: 12.05.2020.
Dată deces: 24.05.2020.
Comorbidități: HTA, neoplasm.</v>
      </c>
      <c r="AC16" s="3"/>
      <c r="AD16" s="3" t="str">
        <f ca="1">IFERROR(__xludf.DUMMYFUNCTION("""COMPUTED_VALUE"""),"MS")</f>
        <v>MS</v>
      </c>
      <c r="AE16" s="3"/>
      <c r="AF16" s="3"/>
      <c r="AG16" s="3" t="str">
        <f ca="1">IFERROR(__xludf.DUMMYFUNCTION("""COMPUTED_VALUE"""),"Nu")</f>
        <v>Nu</v>
      </c>
      <c r="AH16" s="3" t="str">
        <f ca="1">IFERROR(__xludf.DUMMYFUNCTION("""COMPUTED_VALUE"""),"Nu")</f>
        <v>Nu</v>
      </c>
      <c r="AI16" s="3" t="str">
        <f ca="1">IFERROR(__xludf.DUMMYFUNCTION("""COMPUTED_VALUE"""),"Afecțiuni cardiovasculare")</f>
        <v>Afecțiuni cardiovasculare</v>
      </c>
      <c r="AJ16" s="7" t="str">
        <f ca="1">IFERROR(__xludf.DUMMYFUNCTION("""COMPUTED_VALUE"""),"Y")</f>
        <v>Y</v>
      </c>
      <c r="AK16" s="7" t="str">
        <f ca="1">IFERROR(__xludf.DUMMYFUNCTION("""COMPUTED_VALUE"""),"N")</f>
        <v>N</v>
      </c>
      <c r="AL16" s="7" t="str">
        <f ca="1">IFERROR(__xludf.DUMMYFUNCTION("""COMPUTED_VALUE"""),"N")</f>
        <v>N</v>
      </c>
      <c r="AM16" s="7" t="str">
        <f ca="1">IFERROR(__xludf.DUMMYFUNCTION("""COMPUTED_VALUE"""),"N")</f>
        <v>N</v>
      </c>
      <c r="AN16" s="7" t="str">
        <f ca="1">IFERROR(__xludf.DUMMYFUNCTION("""COMPUTED_VALUE"""),"N")</f>
        <v>N</v>
      </c>
      <c r="AO16" s="7" t="str">
        <f ca="1">IFERROR(__xludf.DUMMYFUNCTION("""COMPUTED_VALUE"""),"N")</f>
        <v>N</v>
      </c>
      <c r="AP16" s="7" t="str">
        <f ca="1">IFERROR(__xludf.DUMMYFUNCTION("""COMPUTED_VALUE"""),"N")</f>
        <v>N</v>
      </c>
      <c r="AQ16" s="7" t="str">
        <f ca="1">IFERROR(__xludf.DUMMYFUNCTION("""COMPUTED_VALUE"""),"N")</f>
        <v>N</v>
      </c>
      <c r="AR16" s="7" t="str">
        <f ca="1">IFERROR(__xludf.DUMMYFUNCTION("""COMPUTED_VALUE"""),"N")</f>
        <v>N</v>
      </c>
      <c r="AS16" s="7" t="str">
        <f ca="1">IFERROR(__xludf.DUMMYFUNCTION("""COMPUTED_VALUE"""),"N")</f>
        <v>N</v>
      </c>
      <c r="AT16" s="7" t="str">
        <f ca="1">IFERROR(__xludf.DUMMYFUNCTION("""COMPUTED_VALUE"""),"N")</f>
        <v>N</v>
      </c>
      <c r="AU16" s="3"/>
      <c r="AV16" s="3"/>
      <c r="AW16" s="3"/>
      <c r="AX16" s="3"/>
      <c r="AY16" s="3"/>
    </row>
    <row r="17" spans="1:51" ht="16.5" customHeight="1">
      <c r="A17" s="3">
        <f ca="1">IFERROR(__xludf.DUMMYFUNCTION("""COMPUTED_VALUE"""),16915)</f>
        <v>16915</v>
      </c>
      <c r="B17" s="3"/>
      <c r="C17" s="3">
        <f ca="1">IFERROR(__xludf.DUMMYFUNCTION("""COMPUTED_VALUE"""),1199)</f>
        <v>1199</v>
      </c>
      <c r="D17" s="3" t="str">
        <f ca="1">IFERROR(__xludf.DUMMYFUNCTION("""COMPUTED_VALUE"""),"Masculin")</f>
        <v>Masculin</v>
      </c>
      <c r="E17" s="4">
        <f ca="1">IFERROR(__xludf.DUMMYFUNCTION("""COMPUTED_VALUE"""),49)</f>
        <v>49</v>
      </c>
      <c r="F17" s="3" t="str">
        <f ca="1">IFERROR(__xludf.DUMMYFUNCTION("""COMPUTED_VALUE"""),"under 50 Years")</f>
        <v>under 50 Years</v>
      </c>
      <c r="G17" s="3" t="str">
        <f ca="1">IFERROR(__xludf.DUMMYFUNCTION("""COMPUTED_VALUE"""),"București")</f>
        <v>București</v>
      </c>
      <c r="H17" s="3"/>
      <c r="I17" s="3">
        <f ca="1">IFERROR(__xludf.DUMMYFUNCTION("""COMPUTED_VALUE"""),106)</f>
        <v>106</v>
      </c>
      <c r="J17" s="3" t="str">
        <f ca="1">IFERROR(__xludf.DUMMYFUNCTION("""COMPUTED_VALUE"""),"Comorbidități: HIV/SIDA.")</f>
        <v>Comorbidități: HIV/SIDA.</v>
      </c>
      <c r="K17" s="5">
        <f ca="1">IFERROR(__xludf.DUMMYFUNCTION("""COMPUTED_VALUE"""),43976)</f>
        <v>43976</v>
      </c>
      <c r="L17" s="5">
        <f ca="1">IFERROR(__xludf.DUMMYFUNCTION("""COMPUTED_VALUE"""),43974)</f>
        <v>43974</v>
      </c>
      <c r="M17" s="3" t="str">
        <f ca="1">IFERROR(__xludf.DUMMYFUNCTION("""COMPUTED_VALUE"""),"2")</f>
        <v>2</v>
      </c>
      <c r="N17" s="5"/>
      <c r="O17" s="5">
        <f ca="1">IFERROR(__xludf.DUMMYFUNCTION("""COMPUTED_VALUE"""),43969)</f>
        <v>43969</v>
      </c>
      <c r="P17" s="3" t="str">
        <f ca="1">IFERROR(__xludf.DUMMYFUNCTION("""COMPUTED_VALUE"""),"Necunoscut")</f>
        <v>Necunoscut</v>
      </c>
      <c r="Q17" s="3" t="str">
        <f ca="1">IFERROR(__xludf.DUMMYFUNCTION("""COMPUTED_VALUE"""),"5")</f>
        <v>5</v>
      </c>
      <c r="R17" s="3" t="str">
        <f ca="1">IFERROR(__xludf.DUMMYFUNCTION("""COMPUTED_VALUE"""),"Nu")</f>
        <v>Nu</v>
      </c>
      <c r="S17" s="3" t="str">
        <f ca="1">IFERROR(__xludf.DUMMYFUNCTION("""COMPUTED_VALUE"""),"?")</f>
        <v>?</v>
      </c>
      <c r="T17" s="3"/>
      <c r="U17" s="3" t="str">
        <f ca="1">IFERROR(__xludf.DUMMYFUNCTION("""COMPUTED_VALUE"""),"Nespecificat")</f>
        <v>Nespecificat</v>
      </c>
      <c r="V17" s="6" t="str">
        <f ca="1">IFERROR(__xludf.DUMMYFUNCTION("""COMPUTED_VALUE"""),"http://www.ms.ro/2020/05/25/decese-1198-1202/")</f>
        <v>http://www.ms.ro/2020/05/25/decese-1198-1202/</v>
      </c>
      <c r="W17" s="3" t="str">
        <f ca="1">IFERROR(__xludf.DUMMYFUNCTION("""COMPUTED_VALUE"""),"Nespecificat")</f>
        <v>Nespecificat</v>
      </c>
      <c r="X17" s="3"/>
      <c r="Y17" s="3" t="str">
        <f ca="1">IFERROR(__xludf.DUMMYFUNCTION("""COMPUTED_VALUE"""),"Nespecificat")</f>
        <v>Nespecificat</v>
      </c>
      <c r="Z17" s="3"/>
      <c r="AA17" s="3" t="str">
        <f ca="1">IFERROR(__xludf.DUMMYFUNCTION("""COMPUTED_VALUE"""),"Nespecificat")</f>
        <v>Nespecificat</v>
      </c>
      <c r="AB17" s="3" t="str">
        <f ca="1">IFERROR(__xludf.DUMMYFUNCTION("""COMPUTED_VALUE"""),"Bărbat, 49 ani, județ București.
Dată confirmare: 18.05.2020.
Dată deces: 23.05.2020.
Comorbidități: HIV/SIDA.")</f>
        <v>Bărbat, 49 ani, județ București.
Dată confirmare: 18.05.2020.
Dată deces: 23.05.2020.
Comorbidități: HIV/SIDA.</v>
      </c>
      <c r="AC17" s="3"/>
      <c r="AD17" s="3" t="str">
        <f ca="1">IFERROR(__xludf.DUMMYFUNCTION("""COMPUTED_VALUE"""),"MS")</f>
        <v>MS</v>
      </c>
      <c r="AE17" s="3"/>
      <c r="AF17" s="3"/>
      <c r="AG17" s="3" t="str">
        <f ca="1">IFERROR(__xludf.DUMMYFUNCTION("""COMPUTED_VALUE"""),"Nu")</f>
        <v>Nu</v>
      </c>
      <c r="AH17" s="3" t="str">
        <f ca="1">IFERROR(__xludf.DUMMYFUNCTION("""COMPUTED_VALUE"""),"Nu")</f>
        <v>Nu</v>
      </c>
      <c r="AI17" s="3" t="str">
        <f ca="1">IFERROR(__xludf.DUMMYFUNCTION("""COMPUTED_VALUE"""),"Alte afecțiuni preexistente")</f>
        <v>Alte afecțiuni preexistente</v>
      </c>
      <c r="AJ17" s="7" t="str">
        <f ca="1">IFERROR(__xludf.DUMMYFUNCTION("""COMPUTED_VALUE"""),"N")</f>
        <v>N</v>
      </c>
      <c r="AK17" s="7" t="str">
        <f ca="1">IFERROR(__xludf.DUMMYFUNCTION("""COMPUTED_VALUE"""),"N")</f>
        <v>N</v>
      </c>
      <c r="AL17" s="7" t="str">
        <f ca="1">IFERROR(__xludf.DUMMYFUNCTION("""COMPUTED_VALUE"""),"N")</f>
        <v>N</v>
      </c>
      <c r="AM17" s="7" t="str">
        <f ca="1">IFERROR(__xludf.DUMMYFUNCTION("""COMPUTED_VALUE"""),"N")</f>
        <v>N</v>
      </c>
      <c r="AN17" s="7" t="str">
        <f ca="1">IFERROR(__xludf.DUMMYFUNCTION("""COMPUTED_VALUE"""),"N")</f>
        <v>N</v>
      </c>
      <c r="AO17" s="7" t="str">
        <f ca="1">IFERROR(__xludf.DUMMYFUNCTION("""COMPUTED_VALUE"""),"N")</f>
        <v>N</v>
      </c>
      <c r="AP17" s="7" t="str">
        <f ca="1">IFERROR(__xludf.DUMMYFUNCTION("""COMPUTED_VALUE"""),"N")</f>
        <v>N</v>
      </c>
      <c r="AQ17" s="7" t="str">
        <f ca="1">IFERROR(__xludf.DUMMYFUNCTION("""COMPUTED_VALUE"""),"N")</f>
        <v>N</v>
      </c>
      <c r="AR17" s="7" t="str">
        <f ca="1">IFERROR(__xludf.DUMMYFUNCTION("""COMPUTED_VALUE"""),"N")</f>
        <v>N</v>
      </c>
      <c r="AS17" s="7" t="str">
        <f ca="1">IFERROR(__xludf.DUMMYFUNCTION("""COMPUTED_VALUE"""),"Y")</f>
        <v>Y</v>
      </c>
      <c r="AT17" s="7" t="str">
        <f ca="1">IFERROR(__xludf.DUMMYFUNCTION("""COMPUTED_VALUE"""),"N")</f>
        <v>N</v>
      </c>
      <c r="AU17" s="3"/>
      <c r="AV17" s="3"/>
      <c r="AW17" s="3"/>
      <c r="AX17" s="3"/>
      <c r="AY17" s="3"/>
    </row>
    <row r="18" spans="1:51" ht="16.5" customHeight="1">
      <c r="A18" s="3">
        <f ca="1">IFERROR(__xludf.DUMMYFUNCTION("""COMPUTED_VALUE"""),17233)</f>
        <v>17233</v>
      </c>
      <c r="B18" s="3"/>
      <c r="C18" s="3">
        <f ca="1">IFERROR(__xludf.DUMMYFUNCTION("""COMPUTED_VALUE"""),1165)</f>
        <v>1165</v>
      </c>
      <c r="D18" s="3" t="str">
        <f ca="1">IFERROR(__xludf.DUMMYFUNCTION("""COMPUTED_VALUE"""),"Feminin")</f>
        <v>Feminin</v>
      </c>
      <c r="E18" s="4">
        <f ca="1">IFERROR(__xludf.DUMMYFUNCTION("""COMPUTED_VALUE"""),66)</f>
        <v>66</v>
      </c>
      <c r="F18" s="3" t="str">
        <f ca="1">IFERROR(__xludf.DUMMYFUNCTION("""COMPUTED_VALUE"""),"60-69 years")</f>
        <v>60-69 years</v>
      </c>
      <c r="G18" s="3" t="str">
        <f ca="1">IFERROR(__xludf.DUMMYFUNCTION("""COMPUTED_VALUE"""),"București")</f>
        <v>București</v>
      </c>
      <c r="H18" s="3"/>
      <c r="I18" s="3">
        <f ca="1">IFERROR(__xludf.DUMMYFUNCTION("""COMPUTED_VALUE"""),505)</f>
        <v>505</v>
      </c>
      <c r="J18" s="3" t="str">
        <f ca="1">IFERROR(__xludf.DUMMYFUNCTION("""COMPUTED_VALUE"""),"Comorbidități: neoplasm recidivant.")</f>
        <v>Comorbidități: neoplasm recidivant.</v>
      </c>
      <c r="K18" s="5">
        <f ca="1">IFERROR(__xludf.DUMMYFUNCTION("""COMPUTED_VALUE"""),43973)</f>
        <v>43973</v>
      </c>
      <c r="L18" s="5">
        <f ca="1">IFERROR(__xludf.DUMMYFUNCTION("""COMPUTED_VALUE"""),43973)</f>
        <v>43973</v>
      </c>
      <c r="M18" s="3" t="str">
        <f ca="1">IFERROR(__xludf.DUMMYFUNCTION("""COMPUTED_VALUE"""),"0")</f>
        <v>0</v>
      </c>
      <c r="N18" s="5"/>
      <c r="O18" s="5">
        <f ca="1">IFERROR(__xludf.DUMMYFUNCTION("""COMPUTED_VALUE"""),43971)</f>
        <v>43971</v>
      </c>
      <c r="P18" s="3" t="str">
        <f ca="1">IFERROR(__xludf.DUMMYFUNCTION("""COMPUTED_VALUE"""),"Necunoscut")</f>
        <v>Necunoscut</v>
      </c>
      <c r="Q18" s="3" t="str">
        <f ca="1">IFERROR(__xludf.DUMMYFUNCTION("""COMPUTED_VALUE"""),"2")</f>
        <v>2</v>
      </c>
      <c r="R18" s="3" t="str">
        <f ca="1">IFERROR(__xludf.DUMMYFUNCTION("""COMPUTED_VALUE"""),"Nu")</f>
        <v>Nu</v>
      </c>
      <c r="S18" s="3" t="str">
        <f ca="1">IFERROR(__xludf.DUMMYFUNCTION("""COMPUTED_VALUE"""),"?")</f>
        <v>?</v>
      </c>
      <c r="T18" s="3"/>
      <c r="U18" s="3" t="str">
        <f ca="1">IFERROR(__xludf.DUMMYFUNCTION("""COMPUTED_VALUE"""),"Nespecificat")</f>
        <v>Nespecificat</v>
      </c>
      <c r="V18" s="6" t="str">
        <f ca="1">IFERROR(__xludf.DUMMYFUNCTION("""COMPUTED_VALUE"""),"http://www.ms.ro/2020/05/22/decese-1160-1166/")</f>
        <v>http://www.ms.ro/2020/05/22/decese-1160-1166/</v>
      </c>
      <c r="W18" s="3" t="str">
        <f ca="1">IFERROR(__xludf.DUMMYFUNCTION("""COMPUTED_VALUE"""),"Nespecificat")</f>
        <v>Nespecificat</v>
      </c>
      <c r="X18" s="3"/>
      <c r="Y18" s="3" t="str">
        <f ca="1">IFERROR(__xludf.DUMMYFUNCTION("""COMPUTED_VALUE"""),"Nespecificat")</f>
        <v>Nespecificat</v>
      </c>
      <c r="Z18" s="3"/>
      <c r="AA18" s="3" t="str">
        <f ca="1">IFERROR(__xludf.DUMMYFUNCTION("""COMPUTED_VALUE"""),"Nespecificat")</f>
        <v>Nespecificat</v>
      </c>
      <c r="AB18" s="3" t="str">
        <f ca="1">IFERROR(__xludf.DUMMYFUNCTION("""COMPUTED_VALUE"""),"Femeie, 66 ani, București.
Dată confirmare: 20.05.2020.
Dată deces: 22.05.2020.
Comorbidități: neoplasm recidivant.")</f>
        <v>Femeie, 66 ani, București.
Dată confirmare: 20.05.2020.
Dată deces: 22.05.2020.
Comorbidități: neoplasm recidivant.</v>
      </c>
      <c r="AC18" s="3"/>
      <c r="AD18" s="3" t="str">
        <f ca="1">IFERROR(__xludf.DUMMYFUNCTION("""COMPUTED_VALUE"""),"MS")</f>
        <v>MS</v>
      </c>
      <c r="AE18" s="3"/>
      <c r="AF18" s="3"/>
      <c r="AG18" s="3" t="str">
        <f ca="1">IFERROR(__xludf.DUMMYFUNCTION("""COMPUTED_VALUE"""),"Nu")</f>
        <v>Nu</v>
      </c>
      <c r="AH18" s="3" t="str">
        <f ca="1">IFERROR(__xludf.DUMMYFUNCTION("""COMPUTED_VALUE"""),"Nu")</f>
        <v>Nu</v>
      </c>
      <c r="AI18" s="3" t="str">
        <f ca="1">IFERROR(__xludf.DUMMYFUNCTION("""COMPUTED_VALUE"""),"Alte afecțiuni preexistente")</f>
        <v>Alte afecțiuni preexistente</v>
      </c>
      <c r="AJ18" s="7" t="str">
        <f ca="1">IFERROR(__xludf.DUMMYFUNCTION("""COMPUTED_VALUE"""),"N")</f>
        <v>N</v>
      </c>
      <c r="AK18" s="7" t="str">
        <f ca="1">IFERROR(__xludf.DUMMYFUNCTION("""COMPUTED_VALUE"""),"N")</f>
        <v>N</v>
      </c>
      <c r="AL18" s="7" t="str">
        <f ca="1">IFERROR(__xludf.DUMMYFUNCTION("""COMPUTED_VALUE"""),"N")</f>
        <v>N</v>
      </c>
      <c r="AM18" s="7" t="str">
        <f ca="1">IFERROR(__xludf.DUMMYFUNCTION("""COMPUTED_VALUE"""),"N")</f>
        <v>N</v>
      </c>
      <c r="AN18" s="7" t="str">
        <f ca="1">IFERROR(__xludf.DUMMYFUNCTION("""COMPUTED_VALUE"""),"N")</f>
        <v>N</v>
      </c>
      <c r="AO18" s="7" t="str">
        <f ca="1">IFERROR(__xludf.DUMMYFUNCTION("""COMPUTED_VALUE"""),"N")</f>
        <v>N</v>
      </c>
      <c r="AP18" s="7" t="str">
        <f ca="1">IFERROR(__xludf.DUMMYFUNCTION("""COMPUTED_VALUE"""),"N")</f>
        <v>N</v>
      </c>
      <c r="AQ18" s="7" t="str">
        <f ca="1">IFERROR(__xludf.DUMMYFUNCTION("""COMPUTED_VALUE"""),"N")</f>
        <v>N</v>
      </c>
      <c r="AR18" s="7" t="str">
        <f ca="1">IFERROR(__xludf.DUMMYFUNCTION("""COMPUTED_VALUE"""),"N")</f>
        <v>N</v>
      </c>
      <c r="AS18" s="7" t="str">
        <f ca="1">IFERROR(__xludf.DUMMYFUNCTION("""COMPUTED_VALUE"""),"Y")</f>
        <v>Y</v>
      </c>
      <c r="AT18" s="7" t="str">
        <f ca="1">IFERROR(__xludf.DUMMYFUNCTION("""COMPUTED_VALUE"""),"N")</f>
        <v>N</v>
      </c>
      <c r="AU18" s="3"/>
      <c r="AV18" s="3"/>
      <c r="AW18" s="3"/>
      <c r="AX18" s="3"/>
      <c r="AY18" s="3"/>
    </row>
    <row r="19" spans="1:51" ht="16.5" customHeight="1">
      <c r="A19" s="3">
        <f ca="1">IFERROR(__xludf.DUMMYFUNCTION("""COMPUTED_VALUE"""),15655)</f>
        <v>15655</v>
      </c>
      <c r="B19" s="3"/>
      <c r="C19" s="3">
        <f ca="1">IFERROR(__xludf.DUMMYFUNCTION("""COMPUTED_VALUE"""),1163)</f>
        <v>1163</v>
      </c>
      <c r="D19" s="3" t="str">
        <f ca="1">IFERROR(__xludf.DUMMYFUNCTION("""COMPUTED_VALUE"""),"Masculin")</f>
        <v>Masculin</v>
      </c>
      <c r="E19" s="4">
        <f ca="1">IFERROR(__xludf.DUMMYFUNCTION("""COMPUTED_VALUE"""),93)</f>
        <v>93</v>
      </c>
      <c r="F19" s="3" t="str">
        <f ca="1">IFERROR(__xludf.DUMMYFUNCTION("""COMPUTED_VALUE"""),"Over 80 years")</f>
        <v>Over 80 years</v>
      </c>
      <c r="G19" s="3" t="str">
        <f ca="1">IFERROR(__xludf.DUMMYFUNCTION("""COMPUTED_VALUE"""),"București")</f>
        <v>București</v>
      </c>
      <c r="H19" s="3"/>
      <c r="I19" s="3">
        <f ca="1">IFERROR(__xludf.DUMMYFUNCTION("""COMPUTED_VALUE"""),1340)</f>
        <v>1340</v>
      </c>
      <c r="J19" s="3" t="str">
        <f ca="1">IFERROR(__xludf.DUMMYFUNCTION("""COMPUTED_VALUE"""),"Comorbidități: ICC, fibrilatie atrială, insuficiență aortică și mitrală.")</f>
        <v>Comorbidități: ICC, fibrilatie atrială, insuficiență aortică și mitrală.</v>
      </c>
      <c r="K19" s="5">
        <f ca="1">IFERROR(__xludf.DUMMYFUNCTION("""COMPUTED_VALUE"""),43973)</f>
        <v>43973</v>
      </c>
      <c r="L19" s="5">
        <f ca="1">IFERROR(__xludf.DUMMYFUNCTION("""COMPUTED_VALUE"""),43971)</f>
        <v>43971</v>
      </c>
      <c r="M19" s="3" t="str">
        <f ca="1">IFERROR(__xludf.DUMMYFUNCTION("""COMPUTED_VALUE"""),"2")</f>
        <v>2</v>
      </c>
      <c r="N19" s="5"/>
      <c r="O19" s="5">
        <f ca="1">IFERROR(__xludf.DUMMYFUNCTION("""COMPUTED_VALUE"""),43963)</f>
        <v>43963</v>
      </c>
      <c r="P19" s="3" t="str">
        <f ca="1">IFERROR(__xludf.DUMMYFUNCTION("""COMPUTED_VALUE"""),"Necunoscut")</f>
        <v>Necunoscut</v>
      </c>
      <c r="Q19" s="3" t="str">
        <f ca="1">IFERROR(__xludf.DUMMYFUNCTION("""COMPUTED_VALUE"""),"8")</f>
        <v>8</v>
      </c>
      <c r="R19" s="3" t="str">
        <f ca="1">IFERROR(__xludf.DUMMYFUNCTION("""COMPUTED_VALUE"""),"Nu")</f>
        <v>Nu</v>
      </c>
      <c r="S19" s="3" t="str">
        <f ca="1">IFERROR(__xludf.DUMMYFUNCTION("""COMPUTED_VALUE"""),"?")</f>
        <v>?</v>
      </c>
      <c r="T19" s="3"/>
      <c r="U19" s="3" t="str">
        <f ca="1">IFERROR(__xludf.DUMMYFUNCTION("""COMPUTED_VALUE"""),"Nespecificat")</f>
        <v>Nespecificat</v>
      </c>
      <c r="V19" s="6" t="str">
        <f ca="1">IFERROR(__xludf.DUMMYFUNCTION("""COMPUTED_VALUE"""),"http://www.ms.ro/2020/05/22/decese-1160-1166/")</f>
        <v>http://www.ms.ro/2020/05/22/decese-1160-1166/</v>
      </c>
      <c r="W19" s="3" t="str">
        <f ca="1">IFERROR(__xludf.DUMMYFUNCTION("""COMPUTED_VALUE"""),"Nespecificat")</f>
        <v>Nespecificat</v>
      </c>
      <c r="X19" s="3"/>
      <c r="Y19" s="3" t="str">
        <f ca="1">IFERROR(__xludf.DUMMYFUNCTION("""COMPUTED_VALUE"""),"Nespecificat")</f>
        <v>Nespecificat</v>
      </c>
      <c r="Z19" s="3"/>
      <c r="AA19" s="3" t="str">
        <f ca="1">IFERROR(__xludf.DUMMYFUNCTION("""COMPUTED_VALUE"""),"Nespecificat")</f>
        <v>Nespecificat</v>
      </c>
      <c r="AB19" s="3" t="str">
        <f ca="1">IFERROR(__xludf.DUMMYFUNCTION("""COMPUTED_VALUE"""),"Bărbat, 93 ani, București.
Dată confirmare: 12.05.2020.
Dată deces: 20.05.2020.
Comorbidități: ICC, fibrilatie atrială, insuficiență aortică și mitrală.")</f>
        <v>Bărbat, 93 ani, București.
Dată confirmare: 12.05.2020.
Dată deces: 20.05.2020.
Comorbidități: ICC, fibrilatie atrială, insuficiență aortică și mitrală.</v>
      </c>
      <c r="AC19" s="3"/>
      <c r="AD19" s="3" t="str">
        <f ca="1">IFERROR(__xludf.DUMMYFUNCTION("""COMPUTED_VALUE"""),"MS")</f>
        <v>MS</v>
      </c>
      <c r="AE19" s="3"/>
      <c r="AF19" s="3"/>
      <c r="AG19" s="3" t="str">
        <f ca="1">IFERROR(__xludf.DUMMYFUNCTION("""COMPUTED_VALUE"""),"Nu")</f>
        <v>Nu</v>
      </c>
      <c r="AH19" s="3" t="str">
        <f ca="1">IFERROR(__xludf.DUMMYFUNCTION("""COMPUTED_VALUE"""),"Nu")</f>
        <v>Nu</v>
      </c>
      <c r="AI19" s="3" t="str">
        <f ca="1">IFERROR(__xludf.DUMMYFUNCTION("""COMPUTED_VALUE"""),"Afecțiuni cardiovasculare")</f>
        <v>Afecțiuni cardiovasculare</v>
      </c>
      <c r="AJ19" s="7" t="str">
        <f ca="1">IFERROR(__xludf.DUMMYFUNCTION("""COMPUTED_VALUE"""),"Y")</f>
        <v>Y</v>
      </c>
      <c r="AK19" s="7" t="str">
        <f ca="1">IFERROR(__xludf.DUMMYFUNCTION("""COMPUTED_VALUE"""),"N")</f>
        <v>N</v>
      </c>
      <c r="AL19" s="7" t="str">
        <f ca="1">IFERROR(__xludf.DUMMYFUNCTION("""COMPUTED_VALUE"""),"N")</f>
        <v>N</v>
      </c>
      <c r="AM19" s="7" t="str">
        <f ca="1">IFERROR(__xludf.DUMMYFUNCTION("""COMPUTED_VALUE"""),"N")</f>
        <v>N</v>
      </c>
      <c r="AN19" s="7" t="str">
        <f ca="1">IFERROR(__xludf.DUMMYFUNCTION("""COMPUTED_VALUE"""),"N")</f>
        <v>N</v>
      </c>
      <c r="AO19" s="7" t="str">
        <f ca="1">IFERROR(__xludf.DUMMYFUNCTION("""COMPUTED_VALUE"""),"N")</f>
        <v>N</v>
      </c>
      <c r="AP19" s="7" t="str">
        <f ca="1">IFERROR(__xludf.DUMMYFUNCTION("""COMPUTED_VALUE"""),"N")</f>
        <v>N</v>
      </c>
      <c r="AQ19" s="7" t="str">
        <f ca="1">IFERROR(__xludf.DUMMYFUNCTION("""COMPUTED_VALUE"""),"N")</f>
        <v>N</v>
      </c>
      <c r="AR19" s="7" t="str">
        <f ca="1">IFERROR(__xludf.DUMMYFUNCTION("""COMPUTED_VALUE"""),"N")</f>
        <v>N</v>
      </c>
      <c r="AS19" s="7" t="str">
        <f ca="1">IFERROR(__xludf.DUMMYFUNCTION("""COMPUTED_VALUE"""),"N")</f>
        <v>N</v>
      </c>
      <c r="AT19" s="7" t="str">
        <f ca="1">IFERROR(__xludf.DUMMYFUNCTION("""COMPUTED_VALUE"""),"N")</f>
        <v>N</v>
      </c>
      <c r="AU19" s="3"/>
      <c r="AV19" s="3"/>
      <c r="AW19" s="3"/>
      <c r="AX19" s="3"/>
      <c r="AY19" s="3"/>
    </row>
    <row r="20" spans="1:51" ht="16.5" customHeight="1">
      <c r="A20" s="3">
        <f ca="1">IFERROR(__xludf.DUMMYFUNCTION("""COMPUTED_VALUE"""),4472)</f>
        <v>4472</v>
      </c>
      <c r="B20" s="3"/>
      <c r="C20" s="3">
        <f ca="1">IFERROR(__xludf.DUMMYFUNCTION("""COMPUTED_VALUE"""),1158)</f>
        <v>1158</v>
      </c>
      <c r="D20" s="3" t="str">
        <f ca="1">IFERROR(__xludf.DUMMYFUNCTION("""COMPUTED_VALUE"""),"Feminin")</f>
        <v>Feminin</v>
      </c>
      <c r="E20" s="4">
        <f ca="1">IFERROR(__xludf.DUMMYFUNCTION("""COMPUTED_VALUE"""),79)</f>
        <v>79</v>
      </c>
      <c r="F20" s="3" t="str">
        <f ca="1">IFERROR(__xludf.DUMMYFUNCTION("""COMPUTED_VALUE"""),"70-79 years")</f>
        <v>70-79 years</v>
      </c>
      <c r="G20" s="3" t="str">
        <f ca="1">IFERROR(__xludf.DUMMYFUNCTION("""COMPUTED_VALUE"""),"București")</f>
        <v>București</v>
      </c>
      <c r="H20" s="3"/>
      <c r="I20" s="3">
        <f ca="1">IFERROR(__xludf.DUMMYFUNCTION("""COMPUTED_VALUE"""),1011)</f>
        <v>1011</v>
      </c>
      <c r="J20" s="3" t="str">
        <f ca="1">IFERROR(__xludf.DUMMYFUNCTION("""COMPUTED_VALUE"""),"Comorbidități: HTA, insuficiență cardiacă clasa a IV a NYHA, boală pulmonară cronică, FiA paroxistică, BCI, BRS major, DZ tip II insulino-necesitant.")</f>
        <v>Comorbidități: HTA, insuficiență cardiacă clasa a IV a NYHA, boală pulmonară cronică, FiA paroxistică, BCI, BRS major, DZ tip II insulino-necesitant.</v>
      </c>
      <c r="K20" s="5">
        <f ca="1">IFERROR(__xludf.DUMMYFUNCTION("""COMPUTED_VALUE"""),43973)</f>
        <v>43973</v>
      </c>
      <c r="L20" s="5">
        <f ca="1">IFERROR(__xludf.DUMMYFUNCTION("""COMPUTED_VALUE"""),43972)</f>
        <v>43972</v>
      </c>
      <c r="M20" s="3" t="str">
        <f ca="1">IFERROR(__xludf.DUMMYFUNCTION("""COMPUTED_VALUE"""),"1")</f>
        <v>1</v>
      </c>
      <c r="N20" s="5"/>
      <c r="O20" s="5">
        <f ca="1">IFERROR(__xludf.DUMMYFUNCTION("""COMPUTED_VALUE"""),43929)</f>
        <v>43929</v>
      </c>
      <c r="P20" s="3" t="str">
        <f ca="1">IFERROR(__xludf.DUMMYFUNCTION("""COMPUTED_VALUE"""),"Necunoscut")</f>
        <v>Necunoscut</v>
      </c>
      <c r="Q20" s="3" t="str">
        <f ca="1">IFERROR(__xludf.DUMMYFUNCTION("""COMPUTED_VALUE"""),"43")</f>
        <v>43</v>
      </c>
      <c r="R20" s="3" t="str">
        <f ca="1">IFERROR(__xludf.DUMMYFUNCTION("""COMPUTED_VALUE"""),"Nu")</f>
        <v>Nu</v>
      </c>
      <c r="S20" s="3" t="str">
        <f ca="1">IFERROR(__xludf.DUMMYFUNCTION("""COMPUTED_VALUE"""),"?")</f>
        <v>?</v>
      </c>
      <c r="T20" s="3"/>
      <c r="U20" s="3" t="str">
        <f ca="1">IFERROR(__xludf.DUMMYFUNCTION("""COMPUTED_VALUE"""),"Nespecificat")</f>
        <v>Nespecificat</v>
      </c>
      <c r="V20" s="6" t="str">
        <f ca="1">IFERROR(__xludf.DUMMYFUNCTION("""COMPUTED_VALUE"""),"http://www.ms.ro/2020/05/22/decese-1157-1159/")</f>
        <v>http://www.ms.ro/2020/05/22/decese-1157-1159/</v>
      </c>
      <c r="W20" s="3" t="str">
        <f ca="1">IFERROR(__xludf.DUMMYFUNCTION("""COMPUTED_VALUE"""),"Nespecificat")</f>
        <v>Nespecificat</v>
      </c>
      <c r="X20" s="3"/>
      <c r="Y20" s="3" t="str">
        <f ca="1">IFERROR(__xludf.DUMMYFUNCTION("""COMPUTED_VALUE"""),"Nespecificat")</f>
        <v>Nespecificat</v>
      </c>
      <c r="Z20" s="3"/>
      <c r="AA20" s="3" t="str">
        <f ca="1">IFERROR(__xludf.DUMMYFUNCTION("""COMPUTED_VALUE"""),"Nespecificat")</f>
        <v>Nespecificat</v>
      </c>
      <c r="AB20" s="3" t="str">
        <f ca="1">IFERROR(__xludf.DUMMYFUNCTION("""COMPUTED_VALUE"""),"Femeie, 79 ani, județ București.
Dată confirmare: 08.04.2020.
Dată deces: 21.05.2020.
Comorbidități: HTA, insuficiență cardiacă clasa a IV a NYHA, boală pulmonară cronică, FiA paroxistică, BCI, BRS major, DZ tip II insulino-necesitant.")</f>
        <v>Femeie, 79 ani, județ București.
Dată confirmare: 08.04.2020.
Dată deces: 21.05.2020.
Comorbidități: HTA, insuficiență cardiacă clasa a IV a NYHA, boală pulmonară cronică, FiA paroxistică, BCI, BRS major, DZ tip II insulino-necesitant.</v>
      </c>
      <c r="AC20" s="3"/>
      <c r="AD20" s="3" t="str">
        <f ca="1">IFERROR(__xludf.DUMMYFUNCTION("""COMPUTED_VALUE"""),"MS")</f>
        <v>MS</v>
      </c>
      <c r="AE20" s="3"/>
      <c r="AF20" s="3"/>
      <c r="AG20" s="3" t="str">
        <f ca="1">IFERROR(__xludf.DUMMYFUNCTION("""COMPUTED_VALUE"""),"Nu")</f>
        <v>Nu</v>
      </c>
      <c r="AH20" s="3" t="str">
        <f ca="1">IFERROR(__xludf.DUMMYFUNCTION("""COMPUTED_VALUE"""),"Nu")</f>
        <v>Nu</v>
      </c>
      <c r="AI20" s="3" t="str">
        <f ca="1">IFERROR(__xludf.DUMMYFUNCTION("""COMPUTED_VALUE"""),"Afecțiuni cardiovasculare")</f>
        <v>Afecțiuni cardiovasculare</v>
      </c>
      <c r="AJ20" s="7" t="str">
        <f ca="1">IFERROR(__xludf.DUMMYFUNCTION("""COMPUTED_VALUE"""),"Y")</f>
        <v>Y</v>
      </c>
      <c r="AK20" s="7" t="str">
        <f ca="1">IFERROR(__xludf.DUMMYFUNCTION("""COMPUTED_VALUE"""),"Y")</f>
        <v>Y</v>
      </c>
      <c r="AL20" s="7" t="str">
        <f ca="1">IFERROR(__xludf.DUMMYFUNCTION("""COMPUTED_VALUE"""),"N")</f>
        <v>N</v>
      </c>
      <c r="AM20" s="7" t="str">
        <f ca="1">IFERROR(__xludf.DUMMYFUNCTION("""COMPUTED_VALUE"""),"Y")</f>
        <v>Y</v>
      </c>
      <c r="AN20" s="7" t="str">
        <f ca="1">IFERROR(__xludf.DUMMYFUNCTION("""COMPUTED_VALUE"""),"N")</f>
        <v>N</v>
      </c>
      <c r="AO20" s="7" t="str">
        <f ca="1">IFERROR(__xludf.DUMMYFUNCTION("""COMPUTED_VALUE"""),"N")</f>
        <v>N</v>
      </c>
      <c r="AP20" s="7" t="str">
        <f ca="1">IFERROR(__xludf.DUMMYFUNCTION("""COMPUTED_VALUE"""),"N")</f>
        <v>N</v>
      </c>
      <c r="AQ20" s="7" t="str">
        <f ca="1">IFERROR(__xludf.DUMMYFUNCTION("""COMPUTED_VALUE"""),"N")</f>
        <v>N</v>
      </c>
      <c r="AR20" s="7" t="str">
        <f ca="1">IFERROR(__xludf.DUMMYFUNCTION("""COMPUTED_VALUE"""),"N")</f>
        <v>N</v>
      </c>
      <c r="AS20" s="7" t="str">
        <f ca="1">IFERROR(__xludf.DUMMYFUNCTION("""COMPUTED_VALUE"""),"N")</f>
        <v>N</v>
      </c>
      <c r="AT20" s="7" t="str">
        <f ca="1">IFERROR(__xludf.DUMMYFUNCTION("""COMPUTED_VALUE"""),"N")</f>
        <v>N</v>
      </c>
      <c r="AU20" s="3"/>
      <c r="AV20" s="3"/>
      <c r="AW20" s="3"/>
      <c r="AX20" s="3"/>
      <c r="AY20" s="3"/>
    </row>
    <row r="21" spans="1:51" ht="16.5" customHeight="1">
      <c r="A21" s="3">
        <f ca="1">IFERROR(__xludf.DUMMYFUNCTION("""COMPUTED_VALUE"""),15654)</f>
        <v>15654</v>
      </c>
      <c r="B21" s="3"/>
      <c r="C21" s="3">
        <f ca="1">IFERROR(__xludf.DUMMYFUNCTION("""COMPUTED_VALUE"""),1138)</f>
        <v>1138</v>
      </c>
      <c r="D21" s="3" t="str">
        <f ca="1">IFERROR(__xludf.DUMMYFUNCTION("""COMPUTED_VALUE"""),"Feminin")</f>
        <v>Feminin</v>
      </c>
      <c r="E21" s="4">
        <f ca="1">IFERROR(__xludf.DUMMYFUNCTION("""COMPUTED_VALUE"""),79)</f>
        <v>79</v>
      </c>
      <c r="F21" s="3" t="str">
        <f ca="1">IFERROR(__xludf.DUMMYFUNCTION("""COMPUTED_VALUE"""),"70-79 years")</f>
        <v>70-79 years</v>
      </c>
      <c r="G21" s="3" t="str">
        <f ca="1">IFERROR(__xludf.DUMMYFUNCTION("""COMPUTED_VALUE"""),"București")</f>
        <v>București</v>
      </c>
      <c r="H21" s="3"/>
      <c r="I21" s="3">
        <f ca="1">IFERROR(__xludf.DUMMYFUNCTION("""COMPUTED_VALUE"""),1011)</f>
        <v>1011</v>
      </c>
      <c r="J21" s="3" t="str">
        <f ca="1">IFERROR(__xludf.DUMMYFUNCTION("""COMPUTED_VALUE"""),"Comorbidități: Obezitate. Diabet zaharat tip II. HTA. Boală cardiacă ischemică. Fibrilație atriala paroxistica.")</f>
        <v>Comorbidități: Obezitate. Diabet zaharat tip II. HTA. Boală cardiacă ischemică. Fibrilație atriala paroxistica.</v>
      </c>
      <c r="K21" s="5">
        <f ca="1">IFERROR(__xludf.DUMMYFUNCTION("""COMPUTED_VALUE"""),43971)</f>
        <v>43971</v>
      </c>
      <c r="L21" s="5">
        <f ca="1">IFERROR(__xludf.DUMMYFUNCTION("""COMPUTED_VALUE"""),43970)</f>
        <v>43970</v>
      </c>
      <c r="M21" s="3" t="str">
        <f ca="1">IFERROR(__xludf.DUMMYFUNCTION("""COMPUTED_VALUE"""),"1")</f>
        <v>1</v>
      </c>
      <c r="N21" s="5"/>
      <c r="O21" s="5">
        <f ca="1">IFERROR(__xludf.DUMMYFUNCTION("""COMPUTED_VALUE"""),43963)</f>
        <v>43963</v>
      </c>
      <c r="P21" s="3" t="str">
        <f ca="1">IFERROR(__xludf.DUMMYFUNCTION("""COMPUTED_VALUE"""),"Necunoscut")</f>
        <v>Necunoscut</v>
      </c>
      <c r="Q21" s="3" t="str">
        <f ca="1">IFERROR(__xludf.DUMMYFUNCTION("""COMPUTED_VALUE"""),"7")</f>
        <v>7</v>
      </c>
      <c r="R21" s="3" t="str">
        <f ca="1">IFERROR(__xludf.DUMMYFUNCTION("""COMPUTED_VALUE"""),"Nu")</f>
        <v>Nu</v>
      </c>
      <c r="S21" s="3" t="str">
        <f ca="1">IFERROR(__xludf.DUMMYFUNCTION("""COMPUTED_VALUE"""),"?")</f>
        <v>?</v>
      </c>
      <c r="T21" s="3"/>
      <c r="U21" s="3" t="str">
        <f ca="1">IFERROR(__xludf.DUMMYFUNCTION("""COMPUTED_VALUE"""),"Nespecificat")</f>
        <v>Nespecificat</v>
      </c>
      <c r="V21" s="6" t="str">
        <f ca="1">IFERROR(__xludf.DUMMYFUNCTION("""COMPUTED_VALUE"""),"http://www.ms.ro/2020/05/20/decese-1138-1141/")</f>
        <v>http://www.ms.ro/2020/05/20/decese-1138-1141/</v>
      </c>
      <c r="W21" s="3" t="str">
        <f ca="1">IFERROR(__xludf.DUMMYFUNCTION("""COMPUTED_VALUE"""),"Nespecificat")</f>
        <v>Nespecificat</v>
      </c>
      <c r="X21" s="3"/>
      <c r="Y21" s="3" t="str">
        <f ca="1">IFERROR(__xludf.DUMMYFUNCTION("""COMPUTED_VALUE"""),"Nespecificat")</f>
        <v>Nespecificat</v>
      </c>
      <c r="Z21" s="3"/>
      <c r="AA21" s="3" t="str">
        <f ca="1">IFERROR(__xludf.DUMMYFUNCTION("""COMPUTED_VALUE"""),"Nespecificat")</f>
        <v>Nespecificat</v>
      </c>
      <c r="AB21" s="3" t="str">
        <f ca="1">IFERROR(__xludf.DUMMYFUNCTION("""COMPUTED_VALUE"""),"Femeie, 79 ani, municipiul București.
Dată confirmare: 12.05.2020.
Dată deces: 19.05.2020.
Comorbidități: Obezitate. Diabet zaharat tip II. HTA. Boală cardiacă ischemică. Fibrilație atriala paroxistica.")</f>
        <v>Femeie, 79 ani, municipiul București.
Dată confirmare: 12.05.2020.
Dată deces: 19.05.2020.
Comorbidități: Obezitate. Diabet zaharat tip II. HTA. Boală cardiacă ischemică. Fibrilație atriala paroxistica.</v>
      </c>
      <c r="AC21" s="3"/>
      <c r="AD21" s="3" t="str">
        <f ca="1">IFERROR(__xludf.DUMMYFUNCTION("""COMPUTED_VALUE"""),"MS")</f>
        <v>MS</v>
      </c>
      <c r="AE21" s="3"/>
      <c r="AF21" s="3"/>
      <c r="AG21" s="3" t="str">
        <f ca="1">IFERROR(__xludf.DUMMYFUNCTION("""COMPUTED_VALUE"""),"Nu")</f>
        <v>Nu</v>
      </c>
      <c r="AH21" s="3" t="str">
        <f ca="1">IFERROR(__xludf.DUMMYFUNCTION("""COMPUTED_VALUE"""),"Nu")</f>
        <v>Nu</v>
      </c>
      <c r="AI21" s="3" t="str">
        <f ca="1">IFERROR(__xludf.DUMMYFUNCTION("""COMPUTED_VALUE"""),"Afecțiuni cardiovasculare")</f>
        <v>Afecțiuni cardiovasculare</v>
      </c>
      <c r="AJ21" s="7" t="str">
        <f ca="1">IFERROR(__xludf.DUMMYFUNCTION("""COMPUTED_VALUE"""),"Y")</f>
        <v>Y</v>
      </c>
      <c r="AK21" s="7" t="str">
        <f ca="1">IFERROR(__xludf.DUMMYFUNCTION("""COMPUTED_VALUE"""),"Y")</f>
        <v>Y</v>
      </c>
      <c r="AL21" s="7" t="str">
        <f ca="1">IFERROR(__xludf.DUMMYFUNCTION("""COMPUTED_VALUE"""),"N")</f>
        <v>N</v>
      </c>
      <c r="AM21" s="7" t="str">
        <f ca="1">IFERROR(__xludf.DUMMYFUNCTION("""COMPUTED_VALUE"""),"N")</f>
        <v>N</v>
      </c>
      <c r="AN21" s="7" t="str">
        <f ca="1">IFERROR(__xludf.DUMMYFUNCTION("""COMPUTED_VALUE"""),"N")</f>
        <v>N</v>
      </c>
      <c r="AO21" s="7" t="str">
        <f ca="1">IFERROR(__xludf.DUMMYFUNCTION("""COMPUTED_VALUE"""),"N")</f>
        <v>N</v>
      </c>
      <c r="AP21" s="7" t="str">
        <f ca="1">IFERROR(__xludf.DUMMYFUNCTION("""COMPUTED_VALUE"""),"N")</f>
        <v>N</v>
      </c>
      <c r="AQ21" s="7" t="str">
        <f ca="1">IFERROR(__xludf.DUMMYFUNCTION("""COMPUTED_VALUE"""),"N")</f>
        <v>N</v>
      </c>
      <c r="AR21" s="7" t="str">
        <f ca="1">IFERROR(__xludf.DUMMYFUNCTION("""COMPUTED_VALUE"""),"Y")</f>
        <v>Y</v>
      </c>
      <c r="AS21" s="7" t="str">
        <f ca="1">IFERROR(__xludf.DUMMYFUNCTION("""COMPUTED_VALUE"""),"N")</f>
        <v>N</v>
      </c>
      <c r="AT21" s="7" t="str">
        <f ca="1">IFERROR(__xludf.DUMMYFUNCTION("""COMPUTED_VALUE"""),"N")</f>
        <v>N</v>
      </c>
      <c r="AU21" s="3"/>
      <c r="AV21" s="3"/>
      <c r="AW21" s="3"/>
      <c r="AX21" s="3"/>
      <c r="AY21" s="3"/>
    </row>
    <row r="22" spans="1:51" ht="16.5" customHeight="1">
      <c r="A22" s="3">
        <f ca="1">IFERROR(__xludf.DUMMYFUNCTION("""COMPUTED_VALUE"""),7184)</f>
        <v>7184</v>
      </c>
      <c r="B22" s="3"/>
      <c r="C22" s="3">
        <f ca="1">IFERROR(__xludf.DUMMYFUNCTION("""COMPUTED_VALUE"""),1135)</f>
        <v>1135</v>
      </c>
      <c r="D22" s="3" t="str">
        <f ca="1">IFERROR(__xludf.DUMMYFUNCTION("""COMPUTED_VALUE"""),"Masculin")</f>
        <v>Masculin</v>
      </c>
      <c r="E22" s="4">
        <f ca="1">IFERROR(__xludf.DUMMYFUNCTION("""COMPUTED_VALUE"""),65)</f>
        <v>65</v>
      </c>
      <c r="F22" s="3" t="str">
        <f ca="1">IFERROR(__xludf.DUMMYFUNCTION("""COMPUTED_VALUE"""),"60-69 years")</f>
        <v>60-69 years</v>
      </c>
      <c r="G22" s="3" t="str">
        <f ca="1">IFERROR(__xludf.DUMMYFUNCTION("""COMPUTED_VALUE"""),"București")</f>
        <v>București</v>
      </c>
      <c r="H22" s="3"/>
      <c r="I22" s="3">
        <f ca="1">IFERROR(__xludf.DUMMYFUNCTION("""COMPUTED_VALUE"""),477)</f>
        <v>477</v>
      </c>
      <c r="J22" s="3" t="str">
        <f ca="1">IFERROR(__xludf.DUMMYFUNCTION("""COMPUTED_VALUE"""),"Comorbidități: Tumora cap de pancreas. Diabet zaharat tip II. Hepatita virala C. HTA")</f>
        <v>Comorbidități: Tumora cap de pancreas. Diabet zaharat tip II. Hepatita virala C. HTA</v>
      </c>
      <c r="K22" s="5">
        <f ca="1">IFERROR(__xludf.DUMMYFUNCTION("""COMPUTED_VALUE"""),43970)</f>
        <v>43970</v>
      </c>
      <c r="L22" s="5">
        <f ca="1">IFERROR(__xludf.DUMMYFUNCTION("""COMPUTED_VALUE"""),43969)</f>
        <v>43969</v>
      </c>
      <c r="M22" s="3" t="str">
        <f ca="1">IFERROR(__xludf.DUMMYFUNCTION("""COMPUTED_VALUE"""),"1")</f>
        <v>1</v>
      </c>
      <c r="N22" s="5"/>
      <c r="O22" s="5">
        <f ca="1">IFERROR(__xludf.DUMMYFUNCTION("""COMPUTED_VALUE"""),43936)</f>
        <v>43936</v>
      </c>
      <c r="P22" s="3" t="str">
        <f ca="1">IFERROR(__xludf.DUMMYFUNCTION("""COMPUTED_VALUE"""),"Necunoscut")</f>
        <v>Necunoscut</v>
      </c>
      <c r="Q22" s="3" t="str">
        <f ca="1">IFERROR(__xludf.DUMMYFUNCTION("""COMPUTED_VALUE"""),"33")</f>
        <v>33</v>
      </c>
      <c r="R22" s="3" t="str">
        <f ca="1">IFERROR(__xludf.DUMMYFUNCTION("""COMPUTED_VALUE"""),"Nu")</f>
        <v>Nu</v>
      </c>
      <c r="S22" s="3" t="str">
        <f ca="1">IFERROR(__xludf.DUMMYFUNCTION("""COMPUTED_VALUE"""),"?")</f>
        <v>?</v>
      </c>
      <c r="T22" s="3"/>
      <c r="U22" s="3" t="str">
        <f ca="1">IFERROR(__xludf.DUMMYFUNCTION("""COMPUTED_VALUE"""),"Nespecificat")</f>
        <v>Nespecificat</v>
      </c>
      <c r="V22" s="6" t="str">
        <f ca="1">IFERROR(__xludf.DUMMYFUNCTION("""COMPUTED_VALUE"""),"http://www.ms.ro/2020/05/19/decese-1127-1137/")</f>
        <v>http://www.ms.ro/2020/05/19/decese-1127-1137/</v>
      </c>
      <c r="W22" s="3" t="str">
        <f ca="1">IFERROR(__xludf.DUMMYFUNCTION("""COMPUTED_VALUE"""),"Nespecificat")</f>
        <v>Nespecificat</v>
      </c>
      <c r="X22" s="3"/>
      <c r="Y22" s="3" t="str">
        <f ca="1">IFERROR(__xludf.DUMMYFUNCTION("""COMPUTED_VALUE"""),"Nespecificat")</f>
        <v>Nespecificat</v>
      </c>
      <c r="Z22" s="3"/>
      <c r="AA22" s="3" t="str">
        <f ca="1">IFERROR(__xludf.DUMMYFUNCTION("""COMPUTED_VALUE"""),"Nespecificat")</f>
        <v>Nespecificat</v>
      </c>
      <c r="AB22" s="3" t="str">
        <f ca="1">IFERROR(__xludf.DUMMYFUNCTION("""COMPUTED_VALUE"""),"Bărbat, 65 ani, municipiul București, medic
Dată confirmare: 15.04.2020.
Dată deces: 18.05.2020.
Comorbidități: Tumora cap de pancreas. Diabet zaharat tip II. Hepatita virala C. HTA")</f>
        <v>Bărbat, 65 ani, municipiul București, medic
Dată confirmare: 15.04.2020.
Dată deces: 18.05.2020.
Comorbidități: Tumora cap de pancreas. Diabet zaharat tip II. Hepatita virala C. HTA</v>
      </c>
      <c r="AC22" s="3"/>
      <c r="AD22" s="3" t="str">
        <f ca="1">IFERROR(__xludf.DUMMYFUNCTION("""COMPUTED_VALUE"""),"MS")</f>
        <v>MS</v>
      </c>
      <c r="AE22" s="3"/>
      <c r="AF22" s="3"/>
      <c r="AG22" s="3" t="str">
        <f ca="1">IFERROR(__xludf.DUMMYFUNCTION("""COMPUTED_VALUE"""),"Da")</f>
        <v>Da</v>
      </c>
      <c r="AH22" s="3" t="str">
        <f ca="1">IFERROR(__xludf.DUMMYFUNCTION("""COMPUTED_VALUE"""),"Nu")</f>
        <v>Nu</v>
      </c>
      <c r="AI22" s="3" t="str">
        <f ca="1">IFERROR(__xludf.DUMMYFUNCTION("""COMPUTED_VALUE"""),"Afecțiuni cardiovasculare")</f>
        <v>Afecțiuni cardiovasculare</v>
      </c>
      <c r="AJ22" s="7" t="str">
        <f ca="1">IFERROR(__xludf.DUMMYFUNCTION("""COMPUTED_VALUE"""),"Y")</f>
        <v>Y</v>
      </c>
      <c r="AK22" s="7" t="str">
        <f ca="1">IFERROR(__xludf.DUMMYFUNCTION("""COMPUTED_VALUE"""),"Y")</f>
        <v>Y</v>
      </c>
      <c r="AL22" s="7" t="str">
        <f ca="1">IFERROR(__xludf.DUMMYFUNCTION("""COMPUTED_VALUE"""),"N")</f>
        <v>N</v>
      </c>
      <c r="AM22" s="7" t="str">
        <f ca="1">IFERROR(__xludf.DUMMYFUNCTION("""COMPUTED_VALUE"""),"N")</f>
        <v>N</v>
      </c>
      <c r="AN22" s="7" t="str">
        <f ca="1">IFERROR(__xludf.DUMMYFUNCTION("""COMPUTED_VALUE"""),"N")</f>
        <v>N</v>
      </c>
      <c r="AO22" s="7" t="str">
        <f ca="1">IFERROR(__xludf.DUMMYFUNCTION("""COMPUTED_VALUE"""),"N")</f>
        <v>N</v>
      </c>
      <c r="AP22" s="7" t="str">
        <f ca="1">IFERROR(__xludf.DUMMYFUNCTION("""COMPUTED_VALUE"""),"Y")</f>
        <v>Y</v>
      </c>
      <c r="AQ22" s="7" t="str">
        <f ca="1">IFERROR(__xludf.DUMMYFUNCTION("""COMPUTED_VALUE"""),"N")</f>
        <v>N</v>
      </c>
      <c r="AR22" s="7" t="str">
        <f ca="1">IFERROR(__xludf.DUMMYFUNCTION("""COMPUTED_VALUE"""),"N")</f>
        <v>N</v>
      </c>
      <c r="AS22" s="7" t="str">
        <f ca="1">IFERROR(__xludf.DUMMYFUNCTION("""COMPUTED_VALUE"""),"N")</f>
        <v>N</v>
      </c>
      <c r="AT22" s="7" t="str">
        <f ca="1">IFERROR(__xludf.DUMMYFUNCTION("""COMPUTED_VALUE"""),"N")</f>
        <v>N</v>
      </c>
      <c r="AU22" s="3"/>
      <c r="AV22" s="3"/>
      <c r="AW22" s="3"/>
      <c r="AX22" s="3"/>
      <c r="AY22" s="3"/>
    </row>
    <row r="23" spans="1:51" ht="16.5" customHeight="1">
      <c r="A23" s="3">
        <f ca="1">IFERROR(__xludf.DUMMYFUNCTION("""COMPUTED_VALUE"""),16733)</f>
        <v>16733</v>
      </c>
      <c r="B23" s="3"/>
      <c r="C23" s="3">
        <f ca="1">IFERROR(__xludf.DUMMYFUNCTION("""COMPUTED_VALUE"""),1122)</f>
        <v>1122</v>
      </c>
      <c r="D23" s="3" t="str">
        <f ca="1">IFERROR(__xludf.DUMMYFUNCTION("""COMPUTED_VALUE"""),"Feminin")</f>
        <v>Feminin</v>
      </c>
      <c r="E23" s="4">
        <f ca="1">IFERROR(__xludf.DUMMYFUNCTION("""COMPUTED_VALUE"""),70)</f>
        <v>70</v>
      </c>
      <c r="F23" s="3" t="str">
        <f ca="1">IFERROR(__xludf.DUMMYFUNCTION("""COMPUTED_VALUE"""),"70-79 years")</f>
        <v>70-79 years</v>
      </c>
      <c r="G23" s="3" t="str">
        <f ca="1">IFERROR(__xludf.DUMMYFUNCTION("""COMPUTED_VALUE"""),"București")</f>
        <v>București</v>
      </c>
      <c r="H23" s="3"/>
      <c r="I23" s="3">
        <f ca="1">IFERROR(__xludf.DUMMYFUNCTION("""COMPUTED_VALUE"""),672)</f>
        <v>672</v>
      </c>
      <c r="J23" s="3" t="str">
        <f ca="1">IFERROR(__xludf.DUMMYFUNCTION("""COMPUTED_VALUE"""),"Comorbidități: Insuficienta ventriculara stanga. Stenoza aortica. Boala pulmonara cronica.")</f>
        <v>Comorbidități: Insuficienta ventriculara stanga. Stenoza aortica. Boala pulmonara cronica.</v>
      </c>
      <c r="K23" s="5">
        <f ca="1">IFERROR(__xludf.DUMMYFUNCTION("""COMPUTED_VALUE"""),43970)</f>
        <v>43970</v>
      </c>
      <c r="L23" s="5">
        <f ca="1">IFERROR(__xludf.DUMMYFUNCTION("""COMPUTED_VALUE"""),43968)</f>
        <v>43968</v>
      </c>
      <c r="M23" s="3" t="str">
        <f ca="1">IFERROR(__xludf.DUMMYFUNCTION("""COMPUTED_VALUE"""),"2")</f>
        <v>2</v>
      </c>
      <c r="N23" s="5"/>
      <c r="O23" s="5">
        <f ca="1">IFERROR(__xludf.DUMMYFUNCTION("""COMPUTED_VALUE"""),43968)</f>
        <v>43968</v>
      </c>
      <c r="P23" s="3" t="str">
        <f ca="1">IFERROR(__xludf.DUMMYFUNCTION("""COMPUTED_VALUE"""),"Necunoscut")</f>
        <v>Necunoscut</v>
      </c>
      <c r="Q23" s="3" t="str">
        <f ca="1">IFERROR(__xludf.DUMMYFUNCTION("""COMPUTED_VALUE"""),"0")</f>
        <v>0</v>
      </c>
      <c r="R23" s="3" t="str">
        <f ca="1">IFERROR(__xludf.DUMMYFUNCTION("""COMPUTED_VALUE"""),"Nu")</f>
        <v>Nu</v>
      </c>
      <c r="S23" s="3" t="str">
        <f ca="1">IFERROR(__xludf.DUMMYFUNCTION("""COMPUTED_VALUE"""),"?")</f>
        <v>?</v>
      </c>
      <c r="T23" s="3"/>
      <c r="U23" s="3" t="str">
        <f ca="1">IFERROR(__xludf.DUMMYFUNCTION("""COMPUTED_VALUE"""),"Nespecificat")</f>
        <v>Nespecificat</v>
      </c>
      <c r="V23" s="6" t="str">
        <f ca="1">IFERROR(__xludf.DUMMYFUNCTION("""COMPUTED_VALUE"""),"http://www.ms.ro/2020/05/19/decese-1121-1124/")</f>
        <v>http://www.ms.ro/2020/05/19/decese-1121-1124/</v>
      </c>
      <c r="W23" s="3" t="str">
        <f ca="1">IFERROR(__xludf.DUMMYFUNCTION("""COMPUTED_VALUE"""),"Nespecificat")</f>
        <v>Nespecificat</v>
      </c>
      <c r="X23" s="3"/>
      <c r="Y23" s="3" t="str">
        <f ca="1">IFERROR(__xludf.DUMMYFUNCTION("""COMPUTED_VALUE"""),"Nespecificat")</f>
        <v>Nespecificat</v>
      </c>
      <c r="Z23" s="3"/>
      <c r="AA23" s="3" t="str">
        <f ca="1">IFERROR(__xludf.DUMMYFUNCTION("""COMPUTED_VALUE"""),"Nespecificat")</f>
        <v>Nespecificat</v>
      </c>
      <c r="AB23" s="3" t="str">
        <f ca="1">IFERROR(__xludf.DUMMYFUNCTION("""COMPUTED_VALUE"""),"Femeie, 70 ani, Municipiul București.
Dată confirmare: 17.05.2020.
Dată deces: 17.05.2020.
Comorbidități: Insuficienta ventriculara stanga. Stenoza aortica. Boala pulmonara cronica.")</f>
        <v>Femeie, 70 ani, Municipiul București.
Dată confirmare: 17.05.2020.
Dată deces: 17.05.2020.
Comorbidități: Insuficienta ventriculara stanga. Stenoza aortica. Boala pulmonara cronica.</v>
      </c>
      <c r="AC23" s="3"/>
      <c r="AD23" s="3" t="str">
        <f ca="1">IFERROR(__xludf.DUMMYFUNCTION("""COMPUTED_VALUE"""),"MS")</f>
        <v>MS</v>
      </c>
      <c r="AE23" s="3"/>
      <c r="AF23" s="3"/>
      <c r="AG23" s="3" t="str">
        <f ca="1">IFERROR(__xludf.DUMMYFUNCTION("""COMPUTED_VALUE"""),"Nu")</f>
        <v>Nu</v>
      </c>
      <c r="AH23" s="3" t="str">
        <f ca="1">IFERROR(__xludf.DUMMYFUNCTION("""COMPUTED_VALUE"""),"Nu")</f>
        <v>Nu</v>
      </c>
      <c r="AI23" s="3" t="str">
        <f ca="1">IFERROR(__xludf.DUMMYFUNCTION("""COMPUTED_VALUE"""),"Afecțiuni cardiovasculare")</f>
        <v>Afecțiuni cardiovasculare</v>
      </c>
      <c r="AJ23" s="7" t="str">
        <f ca="1">IFERROR(__xludf.DUMMYFUNCTION("""COMPUTED_VALUE"""),"Y")</f>
        <v>Y</v>
      </c>
      <c r="AK23" s="7" t="str">
        <f ca="1">IFERROR(__xludf.DUMMYFUNCTION("""COMPUTED_VALUE"""),"N")</f>
        <v>N</v>
      </c>
      <c r="AL23" s="7" t="str">
        <f ca="1">IFERROR(__xludf.DUMMYFUNCTION("""COMPUTED_VALUE"""),"N")</f>
        <v>N</v>
      </c>
      <c r="AM23" s="7" t="str">
        <f ca="1">IFERROR(__xludf.DUMMYFUNCTION("""COMPUTED_VALUE"""),"Y")</f>
        <v>Y</v>
      </c>
      <c r="AN23" s="7" t="str">
        <f ca="1">IFERROR(__xludf.DUMMYFUNCTION("""COMPUTED_VALUE"""),"N")</f>
        <v>N</v>
      </c>
      <c r="AO23" s="7" t="str">
        <f ca="1">IFERROR(__xludf.DUMMYFUNCTION("""COMPUTED_VALUE"""),"N")</f>
        <v>N</v>
      </c>
      <c r="AP23" s="7" t="str">
        <f ca="1">IFERROR(__xludf.DUMMYFUNCTION("""COMPUTED_VALUE"""),"N")</f>
        <v>N</v>
      </c>
      <c r="AQ23" s="7" t="str">
        <f ca="1">IFERROR(__xludf.DUMMYFUNCTION("""COMPUTED_VALUE"""),"N")</f>
        <v>N</v>
      </c>
      <c r="AR23" s="7" t="str">
        <f ca="1">IFERROR(__xludf.DUMMYFUNCTION("""COMPUTED_VALUE"""),"N")</f>
        <v>N</v>
      </c>
      <c r="AS23" s="7" t="str">
        <f ca="1">IFERROR(__xludf.DUMMYFUNCTION("""COMPUTED_VALUE"""),"N")</f>
        <v>N</v>
      </c>
      <c r="AT23" s="7" t="str">
        <f ca="1">IFERROR(__xludf.DUMMYFUNCTION("""COMPUTED_VALUE"""),"N")</f>
        <v>N</v>
      </c>
      <c r="AU23" s="3"/>
      <c r="AV23" s="3"/>
      <c r="AW23" s="3"/>
      <c r="AX23" s="3"/>
      <c r="AY23" s="3"/>
    </row>
    <row r="24" spans="1:51" ht="16.5" customHeight="1">
      <c r="A24" s="3">
        <f ca="1">IFERROR(__xludf.DUMMYFUNCTION("""COMPUTED_VALUE"""),15653)</f>
        <v>15653</v>
      </c>
      <c r="B24" s="3"/>
      <c r="C24" s="3">
        <f ca="1">IFERROR(__xludf.DUMMYFUNCTION("""COMPUTED_VALUE"""),1120)</f>
        <v>1120</v>
      </c>
      <c r="D24" s="3" t="str">
        <f ca="1">IFERROR(__xludf.DUMMYFUNCTION("""COMPUTED_VALUE"""),"Feminin")</f>
        <v>Feminin</v>
      </c>
      <c r="E24" s="4">
        <f ca="1">IFERROR(__xludf.DUMMYFUNCTION("""COMPUTED_VALUE"""),72)</f>
        <v>72</v>
      </c>
      <c r="F24" s="3" t="str">
        <f ca="1">IFERROR(__xludf.DUMMYFUNCTION("""COMPUTED_VALUE"""),"70-79 years")</f>
        <v>70-79 years</v>
      </c>
      <c r="G24" s="3" t="str">
        <f ca="1">IFERROR(__xludf.DUMMYFUNCTION("""COMPUTED_VALUE"""),"București")</f>
        <v>București</v>
      </c>
      <c r="H24" s="3"/>
      <c r="I24" s="3">
        <f ca="1">IFERROR(__xludf.DUMMYFUNCTION("""COMPUTED_VALUE"""),763)</f>
        <v>763</v>
      </c>
      <c r="J24" s="3" t="str">
        <f ca="1">IFERROR(__xludf.DUMMYFUNCTION("""COMPUTED_VALUE"""),"Comorbidități: HTA. Insuficienta cardiaca. Dializa.")</f>
        <v>Comorbidități: HTA. Insuficienta cardiaca. Dializa.</v>
      </c>
      <c r="K24" s="5">
        <f ca="1">IFERROR(__xludf.DUMMYFUNCTION("""COMPUTED_VALUE"""),43969)</f>
        <v>43969</v>
      </c>
      <c r="L24" s="5">
        <f ca="1">IFERROR(__xludf.DUMMYFUNCTION("""COMPUTED_VALUE"""),43968)</f>
        <v>43968</v>
      </c>
      <c r="M24" s="3" t="str">
        <f ca="1">IFERROR(__xludf.DUMMYFUNCTION("""COMPUTED_VALUE"""),"1")</f>
        <v>1</v>
      </c>
      <c r="N24" s="5"/>
      <c r="O24" s="5">
        <f ca="1">IFERROR(__xludf.DUMMYFUNCTION("""COMPUTED_VALUE"""),43963)</f>
        <v>43963</v>
      </c>
      <c r="P24" s="3" t="str">
        <f ca="1">IFERROR(__xludf.DUMMYFUNCTION("""COMPUTED_VALUE"""),"Necunoscut")</f>
        <v>Necunoscut</v>
      </c>
      <c r="Q24" s="3" t="str">
        <f ca="1">IFERROR(__xludf.DUMMYFUNCTION("""COMPUTED_VALUE"""),"5")</f>
        <v>5</v>
      </c>
      <c r="R24" s="3" t="str">
        <f ca="1">IFERROR(__xludf.DUMMYFUNCTION("""COMPUTED_VALUE"""),"Nu")</f>
        <v>Nu</v>
      </c>
      <c r="S24" s="3" t="str">
        <f ca="1">IFERROR(__xludf.DUMMYFUNCTION("""COMPUTED_VALUE"""),"?")</f>
        <v>?</v>
      </c>
      <c r="T24" s="3"/>
      <c r="U24" s="3" t="str">
        <f ca="1">IFERROR(__xludf.DUMMYFUNCTION("""COMPUTED_VALUE"""),"Nespecificat")</f>
        <v>Nespecificat</v>
      </c>
      <c r="V24" s="6" t="str">
        <f ca="1">IFERROR(__xludf.DUMMYFUNCTION("""COMPUTED_VALUE"""),"http://www.ms.ro/2020/05/18/decese-1108-1120/")</f>
        <v>http://www.ms.ro/2020/05/18/decese-1108-1120/</v>
      </c>
      <c r="W24" s="3" t="str">
        <f ca="1">IFERROR(__xludf.DUMMYFUNCTION("""COMPUTED_VALUE"""),"Nespecificat")</f>
        <v>Nespecificat</v>
      </c>
      <c r="X24" s="3"/>
      <c r="Y24" s="3" t="str">
        <f ca="1">IFERROR(__xludf.DUMMYFUNCTION("""COMPUTED_VALUE"""),"Nespecificat")</f>
        <v>Nespecificat</v>
      </c>
      <c r="Z24" s="3"/>
      <c r="AA24" s="3" t="str">
        <f ca="1">IFERROR(__xludf.DUMMYFUNCTION("""COMPUTED_VALUE"""),"Nespecificat")</f>
        <v>Nespecificat</v>
      </c>
      <c r="AB24" s="3" t="str">
        <f ca="1">IFERROR(__xludf.DUMMYFUNCTION("""COMPUTED_VALUE"""),"Femeie, 72 ani, Municipiul București.
Dată confirmare: 12.05.2020.
Dată deces: 17.05.2020.
Comorbidități: HTA. Insuficienta cardiaca. Dializa.")</f>
        <v>Femeie, 72 ani, Municipiul București.
Dată confirmare: 12.05.2020.
Dată deces: 17.05.2020.
Comorbidități: HTA. Insuficienta cardiaca. Dializa.</v>
      </c>
      <c r="AC24" s="3"/>
      <c r="AD24" s="3" t="str">
        <f ca="1">IFERROR(__xludf.DUMMYFUNCTION("""COMPUTED_VALUE"""),"MS")</f>
        <v>MS</v>
      </c>
      <c r="AE24" s="3"/>
      <c r="AF24" s="3"/>
      <c r="AG24" s="3" t="str">
        <f ca="1">IFERROR(__xludf.DUMMYFUNCTION("""COMPUTED_VALUE"""),"Nu")</f>
        <v>Nu</v>
      </c>
      <c r="AH24" s="3" t="str">
        <f ca="1">IFERROR(__xludf.DUMMYFUNCTION("""COMPUTED_VALUE"""),"Nu")</f>
        <v>Nu</v>
      </c>
      <c r="AI24" s="3" t="str">
        <f ca="1">IFERROR(__xludf.DUMMYFUNCTION("""COMPUTED_VALUE"""),"Afecțiuni cardiovasculare")</f>
        <v>Afecțiuni cardiovasculare</v>
      </c>
      <c r="AJ24" s="7" t="str">
        <f ca="1">IFERROR(__xludf.DUMMYFUNCTION("""COMPUTED_VALUE"""),"Y")</f>
        <v>Y</v>
      </c>
      <c r="AK24" s="7" t="str">
        <f ca="1">IFERROR(__xludf.DUMMYFUNCTION("""COMPUTED_VALUE"""),"N")</f>
        <v>N</v>
      </c>
      <c r="AL24" s="7" t="str">
        <f ca="1">IFERROR(__xludf.DUMMYFUNCTION("""COMPUTED_VALUE"""),"Y")</f>
        <v>Y</v>
      </c>
      <c r="AM24" s="7" t="str">
        <f ca="1">IFERROR(__xludf.DUMMYFUNCTION("""COMPUTED_VALUE"""),"N")</f>
        <v>N</v>
      </c>
      <c r="AN24" s="7" t="str">
        <f ca="1">IFERROR(__xludf.DUMMYFUNCTION("""COMPUTED_VALUE"""),"N")</f>
        <v>N</v>
      </c>
      <c r="AO24" s="7" t="str">
        <f ca="1">IFERROR(__xludf.DUMMYFUNCTION("""COMPUTED_VALUE"""),"N")</f>
        <v>N</v>
      </c>
      <c r="AP24" s="7" t="str">
        <f ca="1">IFERROR(__xludf.DUMMYFUNCTION("""COMPUTED_VALUE"""),"N")</f>
        <v>N</v>
      </c>
      <c r="AQ24" s="7" t="str">
        <f ca="1">IFERROR(__xludf.DUMMYFUNCTION("""COMPUTED_VALUE"""),"N")</f>
        <v>N</v>
      </c>
      <c r="AR24" s="7" t="str">
        <f ca="1">IFERROR(__xludf.DUMMYFUNCTION("""COMPUTED_VALUE"""),"N")</f>
        <v>N</v>
      </c>
      <c r="AS24" s="7" t="str">
        <f ca="1">IFERROR(__xludf.DUMMYFUNCTION("""COMPUTED_VALUE"""),"N")</f>
        <v>N</v>
      </c>
      <c r="AT24" s="7" t="str">
        <f ca="1">IFERROR(__xludf.DUMMYFUNCTION("""COMPUTED_VALUE"""),"N")</f>
        <v>N</v>
      </c>
      <c r="AU24" s="3"/>
      <c r="AV24" s="3"/>
      <c r="AW24" s="3"/>
      <c r="AX24" s="3"/>
      <c r="AY24" s="3"/>
    </row>
    <row r="25" spans="1:51" ht="16.5" customHeight="1">
      <c r="A25" s="3">
        <f ca="1">IFERROR(__xludf.DUMMYFUNCTION("""COMPUTED_VALUE"""),14868)</f>
        <v>14868</v>
      </c>
      <c r="B25" s="3"/>
      <c r="C25" s="3">
        <f ca="1">IFERROR(__xludf.DUMMYFUNCTION("""COMPUTED_VALUE"""),1119)</f>
        <v>1119</v>
      </c>
      <c r="D25" s="3" t="str">
        <f ca="1">IFERROR(__xludf.DUMMYFUNCTION("""COMPUTED_VALUE"""),"Masculin")</f>
        <v>Masculin</v>
      </c>
      <c r="E25" s="4">
        <f ca="1">IFERROR(__xludf.DUMMYFUNCTION("""COMPUTED_VALUE"""),89)</f>
        <v>89</v>
      </c>
      <c r="F25" s="3" t="str">
        <f ca="1">IFERROR(__xludf.DUMMYFUNCTION("""COMPUTED_VALUE"""),"Over 80 years")</f>
        <v>Over 80 years</v>
      </c>
      <c r="G25" s="3" t="str">
        <f ca="1">IFERROR(__xludf.DUMMYFUNCTION("""COMPUTED_VALUE"""),"București")</f>
        <v>București</v>
      </c>
      <c r="H25" s="3"/>
      <c r="I25" s="3">
        <f ca="1">IFERROR(__xludf.DUMMYFUNCTION("""COMPUTED_VALUE"""),1293)</f>
        <v>1293</v>
      </c>
      <c r="J25" s="3" t="str">
        <f ca="1">IFERROR(__xludf.DUMMYFUNCTION("""COMPUTED_VALUE"""),"Comorbidități: Infarct miocardic in antecedente. Tromboza venoasa periferica.")</f>
        <v>Comorbidități: Infarct miocardic in antecedente. Tromboza venoasa periferica.</v>
      </c>
      <c r="K25" s="5">
        <f ca="1">IFERROR(__xludf.DUMMYFUNCTION("""COMPUTED_VALUE"""),43969)</f>
        <v>43969</v>
      </c>
      <c r="L25" s="5">
        <f ca="1">IFERROR(__xludf.DUMMYFUNCTION("""COMPUTED_VALUE"""),43968)</f>
        <v>43968</v>
      </c>
      <c r="M25" s="3" t="str">
        <f ca="1">IFERROR(__xludf.DUMMYFUNCTION("""COMPUTED_VALUE"""),"1")</f>
        <v>1</v>
      </c>
      <c r="N25" s="5"/>
      <c r="O25" s="5">
        <f ca="1">IFERROR(__xludf.DUMMYFUNCTION("""COMPUTED_VALUE"""),43960)</f>
        <v>43960</v>
      </c>
      <c r="P25" s="3" t="str">
        <f ca="1">IFERROR(__xludf.DUMMYFUNCTION("""COMPUTED_VALUE"""),"Necunoscut")</f>
        <v>Necunoscut</v>
      </c>
      <c r="Q25" s="3" t="str">
        <f ca="1">IFERROR(__xludf.DUMMYFUNCTION("""COMPUTED_VALUE"""),"8")</f>
        <v>8</v>
      </c>
      <c r="R25" s="3" t="str">
        <f ca="1">IFERROR(__xludf.DUMMYFUNCTION("""COMPUTED_VALUE"""),"Nu")</f>
        <v>Nu</v>
      </c>
      <c r="S25" s="3" t="str">
        <f ca="1">IFERROR(__xludf.DUMMYFUNCTION("""COMPUTED_VALUE"""),"?")</f>
        <v>?</v>
      </c>
      <c r="T25" s="3"/>
      <c r="U25" s="3" t="str">
        <f ca="1">IFERROR(__xludf.DUMMYFUNCTION("""COMPUTED_VALUE"""),"Nespecificat")</f>
        <v>Nespecificat</v>
      </c>
      <c r="V25" s="6" t="str">
        <f ca="1">IFERROR(__xludf.DUMMYFUNCTION("""COMPUTED_VALUE"""),"http://www.ms.ro/2020/05/18/decese-1108-1120/")</f>
        <v>http://www.ms.ro/2020/05/18/decese-1108-1120/</v>
      </c>
      <c r="W25" s="3" t="str">
        <f ca="1">IFERROR(__xludf.DUMMYFUNCTION("""COMPUTED_VALUE"""),"Nespecificat")</f>
        <v>Nespecificat</v>
      </c>
      <c r="X25" s="3"/>
      <c r="Y25" s="3" t="str">
        <f ca="1">IFERROR(__xludf.DUMMYFUNCTION("""COMPUTED_VALUE"""),"Nespecificat")</f>
        <v>Nespecificat</v>
      </c>
      <c r="Z25" s="3"/>
      <c r="AA25" s="3" t="str">
        <f ca="1">IFERROR(__xludf.DUMMYFUNCTION("""COMPUTED_VALUE"""),"Nespecificat")</f>
        <v>Nespecificat</v>
      </c>
      <c r="AB25" s="3" t="str">
        <f ca="1">IFERROR(__xludf.DUMMYFUNCTION("""COMPUTED_VALUE"""),"Bărbat, 89 ani, Municipiul București.
Dată confirmare: 09.05.2020.
Dată deces: 17.05.2020.
Comorbidități: Infarct miocardic in antecedente. Tromboza venoasa periferica.")</f>
        <v>Bărbat, 89 ani, Municipiul București.
Dată confirmare: 09.05.2020.
Dată deces: 17.05.2020.
Comorbidități: Infarct miocardic in antecedente. Tromboza venoasa periferica.</v>
      </c>
      <c r="AC25" s="3"/>
      <c r="AD25" s="3" t="str">
        <f ca="1">IFERROR(__xludf.DUMMYFUNCTION("""COMPUTED_VALUE"""),"MS")</f>
        <v>MS</v>
      </c>
      <c r="AE25" s="3"/>
      <c r="AF25" s="3"/>
      <c r="AG25" s="3" t="str">
        <f ca="1">IFERROR(__xludf.DUMMYFUNCTION("""COMPUTED_VALUE"""),"Nu")</f>
        <v>Nu</v>
      </c>
      <c r="AH25" s="3" t="str">
        <f ca="1">IFERROR(__xludf.DUMMYFUNCTION("""COMPUTED_VALUE"""),"Nu")</f>
        <v>Nu</v>
      </c>
      <c r="AI25" s="3" t="str">
        <f ca="1">IFERROR(__xludf.DUMMYFUNCTION("""COMPUTED_VALUE"""),"Afecțiuni cardiovasculare")</f>
        <v>Afecțiuni cardiovasculare</v>
      </c>
      <c r="AJ25" s="7" t="str">
        <f ca="1">IFERROR(__xludf.DUMMYFUNCTION("""COMPUTED_VALUE"""),"Y")</f>
        <v>Y</v>
      </c>
      <c r="AK25" s="7" t="str">
        <f ca="1">IFERROR(__xludf.DUMMYFUNCTION("""COMPUTED_VALUE"""),"N")</f>
        <v>N</v>
      </c>
      <c r="AL25" s="7" t="str">
        <f ca="1">IFERROR(__xludf.DUMMYFUNCTION("""COMPUTED_VALUE"""),"N")</f>
        <v>N</v>
      </c>
      <c r="AM25" s="7" t="str">
        <f ca="1">IFERROR(__xludf.DUMMYFUNCTION("""COMPUTED_VALUE"""),"N")</f>
        <v>N</v>
      </c>
      <c r="AN25" s="7" t="str">
        <f ca="1">IFERROR(__xludf.DUMMYFUNCTION("""COMPUTED_VALUE"""),"N")</f>
        <v>N</v>
      </c>
      <c r="AO25" s="7" t="str">
        <f ca="1">IFERROR(__xludf.DUMMYFUNCTION("""COMPUTED_VALUE"""),"N")</f>
        <v>N</v>
      </c>
      <c r="AP25" s="7" t="str">
        <f ca="1">IFERROR(__xludf.DUMMYFUNCTION("""COMPUTED_VALUE"""),"N")</f>
        <v>N</v>
      </c>
      <c r="AQ25" s="7" t="str">
        <f ca="1">IFERROR(__xludf.DUMMYFUNCTION("""COMPUTED_VALUE"""),"N")</f>
        <v>N</v>
      </c>
      <c r="AR25" s="7" t="str">
        <f ca="1">IFERROR(__xludf.DUMMYFUNCTION("""COMPUTED_VALUE"""),"N")</f>
        <v>N</v>
      </c>
      <c r="AS25" s="7" t="str">
        <f ca="1">IFERROR(__xludf.DUMMYFUNCTION("""COMPUTED_VALUE"""),"N")</f>
        <v>N</v>
      </c>
      <c r="AT25" s="7" t="str">
        <f ca="1">IFERROR(__xludf.DUMMYFUNCTION("""COMPUTED_VALUE"""),"N")</f>
        <v>N</v>
      </c>
      <c r="AU25" s="3"/>
      <c r="AV25" s="3"/>
      <c r="AW25" s="3"/>
      <c r="AX25" s="3"/>
      <c r="AY25" s="3"/>
    </row>
    <row r="26" spans="1:51" ht="16.5" customHeight="1">
      <c r="A26" s="3">
        <f ca="1">IFERROR(__xludf.DUMMYFUNCTION("""COMPUTED_VALUE"""),11426)</f>
        <v>11426</v>
      </c>
      <c r="B26" s="3"/>
      <c r="C26" s="3">
        <f ca="1">IFERROR(__xludf.DUMMYFUNCTION("""COMPUTED_VALUE"""),1116)</f>
        <v>1116</v>
      </c>
      <c r="D26" s="3" t="str">
        <f ca="1">IFERROR(__xludf.DUMMYFUNCTION("""COMPUTED_VALUE"""),"Masculin")</f>
        <v>Masculin</v>
      </c>
      <c r="E26" s="4">
        <f ca="1">IFERROR(__xludf.DUMMYFUNCTION("""COMPUTED_VALUE"""),87)</f>
        <v>87</v>
      </c>
      <c r="F26" s="3" t="str">
        <f ca="1">IFERROR(__xludf.DUMMYFUNCTION("""COMPUTED_VALUE"""),"Over 80 years")</f>
        <v>Over 80 years</v>
      </c>
      <c r="G26" s="3" t="str">
        <f ca="1">IFERROR(__xludf.DUMMYFUNCTION("""COMPUTED_VALUE"""),"București")</f>
        <v>București</v>
      </c>
      <c r="H26" s="3"/>
      <c r="I26" s="3">
        <f ca="1">IFERROR(__xludf.DUMMYFUNCTION("""COMPUTED_VALUE"""),1257)</f>
        <v>1257</v>
      </c>
      <c r="J26" s="3" t="str">
        <f ca="1">IFERROR(__xludf.DUMMYFUNCTION("""COMPUTED_VALUE"""),"Comorbidități: HTA. Accident vascular cerebral. Dementa mixta.")</f>
        <v>Comorbidități: HTA. Accident vascular cerebral. Dementa mixta.</v>
      </c>
      <c r="K26" s="5">
        <f ca="1">IFERROR(__xludf.DUMMYFUNCTION("""COMPUTED_VALUE"""),43969)</f>
        <v>43969</v>
      </c>
      <c r="L26" s="5">
        <f ca="1">IFERROR(__xludf.DUMMYFUNCTION("""COMPUTED_VALUE"""),43967)</f>
        <v>43967</v>
      </c>
      <c r="M26" s="3" t="str">
        <f ca="1">IFERROR(__xludf.DUMMYFUNCTION("""COMPUTED_VALUE"""),"2")</f>
        <v>2</v>
      </c>
      <c r="N26" s="5"/>
      <c r="O26" s="5">
        <f ca="1">IFERROR(__xludf.DUMMYFUNCTION("""COMPUTED_VALUE"""),43949)</f>
        <v>43949</v>
      </c>
      <c r="P26" s="3" t="str">
        <f ca="1">IFERROR(__xludf.DUMMYFUNCTION("""COMPUTED_VALUE"""),"Necunoscut")</f>
        <v>Necunoscut</v>
      </c>
      <c r="Q26" s="3" t="str">
        <f ca="1">IFERROR(__xludf.DUMMYFUNCTION("""COMPUTED_VALUE"""),"18")</f>
        <v>18</v>
      </c>
      <c r="R26" s="3" t="str">
        <f ca="1">IFERROR(__xludf.DUMMYFUNCTION("""COMPUTED_VALUE"""),"Nu")</f>
        <v>Nu</v>
      </c>
      <c r="S26" s="3" t="str">
        <f ca="1">IFERROR(__xludf.DUMMYFUNCTION("""COMPUTED_VALUE"""),"?")</f>
        <v>?</v>
      </c>
      <c r="T26" s="3"/>
      <c r="U26" s="3" t="str">
        <f ca="1">IFERROR(__xludf.DUMMYFUNCTION("""COMPUTED_VALUE"""),"Nespecificat")</f>
        <v>Nespecificat</v>
      </c>
      <c r="V26" s="6" t="str">
        <f ca="1">IFERROR(__xludf.DUMMYFUNCTION("""COMPUTED_VALUE"""),"http://www.ms.ro/2020/05/18/decese-1108-1120/")</f>
        <v>http://www.ms.ro/2020/05/18/decese-1108-1120/</v>
      </c>
      <c r="W26" s="3" t="str">
        <f ca="1">IFERROR(__xludf.DUMMYFUNCTION("""COMPUTED_VALUE"""),"Nespecificat")</f>
        <v>Nespecificat</v>
      </c>
      <c r="X26" s="3"/>
      <c r="Y26" s="3" t="str">
        <f ca="1">IFERROR(__xludf.DUMMYFUNCTION("""COMPUTED_VALUE"""),"Nespecificat")</f>
        <v>Nespecificat</v>
      </c>
      <c r="Z26" s="3"/>
      <c r="AA26" s="3" t="str">
        <f ca="1">IFERROR(__xludf.DUMMYFUNCTION("""COMPUTED_VALUE"""),"Nespecificat")</f>
        <v>Nespecificat</v>
      </c>
      <c r="AB26" s="3" t="str">
        <f ca="1">IFERROR(__xludf.DUMMYFUNCTION("""COMPUTED_VALUE"""),"Bărbat, 87 ani, Municipiul București.
Dată confirmare: 28.04.2020.
Dată deces: 16.05.2020
Comorbidități: HTA. Accident vascular cerebral. Dementa mixta.")</f>
        <v>Bărbat, 87 ani, Municipiul București.
Dată confirmare: 28.04.2020.
Dată deces: 16.05.2020
Comorbidități: HTA. Accident vascular cerebral. Dementa mixta.</v>
      </c>
      <c r="AC26" s="3"/>
      <c r="AD26" s="3" t="str">
        <f ca="1">IFERROR(__xludf.DUMMYFUNCTION("""COMPUTED_VALUE"""),"MS")</f>
        <v>MS</v>
      </c>
      <c r="AE26" s="3"/>
      <c r="AF26" s="3"/>
      <c r="AG26" s="3" t="str">
        <f ca="1">IFERROR(__xludf.DUMMYFUNCTION("""COMPUTED_VALUE"""),"Nu")</f>
        <v>Nu</v>
      </c>
      <c r="AH26" s="3" t="str">
        <f ca="1">IFERROR(__xludf.DUMMYFUNCTION("""COMPUTED_VALUE"""),"Nu")</f>
        <v>Nu</v>
      </c>
      <c r="AI26" s="3" t="str">
        <f ca="1">IFERROR(__xludf.DUMMYFUNCTION("""COMPUTED_VALUE"""),"Afecțiuni cardiovasculare")</f>
        <v>Afecțiuni cardiovasculare</v>
      </c>
      <c r="AJ26" s="7" t="str">
        <f ca="1">IFERROR(__xludf.DUMMYFUNCTION("""COMPUTED_VALUE"""),"Y")</f>
        <v>Y</v>
      </c>
      <c r="AK26" s="7" t="str">
        <f ca="1">IFERROR(__xludf.DUMMYFUNCTION("""COMPUTED_VALUE"""),"N")</f>
        <v>N</v>
      </c>
      <c r="AL26" s="7" t="str">
        <f ca="1">IFERROR(__xludf.DUMMYFUNCTION("""COMPUTED_VALUE"""),"N")</f>
        <v>N</v>
      </c>
      <c r="AM26" s="7" t="str">
        <f ca="1">IFERROR(__xludf.DUMMYFUNCTION("""COMPUTED_VALUE"""),"N")</f>
        <v>N</v>
      </c>
      <c r="AN26" s="7" t="str">
        <f ca="1">IFERROR(__xludf.DUMMYFUNCTION("""COMPUTED_VALUE"""),"Y")</f>
        <v>Y</v>
      </c>
      <c r="AO26" s="7" t="str">
        <f ca="1">IFERROR(__xludf.DUMMYFUNCTION("""COMPUTED_VALUE"""),"N")</f>
        <v>N</v>
      </c>
      <c r="AP26" s="7" t="str">
        <f ca="1">IFERROR(__xludf.DUMMYFUNCTION("""COMPUTED_VALUE"""),"N")</f>
        <v>N</v>
      </c>
      <c r="AQ26" s="7" t="str">
        <f ca="1">IFERROR(__xludf.DUMMYFUNCTION("""COMPUTED_VALUE"""),"N")</f>
        <v>N</v>
      </c>
      <c r="AR26" s="7" t="str">
        <f ca="1">IFERROR(__xludf.DUMMYFUNCTION("""COMPUTED_VALUE"""),"N")</f>
        <v>N</v>
      </c>
      <c r="AS26" s="7" t="str">
        <f ca="1">IFERROR(__xludf.DUMMYFUNCTION("""COMPUTED_VALUE"""),"N")</f>
        <v>N</v>
      </c>
      <c r="AT26" s="7" t="str">
        <f ca="1">IFERROR(__xludf.DUMMYFUNCTION("""COMPUTED_VALUE"""),"N")</f>
        <v>N</v>
      </c>
      <c r="AU26" s="3"/>
      <c r="AV26" s="3"/>
      <c r="AW26" s="3"/>
      <c r="AX26" s="3"/>
      <c r="AY26" s="3"/>
    </row>
    <row r="27" spans="1:51" ht="16.5" customHeight="1">
      <c r="A27" s="3">
        <f ca="1">IFERROR(__xludf.DUMMYFUNCTION("""COMPUTED_VALUE"""),16288)</f>
        <v>16288</v>
      </c>
      <c r="B27" s="3"/>
      <c r="C27" s="3">
        <f ca="1">IFERROR(__xludf.DUMMYFUNCTION("""COMPUTED_VALUE"""),1115)</f>
        <v>1115</v>
      </c>
      <c r="D27" s="3" t="str">
        <f ca="1">IFERROR(__xludf.DUMMYFUNCTION("""COMPUTED_VALUE"""),"Masculin")</f>
        <v>Masculin</v>
      </c>
      <c r="E27" s="4">
        <f ca="1">IFERROR(__xludf.DUMMYFUNCTION("""COMPUTED_VALUE"""),90)</f>
        <v>90</v>
      </c>
      <c r="F27" s="3" t="str">
        <f ca="1">IFERROR(__xludf.DUMMYFUNCTION("""COMPUTED_VALUE"""),"Over 80 years")</f>
        <v>Over 80 years</v>
      </c>
      <c r="G27" s="3" t="str">
        <f ca="1">IFERROR(__xludf.DUMMYFUNCTION("""COMPUTED_VALUE"""),"București")</f>
        <v>București</v>
      </c>
      <c r="H27" s="3"/>
      <c r="I27" s="3">
        <f ca="1">IFERROR(__xludf.DUMMYFUNCTION("""COMPUTED_VALUE"""),1310)</f>
        <v>1310</v>
      </c>
      <c r="J27" s="3" t="str">
        <f ca="1">IFERROR(__xludf.DUMMYFUNCTION("""COMPUTED_VALUE"""),"Comorbidități: Diabet zaharat. Boala renala cronica. Hemodializa.")</f>
        <v>Comorbidități: Diabet zaharat. Boala renala cronica. Hemodializa.</v>
      </c>
      <c r="K27" s="5">
        <f ca="1">IFERROR(__xludf.DUMMYFUNCTION("""COMPUTED_VALUE"""),43969)</f>
        <v>43969</v>
      </c>
      <c r="L27" s="5">
        <f ca="1">IFERROR(__xludf.DUMMYFUNCTION("""COMPUTED_VALUE"""),43968)</f>
        <v>43968</v>
      </c>
      <c r="M27" s="3" t="str">
        <f ca="1">IFERROR(__xludf.DUMMYFUNCTION("""COMPUTED_VALUE"""),"1")</f>
        <v>1</v>
      </c>
      <c r="N27" s="5"/>
      <c r="O27" s="5">
        <f ca="1">IFERROR(__xludf.DUMMYFUNCTION("""COMPUTED_VALUE"""),43966)</f>
        <v>43966</v>
      </c>
      <c r="P27" s="3" t="str">
        <f ca="1">IFERROR(__xludf.DUMMYFUNCTION("""COMPUTED_VALUE"""),"Necunoscut")</f>
        <v>Necunoscut</v>
      </c>
      <c r="Q27" s="3" t="str">
        <f ca="1">IFERROR(__xludf.DUMMYFUNCTION("""COMPUTED_VALUE"""),"2")</f>
        <v>2</v>
      </c>
      <c r="R27" s="3" t="str">
        <f ca="1">IFERROR(__xludf.DUMMYFUNCTION("""COMPUTED_VALUE"""),"Nu")</f>
        <v>Nu</v>
      </c>
      <c r="S27" s="3" t="str">
        <f ca="1">IFERROR(__xludf.DUMMYFUNCTION("""COMPUTED_VALUE"""),"?")</f>
        <v>?</v>
      </c>
      <c r="T27" s="3"/>
      <c r="U27" s="3" t="str">
        <f ca="1">IFERROR(__xludf.DUMMYFUNCTION("""COMPUTED_VALUE"""),"Nespecificat")</f>
        <v>Nespecificat</v>
      </c>
      <c r="V27" s="6" t="str">
        <f ca="1">IFERROR(__xludf.DUMMYFUNCTION("""COMPUTED_VALUE"""),"http://www.ms.ro/2020/05/18/decese-1108-1120/")</f>
        <v>http://www.ms.ro/2020/05/18/decese-1108-1120/</v>
      </c>
      <c r="W27" s="3" t="str">
        <f ca="1">IFERROR(__xludf.DUMMYFUNCTION("""COMPUTED_VALUE"""),"Nespecificat")</f>
        <v>Nespecificat</v>
      </c>
      <c r="X27" s="3"/>
      <c r="Y27" s="3" t="str">
        <f ca="1">IFERROR(__xludf.DUMMYFUNCTION("""COMPUTED_VALUE"""),"Nespecificat")</f>
        <v>Nespecificat</v>
      </c>
      <c r="Z27" s="3"/>
      <c r="AA27" s="3" t="str">
        <f ca="1">IFERROR(__xludf.DUMMYFUNCTION("""COMPUTED_VALUE"""),"Nespecificat")</f>
        <v>Nespecificat</v>
      </c>
      <c r="AB27" s="3" t="str">
        <f ca="1">IFERROR(__xludf.DUMMYFUNCTION("""COMPUTED_VALUE"""),"Bărbat, 90 ani, Municipiul București.
Dată confirmare: 15.05.2020.
Dată deces: 17.05.2020.
Comorbidități: Diabet zaharat. Boala renala cronica. Hemodializa.")</f>
        <v>Bărbat, 90 ani, Municipiul București.
Dată confirmare: 15.05.2020.
Dată deces: 17.05.2020.
Comorbidități: Diabet zaharat. Boala renala cronica. Hemodializa.</v>
      </c>
      <c r="AC27" s="3"/>
      <c r="AD27" s="3" t="str">
        <f ca="1">IFERROR(__xludf.DUMMYFUNCTION("""COMPUTED_VALUE"""),"MS")</f>
        <v>MS</v>
      </c>
      <c r="AE27" s="3"/>
      <c r="AF27" s="3"/>
      <c r="AG27" s="3" t="str">
        <f ca="1">IFERROR(__xludf.DUMMYFUNCTION("""COMPUTED_VALUE"""),"Nu")</f>
        <v>Nu</v>
      </c>
      <c r="AH27" s="3" t="str">
        <f ca="1">IFERROR(__xludf.DUMMYFUNCTION("""COMPUTED_VALUE"""),"Nu")</f>
        <v>Nu</v>
      </c>
      <c r="AI27" s="3" t="str">
        <f ca="1">IFERROR(__xludf.DUMMYFUNCTION("""COMPUTED_VALUE"""),"Diabet")</f>
        <v>Diabet</v>
      </c>
      <c r="AJ27" s="7" t="str">
        <f ca="1">IFERROR(__xludf.DUMMYFUNCTION("""COMPUTED_VALUE"""),"N")</f>
        <v>N</v>
      </c>
      <c r="AK27" s="7" t="str">
        <f ca="1">IFERROR(__xludf.DUMMYFUNCTION("""COMPUTED_VALUE"""),"Y")</f>
        <v>Y</v>
      </c>
      <c r="AL27" s="7" t="str">
        <f ca="1">IFERROR(__xludf.DUMMYFUNCTION("""COMPUTED_VALUE"""),"Y")</f>
        <v>Y</v>
      </c>
      <c r="AM27" s="7" t="str">
        <f ca="1">IFERROR(__xludf.DUMMYFUNCTION("""COMPUTED_VALUE"""),"N")</f>
        <v>N</v>
      </c>
      <c r="AN27" s="7" t="str">
        <f ca="1">IFERROR(__xludf.DUMMYFUNCTION("""COMPUTED_VALUE"""),"N")</f>
        <v>N</v>
      </c>
      <c r="AO27" s="7" t="str">
        <f ca="1">IFERROR(__xludf.DUMMYFUNCTION("""COMPUTED_VALUE"""),"N")</f>
        <v>N</v>
      </c>
      <c r="AP27" s="7" t="str">
        <f ca="1">IFERROR(__xludf.DUMMYFUNCTION("""COMPUTED_VALUE"""),"N")</f>
        <v>N</v>
      </c>
      <c r="AQ27" s="7" t="str">
        <f ca="1">IFERROR(__xludf.DUMMYFUNCTION("""COMPUTED_VALUE"""),"N")</f>
        <v>N</v>
      </c>
      <c r="AR27" s="7" t="str">
        <f ca="1">IFERROR(__xludf.DUMMYFUNCTION("""COMPUTED_VALUE"""),"N")</f>
        <v>N</v>
      </c>
      <c r="AS27" s="7" t="str">
        <f ca="1">IFERROR(__xludf.DUMMYFUNCTION("""COMPUTED_VALUE"""),"N")</f>
        <v>N</v>
      </c>
      <c r="AT27" s="7" t="str">
        <f ca="1">IFERROR(__xludf.DUMMYFUNCTION("""COMPUTED_VALUE"""),"N")</f>
        <v>N</v>
      </c>
      <c r="AU27" s="3"/>
      <c r="AV27" s="3"/>
      <c r="AW27" s="3"/>
      <c r="AX27" s="3"/>
      <c r="AY27" s="3"/>
    </row>
    <row r="28" spans="1:51" ht="16.5" customHeight="1">
      <c r="A28" s="3">
        <f ca="1">IFERROR(__xludf.DUMMYFUNCTION("""COMPUTED_VALUE"""),7183)</f>
        <v>7183</v>
      </c>
      <c r="B28" s="3"/>
      <c r="C28" s="3">
        <f ca="1">IFERROR(__xludf.DUMMYFUNCTION("""COMPUTED_VALUE"""),1047)</f>
        <v>1047</v>
      </c>
      <c r="D28" s="3" t="str">
        <f ca="1">IFERROR(__xludf.DUMMYFUNCTION("""COMPUTED_VALUE"""),"Masculin")</f>
        <v>Masculin</v>
      </c>
      <c r="E28" s="4">
        <f ca="1">IFERROR(__xludf.DUMMYFUNCTION("""COMPUTED_VALUE"""),57)</f>
        <v>57</v>
      </c>
      <c r="F28" s="3" t="str">
        <f ca="1">IFERROR(__xludf.DUMMYFUNCTION("""COMPUTED_VALUE"""),"50-59 years")</f>
        <v>50-59 years</v>
      </c>
      <c r="G28" s="3" t="str">
        <f ca="1">IFERROR(__xludf.DUMMYFUNCTION("""COMPUTED_VALUE"""),"București")</f>
        <v>București</v>
      </c>
      <c r="H28" s="3"/>
      <c r="I28" s="3">
        <f ca="1">IFERROR(__xludf.DUMMYFUNCTION("""COMPUTED_VALUE"""),244)</f>
        <v>244</v>
      </c>
      <c r="J28" s="3" t="str">
        <f ca="1">IFERROR(__xludf.DUMMYFUNCTION("""COMPUTED_VALUE"""),"Comorbidități:  HTA, cardiopatie ischemică, tahicardie paroxistică supraventriculară, DZ tip 2, obezitate.")</f>
        <v>Comorbidități:  HTA, cardiopatie ischemică, tahicardie paroxistică supraventriculară, DZ tip 2, obezitate.</v>
      </c>
      <c r="K28" s="5">
        <f ca="1">IFERROR(__xludf.DUMMYFUNCTION("""COMPUTED_VALUE"""),43965)</f>
        <v>43965</v>
      </c>
      <c r="L28" s="5">
        <f ca="1">IFERROR(__xludf.DUMMYFUNCTION("""COMPUTED_VALUE"""),43964)</f>
        <v>43964</v>
      </c>
      <c r="M28" s="3" t="str">
        <f ca="1">IFERROR(__xludf.DUMMYFUNCTION("""COMPUTED_VALUE"""),"1")</f>
        <v>1</v>
      </c>
      <c r="N28" s="5"/>
      <c r="O28" s="5">
        <f ca="1">IFERROR(__xludf.DUMMYFUNCTION("""COMPUTED_VALUE"""),43936)</f>
        <v>43936</v>
      </c>
      <c r="P28" s="3" t="str">
        <f ca="1">IFERROR(__xludf.DUMMYFUNCTION("""COMPUTED_VALUE"""),"Necunoscut")</f>
        <v>Necunoscut</v>
      </c>
      <c r="Q28" s="3" t="str">
        <f ca="1">IFERROR(__xludf.DUMMYFUNCTION("""COMPUTED_VALUE"""),"28")</f>
        <v>28</v>
      </c>
      <c r="R28" s="3" t="str">
        <f ca="1">IFERROR(__xludf.DUMMYFUNCTION("""COMPUTED_VALUE"""),"Nu")</f>
        <v>Nu</v>
      </c>
      <c r="S28" s="3" t="str">
        <f ca="1">IFERROR(__xludf.DUMMYFUNCTION("""COMPUTED_VALUE"""),"?")</f>
        <v>?</v>
      </c>
      <c r="T28" s="3"/>
      <c r="U28" s="3" t="str">
        <f ca="1">IFERROR(__xludf.DUMMYFUNCTION("""COMPUTED_VALUE"""),"Nespecificat")</f>
        <v>Nespecificat</v>
      </c>
      <c r="V28" s="6" t="str">
        <f ca="1">IFERROR(__xludf.DUMMYFUNCTION("""COMPUTED_VALUE"""),"http://www.ms.ro/2020/05/14/decese/")</f>
        <v>http://www.ms.ro/2020/05/14/decese/</v>
      </c>
      <c r="W28" s="3" t="str">
        <f ca="1">IFERROR(__xludf.DUMMYFUNCTION("""COMPUTED_VALUE"""),"Nespecificat")</f>
        <v>Nespecificat</v>
      </c>
      <c r="X28" s="3"/>
      <c r="Y28" s="3" t="str">
        <f ca="1">IFERROR(__xludf.DUMMYFUNCTION("""COMPUTED_VALUE"""),"Nespecificat")</f>
        <v>Nespecificat</v>
      </c>
      <c r="Z28" s="3"/>
      <c r="AA28" s="3" t="str">
        <f ca="1">IFERROR(__xludf.DUMMYFUNCTION("""COMPUTED_VALUE"""),"Nespecificat")</f>
        <v>Nespecificat</v>
      </c>
      <c r="AB28" s="3" t="str">
        <f ca="1">IFERROR(__xludf.DUMMYFUNCTION("""COMPUTED_VALUE"""),"Bărbat, 57  ani, municipiul București.
Dată confirmare: 15.04.2020.
Dată deces: 13.05.2020.
Comorbidități:  HTA, cardiopatie ischemică, tahicardie paroxistică supraventriculară, DZ tip 2, obezitate.")</f>
        <v>Bărbat, 57  ani, municipiul București.
Dată confirmare: 15.04.2020.
Dată deces: 13.05.2020.
Comorbidități:  HTA, cardiopatie ischemică, tahicardie paroxistică supraventriculară, DZ tip 2, obezitate.</v>
      </c>
      <c r="AC28" s="3"/>
      <c r="AD28" s="3" t="str">
        <f ca="1">IFERROR(__xludf.DUMMYFUNCTION("""COMPUTED_VALUE"""),"MS")</f>
        <v>MS</v>
      </c>
      <c r="AE28" s="3"/>
      <c r="AF28" s="3"/>
      <c r="AG28" s="3" t="str">
        <f ca="1">IFERROR(__xludf.DUMMYFUNCTION("""COMPUTED_VALUE"""),"Nu")</f>
        <v>Nu</v>
      </c>
      <c r="AH28" s="3" t="str">
        <f ca="1">IFERROR(__xludf.DUMMYFUNCTION("""COMPUTED_VALUE"""),"Nu")</f>
        <v>Nu</v>
      </c>
      <c r="AI28" s="3" t="str">
        <f ca="1">IFERROR(__xludf.DUMMYFUNCTION("""COMPUTED_VALUE"""),"Afecțiuni cardiovasculare")</f>
        <v>Afecțiuni cardiovasculare</v>
      </c>
      <c r="AJ28" s="7" t="str">
        <f ca="1">IFERROR(__xludf.DUMMYFUNCTION("""COMPUTED_VALUE"""),"Y")</f>
        <v>Y</v>
      </c>
      <c r="AK28" s="7" t="str">
        <f ca="1">IFERROR(__xludf.DUMMYFUNCTION("""COMPUTED_VALUE"""),"Y")</f>
        <v>Y</v>
      </c>
      <c r="AL28" s="7" t="str">
        <f ca="1">IFERROR(__xludf.DUMMYFUNCTION("""COMPUTED_VALUE"""),"N")</f>
        <v>N</v>
      </c>
      <c r="AM28" s="7" t="str">
        <f ca="1">IFERROR(__xludf.DUMMYFUNCTION("""COMPUTED_VALUE"""),"N")</f>
        <v>N</v>
      </c>
      <c r="AN28" s="7" t="str">
        <f ca="1">IFERROR(__xludf.DUMMYFUNCTION("""COMPUTED_VALUE"""),"N")</f>
        <v>N</v>
      </c>
      <c r="AO28" s="7" t="str">
        <f ca="1">IFERROR(__xludf.DUMMYFUNCTION("""COMPUTED_VALUE"""),"N")</f>
        <v>N</v>
      </c>
      <c r="AP28" s="7" t="str">
        <f ca="1">IFERROR(__xludf.DUMMYFUNCTION("""COMPUTED_VALUE"""),"N")</f>
        <v>N</v>
      </c>
      <c r="AQ28" s="7" t="str">
        <f ca="1">IFERROR(__xludf.DUMMYFUNCTION("""COMPUTED_VALUE"""),"N")</f>
        <v>N</v>
      </c>
      <c r="AR28" s="7" t="str">
        <f ca="1">IFERROR(__xludf.DUMMYFUNCTION("""COMPUTED_VALUE"""),"Y")</f>
        <v>Y</v>
      </c>
      <c r="AS28" s="7" t="str">
        <f ca="1">IFERROR(__xludf.DUMMYFUNCTION("""COMPUTED_VALUE"""),"N")</f>
        <v>N</v>
      </c>
      <c r="AT28" s="7" t="str">
        <f ca="1">IFERROR(__xludf.DUMMYFUNCTION("""COMPUTED_VALUE"""),"N")</f>
        <v>N</v>
      </c>
      <c r="AU28" s="3"/>
      <c r="AV28" s="3"/>
      <c r="AW28" s="3"/>
      <c r="AX28" s="3"/>
      <c r="AY28" s="3"/>
    </row>
    <row r="29" spans="1:51" ht="16.5" customHeight="1">
      <c r="A29" s="3">
        <f ca="1">IFERROR(__xludf.DUMMYFUNCTION("""COMPUTED_VALUE"""),15652)</f>
        <v>15652</v>
      </c>
      <c r="B29" s="3"/>
      <c r="C29" s="3">
        <f ca="1">IFERROR(__xludf.DUMMYFUNCTION("""COMPUTED_VALUE"""),1038)</f>
        <v>1038</v>
      </c>
      <c r="D29" s="3" t="str">
        <f ca="1">IFERROR(__xludf.DUMMYFUNCTION("""COMPUTED_VALUE"""),"Feminin")</f>
        <v>Feminin</v>
      </c>
      <c r="E29" s="4">
        <f ca="1">IFERROR(__xludf.DUMMYFUNCTION("""COMPUTED_VALUE"""),56)</f>
        <v>56</v>
      </c>
      <c r="F29" s="3" t="str">
        <f ca="1">IFERROR(__xludf.DUMMYFUNCTION("""COMPUTED_VALUE"""),"50-59 years")</f>
        <v>50-59 years</v>
      </c>
      <c r="G29" s="3" t="str">
        <f ca="1">IFERROR(__xludf.DUMMYFUNCTION("""COMPUTED_VALUE"""),"București")</f>
        <v>București</v>
      </c>
      <c r="H29" s="3"/>
      <c r="I29" s="3">
        <f ca="1">IFERROR(__xludf.DUMMYFUNCTION("""COMPUTED_VALUE"""),218)</f>
        <v>218</v>
      </c>
      <c r="J29" s="3" t="str">
        <f ca="1">IFERROR(__xludf.DUMMYFUNCTION("""COMPUTED_VALUE"""),"Comorbidități: cardiopatie ischemica cronică, HTA, bronșită cronica, insuficiență renală cronică, etilism cronic.")</f>
        <v>Comorbidități: cardiopatie ischemica cronică, HTA, bronșită cronica, insuficiență renală cronică, etilism cronic.</v>
      </c>
      <c r="K29" s="5">
        <f ca="1">IFERROR(__xludf.DUMMYFUNCTION("""COMPUTED_VALUE"""),43965)</f>
        <v>43965</v>
      </c>
      <c r="L29" s="5">
        <f ca="1">IFERROR(__xludf.DUMMYFUNCTION("""COMPUTED_VALUE"""),43964)</f>
        <v>43964</v>
      </c>
      <c r="M29" s="3" t="str">
        <f ca="1">IFERROR(__xludf.DUMMYFUNCTION("""COMPUTED_VALUE"""),"1")</f>
        <v>1</v>
      </c>
      <c r="N29" s="5"/>
      <c r="O29" s="5">
        <f ca="1">IFERROR(__xludf.DUMMYFUNCTION("""COMPUTED_VALUE"""),43963)</f>
        <v>43963</v>
      </c>
      <c r="P29" s="3" t="str">
        <f ca="1">IFERROR(__xludf.DUMMYFUNCTION("""COMPUTED_VALUE"""),"Necunoscut")</f>
        <v>Necunoscut</v>
      </c>
      <c r="Q29" s="3" t="str">
        <f ca="1">IFERROR(__xludf.DUMMYFUNCTION("""COMPUTED_VALUE"""),"1")</f>
        <v>1</v>
      </c>
      <c r="R29" s="3" t="str">
        <f ca="1">IFERROR(__xludf.DUMMYFUNCTION("""COMPUTED_VALUE"""),"Nu")</f>
        <v>Nu</v>
      </c>
      <c r="S29" s="3" t="str">
        <f ca="1">IFERROR(__xludf.DUMMYFUNCTION("""COMPUTED_VALUE"""),"?")</f>
        <v>?</v>
      </c>
      <c r="T29" s="3"/>
      <c r="U29" s="3" t="str">
        <f ca="1">IFERROR(__xludf.DUMMYFUNCTION("""COMPUTED_VALUE"""),"Nespecificat")</f>
        <v>Nespecificat</v>
      </c>
      <c r="V29" s="6" t="str">
        <f ca="1">IFERROR(__xludf.DUMMYFUNCTION("""COMPUTED_VALUE"""),"http://www.ms.ro/2020/05/14/decese-1037-1046/")</f>
        <v>http://www.ms.ro/2020/05/14/decese-1037-1046/</v>
      </c>
      <c r="W29" s="3" t="str">
        <f ca="1">IFERROR(__xludf.DUMMYFUNCTION("""COMPUTED_VALUE"""),"Nespecificat")</f>
        <v>Nespecificat</v>
      </c>
      <c r="X29" s="3"/>
      <c r="Y29" s="3" t="str">
        <f ca="1">IFERROR(__xludf.DUMMYFUNCTION("""COMPUTED_VALUE"""),"Nespecificat")</f>
        <v>Nespecificat</v>
      </c>
      <c r="Z29" s="3"/>
      <c r="AA29" s="3" t="str">
        <f ca="1">IFERROR(__xludf.DUMMYFUNCTION("""COMPUTED_VALUE"""),"Nespecificat")</f>
        <v>Nespecificat</v>
      </c>
      <c r="AB29" s="3" t="str">
        <f ca="1">IFERROR(__xludf.DUMMYFUNCTION("""COMPUTED_VALUE"""),"Femeie, 56 ani, municipiul București.
Dată confirmare:12.05.2020.
Dată deces: 13.05.2020.
Comorbidități: cardiopatie ischemica cronică, HTA, bronșită cronica, insuficiență renală cronică, etilism cronic.")</f>
        <v>Femeie, 56 ani, municipiul București.
Dată confirmare:12.05.2020.
Dată deces: 13.05.2020.
Comorbidități: cardiopatie ischemica cronică, HTA, bronșită cronica, insuficiență renală cronică, etilism cronic.</v>
      </c>
      <c r="AC29" s="3"/>
      <c r="AD29" s="3" t="str">
        <f ca="1">IFERROR(__xludf.DUMMYFUNCTION("""COMPUTED_VALUE"""),"MS")</f>
        <v>MS</v>
      </c>
      <c r="AE29" s="3"/>
      <c r="AF29" s="3"/>
      <c r="AG29" s="3" t="str">
        <f ca="1">IFERROR(__xludf.DUMMYFUNCTION("""COMPUTED_VALUE"""),"Nu")</f>
        <v>Nu</v>
      </c>
      <c r="AH29" s="3" t="str">
        <f ca="1">IFERROR(__xludf.DUMMYFUNCTION("""COMPUTED_VALUE"""),"Nu")</f>
        <v>Nu</v>
      </c>
      <c r="AI29" s="3" t="str">
        <f ca="1">IFERROR(__xludf.DUMMYFUNCTION("""COMPUTED_VALUE"""),"Afecțiuni cardiovasculare")</f>
        <v>Afecțiuni cardiovasculare</v>
      </c>
      <c r="AJ29" s="7" t="str">
        <f ca="1">IFERROR(__xludf.DUMMYFUNCTION("""COMPUTED_VALUE"""),"Y")</f>
        <v>Y</v>
      </c>
      <c r="AK29" s="7" t="str">
        <f ca="1">IFERROR(__xludf.DUMMYFUNCTION("""COMPUTED_VALUE"""),"N")</f>
        <v>N</v>
      </c>
      <c r="AL29" s="7" t="str">
        <f ca="1">IFERROR(__xludf.DUMMYFUNCTION("""COMPUTED_VALUE"""),"Y")</f>
        <v>Y</v>
      </c>
      <c r="AM29" s="7" t="str">
        <f ca="1">IFERROR(__xludf.DUMMYFUNCTION("""COMPUTED_VALUE"""),"Y")</f>
        <v>Y</v>
      </c>
      <c r="AN29" s="7" t="str">
        <f ca="1">IFERROR(__xludf.DUMMYFUNCTION("""COMPUTED_VALUE"""),"N")</f>
        <v>N</v>
      </c>
      <c r="AO29" s="7" t="str">
        <f ca="1">IFERROR(__xludf.DUMMYFUNCTION("""COMPUTED_VALUE"""),"Y")</f>
        <v>Y</v>
      </c>
      <c r="AP29" s="7" t="str">
        <f ca="1">IFERROR(__xludf.DUMMYFUNCTION("""COMPUTED_VALUE"""),"Y")</f>
        <v>Y</v>
      </c>
      <c r="AQ29" s="7" t="str">
        <f ca="1">IFERROR(__xludf.DUMMYFUNCTION("""COMPUTED_VALUE"""),"Y")</f>
        <v>Y</v>
      </c>
      <c r="AR29" s="7" t="str">
        <f ca="1">IFERROR(__xludf.DUMMYFUNCTION("""COMPUTED_VALUE"""),"N")</f>
        <v>N</v>
      </c>
      <c r="AS29" s="7" t="str">
        <f ca="1">IFERROR(__xludf.DUMMYFUNCTION("""COMPUTED_VALUE"""),"N")</f>
        <v>N</v>
      </c>
      <c r="AT29" s="7" t="str">
        <f ca="1">IFERROR(__xludf.DUMMYFUNCTION("""COMPUTED_VALUE"""),"N")</f>
        <v>N</v>
      </c>
      <c r="AU29" s="3"/>
      <c r="AV29" s="3"/>
      <c r="AW29" s="3"/>
      <c r="AX29" s="3"/>
      <c r="AY29" s="3"/>
    </row>
    <row r="30" spans="1:51" ht="16.5" customHeight="1">
      <c r="A30" s="3">
        <f ca="1">IFERROR(__xludf.DUMMYFUNCTION("""COMPUTED_VALUE"""),14554)</f>
        <v>14554</v>
      </c>
      <c r="B30" s="3"/>
      <c r="C30" s="3">
        <f ca="1">IFERROR(__xludf.DUMMYFUNCTION("""COMPUTED_VALUE"""),1032)</f>
        <v>1032</v>
      </c>
      <c r="D30" s="3" t="str">
        <f ca="1">IFERROR(__xludf.DUMMYFUNCTION("""COMPUTED_VALUE"""),"Feminin")</f>
        <v>Feminin</v>
      </c>
      <c r="E30" s="4">
        <f ca="1">IFERROR(__xludf.DUMMYFUNCTION("""COMPUTED_VALUE"""),70)</f>
        <v>70</v>
      </c>
      <c r="F30" s="3" t="str">
        <f ca="1">IFERROR(__xludf.DUMMYFUNCTION("""COMPUTED_VALUE"""),"70-79 years")</f>
        <v>70-79 years</v>
      </c>
      <c r="G30" s="3" t="str">
        <f ca="1">IFERROR(__xludf.DUMMYFUNCTION("""COMPUTED_VALUE"""),"București")</f>
        <v>București</v>
      </c>
      <c r="H30" s="3"/>
      <c r="I30" s="3">
        <f ca="1">IFERROR(__xludf.DUMMYFUNCTION("""COMPUTED_VALUE"""),672)</f>
        <v>672</v>
      </c>
      <c r="J30" s="3" t="str">
        <f ca="1">IFERROR(__xludf.DUMMYFUNCTION("""COMPUTED_VALUE"""),"Comorbidități: insuficienta cardiaca, HTA, boala aortica cu proteza
metalica, fibrilatie arteriala, hipertensiune pulmonara, bloc ramura stanga,
diabet zaharat tip II")</f>
        <v>Comorbidități: insuficienta cardiaca, HTA, boala aortica cu proteza
metalica, fibrilatie arteriala, hipertensiune pulmonara, bloc ramura stanga,
diabet zaharat tip II</v>
      </c>
      <c r="K30" s="5">
        <f ca="1">IFERROR(__xludf.DUMMYFUNCTION("""COMPUTED_VALUE"""),43964)</f>
        <v>43964</v>
      </c>
      <c r="L30" s="5">
        <f ca="1">IFERROR(__xludf.DUMMYFUNCTION("""COMPUTED_VALUE"""),43963)</f>
        <v>43963</v>
      </c>
      <c r="M30" s="3" t="str">
        <f ca="1">IFERROR(__xludf.DUMMYFUNCTION("""COMPUTED_VALUE"""),"1")</f>
        <v>1</v>
      </c>
      <c r="N30" s="5"/>
      <c r="O30" s="5">
        <f ca="1">IFERROR(__xludf.DUMMYFUNCTION("""COMPUTED_VALUE"""),43959)</f>
        <v>43959</v>
      </c>
      <c r="P30" s="3" t="str">
        <f ca="1">IFERROR(__xludf.DUMMYFUNCTION("""COMPUTED_VALUE"""),"Necunoscut")</f>
        <v>Necunoscut</v>
      </c>
      <c r="Q30" s="3" t="str">
        <f ca="1">IFERROR(__xludf.DUMMYFUNCTION("""COMPUTED_VALUE"""),"4")</f>
        <v>4</v>
      </c>
      <c r="R30" s="3" t="str">
        <f ca="1">IFERROR(__xludf.DUMMYFUNCTION("""COMPUTED_VALUE"""),"Nu")</f>
        <v>Nu</v>
      </c>
      <c r="S30" s="3" t="str">
        <f ca="1">IFERROR(__xludf.DUMMYFUNCTION("""COMPUTED_VALUE"""),"?")</f>
        <v>?</v>
      </c>
      <c r="T30" s="3"/>
      <c r="U30" s="3" t="str">
        <f ca="1">IFERROR(__xludf.DUMMYFUNCTION("""COMPUTED_VALUE"""),"Nespecificat")</f>
        <v>Nespecificat</v>
      </c>
      <c r="V30" s="6" t="str">
        <f ca="1">IFERROR(__xludf.DUMMYFUNCTION("""COMPUTED_VALUE"""),"http://www.ms.ro/2020/05/13/decese-1017-1030/")</f>
        <v>http://www.ms.ro/2020/05/13/decese-1017-1030/</v>
      </c>
      <c r="W30" s="3" t="str">
        <f ca="1">IFERROR(__xludf.DUMMYFUNCTION("""COMPUTED_VALUE"""),"Nespecificat")</f>
        <v>Nespecificat</v>
      </c>
      <c r="X30" s="3"/>
      <c r="Y30" s="3" t="str">
        <f ca="1">IFERROR(__xludf.DUMMYFUNCTION("""COMPUTED_VALUE"""),"Nespecificat")</f>
        <v>Nespecificat</v>
      </c>
      <c r="Z30" s="3"/>
      <c r="AA30" s="3" t="str">
        <f ca="1">IFERROR(__xludf.DUMMYFUNCTION("""COMPUTED_VALUE"""),"Nespecificat")</f>
        <v>Nespecificat</v>
      </c>
      <c r="AB30" s="3" t="str">
        <f ca="1">IFERROR(__xludf.DUMMYFUNCTION("""COMPUTED_VALUE"""),"Femeie, 70  ani, municipiul Bucuresti
Data confirmare:08.05.2020
Data deces: 12.05.2020
Comorbidități: insuficienta cardiaca, HTA, boala aortica cu proteza
metalica, fibrilatie arteriala, hipertensiune pulmonara, bloc ramura stanga,
diabet zaharat tip I"&amp;"I")</f>
        <v>Femeie, 70  ani, municipiul Bucuresti
Data confirmare:08.05.2020
Data deces: 12.05.2020
Comorbidități: insuficienta cardiaca, HTA, boala aortica cu proteza
metalica, fibrilatie arteriala, hipertensiune pulmonara, bloc ramura stanga,
diabet zaharat tip II</v>
      </c>
      <c r="AC30" s="3"/>
      <c r="AD30" s="3" t="str">
        <f ca="1">IFERROR(__xludf.DUMMYFUNCTION("""COMPUTED_VALUE"""),"MS")</f>
        <v>MS</v>
      </c>
      <c r="AE30" s="3"/>
      <c r="AF30" s="3"/>
      <c r="AG30" s="3" t="str">
        <f ca="1">IFERROR(__xludf.DUMMYFUNCTION("""COMPUTED_VALUE"""),"Nu")</f>
        <v>Nu</v>
      </c>
      <c r="AH30" s="3" t="str">
        <f ca="1">IFERROR(__xludf.DUMMYFUNCTION("""COMPUTED_VALUE"""),"Nu")</f>
        <v>Nu</v>
      </c>
      <c r="AI30" s="3" t="str">
        <f ca="1">IFERROR(__xludf.DUMMYFUNCTION("""COMPUTED_VALUE"""),"Afecțiuni cardiovasculare")</f>
        <v>Afecțiuni cardiovasculare</v>
      </c>
      <c r="AJ30" s="7" t="str">
        <f ca="1">IFERROR(__xludf.DUMMYFUNCTION("""COMPUTED_VALUE"""),"Y")</f>
        <v>Y</v>
      </c>
      <c r="AK30" s="7" t="str">
        <f ca="1">IFERROR(__xludf.DUMMYFUNCTION("""COMPUTED_VALUE"""),"Y")</f>
        <v>Y</v>
      </c>
      <c r="AL30" s="7" t="str">
        <f ca="1">IFERROR(__xludf.DUMMYFUNCTION("""COMPUTED_VALUE"""),"N")</f>
        <v>N</v>
      </c>
      <c r="AM30" s="7" t="str">
        <f ca="1">IFERROR(__xludf.DUMMYFUNCTION("""COMPUTED_VALUE"""),"Y")</f>
        <v>Y</v>
      </c>
      <c r="AN30" s="7" t="str">
        <f ca="1">IFERROR(__xludf.DUMMYFUNCTION("""COMPUTED_VALUE"""),"N")</f>
        <v>N</v>
      </c>
      <c r="AO30" s="7" t="str">
        <f ca="1">IFERROR(__xludf.DUMMYFUNCTION("""COMPUTED_VALUE"""),"N")</f>
        <v>N</v>
      </c>
      <c r="AP30" s="7" t="str">
        <f ca="1">IFERROR(__xludf.DUMMYFUNCTION("""COMPUTED_VALUE"""),"N")</f>
        <v>N</v>
      </c>
      <c r="AQ30" s="7" t="str">
        <f ca="1">IFERROR(__xludf.DUMMYFUNCTION("""COMPUTED_VALUE"""),"N")</f>
        <v>N</v>
      </c>
      <c r="AR30" s="7" t="str">
        <f ca="1">IFERROR(__xludf.DUMMYFUNCTION("""COMPUTED_VALUE"""),"N")</f>
        <v>N</v>
      </c>
      <c r="AS30" s="7" t="str">
        <f ca="1">IFERROR(__xludf.DUMMYFUNCTION("""COMPUTED_VALUE"""),"N")</f>
        <v>N</v>
      </c>
      <c r="AT30" s="7" t="str">
        <f ca="1">IFERROR(__xludf.DUMMYFUNCTION("""COMPUTED_VALUE"""),"N")</f>
        <v>N</v>
      </c>
      <c r="AU30" s="3"/>
      <c r="AV30" s="3"/>
      <c r="AW30" s="3"/>
      <c r="AX30" s="3"/>
      <c r="AY30" s="3"/>
    </row>
    <row r="31" spans="1:51" ht="16.5" customHeight="1">
      <c r="A31" s="3">
        <f ca="1">IFERROR(__xludf.DUMMYFUNCTION("""COMPUTED_VALUE"""),11665)</f>
        <v>11665</v>
      </c>
      <c r="B31" s="3"/>
      <c r="C31" s="3">
        <f ca="1">IFERROR(__xludf.DUMMYFUNCTION("""COMPUTED_VALUE"""),1031)</f>
        <v>1031</v>
      </c>
      <c r="D31" s="3" t="str">
        <f ca="1">IFERROR(__xludf.DUMMYFUNCTION("""COMPUTED_VALUE"""),"Feminin")</f>
        <v>Feminin</v>
      </c>
      <c r="E31" s="4">
        <f ca="1">IFERROR(__xludf.DUMMYFUNCTION("""COMPUTED_VALUE"""),80)</f>
        <v>80</v>
      </c>
      <c r="F31" s="3" t="str">
        <f ca="1">IFERROR(__xludf.DUMMYFUNCTION("""COMPUTED_VALUE"""),"Over 80 years")</f>
        <v>Over 80 years</v>
      </c>
      <c r="G31" s="3" t="str">
        <f ca="1">IFERROR(__xludf.DUMMYFUNCTION("""COMPUTED_VALUE"""),"București")</f>
        <v>București</v>
      </c>
      <c r="H31" s="3"/>
      <c r="I31" s="3">
        <f ca="1">IFERROR(__xludf.DUMMYFUNCTION("""COMPUTED_VALUE"""),1042)</f>
        <v>1042</v>
      </c>
      <c r="J31" s="3" t="str">
        <f ca="1">IFERROR(__xludf.DUMMYFUNCTION("""COMPUTED_VALUE"""),"Comorbidități: Insuficiență cardiacă cronică, cardiopatie ischemică, HTA, hipertensiune pulmonara, obezitate, tahicardie paroxistica
supraventriculara, diverticuloza colonica")</f>
        <v>Comorbidități: Insuficiență cardiacă cronică, cardiopatie ischemică, HTA, hipertensiune pulmonara, obezitate, tahicardie paroxistica
supraventriculara, diverticuloza colonica</v>
      </c>
      <c r="K31" s="5">
        <f ca="1">IFERROR(__xludf.DUMMYFUNCTION("""COMPUTED_VALUE"""),43964)</f>
        <v>43964</v>
      </c>
      <c r="L31" s="5">
        <f ca="1">IFERROR(__xludf.DUMMYFUNCTION("""COMPUTED_VALUE"""),43963)</f>
        <v>43963</v>
      </c>
      <c r="M31" s="3" t="str">
        <f ca="1">IFERROR(__xludf.DUMMYFUNCTION("""COMPUTED_VALUE"""),"1")</f>
        <v>1</v>
      </c>
      <c r="N31" s="5"/>
      <c r="O31" s="5">
        <f ca="1">IFERROR(__xludf.DUMMYFUNCTION("""COMPUTED_VALUE"""),43950)</f>
        <v>43950</v>
      </c>
      <c r="P31" s="3" t="str">
        <f ca="1">IFERROR(__xludf.DUMMYFUNCTION("""COMPUTED_VALUE"""),"Necunoscut")</f>
        <v>Necunoscut</v>
      </c>
      <c r="Q31" s="3" t="str">
        <f ca="1">IFERROR(__xludf.DUMMYFUNCTION("""COMPUTED_VALUE"""),"13")</f>
        <v>13</v>
      </c>
      <c r="R31" s="3" t="str">
        <f ca="1">IFERROR(__xludf.DUMMYFUNCTION("""COMPUTED_VALUE"""),"Nu")</f>
        <v>Nu</v>
      </c>
      <c r="S31" s="3" t="str">
        <f ca="1">IFERROR(__xludf.DUMMYFUNCTION("""COMPUTED_VALUE"""),"?")</f>
        <v>?</v>
      </c>
      <c r="T31" s="3"/>
      <c r="U31" s="3" t="str">
        <f ca="1">IFERROR(__xludf.DUMMYFUNCTION("""COMPUTED_VALUE"""),"Nespecificat")</f>
        <v>Nespecificat</v>
      </c>
      <c r="V31" s="6" t="str">
        <f ca="1">IFERROR(__xludf.DUMMYFUNCTION("""COMPUTED_VALUE"""),"http://www.ms.ro/2020/05/13/decese-1017-1030/")</f>
        <v>http://www.ms.ro/2020/05/13/decese-1017-1030/</v>
      </c>
      <c r="W31" s="3" t="str">
        <f ca="1">IFERROR(__xludf.DUMMYFUNCTION("""COMPUTED_VALUE"""),"Nespecificat")</f>
        <v>Nespecificat</v>
      </c>
      <c r="X31" s="3"/>
      <c r="Y31" s="3" t="str">
        <f ca="1">IFERROR(__xludf.DUMMYFUNCTION("""COMPUTED_VALUE"""),"Nespecificat")</f>
        <v>Nespecificat</v>
      </c>
      <c r="Z31" s="3"/>
      <c r="AA31" s="3" t="str">
        <f ca="1">IFERROR(__xludf.DUMMYFUNCTION("""COMPUTED_VALUE"""),"Nespecificat")</f>
        <v>Nespecificat</v>
      </c>
      <c r="AB31" s="3" t="str">
        <f ca="1">IFERROR(__xludf.DUMMYFUNCTION("""COMPUTED_VALUE"""),"Femeie, 80  ani, municipiul București.
Dată confirmare: 29.04.2020.
Dată deces: 12.05.2020.
Comorbidități: Insuficiență cardiacă cronică, cardiopatie ischemică, HTA, hipertensiune pulmonara, obezitate, tahicardie paroxistica
supraventriculara, diver"&amp;"ticuloza colonica")</f>
        <v>Femeie, 80  ani, municipiul București.
Dată confirmare: 29.04.2020.
Dată deces: 12.05.2020.
Comorbidități: Insuficiență cardiacă cronică, cardiopatie ischemică, HTA, hipertensiune pulmonara, obezitate, tahicardie paroxistica
supraventriculara, diverticuloza colonica</v>
      </c>
      <c r="AC31" s="3"/>
      <c r="AD31" s="3" t="str">
        <f ca="1">IFERROR(__xludf.DUMMYFUNCTION("""COMPUTED_VALUE"""),"MS")</f>
        <v>MS</v>
      </c>
      <c r="AE31" s="3"/>
      <c r="AF31" s="3"/>
      <c r="AG31" s="3" t="str">
        <f ca="1">IFERROR(__xludf.DUMMYFUNCTION("""COMPUTED_VALUE"""),"Nu")</f>
        <v>Nu</v>
      </c>
      <c r="AH31" s="3" t="str">
        <f ca="1">IFERROR(__xludf.DUMMYFUNCTION("""COMPUTED_VALUE"""),"Nu")</f>
        <v>Nu</v>
      </c>
      <c r="AI31" s="3" t="str">
        <f ca="1">IFERROR(__xludf.DUMMYFUNCTION("""COMPUTED_VALUE"""),"Afecțiuni cardiovasculare")</f>
        <v>Afecțiuni cardiovasculare</v>
      </c>
      <c r="AJ31" s="7" t="str">
        <f ca="1">IFERROR(__xludf.DUMMYFUNCTION("""COMPUTED_VALUE"""),"Y")</f>
        <v>Y</v>
      </c>
      <c r="AK31" s="7" t="str">
        <f ca="1">IFERROR(__xludf.DUMMYFUNCTION("""COMPUTED_VALUE"""),"N")</f>
        <v>N</v>
      </c>
      <c r="AL31" s="7" t="str">
        <f ca="1">IFERROR(__xludf.DUMMYFUNCTION("""COMPUTED_VALUE"""),"N")</f>
        <v>N</v>
      </c>
      <c r="AM31" s="7" t="str">
        <f ca="1">IFERROR(__xludf.DUMMYFUNCTION("""COMPUTED_VALUE"""),"Y")</f>
        <v>Y</v>
      </c>
      <c r="AN31" s="7" t="str">
        <f ca="1">IFERROR(__xludf.DUMMYFUNCTION("""COMPUTED_VALUE"""),"N")</f>
        <v>N</v>
      </c>
      <c r="AO31" s="7" t="str">
        <f ca="1">IFERROR(__xludf.DUMMYFUNCTION("""COMPUTED_VALUE"""),"N")</f>
        <v>N</v>
      </c>
      <c r="AP31" s="7" t="str">
        <f ca="1">IFERROR(__xludf.DUMMYFUNCTION("""COMPUTED_VALUE"""),"N")</f>
        <v>N</v>
      </c>
      <c r="AQ31" s="7" t="str">
        <f ca="1">IFERROR(__xludf.DUMMYFUNCTION("""COMPUTED_VALUE"""),"N")</f>
        <v>N</v>
      </c>
      <c r="AR31" s="7" t="str">
        <f ca="1">IFERROR(__xludf.DUMMYFUNCTION("""COMPUTED_VALUE"""),"Y")</f>
        <v>Y</v>
      </c>
      <c r="AS31" s="7" t="str">
        <f ca="1">IFERROR(__xludf.DUMMYFUNCTION("""COMPUTED_VALUE"""),"N")</f>
        <v>N</v>
      </c>
      <c r="AT31" s="7" t="str">
        <f ca="1">IFERROR(__xludf.DUMMYFUNCTION("""COMPUTED_VALUE"""),"N")</f>
        <v>N</v>
      </c>
      <c r="AU31" s="3"/>
      <c r="AV31" s="3"/>
      <c r="AW31" s="3"/>
      <c r="AX31" s="3"/>
      <c r="AY31" s="3"/>
    </row>
    <row r="32" spans="1:51" ht="16.5" customHeight="1">
      <c r="A32" s="3">
        <f ca="1">IFERROR(__xludf.DUMMYFUNCTION("""COMPUTED_VALUE"""),14867)</f>
        <v>14867</v>
      </c>
      <c r="B32" s="3"/>
      <c r="C32" s="3">
        <f ca="1">IFERROR(__xludf.DUMMYFUNCTION("""COMPUTED_VALUE"""),1002)</f>
        <v>1002</v>
      </c>
      <c r="D32" s="3" t="str">
        <f ca="1">IFERROR(__xludf.DUMMYFUNCTION("""COMPUTED_VALUE"""),"Feminin")</f>
        <v>Feminin</v>
      </c>
      <c r="E32" s="4">
        <f ca="1">IFERROR(__xludf.DUMMYFUNCTION("""COMPUTED_VALUE"""),74)</f>
        <v>74</v>
      </c>
      <c r="F32" s="3" t="str">
        <f ca="1">IFERROR(__xludf.DUMMYFUNCTION("""COMPUTED_VALUE"""),"70-79 years")</f>
        <v>70-79 years</v>
      </c>
      <c r="G32" s="3" t="str">
        <f ca="1">IFERROR(__xludf.DUMMYFUNCTION("""COMPUTED_VALUE"""),"București")</f>
        <v>București</v>
      </c>
      <c r="H32" s="3"/>
      <c r="I32" s="3">
        <f ca="1">IFERROR(__xludf.DUMMYFUNCTION("""COMPUTED_VALUE"""),830)</f>
        <v>830</v>
      </c>
      <c r="J32" s="3" t="str">
        <f ca="1">IFERROR(__xludf.DUMMYFUNCTION("""COMPUTED_VALUE"""),"Comorbidități: FA, ICC, Poliartrita reumatoidă.
")</f>
        <v xml:space="preserve">Comorbidități: FA, ICC, Poliartrita reumatoidă.
</v>
      </c>
      <c r="K32" s="5">
        <f ca="1">IFERROR(__xludf.DUMMYFUNCTION("""COMPUTED_VALUE"""),43963)</f>
        <v>43963</v>
      </c>
      <c r="L32" s="5">
        <f ca="1">IFERROR(__xludf.DUMMYFUNCTION("""COMPUTED_VALUE"""),43963)</f>
        <v>43963</v>
      </c>
      <c r="M32" s="3" t="str">
        <f ca="1">IFERROR(__xludf.DUMMYFUNCTION("""COMPUTED_VALUE"""),"0")</f>
        <v>0</v>
      </c>
      <c r="N32" s="5"/>
      <c r="O32" s="5">
        <f ca="1">IFERROR(__xludf.DUMMYFUNCTION("""COMPUTED_VALUE"""),43960)</f>
        <v>43960</v>
      </c>
      <c r="P32" s="3" t="str">
        <f ca="1">IFERROR(__xludf.DUMMYFUNCTION("""COMPUTED_VALUE"""),"Necunoscut")</f>
        <v>Necunoscut</v>
      </c>
      <c r="Q32" s="3" t="str">
        <f ca="1">IFERROR(__xludf.DUMMYFUNCTION("""COMPUTED_VALUE"""),"3")</f>
        <v>3</v>
      </c>
      <c r="R32" s="3" t="str">
        <f ca="1">IFERROR(__xludf.DUMMYFUNCTION("""COMPUTED_VALUE"""),"Nu")</f>
        <v>Nu</v>
      </c>
      <c r="S32" s="3" t="str">
        <f ca="1">IFERROR(__xludf.DUMMYFUNCTION("""COMPUTED_VALUE"""),"?")</f>
        <v>?</v>
      </c>
      <c r="T32" s="3"/>
      <c r="U32" s="3" t="str">
        <f ca="1">IFERROR(__xludf.DUMMYFUNCTION("""COMPUTED_VALUE"""),"Nespecificat")</f>
        <v>Nespecificat</v>
      </c>
      <c r="V32" s="6" t="str">
        <f ca="1">IFERROR(__xludf.DUMMYFUNCTION("""COMPUTED_VALUE"""),"http://www.ms.ro/2020/05/12/decese-992-1002/")</f>
        <v>http://www.ms.ro/2020/05/12/decese-992-1002/</v>
      </c>
      <c r="W32" s="3" t="str">
        <f ca="1">IFERROR(__xludf.DUMMYFUNCTION("""COMPUTED_VALUE"""),"Nespecificat")</f>
        <v>Nespecificat</v>
      </c>
      <c r="X32" s="3"/>
      <c r="Y32" s="3" t="str">
        <f ca="1">IFERROR(__xludf.DUMMYFUNCTION("""COMPUTED_VALUE"""),"Nespecificat")</f>
        <v>Nespecificat</v>
      </c>
      <c r="Z32" s="3"/>
      <c r="AA32" s="3" t="str">
        <f ca="1">IFERROR(__xludf.DUMMYFUNCTION("""COMPUTED_VALUE"""),"Nespecificat")</f>
        <v>Nespecificat</v>
      </c>
      <c r="AB32" s="3" t="str">
        <f ca="1">IFERROR(__xludf.DUMMYFUNCTION("""COMPUTED_VALUE"""),"Femeie, 74 ani, municipiul București.
Dată confirmare: 09.05.2020.
Dată deces: 12.05.2020
Comorbidități: FA, ICC, Poliartrita reumatoidă.
")</f>
        <v xml:space="preserve">Femeie, 74 ani, municipiul București.
Dată confirmare: 09.05.2020.
Dată deces: 12.05.2020
Comorbidități: FA, ICC, Poliartrita reumatoidă.
</v>
      </c>
      <c r="AC32" s="3"/>
      <c r="AD32" s="3" t="str">
        <f ca="1">IFERROR(__xludf.DUMMYFUNCTION("""COMPUTED_VALUE"""),"MS")</f>
        <v>MS</v>
      </c>
      <c r="AE32" s="3"/>
      <c r="AF32" s="3"/>
      <c r="AG32" s="3" t="str">
        <f ca="1">IFERROR(__xludf.DUMMYFUNCTION("""COMPUTED_VALUE"""),"Nu")</f>
        <v>Nu</v>
      </c>
      <c r="AH32" s="3" t="str">
        <f ca="1">IFERROR(__xludf.DUMMYFUNCTION("""COMPUTED_VALUE"""),"Nu")</f>
        <v>Nu</v>
      </c>
      <c r="AI32" s="3" t="str">
        <f ca="1">IFERROR(__xludf.DUMMYFUNCTION("""COMPUTED_VALUE"""),"Afecțiuni cardiovasculare")</f>
        <v>Afecțiuni cardiovasculare</v>
      </c>
      <c r="AJ32" s="7" t="str">
        <f ca="1">IFERROR(__xludf.DUMMYFUNCTION("""COMPUTED_VALUE"""),"Y")</f>
        <v>Y</v>
      </c>
      <c r="AK32" s="7" t="str">
        <f ca="1">IFERROR(__xludf.DUMMYFUNCTION("""COMPUTED_VALUE"""),"N")</f>
        <v>N</v>
      </c>
      <c r="AL32" s="7" t="str">
        <f ca="1">IFERROR(__xludf.DUMMYFUNCTION("""COMPUTED_VALUE"""),"N")</f>
        <v>N</v>
      </c>
      <c r="AM32" s="7" t="str">
        <f ca="1">IFERROR(__xludf.DUMMYFUNCTION("""COMPUTED_VALUE"""),"N")</f>
        <v>N</v>
      </c>
      <c r="AN32" s="7" t="str">
        <f ca="1">IFERROR(__xludf.DUMMYFUNCTION("""COMPUTED_VALUE"""),"N")</f>
        <v>N</v>
      </c>
      <c r="AO32" s="7" t="str">
        <f ca="1">IFERROR(__xludf.DUMMYFUNCTION("""COMPUTED_VALUE"""),"N")</f>
        <v>N</v>
      </c>
      <c r="AP32" s="7" t="str">
        <f ca="1">IFERROR(__xludf.DUMMYFUNCTION("""COMPUTED_VALUE"""),"N")</f>
        <v>N</v>
      </c>
      <c r="AQ32" s="7" t="str">
        <f ca="1">IFERROR(__xludf.DUMMYFUNCTION("""COMPUTED_VALUE"""),"N")</f>
        <v>N</v>
      </c>
      <c r="AR32" s="7" t="str">
        <f ca="1">IFERROR(__xludf.DUMMYFUNCTION("""COMPUTED_VALUE"""),"N")</f>
        <v>N</v>
      </c>
      <c r="AS32" s="7" t="str">
        <f ca="1">IFERROR(__xludf.DUMMYFUNCTION("""COMPUTED_VALUE"""),"N")</f>
        <v>N</v>
      </c>
      <c r="AT32" s="7" t="str">
        <f ca="1">IFERROR(__xludf.DUMMYFUNCTION("""COMPUTED_VALUE"""),"N")</f>
        <v>N</v>
      </c>
      <c r="AU32" s="3"/>
      <c r="AV32" s="3"/>
      <c r="AW32" s="3"/>
      <c r="AX32" s="3"/>
      <c r="AY32" s="3"/>
    </row>
    <row r="33" spans="1:51" ht="16.5" customHeight="1">
      <c r="A33" s="3">
        <f ca="1">IFERROR(__xludf.DUMMYFUNCTION("""COMPUTED_VALUE"""),10461)</f>
        <v>10461</v>
      </c>
      <c r="B33" s="3"/>
      <c r="C33" s="3">
        <f ca="1">IFERROR(__xludf.DUMMYFUNCTION("""COMPUTED_VALUE"""),999)</f>
        <v>999</v>
      </c>
      <c r="D33" s="3" t="str">
        <f ca="1">IFERROR(__xludf.DUMMYFUNCTION("""COMPUTED_VALUE"""),"Masculin")</f>
        <v>Masculin</v>
      </c>
      <c r="E33" s="4">
        <f ca="1">IFERROR(__xludf.DUMMYFUNCTION("""COMPUTED_VALUE"""),71)</f>
        <v>71</v>
      </c>
      <c r="F33" s="3" t="str">
        <f ca="1">IFERROR(__xludf.DUMMYFUNCTION("""COMPUTED_VALUE"""),"70-79 years")</f>
        <v>70-79 years</v>
      </c>
      <c r="G33" s="3" t="str">
        <f ca="1">IFERROR(__xludf.DUMMYFUNCTION("""COMPUTED_VALUE"""),"București")</f>
        <v>București</v>
      </c>
      <c r="H33" s="3"/>
      <c r="I33" s="3">
        <f ca="1">IFERROR(__xludf.DUMMYFUNCTION("""COMPUTED_VALUE"""),728)</f>
        <v>728</v>
      </c>
      <c r="J33" s="3" t="str">
        <f ca="1">IFERROR(__xludf.DUMMYFUNCTION("""COMPUTED_VALUE"""),"Comorbidități: Insuficiență renală cronică-dializă, Hepatită virală cronică C, Ateroscleroza aortica și a arterei")</f>
        <v>Comorbidități: Insuficiență renală cronică-dializă, Hepatită virală cronică C, Ateroscleroza aortica și a arterei</v>
      </c>
      <c r="K33" s="5">
        <f ca="1">IFERROR(__xludf.DUMMYFUNCTION("""COMPUTED_VALUE"""),43963)</f>
        <v>43963</v>
      </c>
      <c r="L33" s="5">
        <f ca="1">IFERROR(__xludf.DUMMYFUNCTION("""COMPUTED_VALUE"""),43961)</f>
        <v>43961</v>
      </c>
      <c r="M33" s="3" t="str">
        <f ca="1">IFERROR(__xludf.DUMMYFUNCTION("""COMPUTED_VALUE"""),"2")</f>
        <v>2</v>
      </c>
      <c r="N33" s="5"/>
      <c r="O33" s="5">
        <f ca="1">IFERROR(__xludf.DUMMYFUNCTION("""COMPUTED_VALUE"""),43946)</f>
        <v>43946</v>
      </c>
      <c r="P33" s="3" t="str">
        <f ca="1">IFERROR(__xludf.DUMMYFUNCTION("""COMPUTED_VALUE"""),"Necunoscut")</f>
        <v>Necunoscut</v>
      </c>
      <c r="Q33" s="3" t="str">
        <f ca="1">IFERROR(__xludf.DUMMYFUNCTION("""COMPUTED_VALUE"""),"15")</f>
        <v>15</v>
      </c>
      <c r="R33" s="3" t="str">
        <f ca="1">IFERROR(__xludf.DUMMYFUNCTION("""COMPUTED_VALUE"""),"Nu")</f>
        <v>Nu</v>
      </c>
      <c r="S33" s="3" t="str">
        <f ca="1">IFERROR(__xludf.DUMMYFUNCTION("""COMPUTED_VALUE"""),"?")</f>
        <v>?</v>
      </c>
      <c r="T33" s="3"/>
      <c r="U33" s="3" t="str">
        <f ca="1">IFERROR(__xludf.DUMMYFUNCTION("""COMPUTED_VALUE"""),"Nespecificat")</f>
        <v>Nespecificat</v>
      </c>
      <c r="V33" s="6" t="str">
        <f ca="1">IFERROR(__xludf.DUMMYFUNCTION("""COMPUTED_VALUE"""),"http://www.ms.ro/2020/05/12/decese-992-1002/")</f>
        <v>http://www.ms.ro/2020/05/12/decese-992-1002/</v>
      </c>
      <c r="W33" s="3" t="str">
        <f ca="1">IFERROR(__xludf.DUMMYFUNCTION("""COMPUTED_VALUE"""),"Nespecificat")</f>
        <v>Nespecificat</v>
      </c>
      <c r="X33" s="3"/>
      <c r="Y33" s="3" t="str">
        <f ca="1">IFERROR(__xludf.DUMMYFUNCTION("""COMPUTED_VALUE"""),"Nespecificat")</f>
        <v>Nespecificat</v>
      </c>
      <c r="Z33" s="3"/>
      <c r="AA33" s="3" t="str">
        <f ca="1">IFERROR(__xludf.DUMMYFUNCTION("""COMPUTED_VALUE"""),"Nespecificat")</f>
        <v>Nespecificat</v>
      </c>
      <c r="AB33" s="3" t="str">
        <f ca="1">IFERROR(__xludf.DUMMYFUNCTION("""COMPUTED_VALUE"""),"Bărbat, 71 ani, municipiul București.
Dată confirmare: 25.04.2020.
Dată deces: 10.05.2020.
Comorbidități: Insuficiență renală cronică-dializă, Hepatită virală cronică C, Ateroscleroza aortica și a arterei")</f>
        <v>Bărbat, 71 ani, municipiul București.
Dată confirmare: 25.04.2020.
Dată deces: 10.05.2020.
Comorbidități: Insuficiență renală cronică-dializă, Hepatită virală cronică C, Ateroscleroza aortica și a arterei</v>
      </c>
      <c r="AC33" s="3"/>
      <c r="AD33" s="3" t="str">
        <f ca="1">IFERROR(__xludf.DUMMYFUNCTION("""COMPUTED_VALUE"""),"MS")</f>
        <v>MS</v>
      </c>
      <c r="AE33" s="3"/>
      <c r="AF33" s="3"/>
      <c r="AG33" s="3" t="str">
        <f ca="1">IFERROR(__xludf.DUMMYFUNCTION("""COMPUTED_VALUE"""),"Nu")</f>
        <v>Nu</v>
      </c>
      <c r="AH33" s="3" t="str">
        <f ca="1">IFERROR(__xludf.DUMMYFUNCTION("""COMPUTED_VALUE"""),"Nu")</f>
        <v>Nu</v>
      </c>
      <c r="AI33" s="3" t="str">
        <f ca="1">IFERROR(__xludf.DUMMYFUNCTION("""COMPUTED_VALUE"""),"Afecțiuni cardiovasculare")</f>
        <v>Afecțiuni cardiovasculare</v>
      </c>
      <c r="AJ33" s="7" t="str">
        <f ca="1">IFERROR(__xludf.DUMMYFUNCTION("""COMPUTED_VALUE"""),"Y")</f>
        <v>Y</v>
      </c>
      <c r="AK33" s="7" t="str">
        <f ca="1">IFERROR(__xludf.DUMMYFUNCTION("""COMPUTED_VALUE"""),"N")</f>
        <v>N</v>
      </c>
      <c r="AL33" s="7" t="str">
        <f ca="1">IFERROR(__xludf.DUMMYFUNCTION("""COMPUTED_VALUE"""),"Y")</f>
        <v>Y</v>
      </c>
      <c r="AM33" s="7" t="str">
        <f ca="1">IFERROR(__xludf.DUMMYFUNCTION("""COMPUTED_VALUE"""),"N")</f>
        <v>N</v>
      </c>
      <c r="AN33" s="7" t="str">
        <f ca="1">IFERROR(__xludf.DUMMYFUNCTION("""COMPUTED_VALUE"""),"N")</f>
        <v>N</v>
      </c>
      <c r="AO33" s="7" t="str">
        <f ca="1">IFERROR(__xludf.DUMMYFUNCTION("""COMPUTED_VALUE"""),"N")</f>
        <v>N</v>
      </c>
      <c r="AP33" s="7" t="str">
        <f ca="1">IFERROR(__xludf.DUMMYFUNCTION("""COMPUTED_VALUE"""),"Y")</f>
        <v>Y</v>
      </c>
      <c r="AQ33" s="7" t="str">
        <f ca="1">IFERROR(__xludf.DUMMYFUNCTION("""COMPUTED_VALUE"""),"Y")</f>
        <v>Y</v>
      </c>
      <c r="AR33" s="7" t="str">
        <f ca="1">IFERROR(__xludf.DUMMYFUNCTION("""COMPUTED_VALUE"""),"N")</f>
        <v>N</v>
      </c>
      <c r="AS33" s="7" t="str">
        <f ca="1">IFERROR(__xludf.DUMMYFUNCTION("""COMPUTED_VALUE"""),"N")</f>
        <v>N</v>
      </c>
      <c r="AT33" s="7" t="str">
        <f ca="1">IFERROR(__xludf.DUMMYFUNCTION("""COMPUTED_VALUE"""),"N")</f>
        <v>N</v>
      </c>
      <c r="AU33" s="3"/>
      <c r="AV33" s="3"/>
      <c r="AW33" s="3"/>
      <c r="AX33" s="3"/>
      <c r="AY33" s="3"/>
    </row>
    <row r="34" spans="1:51" ht="16.5" customHeight="1">
      <c r="A34" s="3">
        <f ca="1">IFERROR(__xludf.DUMMYFUNCTION("""COMPUTED_VALUE"""),15199)</f>
        <v>15199</v>
      </c>
      <c r="B34" s="3"/>
      <c r="C34" s="3">
        <f ca="1">IFERROR(__xludf.DUMMYFUNCTION("""COMPUTED_VALUE"""),980)</f>
        <v>980</v>
      </c>
      <c r="D34" s="3" t="str">
        <f ca="1">IFERROR(__xludf.DUMMYFUNCTION("""COMPUTED_VALUE"""),"Feminin")</f>
        <v>Feminin</v>
      </c>
      <c r="E34" s="4">
        <f ca="1">IFERROR(__xludf.DUMMYFUNCTION("""COMPUTED_VALUE"""),61)</f>
        <v>61</v>
      </c>
      <c r="F34" s="3" t="str">
        <f ca="1">IFERROR(__xludf.DUMMYFUNCTION("""COMPUTED_VALUE"""),"60-69 years")</f>
        <v>60-69 years</v>
      </c>
      <c r="G34" s="3" t="str">
        <f ca="1">IFERROR(__xludf.DUMMYFUNCTION("""COMPUTED_VALUE"""),"București")</f>
        <v>București</v>
      </c>
      <c r="H34" s="3"/>
      <c r="I34" s="3">
        <f ca="1">IFERROR(__xludf.DUMMYFUNCTION("""COMPUTED_VALUE"""),342)</f>
        <v>342</v>
      </c>
      <c r="J34" s="3" t="str">
        <f ca="1">IFERROR(__xludf.DUMMYFUNCTION("""COMPUTED_VALUE"""),"Comorbidități: Encefalopatie hepatica decompensate vascular și parenhimatos, Insuficiență renală.")</f>
        <v>Comorbidități: Encefalopatie hepatica decompensate vascular și parenhimatos, Insuficiență renală.</v>
      </c>
      <c r="K34" s="5">
        <f ca="1">IFERROR(__xludf.DUMMYFUNCTION("""COMPUTED_VALUE"""),43962)</f>
        <v>43962</v>
      </c>
      <c r="L34" s="5">
        <f ca="1">IFERROR(__xludf.DUMMYFUNCTION("""COMPUTED_VALUE"""),43961)</f>
        <v>43961</v>
      </c>
      <c r="M34" s="3" t="str">
        <f ca="1">IFERROR(__xludf.DUMMYFUNCTION("""COMPUTED_VALUE"""),"1")</f>
        <v>1</v>
      </c>
      <c r="N34" s="5"/>
      <c r="O34" s="5">
        <f ca="1">IFERROR(__xludf.DUMMYFUNCTION("""COMPUTED_VALUE"""),43961)</f>
        <v>43961</v>
      </c>
      <c r="P34" s="3" t="str">
        <f ca="1">IFERROR(__xludf.DUMMYFUNCTION("""COMPUTED_VALUE"""),"Necunoscut")</f>
        <v>Necunoscut</v>
      </c>
      <c r="Q34" s="3" t="str">
        <f ca="1">IFERROR(__xludf.DUMMYFUNCTION("""COMPUTED_VALUE"""),"0")</f>
        <v>0</v>
      </c>
      <c r="R34" s="3" t="str">
        <f ca="1">IFERROR(__xludf.DUMMYFUNCTION("""COMPUTED_VALUE"""),"Nu")</f>
        <v>Nu</v>
      </c>
      <c r="S34" s="3" t="str">
        <f ca="1">IFERROR(__xludf.DUMMYFUNCTION("""COMPUTED_VALUE"""),"?")</f>
        <v>?</v>
      </c>
      <c r="T34" s="3"/>
      <c r="U34" s="3" t="str">
        <f ca="1">IFERROR(__xludf.DUMMYFUNCTION("""COMPUTED_VALUE"""),"Nespecificat")</f>
        <v>Nespecificat</v>
      </c>
      <c r="V34" s="6" t="str">
        <f ca="1">IFERROR(__xludf.DUMMYFUNCTION("""COMPUTED_VALUE"""),"http://www.ms.ro/2020/05/11/decese-973-982/")</f>
        <v>http://www.ms.ro/2020/05/11/decese-973-982/</v>
      </c>
      <c r="W34" s="3" t="str">
        <f ca="1">IFERROR(__xludf.DUMMYFUNCTION("""COMPUTED_VALUE"""),"Nespecificat")</f>
        <v>Nespecificat</v>
      </c>
      <c r="X34" s="3"/>
      <c r="Y34" s="3" t="str">
        <f ca="1">IFERROR(__xludf.DUMMYFUNCTION("""COMPUTED_VALUE"""),"Nespecificat")</f>
        <v>Nespecificat</v>
      </c>
      <c r="Z34" s="3"/>
      <c r="AA34" s="3" t="str">
        <f ca="1">IFERROR(__xludf.DUMMYFUNCTION("""COMPUTED_VALUE"""),"Nespecificat")</f>
        <v>Nespecificat</v>
      </c>
      <c r="AB34" s="3" t="str">
        <f ca="1">IFERROR(__xludf.DUMMYFUNCTION("""COMPUTED_VALUE"""),"Femeie, 61 ani, București.
Dată confirmare: 10.05.2020.
Dată deces: 10.05.2020.
Comorbidități: Encefalopatie hepatica decompensate vascular și parenhimatos, Insuficiență renală.")</f>
        <v>Femeie, 61 ani, București.
Dată confirmare: 10.05.2020.
Dată deces: 10.05.2020.
Comorbidități: Encefalopatie hepatica decompensate vascular și parenhimatos, Insuficiență renală.</v>
      </c>
      <c r="AC34" s="3"/>
      <c r="AD34" s="3" t="str">
        <f ca="1">IFERROR(__xludf.DUMMYFUNCTION("""COMPUTED_VALUE"""),"MS")</f>
        <v>MS</v>
      </c>
      <c r="AE34" s="3"/>
      <c r="AF34" s="3"/>
      <c r="AG34" s="3" t="str">
        <f ca="1">IFERROR(__xludf.DUMMYFUNCTION("""COMPUTED_VALUE"""),"Nu")</f>
        <v>Nu</v>
      </c>
      <c r="AH34" s="3" t="str">
        <f ca="1">IFERROR(__xludf.DUMMYFUNCTION("""COMPUTED_VALUE"""),"Nu")</f>
        <v>Nu</v>
      </c>
      <c r="AI34" s="3" t="str">
        <f ca="1">IFERROR(__xludf.DUMMYFUNCTION("""COMPUTED_VALUE"""),"Afecțiuni renale")</f>
        <v>Afecțiuni renale</v>
      </c>
      <c r="AJ34" s="7" t="str">
        <f ca="1">IFERROR(__xludf.DUMMYFUNCTION("""COMPUTED_VALUE"""),"N")</f>
        <v>N</v>
      </c>
      <c r="AK34" s="7" t="str">
        <f ca="1">IFERROR(__xludf.DUMMYFUNCTION("""COMPUTED_VALUE"""),"N")</f>
        <v>N</v>
      </c>
      <c r="AL34" s="7" t="str">
        <f ca="1">IFERROR(__xludf.DUMMYFUNCTION("""COMPUTED_VALUE"""),"Y")</f>
        <v>Y</v>
      </c>
      <c r="AM34" s="7" t="str">
        <f ca="1">IFERROR(__xludf.DUMMYFUNCTION("""COMPUTED_VALUE"""),"N")</f>
        <v>N</v>
      </c>
      <c r="AN34" s="7" t="str">
        <f ca="1">IFERROR(__xludf.DUMMYFUNCTION("""COMPUTED_VALUE"""),"N")</f>
        <v>N</v>
      </c>
      <c r="AO34" s="7" t="str">
        <f ca="1">IFERROR(__xludf.DUMMYFUNCTION("""COMPUTED_VALUE"""),"N")</f>
        <v>N</v>
      </c>
      <c r="AP34" s="7" t="str">
        <f ca="1">IFERROR(__xludf.DUMMYFUNCTION("""COMPUTED_VALUE"""),"Y")</f>
        <v>Y</v>
      </c>
      <c r="AQ34" s="7" t="str">
        <f ca="1">IFERROR(__xludf.DUMMYFUNCTION("""COMPUTED_VALUE"""),"Y")</f>
        <v>Y</v>
      </c>
      <c r="AR34" s="7" t="str">
        <f ca="1">IFERROR(__xludf.DUMMYFUNCTION("""COMPUTED_VALUE"""),"N")</f>
        <v>N</v>
      </c>
      <c r="AS34" s="7" t="str">
        <f ca="1">IFERROR(__xludf.DUMMYFUNCTION("""COMPUTED_VALUE"""),"N")</f>
        <v>N</v>
      </c>
      <c r="AT34" s="7" t="str">
        <f ca="1">IFERROR(__xludf.DUMMYFUNCTION("""COMPUTED_VALUE"""),"N")</f>
        <v>N</v>
      </c>
      <c r="AU34" s="3"/>
      <c r="AV34" s="3"/>
      <c r="AW34" s="3"/>
      <c r="AX34" s="3"/>
      <c r="AY34" s="3"/>
    </row>
    <row r="35" spans="1:51" ht="16.5" customHeight="1">
      <c r="A35" s="3">
        <f ca="1">IFERROR(__xludf.DUMMYFUNCTION("""COMPUTED_VALUE"""),12856)</f>
        <v>12856</v>
      </c>
      <c r="B35" s="3"/>
      <c r="C35" s="3">
        <f ca="1">IFERROR(__xludf.DUMMYFUNCTION("""COMPUTED_VALUE"""),972)</f>
        <v>972</v>
      </c>
      <c r="D35" s="3" t="str">
        <f ca="1">IFERROR(__xludf.DUMMYFUNCTION("""COMPUTED_VALUE"""),"Masculin")</f>
        <v>Masculin</v>
      </c>
      <c r="E35" s="4">
        <f ca="1">IFERROR(__xludf.DUMMYFUNCTION("""COMPUTED_VALUE"""),82)</f>
        <v>82</v>
      </c>
      <c r="F35" s="3" t="str">
        <f ca="1">IFERROR(__xludf.DUMMYFUNCTION("""COMPUTED_VALUE"""),"Over 80 years")</f>
        <v>Over 80 years</v>
      </c>
      <c r="G35" s="3" t="str">
        <f ca="1">IFERROR(__xludf.DUMMYFUNCTION("""COMPUTED_VALUE"""),"București")</f>
        <v>București</v>
      </c>
      <c r="H35" s="3"/>
      <c r="I35" s="3">
        <f ca="1">IFERROR(__xludf.DUMMYFUNCTION("""COMPUTED_VALUE"""),1119)</f>
        <v>1119</v>
      </c>
      <c r="J35" s="3" t="str">
        <f ca="1">IFERROR(__xludf.DUMMYFUNCTION("""COMPUTED_VALUE"""),"Ciroză hepatică decompensată.")</f>
        <v>Ciroză hepatică decompensată.</v>
      </c>
      <c r="K35" s="5">
        <f ca="1">IFERROR(__xludf.DUMMYFUNCTION("""COMPUTED_VALUE"""),43962)</f>
        <v>43962</v>
      </c>
      <c r="L35" s="5">
        <f ca="1">IFERROR(__xludf.DUMMYFUNCTION("""COMPUTED_VALUE"""),43961)</f>
        <v>43961</v>
      </c>
      <c r="M35" s="3" t="str">
        <f ca="1">IFERROR(__xludf.DUMMYFUNCTION("""COMPUTED_VALUE"""),"1")</f>
        <v>1</v>
      </c>
      <c r="N35" s="5"/>
      <c r="O35" s="5">
        <f ca="1">IFERROR(__xludf.DUMMYFUNCTION("""COMPUTED_VALUE"""),43954)</f>
        <v>43954</v>
      </c>
      <c r="P35" s="3" t="str">
        <f ca="1">IFERROR(__xludf.DUMMYFUNCTION("""COMPUTED_VALUE"""),"Necunoscut")</f>
        <v>Necunoscut</v>
      </c>
      <c r="Q35" s="3" t="str">
        <f ca="1">IFERROR(__xludf.DUMMYFUNCTION("""COMPUTED_VALUE"""),"7")</f>
        <v>7</v>
      </c>
      <c r="R35" s="3" t="str">
        <f ca="1">IFERROR(__xludf.DUMMYFUNCTION("""COMPUTED_VALUE"""),"Nu")</f>
        <v>Nu</v>
      </c>
      <c r="S35" s="3" t="str">
        <f ca="1">IFERROR(__xludf.DUMMYFUNCTION("""COMPUTED_VALUE"""),"?")</f>
        <v>?</v>
      </c>
      <c r="T35" s="3"/>
      <c r="U35" s="3" t="str">
        <f ca="1">IFERROR(__xludf.DUMMYFUNCTION("""COMPUTED_VALUE"""),"Nespecificat")</f>
        <v>Nespecificat</v>
      </c>
      <c r="V35" s="6" t="str">
        <f ca="1">IFERROR(__xludf.DUMMYFUNCTION("""COMPUTED_VALUE"""),"http://www.ms.ro/2020/05/11/decese-962-972/")</f>
        <v>http://www.ms.ro/2020/05/11/decese-962-972/</v>
      </c>
      <c r="W35" s="3" t="str">
        <f ca="1">IFERROR(__xludf.DUMMYFUNCTION("""COMPUTED_VALUE"""),"Nespecificat")</f>
        <v>Nespecificat</v>
      </c>
      <c r="X35" s="3"/>
      <c r="Y35" s="3" t="str">
        <f ca="1">IFERROR(__xludf.DUMMYFUNCTION("""COMPUTED_VALUE"""),"Nespecificat")</f>
        <v>Nespecificat</v>
      </c>
      <c r="Z35" s="3"/>
      <c r="AA35" s="3" t="str">
        <f ca="1">IFERROR(__xludf.DUMMYFUNCTION("""COMPUTED_VALUE"""),"Nespecificat")</f>
        <v>Nespecificat</v>
      </c>
      <c r="AB35" s="3" t="str">
        <f ca="1">IFERROR(__xludf.DUMMYFUNCTION("""COMPUTED_VALUE"""),"Bărbat, 82 ani, București. 
Dată confirmare: 03.05.2020. 
Dată deces: 10.05.2020. 
Comorbidități: Ciroză hepatică decompensată.")</f>
        <v>Bărbat, 82 ani, București. 
Dată confirmare: 03.05.2020. 
Dată deces: 10.05.2020. 
Comorbidități: Ciroză hepatică decompensată.</v>
      </c>
      <c r="AC35" s="3"/>
      <c r="AD35" s="3" t="str">
        <f ca="1">IFERROR(__xludf.DUMMYFUNCTION("""COMPUTED_VALUE"""),"MS")</f>
        <v>MS</v>
      </c>
      <c r="AE35" s="3"/>
      <c r="AF35" s="3"/>
      <c r="AG35" s="3" t="str">
        <f ca="1">IFERROR(__xludf.DUMMYFUNCTION("""COMPUTED_VALUE"""),"Nu")</f>
        <v>Nu</v>
      </c>
      <c r="AH35" s="3" t="str">
        <f ca="1">IFERROR(__xludf.DUMMYFUNCTION("""COMPUTED_VALUE"""),"Nu")</f>
        <v>Nu</v>
      </c>
      <c r="AI35" s="3" t="str">
        <f ca="1">IFERROR(__xludf.DUMMYFUNCTION("""COMPUTED_VALUE"""),"Afecțiuni Hepatice")</f>
        <v>Afecțiuni Hepatice</v>
      </c>
      <c r="AJ35" s="7" t="str">
        <f ca="1">IFERROR(__xludf.DUMMYFUNCTION("""COMPUTED_VALUE"""),"N")</f>
        <v>N</v>
      </c>
      <c r="AK35" s="7" t="str">
        <f ca="1">IFERROR(__xludf.DUMMYFUNCTION("""COMPUTED_VALUE"""),"N")</f>
        <v>N</v>
      </c>
      <c r="AL35" s="7" t="str">
        <f ca="1">IFERROR(__xludf.DUMMYFUNCTION("""COMPUTED_VALUE"""),"N")</f>
        <v>N</v>
      </c>
      <c r="AM35" s="7" t="str">
        <f ca="1">IFERROR(__xludf.DUMMYFUNCTION("""COMPUTED_VALUE"""),"N")</f>
        <v>N</v>
      </c>
      <c r="AN35" s="7" t="str">
        <f ca="1">IFERROR(__xludf.DUMMYFUNCTION("""COMPUTED_VALUE"""),"N")</f>
        <v>N</v>
      </c>
      <c r="AO35" s="7" t="str">
        <f ca="1">IFERROR(__xludf.DUMMYFUNCTION("""COMPUTED_VALUE"""),"N")</f>
        <v>N</v>
      </c>
      <c r="AP35" s="7" t="str">
        <f ca="1">IFERROR(__xludf.DUMMYFUNCTION("""COMPUTED_VALUE"""),"Y")</f>
        <v>Y</v>
      </c>
      <c r="AQ35" s="7" t="str">
        <f ca="1">IFERROR(__xludf.DUMMYFUNCTION("""COMPUTED_VALUE"""),"N")</f>
        <v>N</v>
      </c>
      <c r="AR35" s="7" t="str">
        <f ca="1">IFERROR(__xludf.DUMMYFUNCTION("""COMPUTED_VALUE"""),"N")</f>
        <v>N</v>
      </c>
      <c r="AS35" s="7" t="str">
        <f ca="1">IFERROR(__xludf.DUMMYFUNCTION("""COMPUTED_VALUE"""),"N")</f>
        <v>N</v>
      </c>
      <c r="AT35" s="7" t="str">
        <f ca="1">IFERROR(__xludf.DUMMYFUNCTION("""COMPUTED_VALUE"""),"N")</f>
        <v>N</v>
      </c>
      <c r="AU35" s="3"/>
      <c r="AV35" s="3"/>
      <c r="AW35" s="3"/>
      <c r="AX35" s="3"/>
      <c r="AY35" s="3"/>
    </row>
    <row r="36" spans="1:51" ht="16.5" customHeight="1">
      <c r="A36" s="3">
        <f ca="1">IFERROR(__xludf.DUMMYFUNCTION("""COMPUTED_VALUE"""),9012)</f>
        <v>9012</v>
      </c>
      <c r="B36" s="3"/>
      <c r="C36" s="3">
        <f ca="1">IFERROR(__xludf.DUMMYFUNCTION("""COMPUTED_VALUE"""),970)</f>
        <v>970</v>
      </c>
      <c r="D36" s="3" t="str">
        <f ca="1">IFERROR(__xludf.DUMMYFUNCTION("""COMPUTED_VALUE"""),"Masculin")</f>
        <v>Masculin</v>
      </c>
      <c r="E36" s="4">
        <f ca="1">IFERROR(__xludf.DUMMYFUNCTION("""COMPUTED_VALUE"""),77)</f>
        <v>77</v>
      </c>
      <c r="F36" s="3" t="str">
        <f ca="1">IFERROR(__xludf.DUMMYFUNCTION("""COMPUTED_VALUE"""),"70-79 years")</f>
        <v>70-79 years</v>
      </c>
      <c r="G36" s="3" t="str">
        <f ca="1">IFERROR(__xludf.DUMMYFUNCTION("""COMPUTED_VALUE"""),"București")</f>
        <v>București</v>
      </c>
      <c r="H36" s="3"/>
      <c r="I36" s="3">
        <f ca="1">IFERROR(__xludf.DUMMYFUNCTION("""COMPUTED_VALUE"""),929)</f>
        <v>929</v>
      </c>
      <c r="J36" s="3" t="str">
        <f ca="1">IFERROR(__xludf.DUMMYFUNCTION("""COMPUTED_VALUE"""),"Bronhopneumonie Covid-19, Diabet zaharat tip II. ")</f>
        <v xml:space="preserve">Bronhopneumonie Covid-19, Diabet zaharat tip II. </v>
      </c>
      <c r="K36" s="5">
        <f ca="1">IFERROR(__xludf.DUMMYFUNCTION("""COMPUTED_VALUE"""),43962)</f>
        <v>43962</v>
      </c>
      <c r="L36" s="5">
        <f ca="1">IFERROR(__xludf.DUMMYFUNCTION("""COMPUTED_VALUE"""),43961)</f>
        <v>43961</v>
      </c>
      <c r="M36" s="3" t="str">
        <f ca="1">IFERROR(__xludf.DUMMYFUNCTION("""COMPUTED_VALUE"""),"1")</f>
        <v>1</v>
      </c>
      <c r="N36" s="5"/>
      <c r="O36" s="5">
        <f ca="1">IFERROR(__xludf.DUMMYFUNCTION("""COMPUTED_VALUE"""),43942)</f>
        <v>43942</v>
      </c>
      <c r="P36" s="3" t="str">
        <f ca="1">IFERROR(__xludf.DUMMYFUNCTION("""COMPUTED_VALUE"""),"Necunoscut")</f>
        <v>Necunoscut</v>
      </c>
      <c r="Q36" s="3" t="str">
        <f ca="1">IFERROR(__xludf.DUMMYFUNCTION("""COMPUTED_VALUE"""),"19")</f>
        <v>19</v>
      </c>
      <c r="R36" s="3" t="str">
        <f ca="1">IFERROR(__xludf.DUMMYFUNCTION("""COMPUTED_VALUE"""),"Nu")</f>
        <v>Nu</v>
      </c>
      <c r="S36" s="3" t="str">
        <f ca="1">IFERROR(__xludf.DUMMYFUNCTION("""COMPUTED_VALUE"""),"?")</f>
        <v>?</v>
      </c>
      <c r="T36" s="3"/>
      <c r="U36" s="3" t="str">
        <f ca="1">IFERROR(__xludf.DUMMYFUNCTION("""COMPUTED_VALUE"""),"Nespecificat")</f>
        <v>Nespecificat</v>
      </c>
      <c r="V36" s="6" t="str">
        <f ca="1">IFERROR(__xludf.DUMMYFUNCTION("""COMPUTED_VALUE"""),"http://www.ms.ro/2020/05/11/decese-962-972/")</f>
        <v>http://www.ms.ro/2020/05/11/decese-962-972/</v>
      </c>
      <c r="W36" s="3" t="str">
        <f ca="1">IFERROR(__xludf.DUMMYFUNCTION("""COMPUTED_VALUE"""),"Nespecificat")</f>
        <v>Nespecificat</v>
      </c>
      <c r="X36" s="3"/>
      <c r="Y36" s="3" t="str">
        <f ca="1">IFERROR(__xludf.DUMMYFUNCTION("""COMPUTED_VALUE"""),"Nespecificat")</f>
        <v>Nespecificat</v>
      </c>
      <c r="Z36" s="3"/>
      <c r="AA36" s="3" t="str">
        <f ca="1">IFERROR(__xludf.DUMMYFUNCTION("""COMPUTED_VALUE"""),"Nespecificat")</f>
        <v>Nespecificat</v>
      </c>
      <c r="AB36" s="3" t="str">
        <f ca="1">IFERROR(__xludf.DUMMYFUNCTION("""COMPUTED_VALUE"""),"Bărbat, 77 ani, București. 
Dată confirmare: 21.04.2020. 
Dată deces: 10.05.2020. 
Comorbidități: Bronhopneumonie Covid-19, Diabet zaharat tip II. ")</f>
        <v xml:space="preserve">Bărbat, 77 ani, București. 
Dată confirmare: 21.04.2020. 
Dată deces: 10.05.2020. 
Comorbidități: Bronhopneumonie Covid-19, Diabet zaharat tip II. </v>
      </c>
      <c r="AC36" s="3"/>
      <c r="AD36" s="3" t="str">
        <f ca="1">IFERROR(__xludf.DUMMYFUNCTION("""COMPUTED_VALUE"""),"MS")</f>
        <v>MS</v>
      </c>
      <c r="AE36" s="3"/>
      <c r="AF36" s="3"/>
      <c r="AG36" s="3" t="str">
        <f ca="1">IFERROR(__xludf.DUMMYFUNCTION("""COMPUTED_VALUE"""),"Nu")</f>
        <v>Nu</v>
      </c>
      <c r="AH36" s="3" t="str">
        <f ca="1">IFERROR(__xludf.DUMMYFUNCTION("""COMPUTED_VALUE"""),"Nu")</f>
        <v>Nu</v>
      </c>
      <c r="AI36" s="3" t="str">
        <f ca="1">IFERROR(__xludf.DUMMYFUNCTION("""COMPUTED_VALUE"""),"Diabet")</f>
        <v>Diabet</v>
      </c>
      <c r="AJ36" s="7" t="str">
        <f ca="1">IFERROR(__xludf.DUMMYFUNCTION("""COMPUTED_VALUE"""),"N")</f>
        <v>N</v>
      </c>
      <c r="AK36" s="7" t="str">
        <f ca="1">IFERROR(__xludf.DUMMYFUNCTION("""COMPUTED_VALUE"""),"Y")</f>
        <v>Y</v>
      </c>
      <c r="AL36" s="7" t="str">
        <f ca="1">IFERROR(__xludf.DUMMYFUNCTION("""COMPUTED_VALUE"""),"N")</f>
        <v>N</v>
      </c>
      <c r="AM36" s="7" t="str">
        <f ca="1">IFERROR(__xludf.DUMMYFUNCTION("""COMPUTED_VALUE"""),"Y")</f>
        <v>Y</v>
      </c>
      <c r="AN36" s="7" t="str">
        <f ca="1">IFERROR(__xludf.DUMMYFUNCTION("""COMPUTED_VALUE"""),"N")</f>
        <v>N</v>
      </c>
      <c r="AO36" s="7" t="str">
        <f ca="1">IFERROR(__xludf.DUMMYFUNCTION("""COMPUTED_VALUE"""),"N")</f>
        <v>N</v>
      </c>
      <c r="AP36" s="7" t="str">
        <f ca="1">IFERROR(__xludf.DUMMYFUNCTION("""COMPUTED_VALUE"""),"N")</f>
        <v>N</v>
      </c>
      <c r="AQ36" s="7" t="str">
        <f ca="1">IFERROR(__xludf.DUMMYFUNCTION("""COMPUTED_VALUE"""),"N")</f>
        <v>N</v>
      </c>
      <c r="AR36" s="7" t="str">
        <f ca="1">IFERROR(__xludf.DUMMYFUNCTION("""COMPUTED_VALUE"""),"N")</f>
        <v>N</v>
      </c>
      <c r="AS36" s="7" t="str">
        <f ca="1">IFERROR(__xludf.DUMMYFUNCTION("""COMPUTED_VALUE"""),"N")</f>
        <v>N</v>
      </c>
      <c r="AT36" s="7" t="str">
        <f ca="1">IFERROR(__xludf.DUMMYFUNCTION("""COMPUTED_VALUE"""),"N")</f>
        <v>N</v>
      </c>
      <c r="AU36" s="3"/>
      <c r="AV36" s="3"/>
      <c r="AW36" s="3"/>
      <c r="AX36" s="3"/>
      <c r="AY36" s="3"/>
    </row>
    <row r="37" spans="1:51" ht="16.5" customHeight="1">
      <c r="A37" s="3">
        <f ca="1">IFERROR(__xludf.DUMMYFUNCTION("""COMPUTED_VALUE"""),1358)</f>
        <v>1358</v>
      </c>
      <c r="B37" s="3"/>
      <c r="C37" s="3">
        <f ca="1">IFERROR(__xludf.DUMMYFUNCTION("""COMPUTED_VALUE"""),938)</f>
        <v>938</v>
      </c>
      <c r="D37" s="3" t="str">
        <f ca="1">IFERROR(__xludf.DUMMYFUNCTION("""COMPUTED_VALUE"""),"Feminin")</f>
        <v>Feminin</v>
      </c>
      <c r="E37" s="4">
        <f ca="1">IFERROR(__xludf.DUMMYFUNCTION("""COMPUTED_VALUE"""),66)</f>
        <v>66</v>
      </c>
      <c r="F37" s="3" t="str">
        <f ca="1">IFERROR(__xludf.DUMMYFUNCTION("""COMPUTED_VALUE"""),"60-69 years")</f>
        <v>60-69 years</v>
      </c>
      <c r="G37" s="3" t="str">
        <f ca="1">IFERROR(__xludf.DUMMYFUNCTION("""COMPUTED_VALUE"""),"București")</f>
        <v>București</v>
      </c>
      <c r="H37" s="3"/>
      <c r="I37" s="3">
        <f ca="1">IFERROR(__xludf.DUMMYFUNCTION("""COMPUTED_VALUE"""),505)</f>
        <v>505</v>
      </c>
      <c r="J37" s="3" t="str">
        <f ca="1">IFERROR(__xludf.DUMMYFUNCTION("""COMPUTED_VALUE"""),"Bronșită astmatiforma. HTA")</f>
        <v>Bronșită astmatiforma. HTA</v>
      </c>
      <c r="K37" s="5">
        <f ca="1">IFERROR(__xludf.DUMMYFUNCTION("""COMPUTED_VALUE"""),43960)</f>
        <v>43960</v>
      </c>
      <c r="L37" s="5">
        <f ca="1">IFERROR(__xludf.DUMMYFUNCTION("""COMPUTED_VALUE"""),43960)</f>
        <v>43960</v>
      </c>
      <c r="M37" s="3" t="str">
        <f ca="1">IFERROR(__xludf.DUMMYFUNCTION("""COMPUTED_VALUE"""),"0")</f>
        <v>0</v>
      </c>
      <c r="N37" s="5"/>
      <c r="O37" s="5">
        <f ca="1">IFERROR(__xludf.DUMMYFUNCTION("""COMPUTED_VALUE"""),43918)</f>
        <v>43918</v>
      </c>
      <c r="P37" s="3" t="str">
        <f ca="1">IFERROR(__xludf.DUMMYFUNCTION("""COMPUTED_VALUE"""),"Necunoscut")</f>
        <v>Necunoscut</v>
      </c>
      <c r="Q37" s="3" t="str">
        <f ca="1">IFERROR(__xludf.DUMMYFUNCTION("""COMPUTED_VALUE"""),"42")</f>
        <v>42</v>
      </c>
      <c r="R37" s="3" t="str">
        <f ca="1">IFERROR(__xludf.DUMMYFUNCTION("""COMPUTED_VALUE"""),"Nu")</f>
        <v>Nu</v>
      </c>
      <c r="S37" s="3" t="str">
        <f ca="1">IFERROR(__xludf.DUMMYFUNCTION("""COMPUTED_VALUE"""),"?")</f>
        <v>?</v>
      </c>
      <c r="T37" s="3"/>
      <c r="U37" s="3" t="str">
        <f ca="1">IFERROR(__xludf.DUMMYFUNCTION("""COMPUTED_VALUE"""),"Nespecificat")</f>
        <v>Nespecificat</v>
      </c>
      <c r="V37" s="6" t="str">
        <f ca="1">IFERROR(__xludf.DUMMYFUNCTION("""COMPUTED_VALUE"""),"http://www.ms.ro/2020/05/09/decese-937-939/")</f>
        <v>http://www.ms.ro/2020/05/09/decese-937-939/</v>
      </c>
      <c r="W37" s="3" t="str">
        <f ca="1">IFERROR(__xludf.DUMMYFUNCTION("""COMPUTED_VALUE"""),"Nespecificat")</f>
        <v>Nespecificat</v>
      </c>
      <c r="X37" s="3"/>
      <c r="Y37" s="3" t="str">
        <f ca="1">IFERROR(__xludf.DUMMYFUNCTION("""COMPUTED_VALUE"""),"Nespecificat")</f>
        <v>Nespecificat</v>
      </c>
      <c r="Z37" s="3"/>
      <c r="AA37" s="3" t="str">
        <f ca="1">IFERROR(__xludf.DUMMYFUNCTION("""COMPUTED_VALUE"""),"Nespecificat")</f>
        <v>Nespecificat</v>
      </c>
      <c r="AB37" s="3" t="str">
        <f ca="1">IFERROR(__xludf.DUMMYFUNCTION("""COMPUTED_VALUE"""),"Femeie, 66 ani, municipiul București.
Dată confirmare: 28.03.2020.
Dată deces: 09.05.2020.
Comorbidități: Bronșită astmatiforma. HTA")</f>
        <v>Femeie, 66 ani, municipiul București.
Dată confirmare: 28.03.2020.
Dată deces: 09.05.2020.
Comorbidități: Bronșită astmatiforma. HTA</v>
      </c>
      <c r="AC37" s="3"/>
      <c r="AD37" s="3" t="str">
        <f ca="1">IFERROR(__xludf.DUMMYFUNCTION("""COMPUTED_VALUE"""),"MS")</f>
        <v>MS</v>
      </c>
      <c r="AE37" s="3"/>
      <c r="AF37" s="3"/>
      <c r="AG37" s="3" t="str">
        <f ca="1">IFERROR(__xludf.DUMMYFUNCTION("""COMPUTED_VALUE"""),"Nu")</f>
        <v>Nu</v>
      </c>
      <c r="AH37" s="3" t="str">
        <f ca="1">IFERROR(__xludf.DUMMYFUNCTION("""COMPUTED_VALUE"""),"Nu")</f>
        <v>Nu</v>
      </c>
      <c r="AI37" s="3" t="str">
        <f ca="1">IFERROR(__xludf.DUMMYFUNCTION("""COMPUTED_VALUE"""),"Afecțiuni cardiovasculare")</f>
        <v>Afecțiuni cardiovasculare</v>
      </c>
      <c r="AJ37" s="7" t="str">
        <f ca="1">IFERROR(__xludf.DUMMYFUNCTION("""COMPUTED_VALUE"""),"Y")</f>
        <v>Y</v>
      </c>
      <c r="AK37" s="7" t="str">
        <f ca="1">IFERROR(__xludf.DUMMYFUNCTION("""COMPUTED_VALUE"""),"N")</f>
        <v>N</v>
      </c>
      <c r="AL37" s="7" t="str">
        <f ca="1">IFERROR(__xludf.DUMMYFUNCTION("""COMPUTED_VALUE"""),"N")</f>
        <v>N</v>
      </c>
      <c r="AM37" s="7" t="str">
        <f ca="1">IFERROR(__xludf.DUMMYFUNCTION("""COMPUTED_VALUE"""),"Y")</f>
        <v>Y</v>
      </c>
      <c r="AN37" s="7" t="str">
        <f ca="1">IFERROR(__xludf.DUMMYFUNCTION("""COMPUTED_VALUE"""),"N")</f>
        <v>N</v>
      </c>
      <c r="AO37" s="7" t="str">
        <f ca="1">IFERROR(__xludf.DUMMYFUNCTION("""COMPUTED_VALUE"""),"N")</f>
        <v>N</v>
      </c>
      <c r="AP37" s="7" t="str">
        <f ca="1">IFERROR(__xludf.DUMMYFUNCTION("""COMPUTED_VALUE"""),"N")</f>
        <v>N</v>
      </c>
      <c r="AQ37" s="7" t="str">
        <f ca="1">IFERROR(__xludf.DUMMYFUNCTION("""COMPUTED_VALUE"""),"N")</f>
        <v>N</v>
      </c>
      <c r="AR37" s="7" t="str">
        <f ca="1">IFERROR(__xludf.DUMMYFUNCTION("""COMPUTED_VALUE"""),"N")</f>
        <v>N</v>
      </c>
      <c r="AS37" s="7" t="str">
        <f ca="1">IFERROR(__xludf.DUMMYFUNCTION("""COMPUTED_VALUE"""),"N")</f>
        <v>N</v>
      </c>
      <c r="AT37" s="7" t="str">
        <f ca="1">IFERROR(__xludf.DUMMYFUNCTION("""COMPUTED_VALUE"""),"N")</f>
        <v>N</v>
      </c>
      <c r="AU37" s="3"/>
      <c r="AV37" s="3"/>
      <c r="AW37" s="3"/>
      <c r="AX37" s="3"/>
      <c r="AY37" s="3"/>
    </row>
    <row r="38" spans="1:51" ht="16.5" customHeight="1">
      <c r="A38" s="3">
        <f ca="1">IFERROR(__xludf.DUMMYFUNCTION("""COMPUTED_VALUE"""),12116)</f>
        <v>12116</v>
      </c>
      <c r="B38" s="3"/>
      <c r="C38" s="3">
        <f ca="1">IFERROR(__xludf.DUMMYFUNCTION("""COMPUTED_VALUE"""),887)</f>
        <v>887</v>
      </c>
      <c r="D38" s="3" t="str">
        <f ca="1">IFERROR(__xludf.DUMMYFUNCTION("""COMPUTED_VALUE"""),"Masculin")</f>
        <v>Masculin</v>
      </c>
      <c r="E38" s="4">
        <f ca="1">IFERROR(__xludf.DUMMYFUNCTION("""COMPUTED_VALUE"""),44)</f>
        <v>44</v>
      </c>
      <c r="F38" s="3" t="str">
        <f ca="1">IFERROR(__xludf.DUMMYFUNCTION("""COMPUTED_VALUE"""),"under 50 Years")</f>
        <v>under 50 Years</v>
      </c>
      <c r="G38" s="3" t="str">
        <f ca="1">IFERROR(__xludf.DUMMYFUNCTION("""COMPUTED_VALUE"""),"București")</f>
        <v>București</v>
      </c>
      <c r="H38" s="3"/>
      <c r="I38" s="3">
        <f ca="1">IFERROR(__xludf.DUMMYFUNCTION("""COMPUTED_VALUE"""),59)</f>
        <v>59</v>
      </c>
      <c r="J38" s="3" t="str">
        <f ca="1">IFERROR(__xludf.DUMMYFUNCTION("""COMPUTED_VALUE"""),"Tumora mediastinala, tulburare bipolară, HIV pozitiv, TBC ganglionar.")</f>
        <v>Tumora mediastinala, tulburare bipolară, HIV pozitiv, TBC ganglionar.</v>
      </c>
      <c r="K38" s="5">
        <f ca="1">IFERROR(__xludf.DUMMYFUNCTION("""COMPUTED_VALUE"""),43958)</f>
        <v>43958</v>
      </c>
      <c r="L38" s="5">
        <f ca="1">IFERROR(__xludf.DUMMYFUNCTION("""COMPUTED_VALUE"""),43957)</f>
        <v>43957</v>
      </c>
      <c r="M38" s="3" t="str">
        <f ca="1">IFERROR(__xludf.DUMMYFUNCTION("""COMPUTED_VALUE"""),"1")</f>
        <v>1</v>
      </c>
      <c r="N38" s="5"/>
      <c r="O38" s="5">
        <f ca="1">IFERROR(__xludf.DUMMYFUNCTION("""COMPUTED_VALUE"""),43951)</f>
        <v>43951</v>
      </c>
      <c r="P38" s="3" t="str">
        <f ca="1">IFERROR(__xludf.DUMMYFUNCTION("""COMPUTED_VALUE"""),"Necunoscut")</f>
        <v>Necunoscut</v>
      </c>
      <c r="Q38" s="3" t="str">
        <f ca="1">IFERROR(__xludf.DUMMYFUNCTION("""COMPUTED_VALUE"""),"6")</f>
        <v>6</v>
      </c>
      <c r="R38" s="3" t="str">
        <f ca="1">IFERROR(__xludf.DUMMYFUNCTION("""COMPUTED_VALUE"""),"Nu")</f>
        <v>Nu</v>
      </c>
      <c r="S38" s="3" t="str">
        <f ca="1">IFERROR(__xludf.DUMMYFUNCTION("""COMPUTED_VALUE"""),"?")</f>
        <v>?</v>
      </c>
      <c r="T38" s="3"/>
      <c r="U38" s="3" t="str">
        <f ca="1">IFERROR(__xludf.DUMMYFUNCTION("""COMPUTED_VALUE"""),"Nespecificat")</f>
        <v>Nespecificat</v>
      </c>
      <c r="V38" s="6" t="str">
        <f ca="1">IFERROR(__xludf.DUMMYFUNCTION("""COMPUTED_VALUE"""),"http://www.ms.ro/2020/05/07/decese-887-888/")</f>
        <v>http://www.ms.ro/2020/05/07/decese-887-888/</v>
      </c>
      <c r="W38" s="3" t="str">
        <f ca="1">IFERROR(__xludf.DUMMYFUNCTION("""COMPUTED_VALUE"""),"Nespecificat")</f>
        <v>Nespecificat</v>
      </c>
      <c r="X38" s="3"/>
      <c r="Y38" s="3" t="str">
        <f ca="1">IFERROR(__xludf.DUMMYFUNCTION("""COMPUTED_VALUE"""),"Nespecificat")</f>
        <v>Nespecificat</v>
      </c>
      <c r="Z38" s="3"/>
      <c r="AA38" s="3" t="str">
        <f ca="1">IFERROR(__xludf.DUMMYFUNCTION("""COMPUTED_VALUE"""),"Nespecificat")</f>
        <v>Nespecificat</v>
      </c>
      <c r="AB38" s="3" t="str">
        <f ca="1">IFERROR(__xludf.DUMMYFUNCTION("""COMPUTED_VALUE"""),"Bărbat, 44 ani, municipiului București.
Data confirmării: 30.04.2020.
Dată deces: 06.05.2020.
Comorbidități: Tumora mediastinala, tulburare bipolară, HIV pozitiv, TBC ganglionar.")</f>
        <v>Bărbat, 44 ani, municipiului București.
Data confirmării: 30.04.2020.
Dată deces: 06.05.2020.
Comorbidități: Tumora mediastinala, tulburare bipolară, HIV pozitiv, TBC ganglionar.</v>
      </c>
      <c r="AC38" s="3"/>
      <c r="AD38" s="3" t="str">
        <f ca="1">IFERROR(__xludf.DUMMYFUNCTION("""COMPUTED_VALUE"""),"MS")</f>
        <v>MS</v>
      </c>
      <c r="AE38" s="3"/>
      <c r="AF38" s="3"/>
      <c r="AG38" s="3" t="str">
        <f ca="1">IFERROR(__xludf.DUMMYFUNCTION("""COMPUTED_VALUE"""),"Nu")</f>
        <v>Nu</v>
      </c>
      <c r="AH38" s="3" t="str">
        <f ca="1">IFERROR(__xludf.DUMMYFUNCTION("""COMPUTED_VALUE"""),"Nu")</f>
        <v>Nu</v>
      </c>
      <c r="AI38" s="3" t="str">
        <f ca="1">IFERROR(__xludf.DUMMYFUNCTION("""COMPUTED_VALUE"""),"Afecțiuni pulmonare")</f>
        <v>Afecțiuni pulmonare</v>
      </c>
      <c r="AJ38" s="7" t="str">
        <f ca="1">IFERROR(__xludf.DUMMYFUNCTION("""COMPUTED_VALUE"""),"N")</f>
        <v>N</v>
      </c>
      <c r="AK38" s="7" t="str">
        <f ca="1">IFERROR(__xludf.DUMMYFUNCTION("""COMPUTED_VALUE"""),"N")</f>
        <v>N</v>
      </c>
      <c r="AL38" s="7" t="str">
        <f ca="1">IFERROR(__xludf.DUMMYFUNCTION("""COMPUTED_VALUE"""),"N")</f>
        <v>N</v>
      </c>
      <c r="AM38" s="7" t="str">
        <f ca="1">IFERROR(__xludf.DUMMYFUNCTION("""COMPUTED_VALUE"""),"Y")</f>
        <v>Y</v>
      </c>
      <c r="AN38" s="7" t="str">
        <f ca="1">IFERROR(__xludf.DUMMYFUNCTION("""COMPUTED_VALUE"""),"N")</f>
        <v>N</v>
      </c>
      <c r="AO38" s="7" t="str">
        <f ca="1">IFERROR(__xludf.DUMMYFUNCTION("""COMPUTED_VALUE"""),"N")</f>
        <v>N</v>
      </c>
      <c r="AP38" s="7" t="str">
        <f ca="1">IFERROR(__xludf.DUMMYFUNCTION("""COMPUTED_VALUE"""),"N")</f>
        <v>N</v>
      </c>
      <c r="AQ38" s="7" t="str">
        <f ca="1">IFERROR(__xludf.DUMMYFUNCTION("""COMPUTED_VALUE"""),"N")</f>
        <v>N</v>
      </c>
      <c r="AR38" s="7" t="str">
        <f ca="1">IFERROR(__xludf.DUMMYFUNCTION("""COMPUTED_VALUE"""),"N")</f>
        <v>N</v>
      </c>
      <c r="AS38" s="7" t="str">
        <f ca="1">IFERROR(__xludf.DUMMYFUNCTION("""COMPUTED_VALUE"""),"N")</f>
        <v>N</v>
      </c>
      <c r="AT38" s="7" t="str">
        <f ca="1">IFERROR(__xludf.DUMMYFUNCTION("""COMPUTED_VALUE"""),"N")</f>
        <v>N</v>
      </c>
      <c r="AU38" s="3"/>
      <c r="AV38" s="3"/>
      <c r="AW38" s="3"/>
      <c r="AX38" s="3"/>
      <c r="AY38" s="3"/>
    </row>
    <row r="39" spans="1:51" ht="16.5" customHeight="1">
      <c r="A39" s="3">
        <f ca="1">IFERROR(__xludf.DUMMYFUNCTION("""COMPUTED_VALUE"""),12855)</f>
        <v>12855</v>
      </c>
      <c r="B39" s="3"/>
      <c r="C39" s="3">
        <f ca="1">IFERROR(__xludf.DUMMYFUNCTION("""COMPUTED_VALUE"""),844)</f>
        <v>844</v>
      </c>
      <c r="D39" s="3" t="str">
        <f ca="1">IFERROR(__xludf.DUMMYFUNCTION("""COMPUTED_VALUE"""),"Masculin")</f>
        <v>Masculin</v>
      </c>
      <c r="E39" s="4">
        <f ca="1">IFERROR(__xludf.DUMMYFUNCTION("""COMPUTED_VALUE"""),57)</f>
        <v>57</v>
      </c>
      <c r="F39" s="3" t="str">
        <f ca="1">IFERROR(__xludf.DUMMYFUNCTION("""COMPUTED_VALUE"""),"50-59 years")</f>
        <v>50-59 years</v>
      </c>
      <c r="G39" s="3" t="str">
        <f ca="1">IFERROR(__xludf.DUMMYFUNCTION("""COMPUTED_VALUE"""),"București")</f>
        <v>București</v>
      </c>
      <c r="H39" s="3"/>
      <c r="I39" s="3">
        <f ca="1">IFERROR(__xludf.DUMMYFUNCTION("""COMPUTED_VALUE"""),244)</f>
        <v>244</v>
      </c>
      <c r="J39" s="3" t="str">
        <f ca="1">IFERROR(__xludf.DUMMYFUNCTION("""COMPUTED_VALUE"""),"BPOC, neoplasm")</f>
        <v>BPOC, neoplasm</v>
      </c>
      <c r="K39" s="5">
        <f ca="1">IFERROR(__xludf.DUMMYFUNCTION("""COMPUTED_VALUE"""),43957)</f>
        <v>43957</v>
      </c>
      <c r="L39" s="5">
        <f ca="1">IFERROR(__xludf.DUMMYFUNCTION("""COMPUTED_VALUE"""),43956)</f>
        <v>43956</v>
      </c>
      <c r="M39" s="3" t="str">
        <f ca="1">IFERROR(__xludf.DUMMYFUNCTION("""COMPUTED_VALUE"""),"1")</f>
        <v>1</v>
      </c>
      <c r="N39" s="5">
        <f ca="1">IFERROR(__xludf.DUMMYFUNCTION("""COMPUTED_VALUE"""),43953)</f>
        <v>43953</v>
      </c>
      <c r="O39" s="5">
        <f ca="1">IFERROR(__xludf.DUMMYFUNCTION("""COMPUTED_VALUE"""),43954)</f>
        <v>43954</v>
      </c>
      <c r="P39" s="3" t="str">
        <f ca="1">IFERROR(__xludf.DUMMYFUNCTION("""COMPUTED_VALUE"""),"1")</f>
        <v>1</v>
      </c>
      <c r="Q39" s="3" t="str">
        <f ca="1">IFERROR(__xludf.DUMMYFUNCTION("""COMPUTED_VALUE"""),"2")</f>
        <v>2</v>
      </c>
      <c r="R39" s="3" t="str">
        <f ca="1">IFERROR(__xludf.DUMMYFUNCTION("""COMPUTED_VALUE"""),"Nu")</f>
        <v>Nu</v>
      </c>
      <c r="S39" s="3" t="str">
        <f ca="1">IFERROR(__xludf.DUMMYFUNCTION("""COMPUTED_VALUE"""),"5/1/2020")</f>
        <v>5/1/2020</v>
      </c>
      <c r="T39" s="3">
        <f ca="1">IFERROR(__xludf.DUMMYFUNCTION("""COMPUTED_VALUE"""),4)</f>
        <v>4</v>
      </c>
      <c r="U39" s="3" t="str">
        <f ca="1">IFERROR(__xludf.DUMMYFUNCTION("""COMPUTED_VALUE"""),"Da")</f>
        <v>Da</v>
      </c>
      <c r="V39" s="6" t="str">
        <f ca="1">IFERROR(__xludf.DUMMYFUNCTION("""COMPUTED_VALUE"""),"http://www.ms.ro/2020/05/06/decese-842-854/")</f>
        <v>http://www.ms.ro/2020/05/06/decese-842-854/</v>
      </c>
      <c r="W39" s="3" t="str">
        <f ca="1">IFERROR(__xludf.DUMMYFUNCTION("""COMPUTED_VALUE"""),"Spital de Urgenta Floreasca")</f>
        <v>Spital de Urgenta Floreasca</v>
      </c>
      <c r="X39" s="3"/>
      <c r="Y39" s="3" t="str">
        <f ca="1">IFERROR(__xludf.DUMMYFUNCTION("""COMPUTED_VALUE"""),"Spital Colentina")</f>
        <v>Spital Colentina</v>
      </c>
      <c r="Z39" s="3" t="str">
        <f ca="1">IFERROR(__xludf.DUMMYFUNCTION("""COMPUTED_VALUE"""),"ATI ")</f>
        <v xml:space="preserve">ATI </v>
      </c>
      <c r="AA39" s="3" t="str">
        <f ca="1">IFERROR(__xludf.DUMMYFUNCTION("""COMPUTED_VALUE"""),"Spital Colentina")</f>
        <v>Spital Colentina</v>
      </c>
      <c r="AB39" s="3" t="str">
        <f ca="1">IFERROR(__xludf.DUMMYFUNCTION("""COMPUTED_VALUE"""),"Bărbat, 57 ani, municipiul București.
Data recoltării: 02.05.2020.
Data confirmării: 03.05.2020.
Data internării: 01.05.2020 in Spital de Urgenta Floreasca, transferat in 03.05.2020 in ATI – Spital Colentina cu insuficiență respiratorie, bronhopneumo"&amp;"nie, ventilat mecanic.
Data decesului: 05.05.2020.
Comorbidități: BPOC, neoplasm.")</f>
        <v>Bărbat, 57 ani, municipiul București.
Data recoltării: 02.05.2020.
Data confirmării: 03.05.2020.
Data internării: 01.05.2020 in Spital de Urgenta Floreasca, transferat in 03.05.2020 in ATI – Spital Colentina cu insuficiență respiratorie, bronhopneumonie, ventilat mecanic.
Data decesului: 05.05.2020.
Comorbidități: BPOC, neoplasm.</v>
      </c>
      <c r="AC39" s="3" t="str">
        <f ca="1">IFERROR(__xludf.DUMMYFUNCTION("""COMPUTED_VALUE"""),"insuficiență respiratorie, bronhopneumonie, ventilat mecanic.")</f>
        <v>insuficiență respiratorie, bronhopneumonie, ventilat mecanic.</v>
      </c>
      <c r="AD39" s="3" t="str">
        <f ca="1">IFERROR(__xludf.DUMMYFUNCTION("""COMPUTED_VALUE"""),"MS")</f>
        <v>MS</v>
      </c>
      <c r="AE39" s="3"/>
      <c r="AF39" s="3" t="str">
        <f ca="1">IFERROR(__xludf.DUMMYFUNCTION("""COMPUTED_VALUE"""),"Nespecificat")</f>
        <v>Nespecificat</v>
      </c>
      <c r="AG39" s="3" t="str">
        <f ca="1">IFERROR(__xludf.DUMMYFUNCTION("""COMPUTED_VALUE"""),"Nu")</f>
        <v>Nu</v>
      </c>
      <c r="AH39" s="3" t="str">
        <f ca="1">IFERROR(__xludf.DUMMYFUNCTION("""COMPUTED_VALUE"""),"Nu")</f>
        <v>Nu</v>
      </c>
      <c r="AI39" s="3" t="str">
        <f ca="1">IFERROR(__xludf.DUMMYFUNCTION("""COMPUTED_VALUE"""),"Afecțiuni pulmonare")</f>
        <v>Afecțiuni pulmonare</v>
      </c>
      <c r="AJ39" s="7" t="str">
        <f ca="1">IFERROR(__xludf.DUMMYFUNCTION("""COMPUTED_VALUE"""),"N")</f>
        <v>N</v>
      </c>
      <c r="AK39" s="7" t="str">
        <f ca="1">IFERROR(__xludf.DUMMYFUNCTION("""COMPUTED_VALUE"""),"N")</f>
        <v>N</v>
      </c>
      <c r="AL39" s="7" t="str">
        <f ca="1">IFERROR(__xludf.DUMMYFUNCTION("""COMPUTED_VALUE"""),"N")</f>
        <v>N</v>
      </c>
      <c r="AM39" s="7" t="str">
        <f ca="1">IFERROR(__xludf.DUMMYFUNCTION("""COMPUTED_VALUE"""),"Y")</f>
        <v>Y</v>
      </c>
      <c r="AN39" s="7" t="str">
        <f ca="1">IFERROR(__xludf.DUMMYFUNCTION("""COMPUTED_VALUE"""),"N")</f>
        <v>N</v>
      </c>
      <c r="AO39" s="7" t="str">
        <f ca="1">IFERROR(__xludf.DUMMYFUNCTION("""COMPUTED_VALUE"""),"N")</f>
        <v>N</v>
      </c>
      <c r="AP39" s="7" t="str">
        <f ca="1">IFERROR(__xludf.DUMMYFUNCTION("""COMPUTED_VALUE"""),"N")</f>
        <v>N</v>
      </c>
      <c r="AQ39" s="7" t="str">
        <f ca="1">IFERROR(__xludf.DUMMYFUNCTION("""COMPUTED_VALUE"""),"N")</f>
        <v>N</v>
      </c>
      <c r="AR39" s="7" t="str">
        <f ca="1">IFERROR(__xludf.DUMMYFUNCTION("""COMPUTED_VALUE"""),"N")</f>
        <v>N</v>
      </c>
      <c r="AS39" s="7" t="str">
        <f ca="1">IFERROR(__xludf.DUMMYFUNCTION("""COMPUTED_VALUE"""),"N")</f>
        <v>N</v>
      </c>
      <c r="AT39" s="7" t="str">
        <f ca="1">IFERROR(__xludf.DUMMYFUNCTION("""COMPUTED_VALUE"""),"N")</f>
        <v>N</v>
      </c>
      <c r="AU39" s="3"/>
      <c r="AV39" s="3"/>
      <c r="AW39" s="3"/>
      <c r="AX39" s="3"/>
      <c r="AY39" s="3"/>
    </row>
    <row r="40" spans="1:51" ht="16.5" customHeight="1">
      <c r="A40" s="3">
        <f ca="1">IFERROR(__xludf.DUMMYFUNCTION("""COMPUTED_VALUE"""),12115)</f>
        <v>12115</v>
      </c>
      <c r="B40" s="3"/>
      <c r="C40" s="3">
        <f ca="1">IFERROR(__xludf.DUMMYFUNCTION("""COMPUTED_VALUE"""),842)</f>
        <v>842</v>
      </c>
      <c r="D40" s="3" t="str">
        <f ca="1">IFERROR(__xludf.DUMMYFUNCTION("""COMPUTED_VALUE"""),"Feminin")</f>
        <v>Feminin</v>
      </c>
      <c r="E40" s="4">
        <f ca="1">IFERROR(__xludf.DUMMYFUNCTION("""COMPUTED_VALUE"""),80)</f>
        <v>80</v>
      </c>
      <c r="F40" s="3" t="str">
        <f ca="1">IFERROR(__xludf.DUMMYFUNCTION("""COMPUTED_VALUE"""),"Over 80 years")</f>
        <v>Over 80 years</v>
      </c>
      <c r="G40" s="3" t="str">
        <f ca="1">IFERROR(__xludf.DUMMYFUNCTION("""COMPUTED_VALUE"""),"București")</f>
        <v>București</v>
      </c>
      <c r="H40" s="3"/>
      <c r="I40" s="3">
        <f ca="1">IFERROR(__xludf.DUMMYFUNCTION("""COMPUTED_VALUE"""),1042)</f>
        <v>1042</v>
      </c>
      <c r="J40" s="3" t="str">
        <f ca="1">IFERROR(__xludf.DUMMYFUNCTION("""COMPUTED_VALUE"""),"Diabet zaharat tip II, HTA, boală cronică renală, sechele TBC, insuficiență multiplă de organe")</f>
        <v>Diabet zaharat tip II, HTA, boală cronică renală, sechele TBC, insuficiență multiplă de organe</v>
      </c>
      <c r="K40" s="5">
        <f ca="1">IFERROR(__xludf.DUMMYFUNCTION("""COMPUTED_VALUE"""),43957)</f>
        <v>43957</v>
      </c>
      <c r="L40" s="5">
        <f ca="1">IFERROR(__xludf.DUMMYFUNCTION("""COMPUTED_VALUE"""),43956)</f>
        <v>43956</v>
      </c>
      <c r="M40" s="3" t="str">
        <f ca="1">IFERROR(__xludf.DUMMYFUNCTION("""COMPUTED_VALUE"""),"1")</f>
        <v>1</v>
      </c>
      <c r="N40" s="5">
        <f ca="1">IFERROR(__xludf.DUMMYFUNCTION("""COMPUTED_VALUE"""),43950)</f>
        <v>43950</v>
      </c>
      <c r="O40" s="5">
        <f ca="1">IFERROR(__xludf.DUMMYFUNCTION("""COMPUTED_VALUE"""),43951)</f>
        <v>43951</v>
      </c>
      <c r="P40" s="3" t="str">
        <f ca="1">IFERROR(__xludf.DUMMYFUNCTION("""COMPUTED_VALUE"""),"1")</f>
        <v>1</v>
      </c>
      <c r="Q40" s="3" t="str">
        <f ca="1">IFERROR(__xludf.DUMMYFUNCTION("""COMPUTED_VALUE"""),"5")</f>
        <v>5</v>
      </c>
      <c r="R40" s="3" t="str">
        <f ca="1">IFERROR(__xludf.DUMMYFUNCTION("""COMPUTED_VALUE"""),"Nu")</f>
        <v>Nu</v>
      </c>
      <c r="S40" s="3" t="str">
        <f ca="1">IFERROR(__xludf.DUMMYFUNCTION("""COMPUTED_VALUE"""),"4/29/2020")</f>
        <v>4/29/2020</v>
      </c>
      <c r="T40" s="3">
        <f ca="1">IFERROR(__xludf.DUMMYFUNCTION("""COMPUTED_VALUE"""),6)</f>
        <v>6</v>
      </c>
      <c r="U40" s="3" t="str">
        <f ca="1">IFERROR(__xludf.DUMMYFUNCTION("""COMPUTED_VALUE"""),"Da")</f>
        <v>Da</v>
      </c>
      <c r="V40" s="6" t="str">
        <f ca="1">IFERROR(__xludf.DUMMYFUNCTION("""COMPUTED_VALUE"""),"http://www.ms.ro/2020/05/06/decese-842-854/")</f>
        <v>http://www.ms.ro/2020/05/06/decese-842-854/</v>
      </c>
      <c r="W40" s="3" t="str">
        <f ca="1">IFERROR(__xludf.DUMMYFUNCTION("""COMPUTED_VALUE"""),"Spitalul Universitar de Urgență București")</f>
        <v>Spitalul Universitar de Urgență București</v>
      </c>
      <c r="X40" s="3"/>
      <c r="Y40" s="3" t="str">
        <f ca="1">IFERROR(__xludf.DUMMYFUNCTION("""COMPUTED_VALUE"""),"Spital Colentina")</f>
        <v>Spital Colentina</v>
      </c>
      <c r="Z40" s="3"/>
      <c r="AA40" s="3" t="str">
        <f ca="1">IFERROR(__xludf.DUMMYFUNCTION("""COMPUTED_VALUE"""),"Spital Colentina")</f>
        <v>Spital Colentina</v>
      </c>
      <c r="AB40" s="3" t="str">
        <f ca="1">IFERROR(__xludf.DUMMYFUNCTION("""COMPUTED_VALUE"""),"Femeie, 80 ani, municipiul București.
Data recoltării: 29.04.2020.
Data confirmării: 30.04.2020.
Data internării: 29.04.2020 în Spitalul Universitar de Urgență București, transferata în data de 30.04.2020 la Spital Colentina.
Data decesului: 05.05.2"&amp;"020.
Comorbidități: Diabet zaharat tip II, HTA, boală cronică renală, sechele TBC, insuficiență multiplă de organe.")</f>
        <v>Femeie, 80 ani, municipiul București.
Data recoltării: 29.04.2020.
Data confirmării: 30.04.2020.
Data internării: 29.04.2020 în Spitalul Universitar de Urgență București, transferata în data de 30.04.2020 la Spital Colentina.
Data decesului: 05.05.2020.
Comorbidități: Diabet zaharat tip II, HTA, boală cronică renală, sechele TBC, insuficiență multiplă de organe.</v>
      </c>
      <c r="AC40" s="3"/>
      <c r="AD40" s="3" t="str">
        <f ca="1">IFERROR(__xludf.DUMMYFUNCTION("""COMPUTED_VALUE"""),"MS")</f>
        <v>MS</v>
      </c>
      <c r="AE40" s="3"/>
      <c r="AF40" s="3" t="str">
        <f ca="1">IFERROR(__xludf.DUMMYFUNCTION("""COMPUTED_VALUE"""),"Nespecificat")</f>
        <v>Nespecificat</v>
      </c>
      <c r="AG40" s="3" t="str">
        <f ca="1">IFERROR(__xludf.DUMMYFUNCTION("""COMPUTED_VALUE"""),"Nu")</f>
        <v>Nu</v>
      </c>
      <c r="AH40" s="3" t="str">
        <f ca="1">IFERROR(__xludf.DUMMYFUNCTION("""COMPUTED_VALUE"""),"Nu")</f>
        <v>Nu</v>
      </c>
      <c r="AI40" s="3" t="str">
        <f ca="1">IFERROR(__xludf.DUMMYFUNCTION("""COMPUTED_VALUE"""),"Afecțiuni cardiovasculare")</f>
        <v>Afecțiuni cardiovasculare</v>
      </c>
      <c r="AJ40" s="7" t="str">
        <f ca="1">IFERROR(__xludf.DUMMYFUNCTION("""COMPUTED_VALUE"""),"Y")</f>
        <v>Y</v>
      </c>
      <c r="AK40" s="7" t="str">
        <f ca="1">IFERROR(__xludf.DUMMYFUNCTION("""COMPUTED_VALUE"""),"Y")</f>
        <v>Y</v>
      </c>
      <c r="AL40" s="7" t="str">
        <f ca="1">IFERROR(__xludf.DUMMYFUNCTION("""COMPUTED_VALUE"""),"Y")</f>
        <v>Y</v>
      </c>
      <c r="AM40" s="7" t="str">
        <f ca="1">IFERROR(__xludf.DUMMYFUNCTION("""COMPUTED_VALUE"""),"Y")</f>
        <v>Y</v>
      </c>
      <c r="AN40" s="7" t="str">
        <f ca="1">IFERROR(__xludf.DUMMYFUNCTION("""COMPUTED_VALUE"""),"N")</f>
        <v>N</v>
      </c>
      <c r="AO40" s="7" t="str">
        <f ca="1">IFERROR(__xludf.DUMMYFUNCTION("""COMPUTED_VALUE"""),"N")</f>
        <v>N</v>
      </c>
      <c r="AP40" s="7" t="str">
        <f ca="1">IFERROR(__xludf.DUMMYFUNCTION("""COMPUTED_VALUE"""),"N")</f>
        <v>N</v>
      </c>
      <c r="AQ40" s="7" t="str">
        <f ca="1">IFERROR(__xludf.DUMMYFUNCTION("""COMPUTED_VALUE"""),"Y")</f>
        <v>Y</v>
      </c>
      <c r="AR40" s="7" t="str">
        <f ca="1">IFERROR(__xludf.DUMMYFUNCTION("""COMPUTED_VALUE"""),"N")</f>
        <v>N</v>
      </c>
      <c r="AS40" s="7" t="str">
        <f ca="1">IFERROR(__xludf.DUMMYFUNCTION("""COMPUTED_VALUE"""),"N")</f>
        <v>N</v>
      </c>
      <c r="AT40" s="7" t="str">
        <f ca="1">IFERROR(__xludf.DUMMYFUNCTION("""COMPUTED_VALUE"""),"N")</f>
        <v>N</v>
      </c>
      <c r="AU40" s="3"/>
      <c r="AV40" s="3"/>
      <c r="AW40" s="3"/>
      <c r="AX40" s="3"/>
      <c r="AY40" s="3"/>
    </row>
    <row r="41" spans="1:51" ht="16.5" customHeight="1">
      <c r="A41" s="3">
        <f ca="1">IFERROR(__xludf.DUMMYFUNCTION("""COMPUTED_VALUE"""),13623)</f>
        <v>13623</v>
      </c>
      <c r="B41" s="3"/>
      <c r="C41" s="3">
        <f ca="1">IFERROR(__xludf.DUMMYFUNCTION("""COMPUTED_VALUE"""),839)</f>
        <v>839</v>
      </c>
      <c r="D41" s="3" t="str">
        <f ca="1">IFERROR(__xludf.DUMMYFUNCTION("""COMPUTED_VALUE"""),"Feminin")</f>
        <v>Feminin</v>
      </c>
      <c r="E41" s="4">
        <f ca="1">IFERROR(__xludf.DUMMYFUNCTION("""COMPUTED_VALUE"""),63)</f>
        <v>63</v>
      </c>
      <c r="F41" s="3" t="str">
        <f ca="1">IFERROR(__xludf.DUMMYFUNCTION("""COMPUTED_VALUE"""),"60-69 years")</f>
        <v>60-69 years</v>
      </c>
      <c r="G41" s="3" t="str">
        <f ca="1">IFERROR(__xludf.DUMMYFUNCTION("""COMPUTED_VALUE"""),"București")</f>
        <v>București</v>
      </c>
      <c r="H41" s="3"/>
      <c r="I41" s="3">
        <f ca="1">IFERROR(__xludf.DUMMYFUNCTION("""COMPUTED_VALUE"""),398)</f>
        <v>398</v>
      </c>
      <c r="J41" s="3" t="str">
        <f ca="1">IFERROR(__xludf.DUMMYFUNCTION("""COMPUTED_VALUE"""),"Ciroza hepatica, anemie secundara.")</f>
        <v>Ciroza hepatica, anemie secundara.</v>
      </c>
      <c r="K41" s="5">
        <f ca="1">IFERROR(__xludf.DUMMYFUNCTION("""COMPUTED_VALUE"""),43956)</f>
        <v>43956</v>
      </c>
      <c r="L41" s="5">
        <f ca="1">IFERROR(__xludf.DUMMYFUNCTION("""COMPUTED_VALUE"""),43956)</f>
        <v>43956</v>
      </c>
      <c r="M41" s="3" t="str">
        <f ca="1">IFERROR(__xludf.DUMMYFUNCTION("""COMPUTED_VALUE"""),"0")</f>
        <v>0</v>
      </c>
      <c r="N41" s="5">
        <f ca="1">IFERROR(__xludf.DUMMYFUNCTION("""COMPUTED_VALUE"""),43955)</f>
        <v>43955</v>
      </c>
      <c r="O41" s="5">
        <f ca="1">IFERROR(__xludf.DUMMYFUNCTION("""COMPUTED_VALUE"""),43956)</f>
        <v>43956</v>
      </c>
      <c r="P41" s="3" t="str">
        <f ca="1">IFERROR(__xludf.DUMMYFUNCTION("""COMPUTED_VALUE"""),"1")</f>
        <v>1</v>
      </c>
      <c r="Q41" s="3" t="str">
        <f ca="1">IFERROR(__xludf.DUMMYFUNCTION("""COMPUTED_VALUE"""),"0")</f>
        <v>0</v>
      </c>
      <c r="R41" s="3" t="str">
        <f ca="1">IFERROR(__xludf.DUMMYFUNCTION("""COMPUTED_VALUE"""),"Nu")</f>
        <v>Nu</v>
      </c>
      <c r="S41" s="3" t="str">
        <f ca="1">IFERROR(__xludf.DUMMYFUNCTION("""COMPUTED_VALUE"""),"4/21/2020")</f>
        <v>4/21/2020</v>
      </c>
      <c r="T41" s="3">
        <f ca="1">IFERROR(__xludf.DUMMYFUNCTION("""COMPUTED_VALUE"""),14)</f>
        <v>14</v>
      </c>
      <c r="U41" s="3" t="str">
        <f ca="1">IFERROR(__xludf.DUMMYFUNCTION("""COMPUTED_VALUE"""),"Da")</f>
        <v>Da</v>
      </c>
      <c r="V41" s="6" t="str">
        <f ca="1">IFERROR(__xludf.DUMMYFUNCTION("""COMPUTED_VALUE"""),"http://www.ms.ro/2020/05/05/decese-828-841/")</f>
        <v>http://www.ms.ro/2020/05/05/decese-828-841/</v>
      </c>
      <c r="W41" s="3" t="str">
        <f ca="1">IFERROR(__xludf.DUMMYFUNCTION("""COMPUTED_VALUE"""),"Spital Pantelimon")</f>
        <v>Spital Pantelimon</v>
      </c>
      <c r="X41" s="3"/>
      <c r="Y41" s="3" t="str">
        <f ca="1">IFERROR(__xludf.DUMMYFUNCTION("""COMPUTED_VALUE"""),"Spital Pantelimon")</f>
        <v>Spital Pantelimon</v>
      </c>
      <c r="Z41" s="3"/>
      <c r="AA41" s="3" t="str">
        <f ca="1">IFERROR(__xludf.DUMMYFUNCTION("""COMPUTED_VALUE"""),"Spital Pantelimon")</f>
        <v>Spital Pantelimon</v>
      </c>
      <c r="AB41" s="3" t="str">
        <f ca="1">IFERROR(__xludf.DUMMYFUNCTION("""COMPUTED_VALUE"""),"Femeie, 63 ani, municipiul București .
Data recoltării: 04.05.2020.
Data confirmării: 05.05.2020.
Data internării: 21.04.2020 in Spital Pantelimon pentru insuficienta respiratorie acuta, pneumonie bazala dreapta.
Data decesului: 05.05.2020.
Comorbi"&amp;"dități: ciroza hepatica, anemie secundara.")</f>
        <v>Femeie, 63 ani, municipiul București .
Data recoltării: 04.05.2020.
Data confirmării: 05.05.2020.
Data internării: 21.04.2020 in Spital Pantelimon pentru insuficienta respiratorie acuta, pneumonie bazala dreapta.
Data decesului: 05.05.2020.
Comorbidități: ciroza hepatica, anemie secundara.</v>
      </c>
      <c r="AC41" s="3" t="str">
        <f ca="1">IFERROR(__xludf.DUMMYFUNCTION("""COMPUTED_VALUE"""),"insuficienta respiratorie acuta, pneumonie bazala dreapta.")</f>
        <v>insuficienta respiratorie acuta, pneumonie bazala dreapta.</v>
      </c>
      <c r="AD41" s="3" t="str">
        <f ca="1">IFERROR(__xludf.DUMMYFUNCTION("""COMPUTED_VALUE"""),"MS")</f>
        <v>MS</v>
      </c>
      <c r="AE41" s="3"/>
      <c r="AF41" s="3" t="str">
        <f ca="1">IFERROR(__xludf.DUMMYFUNCTION("""COMPUTED_VALUE"""),"Nespecificat")</f>
        <v>Nespecificat</v>
      </c>
      <c r="AG41" s="3" t="str">
        <f ca="1">IFERROR(__xludf.DUMMYFUNCTION("""COMPUTED_VALUE"""),"Nu")</f>
        <v>Nu</v>
      </c>
      <c r="AH41" s="3" t="str">
        <f ca="1">IFERROR(__xludf.DUMMYFUNCTION("""COMPUTED_VALUE"""),"Nu")</f>
        <v>Nu</v>
      </c>
      <c r="AI41" s="3" t="str">
        <f ca="1">IFERROR(__xludf.DUMMYFUNCTION("""COMPUTED_VALUE"""),"Afecțiuni pulmonare")</f>
        <v>Afecțiuni pulmonare</v>
      </c>
      <c r="AJ41" s="7" t="str">
        <f ca="1">IFERROR(__xludf.DUMMYFUNCTION("""COMPUTED_VALUE"""),"N")</f>
        <v>N</v>
      </c>
      <c r="AK41" s="7" t="str">
        <f ca="1">IFERROR(__xludf.DUMMYFUNCTION("""COMPUTED_VALUE"""),"N")</f>
        <v>N</v>
      </c>
      <c r="AL41" s="7" t="str">
        <f ca="1">IFERROR(__xludf.DUMMYFUNCTION("""COMPUTED_VALUE"""),"N")</f>
        <v>N</v>
      </c>
      <c r="AM41" s="7" t="str">
        <f ca="1">IFERROR(__xludf.DUMMYFUNCTION("""COMPUTED_VALUE"""),"Y")</f>
        <v>Y</v>
      </c>
      <c r="AN41" s="7" t="str">
        <f ca="1">IFERROR(__xludf.DUMMYFUNCTION("""COMPUTED_VALUE"""),"N")</f>
        <v>N</v>
      </c>
      <c r="AO41" s="7" t="str">
        <f ca="1">IFERROR(__xludf.DUMMYFUNCTION("""COMPUTED_VALUE"""),"N")</f>
        <v>N</v>
      </c>
      <c r="AP41" s="7" t="str">
        <f ca="1">IFERROR(__xludf.DUMMYFUNCTION("""COMPUTED_VALUE"""),"Y")</f>
        <v>Y</v>
      </c>
      <c r="AQ41" s="7" t="str">
        <f ca="1">IFERROR(__xludf.DUMMYFUNCTION("""COMPUTED_VALUE"""),"N")</f>
        <v>N</v>
      </c>
      <c r="AR41" s="7" t="str">
        <f ca="1">IFERROR(__xludf.DUMMYFUNCTION("""COMPUTED_VALUE"""),"N")</f>
        <v>N</v>
      </c>
      <c r="AS41" s="7" t="str">
        <f ca="1">IFERROR(__xludf.DUMMYFUNCTION("""COMPUTED_VALUE"""),"N")</f>
        <v>N</v>
      </c>
      <c r="AT41" s="7" t="str">
        <f ca="1">IFERROR(__xludf.DUMMYFUNCTION("""COMPUTED_VALUE"""),"N")</f>
        <v>N</v>
      </c>
      <c r="AU41" s="3"/>
      <c r="AV41" s="3"/>
      <c r="AW41" s="3"/>
      <c r="AX41" s="3"/>
      <c r="AY41" s="3"/>
    </row>
    <row r="42" spans="1:51" ht="16.5" customHeight="1">
      <c r="A42" s="3">
        <f ca="1">IFERROR(__xludf.DUMMYFUNCTION("""COMPUTED_VALUE"""),9385)</f>
        <v>9385</v>
      </c>
      <c r="B42" s="3"/>
      <c r="C42" s="3">
        <f ca="1">IFERROR(__xludf.DUMMYFUNCTION("""COMPUTED_VALUE"""),838)</f>
        <v>838</v>
      </c>
      <c r="D42" s="3" t="str">
        <f ca="1">IFERROR(__xludf.DUMMYFUNCTION("""COMPUTED_VALUE"""),"Feminin")</f>
        <v>Feminin</v>
      </c>
      <c r="E42" s="4">
        <f ca="1">IFERROR(__xludf.DUMMYFUNCTION("""COMPUTED_VALUE"""),76)</f>
        <v>76</v>
      </c>
      <c r="F42" s="3" t="str">
        <f ca="1">IFERROR(__xludf.DUMMYFUNCTION("""COMPUTED_VALUE"""),"70-79 years")</f>
        <v>70-79 years</v>
      </c>
      <c r="G42" s="3" t="str">
        <f ca="1">IFERROR(__xludf.DUMMYFUNCTION("""COMPUTED_VALUE"""),"București")</f>
        <v>București</v>
      </c>
      <c r="H42" s="3"/>
      <c r="I42" s="3">
        <f ca="1">IFERROR(__xludf.DUMMYFUNCTION("""COMPUTED_VALUE"""),894)</f>
        <v>894</v>
      </c>
      <c r="J42" s="3" t="str">
        <f ca="1">IFERROR(__xludf.DUMMYFUNCTION("""COMPUTED_VALUE"""),"Ascita neoplazica, adenocarcinom.")</f>
        <v>Ascita neoplazica, adenocarcinom.</v>
      </c>
      <c r="K42" s="5">
        <f ca="1">IFERROR(__xludf.DUMMYFUNCTION("""COMPUTED_VALUE"""),43956)</f>
        <v>43956</v>
      </c>
      <c r="L42" s="5">
        <f ca="1">IFERROR(__xludf.DUMMYFUNCTION("""COMPUTED_VALUE"""),43956)</f>
        <v>43956</v>
      </c>
      <c r="M42" s="3" t="str">
        <f ca="1">IFERROR(__xludf.DUMMYFUNCTION("""COMPUTED_VALUE"""),"0")</f>
        <v>0</v>
      </c>
      <c r="N42" s="5">
        <f ca="1">IFERROR(__xludf.DUMMYFUNCTION("""COMPUTED_VALUE"""),43955)</f>
        <v>43955</v>
      </c>
      <c r="O42" s="5">
        <f ca="1">IFERROR(__xludf.DUMMYFUNCTION("""COMPUTED_VALUE"""),43956)</f>
        <v>43956</v>
      </c>
      <c r="P42" s="3" t="str">
        <f ca="1">IFERROR(__xludf.DUMMYFUNCTION("""COMPUTED_VALUE"""),"1")</f>
        <v>1</v>
      </c>
      <c r="Q42" s="3" t="str">
        <f ca="1">IFERROR(__xludf.DUMMYFUNCTION("""COMPUTED_VALUE"""),"0")</f>
        <v>0</v>
      </c>
      <c r="R42" s="3" t="str">
        <f ca="1">IFERROR(__xludf.DUMMYFUNCTION("""COMPUTED_VALUE"""),"Nu")</f>
        <v>Nu</v>
      </c>
      <c r="S42" s="3" t="str">
        <f ca="1">IFERROR(__xludf.DUMMYFUNCTION("""COMPUTED_VALUE"""),"4/22/2020")</f>
        <v>4/22/2020</v>
      </c>
      <c r="T42" s="3">
        <f ca="1">IFERROR(__xludf.DUMMYFUNCTION("""COMPUTED_VALUE"""),13)</f>
        <v>13</v>
      </c>
      <c r="U42" s="3" t="str">
        <f ca="1">IFERROR(__xludf.DUMMYFUNCTION("""COMPUTED_VALUE"""),"Da")</f>
        <v>Da</v>
      </c>
      <c r="V42" s="6" t="str">
        <f ca="1">IFERROR(__xludf.DUMMYFUNCTION("""COMPUTED_VALUE"""),"http://www.ms.ro/2020/05/05/decese-828-841/")</f>
        <v>http://www.ms.ro/2020/05/05/decese-828-841/</v>
      </c>
      <c r="W42" s="3" t="str">
        <f ca="1">IFERROR(__xludf.DUMMYFUNCTION("""COMPUTED_VALUE"""),"Spital Pantelimon")</f>
        <v>Spital Pantelimon</v>
      </c>
      <c r="X42" s="3"/>
      <c r="Y42" s="3" t="str">
        <f ca="1">IFERROR(__xludf.DUMMYFUNCTION("""COMPUTED_VALUE"""),"Spital Pantelimon")</f>
        <v>Spital Pantelimon</v>
      </c>
      <c r="Z42" s="3"/>
      <c r="AA42" s="3" t="str">
        <f ca="1">IFERROR(__xludf.DUMMYFUNCTION("""COMPUTED_VALUE"""),"Spital Pantelimon")</f>
        <v>Spital Pantelimon</v>
      </c>
      <c r="AB42" s="3" t="str">
        <f ca="1">IFERROR(__xludf.DUMMYFUNCTION("""COMPUTED_VALUE"""),"Femeie, 76 ani, municipiul București.
Data recoltării: 04.05.2020.
Data confirmării: 05.05.2020.
Data internării: 22.04.2020 în Spital Pantelimon pentru hemoragie digestivă superioară.
Data decesului: 05.05.2020.
Comorbidități: ascita neoplazica, a"&amp;"denocarcinom.")</f>
        <v>Femeie, 76 ani, municipiul București.
Data recoltării: 04.05.2020.
Data confirmării: 05.05.2020.
Data internării: 22.04.2020 în Spital Pantelimon pentru hemoragie digestivă superioară.
Data decesului: 05.05.2020.
Comorbidități: ascita neoplazica, adenocarcinom.</v>
      </c>
      <c r="AC42" s="3" t="str">
        <f ca="1">IFERROR(__xludf.DUMMYFUNCTION("""COMPUTED_VALUE"""),"hemoragie digestivă superioară")</f>
        <v>hemoragie digestivă superioară</v>
      </c>
      <c r="AD42" s="3" t="str">
        <f ca="1">IFERROR(__xludf.DUMMYFUNCTION("""COMPUTED_VALUE"""),"MS")</f>
        <v>MS</v>
      </c>
      <c r="AE42" s="3"/>
      <c r="AF42" s="3" t="str">
        <f ca="1">IFERROR(__xludf.DUMMYFUNCTION("""COMPUTED_VALUE"""),"Nespecificat")</f>
        <v>Nespecificat</v>
      </c>
      <c r="AG42" s="3" t="str">
        <f ca="1">IFERROR(__xludf.DUMMYFUNCTION("""COMPUTED_VALUE"""),"Nu")</f>
        <v>Nu</v>
      </c>
      <c r="AH42" s="3" t="str">
        <f ca="1">IFERROR(__xludf.DUMMYFUNCTION("""COMPUTED_VALUE"""),"Nu")</f>
        <v>Nu</v>
      </c>
      <c r="AI42" s="3" t="str">
        <f ca="1">IFERROR(__xludf.DUMMYFUNCTION("""COMPUTED_VALUE"""),"Alte afecțiuni preexistente")</f>
        <v>Alte afecțiuni preexistente</v>
      </c>
      <c r="AJ42" s="7" t="str">
        <f ca="1">IFERROR(__xludf.DUMMYFUNCTION("""COMPUTED_VALUE"""),"N")</f>
        <v>N</v>
      </c>
      <c r="AK42" s="7" t="str">
        <f ca="1">IFERROR(__xludf.DUMMYFUNCTION("""COMPUTED_VALUE"""),"N")</f>
        <v>N</v>
      </c>
      <c r="AL42" s="7" t="str">
        <f ca="1">IFERROR(__xludf.DUMMYFUNCTION("""COMPUTED_VALUE"""),"N")</f>
        <v>N</v>
      </c>
      <c r="AM42" s="7" t="str">
        <f ca="1">IFERROR(__xludf.DUMMYFUNCTION("""COMPUTED_VALUE"""),"N")</f>
        <v>N</v>
      </c>
      <c r="AN42" s="7" t="str">
        <f ca="1">IFERROR(__xludf.DUMMYFUNCTION("""COMPUTED_VALUE"""),"N")</f>
        <v>N</v>
      </c>
      <c r="AO42" s="7" t="str">
        <f ca="1">IFERROR(__xludf.DUMMYFUNCTION("""COMPUTED_VALUE"""),"N")</f>
        <v>N</v>
      </c>
      <c r="AP42" s="7" t="str">
        <f ca="1">IFERROR(__xludf.DUMMYFUNCTION("""COMPUTED_VALUE"""),"N")</f>
        <v>N</v>
      </c>
      <c r="AQ42" s="7" t="str">
        <f ca="1">IFERROR(__xludf.DUMMYFUNCTION("""COMPUTED_VALUE"""),"N")</f>
        <v>N</v>
      </c>
      <c r="AR42" s="7" t="str">
        <f ca="1">IFERROR(__xludf.DUMMYFUNCTION("""COMPUTED_VALUE"""),"N")</f>
        <v>N</v>
      </c>
      <c r="AS42" s="7" t="str">
        <f ca="1">IFERROR(__xludf.DUMMYFUNCTION("""COMPUTED_VALUE"""),"Y")</f>
        <v>Y</v>
      </c>
      <c r="AT42" s="7" t="str">
        <f ca="1">IFERROR(__xludf.DUMMYFUNCTION("""COMPUTED_VALUE"""),"N")</f>
        <v>N</v>
      </c>
      <c r="AU42" s="3"/>
      <c r="AV42" s="3"/>
      <c r="AW42" s="3"/>
      <c r="AX42" s="3"/>
      <c r="AY42" s="3"/>
    </row>
    <row r="43" spans="1:51" ht="16.5" customHeight="1">
      <c r="A43" s="3">
        <f ca="1">IFERROR(__xludf.DUMMYFUNCTION("""COMPUTED_VALUE"""),12854)</f>
        <v>12854</v>
      </c>
      <c r="B43" s="3"/>
      <c r="C43" s="3">
        <f ca="1">IFERROR(__xludf.DUMMYFUNCTION("""COMPUTED_VALUE"""),834)</f>
        <v>834</v>
      </c>
      <c r="D43" s="3" t="str">
        <f ca="1">IFERROR(__xludf.DUMMYFUNCTION("""COMPUTED_VALUE"""),"Masculin")</f>
        <v>Masculin</v>
      </c>
      <c r="E43" s="4">
        <f ca="1">IFERROR(__xludf.DUMMYFUNCTION("""COMPUTED_VALUE"""),50)</f>
        <v>50</v>
      </c>
      <c r="F43" s="3" t="str">
        <f ca="1">IFERROR(__xludf.DUMMYFUNCTION("""COMPUTED_VALUE"""),"50-59 years")</f>
        <v>50-59 years</v>
      </c>
      <c r="G43" s="3" t="str">
        <f ca="1">IFERROR(__xludf.DUMMYFUNCTION("""COMPUTED_VALUE"""),"București")</f>
        <v>București</v>
      </c>
      <c r="H43" s="3"/>
      <c r="I43" s="3">
        <f ca="1">IFERROR(__xludf.DUMMYFUNCTION("""COMPUTED_VALUE"""),122)</f>
        <v>122</v>
      </c>
      <c r="J43" s="3" t="str">
        <f ca="1">IFERROR(__xludf.DUMMYFUNCTION("""COMPUTED_VALUE"""),"Encefalopatie toxica cu neuropatie, hepatita virala B.")</f>
        <v>Encefalopatie toxica cu neuropatie, hepatita virala B.</v>
      </c>
      <c r="K43" s="5">
        <f ca="1">IFERROR(__xludf.DUMMYFUNCTION("""COMPUTED_VALUE"""),43956)</f>
        <v>43956</v>
      </c>
      <c r="L43" s="5">
        <f ca="1">IFERROR(__xludf.DUMMYFUNCTION("""COMPUTED_VALUE"""),43956)</f>
        <v>43956</v>
      </c>
      <c r="M43" s="3" t="str">
        <f ca="1">IFERROR(__xludf.DUMMYFUNCTION("""COMPUTED_VALUE"""),"0")</f>
        <v>0</v>
      </c>
      <c r="N43" s="5">
        <f ca="1">IFERROR(__xludf.DUMMYFUNCTION("""COMPUTED_VALUE"""),43953)</f>
        <v>43953</v>
      </c>
      <c r="O43" s="5">
        <f ca="1">IFERROR(__xludf.DUMMYFUNCTION("""COMPUTED_VALUE"""),43954)</f>
        <v>43954</v>
      </c>
      <c r="P43" s="3" t="str">
        <f ca="1">IFERROR(__xludf.DUMMYFUNCTION("""COMPUTED_VALUE"""),"1")</f>
        <v>1</v>
      </c>
      <c r="Q43" s="3" t="str">
        <f ca="1">IFERROR(__xludf.DUMMYFUNCTION("""COMPUTED_VALUE"""),"2")</f>
        <v>2</v>
      </c>
      <c r="R43" s="3" t="str">
        <f ca="1">IFERROR(__xludf.DUMMYFUNCTION("""COMPUTED_VALUE"""),"Nu")</f>
        <v>Nu</v>
      </c>
      <c r="S43" s="3" t="str">
        <f ca="1">IFERROR(__xludf.DUMMYFUNCTION("""COMPUTED_VALUE"""),"4/16/2020")</f>
        <v>4/16/2020</v>
      </c>
      <c r="T43" s="3">
        <f ca="1">IFERROR(__xludf.DUMMYFUNCTION("""COMPUTED_VALUE"""),19)</f>
        <v>19</v>
      </c>
      <c r="U43" s="3" t="str">
        <f ca="1">IFERROR(__xludf.DUMMYFUNCTION("""COMPUTED_VALUE"""),"Da")</f>
        <v>Da</v>
      </c>
      <c r="V43" s="6" t="str">
        <f ca="1">IFERROR(__xludf.DUMMYFUNCTION("""COMPUTED_VALUE"""),"http://www.ms.ro/2020/05/05/decese-828-841/")</f>
        <v>http://www.ms.ro/2020/05/05/decese-828-841/</v>
      </c>
      <c r="W43" s="3" t="str">
        <f ca="1">IFERROR(__xludf.DUMMYFUNCTION("""COMPUTED_VALUE"""),"Spital Pantelimon")</f>
        <v>Spital Pantelimon</v>
      </c>
      <c r="X43" s="3"/>
      <c r="Y43" s="3" t="str">
        <f ca="1">IFERROR(__xludf.DUMMYFUNCTION("""COMPUTED_VALUE"""),"Spital Colentina")</f>
        <v>Spital Colentina</v>
      </c>
      <c r="Z43" s="3"/>
      <c r="AA43" s="3" t="str">
        <f ca="1">IFERROR(__xludf.DUMMYFUNCTION("""COMPUTED_VALUE"""),"Spital Colentina")</f>
        <v>Spital Colentina</v>
      </c>
      <c r="AB43" s="3" t="str">
        <f ca="1">IFERROR(__xludf.DUMMYFUNCTION("""COMPUTED_VALUE"""),"Bărbat, 50 ani, municipiul București.
Data recoltării: 02.05.2020.
Data confirmării: 03.05.2020.
Data internării: 16.04.2020 în Spital Pantelimon, transferat în data de 04.05.2020 în ATI Spital Colentina.
Data decesului: 05.05.2020.
Comorbidități: "&amp;"encefalopatie toxica cu neuropatie, hepatita virala B.")</f>
        <v>Bărbat, 50 ani, municipiul București.
Data recoltării: 02.05.2020.
Data confirmării: 03.05.2020.
Data internării: 16.04.2020 în Spital Pantelimon, transferat în data de 04.05.2020 în ATI Spital Colentina.
Data decesului: 05.05.2020.
Comorbidități: encefalopatie toxica cu neuropatie, hepatita virala B.</v>
      </c>
      <c r="AC43" s="3"/>
      <c r="AD43" s="3" t="str">
        <f ca="1">IFERROR(__xludf.DUMMYFUNCTION("""COMPUTED_VALUE"""),"MS")</f>
        <v>MS</v>
      </c>
      <c r="AE43" s="3"/>
      <c r="AF43" s="3" t="str">
        <f ca="1">IFERROR(__xludf.DUMMYFUNCTION("""COMPUTED_VALUE"""),"Nespecificat")</f>
        <v>Nespecificat</v>
      </c>
      <c r="AG43" s="3" t="str">
        <f ca="1">IFERROR(__xludf.DUMMYFUNCTION("""COMPUTED_VALUE"""),"Nu")</f>
        <v>Nu</v>
      </c>
      <c r="AH43" s="3" t="str">
        <f ca="1">IFERROR(__xludf.DUMMYFUNCTION("""COMPUTED_VALUE"""),"Nu")</f>
        <v>Nu</v>
      </c>
      <c r="AI43" s="3" t="str">
        <f ca="1">IFERROR(__xludf.DUMMYFUNCTION("""COMPUTED_VALUE"""),"Afecțiuni renale")</f>
        <v>Afecțiuni renale</v>
      </c>
      <c r="AJ43" s="7" t="str">
        <f ca="1">IFERROR(__xludf.DUMMYFUNCTION("""COMPUTED_VALUE"""),"N")</f>
        <v>N</v>
      </c>
      <c r="AK43" s="7" t="str">
        <f ca="1">IFERROR(__xludf.DUMMYFUNCTION("""COMPUTED_VALUE"""),"N")</f>
        <v>N</v>
      </c>
      <c r="AL43" s="7" t="str">
        <f ca="1">IFERROR(__xludf.DUMMYFUNCTION("""COMPUTED_VALUE"""),"Y")</f>
        <v>Y</v>
      </c>
      <c r="AM43" s="7" t="str">
        <f ca="1">IFERROR(__xludf.DUMMYFUNCTION("""COMPUTED_VALUE"""),"N")</f>
        <v>N</v>
      </c>
      <c r="AN43" s="7" t="str">
        <f ca="1">IFERROR(__xludf.DUMMYFUNCTION("""COMPUTED_VALUE"""),"Y")</f>
        <v>Y</v>
      </c>
      <c r="AO43" s="7" t="str">
        <f ca="1">IFERROR(__xludf.DUMMYFUNCTION("""COMPUTED_VALUE"""),"N")</f>
        <v>N</v>
      </c>
      <c r="AP43" s="7" t="str">
        <f ca="1">IFERROR(__xludf.DUMMYFUNCTION("""COMPUTED_VALUE"""),"Y")</f>
        <v>Y</v>
      </c>
      <c r="AQ43" s="7" t="str">
        <f ca="1">IFERROR(__xludf.DUMMYFUNCTION("""COMPUTED_VALUE"""),"N")</f>
        <v>N</v>
      </c>
      <c r="AR43" s="7" t="str">
        <f ca="1">IFERROR(__xludf.DUMMYFUNCTION("""COMPUTED_VALUE"""),"N")</f>
        <v>N</v>
      </c>
      <c r="AS43" s="7" t="str">
        <f ca="1">IFERROR(__xludf.DUMMYFUNCTION("""COMPUTED_VALUE"""),"N")</f>
        <v>N</v>
      </c>
      <c r="AT43" s="7" t="str">
        <f ca="1">IFERROR(__xludf.DUMMYFUNCTION("""COMPUTED_VALUE"""),"N")</f>
        <v>N</v>
      </c>
      <c r="AU43" s="3"/>
      <c r="AV43" s="3"/>
      <c r="AW43" s="3"/>
      <c r="AX43" s="3"/>
      <c r="AY43" s="3"/>
    </row>
    <row r="44" spans="1:51" ht="16.5" customHeight="1">
      <c r="A44" s="3">
        <f ca="1">IFERROR(__xludf.DUMMYFUNCTION("""COMPUTED_VALUE"""),8820)</f>
        <v>8820</v>
      </c>
      <c r="B44" s="3"/>
      <c r="C44" s="3">
        <f ca="1">IFERROR(__xludf.DUMMYFUNCTION("""COMPUTED_VALUE"""),812)</f>
        <v>812</v>
      </c>
      <c r="D44" s="3" t="str">
        <f ca="1">IFERROR(__xludf.DUMMYFUNCTION("""COMPUTED_VALUE"""),"Feminin")</f>
        <v>Feminin</v>
      </c>
      <c r="E44" s="4">
        <f ca="1">IFERROR(__xludf.DUMMYFUNCTION("""COMPUTED_VALUE"""),77)</f>
        <v>77</v>
      </c>
      <c r="F44" s="3" t="str">
        <f ca="1">IFERROR(__xludf.DUMMYFUNCTION("""COMPUTED_VALUE"""),"70-79 years")</f>
        <v>70-79 years</v>
      </c>
      <c r="G44" s="3" t="str">
        <f ca="1">IFERROR(__xludf.DUMMYFUNCTION("""COMPUTED_VALUE"""),"București")</f>
        <v>București</v>
      </c>
      <c r="H44" s="3"/>
      <c r="I44" s="3">
        <f ca="1">IFERROR(__xludf.DUMMYFUNCTION("""COMPUTED_VALUE"""),929)</f>
        <v>929</v>
      </c>
      <c r="J44" s="3" t="str">
        <f ca="1">IFERROR(__xludf.DUMMYFUNCTION("""COMPUTED_VALUE"""),"Meningiom, HTA, Parkinson")</f>
        <v>Meningiom, HTA, Parkinson</v>
      </c>
      <c r="K44" s="5">
        <f ca="1">IFERROR(__xludf.DUMMYFUNCTION("""COMPUTED_VALUE"""),43955)</f>
        <v>43955</v>
      </c>
      <c r="L44" s="5">
        <f ca="1">IFERROR(__xludf.DUMMYFUNCTION("""COMPUTED_VALUE"""),43955)</f>
        <v>43955</v>
      </c>
      <c r="M44" s="3" t="str">
        <f ca="1">IFERROR(__xludf.DUMMYFUNCTION("""COMPUTED_VALUE"""),"0")</f>
        <v>0</v>
      </c>
      <c r="N44" s="5">
        <f ca="1">IFERROR(__xludf.DUMMYFUNCTION("""COMPUTED_VALUE"""),43940)</f>
        <v>43940</v>
      </c>
      <c r="O44" s="5">
        <f ca="1">IFERROR(__xludf.DUMMYFUNCTION("""COMPUTED_VALUE"""),43941)</f>
        <v>43941</v>
      </c>
      <c r="P44" s="3" t="str">
        <f ca="1">IFERROR(__xludf.DUMMYFUNCTION("""COMPUTED_VALUE"""),"1")</f>
        <v>1</v>
      </c>
      <c r="Q44" s="3" t="str">
        <f ca="1">IFERROR(__xludf.DUMMYFUNCTION("""COMPUTED_VALUE"""),"14")</f>
        <v>14</v>
      </c>
      <c r="R44" s="3" t="str">
        <f ca="1">IFERROR(__xludf.DUMMYFUNCTION("""COMPUTED_VALUE"""),"Nu")</f>
        <v>Nu</v>
      </c>
      <c r="S44" s="3" t="str">
        <f ca="1">IFERROR(__xludf.DUMMYFUNCTION("""COMPUTED_VALUE"""),"4/4/2020")</f>
        <v>4/4/2020</v>
      </c>
      <c r="T44" s="3">
        <f ca="1">IFERROR(__xludf.DUMMYFUNCTION("""COMPUTED_VALUE"""),30)</f>
        <v>30</v>
      </c>
      <c r="U44" s="3" t="str">
        <f ca="1">IFERROR(__xludf.DUMMYFUNCTION("""COMPUTED_VALUE"""),"Da")</f>
        <v>Da</v>
      </c>
      <c r="V44" s="6" t="str">
        <f ca="1">IFERROR(__xludf.DUMMYFUNCTION("""COMPUTED_VALUE"""),"http://www.ms.ro/2020/05/04/decese-804-818/")</f>
        <v>http://www.ms.ro/2020/05/04/decese-804-818/</v>
      </c>
      <c r="W44" s="3" t="str">
        <f ca="1">IFERROR(__xludf.DUMMYFUNCTION("""COMPUTED_VALUE"""),"Spitalul Universitar de Urgență, București")</f>
        <v>Spitalul Universitar de Urgență, București</v>
      </c>
      <c r="X44" s="3"/>
      <c r="Y44" s="3" t="str">
        <f ca="1">IFERROR(__xludf.DUMMYFUNCTION("""COMPUTED_VALUE"""),"Spitalul Colentina")</f>
        <v>Spitalul Colentina</v>
      </c>
      <c r="Z44" s="3" t="str">
        <f ca="1">IFERROR(__xludf.DUMMYFUNCTION("""COMPUTED_VALUE"""),"ATI ")</f>
        <v xml:space="preserve">ATI </v>
      </c>
      <c r="AA44" s="3" t="str">
        <f ca="1">IFERROR(__xludf.DUMMYFUNCTION("""COMPUTED_VALUE"""),"Spitalul Colentina")</f>
        <v>Spitalul Colentina</v>
      </c>
      <c r="AB44" s="3" t="str">
        <f ca="1">IFERROR(__xludf.DUMMYFUNCTION("""COMPUTED_VALUE"""),"Femeie, 77 ani, municipiul București.
Data internării: 04.04.2020 Spitalul Universitar de Urgență, București. Se transferă la Spitalul Colentina in data de 20.04.2020 și în 26.04.2020 este internată în ATI
Data recoltării: 19.04.2020
Data confirmării"&amp;": 20.04.2020.
Data decesului: 04.05.2020, insuficienta respiratorie.
Comorbidități: Meningiom, HTA, Parkinson.")</f>
        <v>Femeie, 77 ani, municipiul București.
Data internării: 04.04.2020 Spitalul Universitar de Urgență, București. Se transferă la Spitalul Colentina in data de 20.04.2020 și în 26.04.2020 este internată în ATI
Data recoltării: 19.04.2020
Data confirmării: 20.04.2020.
Data decesului: 04.05.2020, insuficienta respiratorie.
Comorbidități: Meningiom, HTA, Parkinson.</v>
      </c>
      <c r="AC44" s="3"/>
      <c r="AD44" s="3" t="str">
        <f ca="1">IFERROR(__xludf.DUMMYFUNCTION("""COMPUTED_VALUE"""),"MS")</f>
        <v>MS</v>
      </c>
      <c r="AE44" s="3"/>
      <c r="AF44" s="3" t="str">
        <f ca="1">IFERROR(__xludf.DUMMYFUNCTION("""COMPUTED_VALUE"""),"Nespecificat")</f>
        <v>Nespecificat</v>
      </c>
      <c r="AG44" s="3" t="str">
        <f ca="1">IFERROR(__xludf.DUMMYFUNCTION("""COMPUTED_VALUE"""),"Nu")</f>
        <v>Nu</v>
      </c>
      <c r="AH44" s="3" t="str">
        <f ca="1">IFERROR(__xludf.DUMMYFUNCTION("""COMPUTED_VALUE"""),"Nu")</f>
        <v>Nu</v>
      </c>
      <c r="AI44" s="3" t="str">
        <f ca="1">IFERROR(__xludf.DUMMYFUNCTION("""COMPUTED_VALUE"""),"Afecțiuni cardiovasculare")</f>
        <v>Afecțiuni cardiovasculare</v>
      </c>
      <c r="AJ44" s="7" t="str">
        <f ca="1">IFERROR(__xludf.DUMMYFUNCTION("""COMPUTED_VALUE"""),"Y")</f>
        <v>Y</v>
      </c>
      <c r="AK44" s="7" t="str">
        <f ca="1">IFERROR(__xludf.DUMMYFUNCTION("""COMPUTED_VALUE"""),"N")</f>
        <v>N</v>
      </c>
      <c r="AL44" s="7" t="str">
        <f ca="1">IFERROR(__xludf.DUMMYFUNCTION("""COMPUTED_VALUE"""),"N")</f>
        <v>N</v>
      </c>
      <c r="AM44" s="7" t="str">
        <f ca="1">IFERROR(__xludf.DUMMYFUNCTION("""COMPUTED_VALUE"""),"N")</f>
        <v>N</v>
      </c>
      <c r="AN44" s="7" t="str">
        <f ca="1">IFERROR(__xludf.DUMMYFUNCTION("""COMPUTED_VALUE"""),"Y")</f>
        <v>Y</v>
      </c>
      <c r="AO44" s="7" t="str">
        <f ca="1">IFERROR(__xludf.DUMMYFUNCTION("""COMPUTED_VALUE"""),"N")</f>
        <v>N</v>
      </c>
      <c r="AP44" s="7" t="str">
        <f ca="1">IFERROR(__xludf.DUMMYFUNCTION("""COMPUTED_VALUE"""),"N")</f>
        <v>N</v>
      </c>
      <c r="AQ44" s="7" t="str">
        <f ca="1">IFERROR(__xludf.DUMMYFUNCTION("""COMPUTED_VALUE"""),"N")</f>
        <v>N</v>
      </c>
      <c r="AR44" s="7" t="str">
        <f ca="1">IFERROR(__xludf.DUMMYFUNCTION("""COMPUTED_VALUE"""),"N")</f>
        <v>N</v>
      </c>
      <c r="AS44" s="7" t="str">
        <f ca="1">IFERROR(__xludf.DUMMYFUNCTION("""COMPUTED_VALUE"""),"N")</f>
        <v>N</v>
      </c>
      <c r="AT44" s="7" t="str">
        <f ca="1">IFERROR(__xludf.DUMMYFUNCTION("""COMPUTED_VALUE"""),"N")</f>
        <v>N</v>
      </c>
      <c r="AU44" s="3"/>
      <c r="AV44" s="3"/>
      <c r="AW44" s="3"/>
      <c r="AX44" s="3"/>
      <c r="AY44" s="3"/>
    </row>
    <row r="45" spans="1:51" ht="16.5" customHeight="1">
      <c r="A45" s="3">
        <f ca="1">IFERROR(__xludf.DUMMYFUNCTION("""COMPUTED_VALUE"""),5400)</f>
        <v>5400</v>
      </c>
      <c r="B45" s="3"/>
      <c r="C45" s="3">
        <f ca="1">IFERROR(__xludf.DUMMYFUNCTION("""COMPUTED_VALUE"""),804)</f>
        <v>804</v>
      </c>
      <c r="D45" s="3" t="str">
        <f ca="1">IFERROR(__xludf.DUMMYFUNCTION("""COMPUTED_VALUE"""),"Masculin")</f>
        <v>Masculin</v>
      </c>
      <c r="E45" s="4">
        <f ca="1">IFERROR(__xludf.DUMMYFUNCTION("""COMPUTED_VALUE"""),72)</f>
        <v>72</v>
      </c>
      <c r="F45" s="3" t="str">
        <f ca="1">IFERROR(__xludf.DUMMYFUNCTION("""COMPUTED_VALUE"""),"70-79 years")</f>
        <v>70-79 years</v>
      </c>
      <c r="G45" s="3" t="str">
        <f ca="1">IFERROR(__xludf.DUMMYFUNCTION("""COMPUTED_VALUE"""),"București")</f>
        <v>București</v>
      </c>
      <c r="H45" s="3"/>
      <c r="I45" s="3">
        <f ca="1">IFERROR(__xludf.DUMMYFUNCTION("""COMPUTED_VALUE"""),763)</f>
        <v>763</v>
      </c>
      <c r="J45" s="3" t="str">
        <f ca="1">IFERROR(__xludf.DUMMYFUNCTION("""COMPUTED_VALUE"""),"Boală cardiovasculară")</f>
        <v>Boală cardiovasculară</v>
      </c>
      <c r="K45" s="5">
        <f ca="1">IFERROR(__xludf.DUMMYFUNCTION("""COMPUTED_VALUE"""),43955)</f>
        <v>43955</v>
      </c>
      <c r="L45" s="5">
        <f ca="1">IFERROR(__xludf.DUMMYFUNCTION("""COMPUTED_VALUE"""),43954)</f>
        <v>43954</v>
      </c>
      <c r="M45" s="3" t="str">
        <f ca="1">IFERROR(__xludf.DUMMYFUNCTION("""COMPUTED_VALUE"""),"1")</f>
        <v>1</v>
      </c>
      <c r="N45" s="5">
        <f ca="1">IFERROR(__xludf.DUMMYFUNCTION("""COMPUTED_VALUE"""),43930)</f>
        <v>43930</v>
      </c>
      <c r="O45" s="5">
        <f ca="1">IFERROR(__xludf.DUMMYFUNCTION("""COMPUTED_VALUE"""),43931)</f>
        <v>43931</v>
      </c>
      <c r="P45" s="3" t="str">
        <f ca="1">IFERROR(__xludf.DUMMYFUNCTION("""COMPUTED_VALUE"""),"1")</f>
        <v>1</v>
      </c>
      <c r="Q45" s="3" t="str">
        <f ca="1">IFERROR(__xludf.DUMMYFUNCTION("""COMPUTED_VALUE"""),"23")</f>
        <v>23</v>
      </c>
      <c r="R45" s="3" t="str">
        <f ca="1">IFERROR(__xludf.DUMMYFUNCTION("""COMPUTED_VALUE"""),"Nu")</f>
        <v>Nu</v>
      </c>
      <c r="S45" s="3" t="str">
        <f ca="1">IFERROR(__xludf.DUMMYFUNCTION("""COMPUTED_VALUE"""),"4/9/2020")</f>
        <v>4/9/2020</v>
      </c>
      <c r="T45" s="3">
        <f ca="1">IFERROR(__xludf.DUMMYFUNCTION("""COMPUTED_VALUE"""),24)</f>
        <v>24</v>
      </c>
      <c r="U45" s="3" t="str">
        <f ca="1">IFERROR(__xludf.DUMMYFUNCTION("""COMPUTED_VALUE"""),"Da")</f>
        <v>Da</v>
      </c>
      <c r="V45" s="6" t="str">
        <f ca="1">IFERROR(__xludf.DUMMYFUNCTION("""COMPUTED_VALUE"""),"http://www.ms.ro/2020/05/04/decese-804-818/")</f>
        <v>http://www.ms.ro/2020/05/04/decese-804-818/</v>
      </c>
      <c r="W45" s="3" t="str">
        <f ca="1">IFERROR(__xludf.DUMMYFUNCTION("""COMPUTED_VALUE"""),"Spitalul Victor Babeș")</f>
        <v>Spitalul Victor Babeș</v>
      </c>
      <c r="X45" s="3" t="str">
        <f ca="1">IFERROR(__xludf.DUMMYFUNCTION("""COMPUTED_VALUE"""),"ATI")</f>
        <v>ATI</v>
      </c>
      <c r="Y45" s="3" t="str">
        <f ca="1">IFERROR(__xludf.DUMMYFUNCTION("""COMPUTED_VALUE"""),"Spitalul Victor Babeș")</f>
        <v>Spitalul Victor Babeș</v>
      </c>
      <c r="Z45" s="3"/>
      <c r="AA45" s="3" t="str">
        <f ca="1">IFERROR(__xludf.DUMMYFUNCTION("""COMPUTED_VALUE"""),"Spitalul Victor Babeș")</f>
        <v>Spitalul Victor Babeș</v>
      </c>
      <c r="AB45" s="3" t="str">
        <f ca="1">IFERROR(__xludf.DUMMYFUNCTION("""COMPUTED_VALUE"""),"Bărbat, 72 ani, municipiul București
Data internării: 09.04.2020 Spitalul Victor Babeș, febra, semne si simptome respiratorii și imagistica pulmonara modificata, este internat în ATI- intubat și ventilat mecanic.
Data recoltării: 09.04.2020.
Data con"&amp;"firmării: 10.04.2020.
Data decesului: 03.05.2020, insuficiență respiratorie
Comorbidități: boală cardiovasculară
Contact cu soția confirmată.")</f>
        <v>Bărbat, 72 ani, municipiul București
Data internării: 09.04.2020 Spitalul Victor Babeș, febra, semne si simptome respiratorii și imagistica pulmonara modificata, este internat în ATI- intubat și ventilat mecanic.
Data recoltării: 09.04.2020.
Data confirmării: 10.04.2020.
Data decesului: 03.05.2020, insuficiență respiratorie
Comorbidități: boală cardiovasculară
Contact cu soția confirmată.</v>
      </c>
      <c r="AC45" s="3" t="str">
        <f ca="1">IFERROR(__xludf.DUMMYFUNCTION("""COMPUTED_VALUE"""),"febra, semne si simptome respiratorii și imagistica pulmonara modificata, este internat în ATI- intubat și ventilat mecanic")</f>
        <v>febra, semne si simptome respiratorii și imagistica pulmonara modificata, este internat în ATI- intubat și ventilat mecanic</v>
      </c>
      <c r="AD45" s="3" t="str">
        <f ca="1">IFERROR(__xludf.DUMMYFUNCTION("""COMPUTED_VALUE"""),"MS")</f>
        <v>MS</v>
      </c>
      <c r="AE45" s="3" t="str">
        <f ca="1">IFERROR(__xludf.DUMMYFUNCTION("""COMPUTED_VALUE"""),"Contact cu soția confirmată.")</f>
        <v>Contact cu soția confirmată.</v>
      </c>
      <c r="AF45" s="3" t="str">
        <f ca="1">IFERROR(__xludf.DUMMYFUNCTION("""COMPUTED_VALUE"""),"Contact cu soția confirmată.")</f>
        <v>Contact cu soția confirmată.</v>
      </c>
      <c r="AG45" s="3" t="str">
        <f ca="1">IFERROR(__xludf.DUMMYFUNCTION("""COMPUTED_VALUE"""),"Da")</f>
        <v>Da</v>
      </c>
      <c r="AH45" s="3" t="str">
        <f ca="1">IFERROR(__xludf.DUMMYFUNCTION("""COMPUTED_VALUE"""),"Nu")</f>
        <v>Nu</v>
      </c>
      <c r="AI45" s="3" t="str">
        <f ca="1">IFERROR(__xludf.DUMMYFUNCTION("""COMPUTED_VALUE"""),"Afecțiuni cardiovasculare")</f>
        <v>Afecțiuni cardiovasculare</v>
      </c>
      <c r="AJ45" s="7" t="str">
        <f ca="1">IFERROR(__xludf.DUMMYFUNCTION("""COMPUTED_VALUE"""),"Y")</f>
        <v>Y</v>
      </c>
      <c r="AK45" s="7" t="str">
        <f ca="1">IFERROR(__xludf.DUMMYFUNCTION("""COMPUTED_VALUE"""),"N")</f>
        <v>N</v>
      </c>
      <c r="AL45" s="7" t="str">
        <f ca="1">IFERROR(__xludf.DUMMYFUNCTION("""COMPUTED_VALUE"""),"N")</f>
        <v>N</v>
      </c>
      <c r="AM45" s="7" t="str">
        <f ca="1">IFERROR(__xludf.DUMMYFUNCTION("""COMPUTED_VALUE"""),"Y")</f>
        <v>Y</v>
      </c>
      <c r="AN45" s="7" t="str">
        <f ca="1">IFERROR(__xludf.DUMMYFUNCTION("""COMPUTED_VALUE"""),"N")</f>
        <v>N</v>
      </c>
      <c r="AO45" s="7" t="str">
        <f ca="1">IFERROR(__xludf.DUMMYFUNCTION("""COMPUTED_VALUE"""),"N")</f>
        <v>N</v>
      </c>
      <c r="AP45" s="7" t="str">
        <f ca="1">IFERROR(__xludf.DUMMYFUNCTION("""COMPUTED_VALUE"""),"N")</f>
        <v>N</v>
      </c>
      <c r="AQ45" s="7" t="str">
        <f ca="1">IFERROR(__xludf.DUMMYFUNCTION("""COMPUTED_VALUE"""),"N")</f>
        <v>N</v>
      </c>
      <c r="AR45" s="7" t="str">
        <f ca="1">IFERROR(__xludf.DUMMYFUNCTION("""COMPUTED_VALUE"""),"N")</f>
        <v>N</v>
      </c>
      <c r="AS45" s="7" t="str">
        <f ca="1">IFERROR(__xludf.DUMMYFUNCTION("""COMPUTED_VALUE"""),"N")</f>
        <v>N</v>
      </c>
      <c r="AT45" s="7" t="str">
        <f ca="1">IFERROR(__xludf.DUMMYFUNCTION("""COMPUTED_VALUE"""),"N")</f>
        <v>N</v>
      </c>
      <c r="AU45" s="3"/>
      <c r="AV45" s="3"/>
      <c r="AW45" s="3"/>
      <c r="AX45" s="3"/>
      <c r="AY45" s="3"/>
    </row>
    <row r="46" spans="1:51" ht="16.5" customHeight="1">
      <c r="A46" s="3">
        <f ca="1">IFERROR(__xludf.DUMMYFUNCTION("""COMPUTED_VALUE"""),9384)</f>
        <v>9384</v>
      </c>
      <c r="B46" s="3"/>
      <c r="C46" s="3">
        <f ca="1">IFERROR(__xludf.DUMMYFUNCTION("""COMPUTED_VALUE"""),769)</f>
        <v>769</v>
      </c>
      <c r="D46" s="3" t="str">
        <f ca="1">IFERROR(__xludf.DUMMYFUNCTION("""COMPUTED_VALUE"""),"Masculin")</f>
        <v>Masculin</v>
      </c>
      <c r="E46" s="4">
        <f ca="1">IFERROR(__xludf.DUMMYFUNCTION("""COMPUTED_VALUE"""),86)</f>
        <v>86</v>
      </c>
      <c r="F46" s="3" t="str">
        <f ca="1">IFERROR(__xludf.DUMMYFUNCTION("""COMPUTED_VALUE"""),"Over 80 years")</f>
        <v>Over 80 years</v>
      </c>
      <c r="G46" s="3" t="str">
        <f ca="1">IFERROR(__xludf.DUMMYFUNCTION("""COMPUTED_VALUE"""),"București")</f>
        <v>București</v>
      </c>
      <c r="H46" s="3"/>
      <c r="I46" s="3">
        <f ca="1">IFERROR(__xludf.DUMMYFUNCTION("""COMPUTED_VALUE"""),1239)</f>
        <v>1239</v>
      </c>
      <c r="J46" s="3" t="str">
        <f ca="1">IFERROR(__xludf.DUMMYFUNCTION("""COMPUTED_VALUE"""),"ICC cls. IV, Infarct miocardic acut în antecedente-stimulator cardiac, AVC ischemic.")</f>
        <v>ICC cls. IV, Infarct miocardic acut în antecedente-stimulator cardiac, AVC ischemic.</v>
      </c>
      <c r="K46" s="5">
        <f ca="1">IFERROR(__xludf.DUMMYFUNCTION("""COMPUTED_VALUE"""),43953)</f>
        <v>43953</v>
      </c>
      <c r="L46" s="5">
        <f ca="1">IFERROR(__xludf.DUMMYFUNCTION("""COMPUTED_VALUE"""),43953)</f>
        <v>43953</v>
      </c>
      <c r="M46" s="3" t="str">
        <f ca="1">IFERROR(__xludf.DUMMYFUNCTION("""COMPUTED_VALUE"""),"0")</f>
        <v>0</v>
      </c>
      <c r="N46" s="5">
        <f ca="1">IFERROR(__xludf.DUMMYFUNCTION("""COMPUTED_VALUE"""),43942)</f>
        <v>43942</v>
      </c>
      <c r="O46" s="5">
        <f ca="1">IFERROR(__xludf.DUMMYFUNCTION("""COMPUTED_VALUE"""),43943)</f>
        <v>43943</v>
      </c>
      <c r="P46" s="3" t="str">
        <f ca="1">IFERROR(__xludf.DUMMYFUNCTION("""COMPUTED_VALUE"""),"1")</f>
        <v>1</v>
      </c>
      <c r="Q46" s="3" t="str">
        <f ca="1">IFERROR(__xludf.DUMMYFUNCTION("""COMPUTED_VALUE"""),"10")</f>
        <v>10</v>
      </c>
      <c r="R46" s="3" t="str">
        <f ca="1">IFERROR(__xludf.DUMMYFUNCTION("""COMPUTED_VALUE"""),"Nu")</f>
        <v>Nu</v>
      </c>
      <c r="S46" s="3" t="str">
        <f ca="1">IFERROR(__xludf.DUMMYFUNCTION("""COMPUTED_VALUE"""),"4/21/2020")</f>
        <v>4/21/2020</v>
      </c>
      <c r="T46" s="3">
        <f ca="1">IFERROR(__xludf.DUMMYFUNCTION("""COMPUTED_VALUE"""),11)</f>
        <v>11</v>
      </c>
      <c r="U46" s="3" t="str">
        <f ca="1">IFERROR(__xludf.DUMMYFUNCTION("""COMPUTED_VALUE"""),"Da")</f>
        <v>Da</v>
      </c>
      <c r="V46" s="6" t="str">
        <f ca="1">IFERROR(__xludf.DUMMYFUNCTION("""COMPUTED_VALUE"""),"http://www.ms.ro/2020/05/02/decese-756-771/")</f>
        <v>http://www.ms.ro/2020/05/02/decese-756-771/</v>
      </c>
      <c r="W46" s="3" t="str">
        <f ca="1">IFERROR(__xludf.DUMMYFUNCTION("""COMPUTED_VALUE"""),"Spitalul Sf Pantelimon")</f>
        <v>Spitalul Sf Pantelimon</v>
      </c>
      <c r="X46" s="3"/>
      <c r="Y46" s="3" t="str">
        <f ca="1">IFERROR(__xludf.DUMMYFUNCTION("""COMPUTED_VALUE"""),"Spitalul Colentina")</f>
        <v>Spitalul Colentina</v>
      </c>
      <c r="Z46" s="3" t="str">
        <f ca="1">IFERROR(__xludf.DUMMYFUNCTION("""COMPUTED_VALUE"""),"ATI ")</f>
        <v xml:space="preserve">ATI </v>
      </c>
      <c r="AA46" s="3" t="str">
        <f ca="1">IFERROR(__xludf.DUMMYFUNCTION("""COMPUTED_VALUE"""),"Spitalul Colentina")</f>
        <v>Spitalul Colentina</v>
      </c>
      <c r="AB46" s="3" t="str">
        <f ca="1">IFERROR(__xludf.DUMMYFUNCTION("""COMPUTED_VALUE"""),"Bărbat, 86 ani, municipiul București.
Internat în data perioada 21-22.04.2020 în Spitalul Sf Pantelimon, transferat în 22.04.2020 în Spitalul Colentina, unde din 26.04.2020 a fost transferat în ATI.
Recoltat pentru COVID-19 în data de 21.04.2020.
R"&amp;"ezultat pozitiv în data de 22.04.2020.
Decedat în data de 02.05.2020.
Comorbiditat: ICC cls. IV, Infarct miocardic acut în antecedente-stimulator cardiac, AVC ischemic.")</f>
        <v>Bărbat, 86 ani, municipiul București.
Internat în data perioada 21-22.04.2020 în Spitalul Sf Pantelimon, transferat în 22.04.2020 în Spitalul Colentina, unde din 26.04.2020 a fost transferat în ATI.
Recoltat pentru COVID-19 în data de 21.04.2020.
Rezultat pozitiv în data de 22.04.2020.
Decedat în data de 02.05.2020.
Comorbiditat: ICC cls. IV, Infarct miocardic acut în antecedente-stimulator cardiac, AVC ischemic.</v>
      </c>
      <c r="AC46" s="3"/>
      <c r="AD46" s="3" t="str">
        <f ca="1">IFERROR(__xludf.DUMMYFUNCTION("""COMPUTED_VALUE"""),"MS")</f>
        <v>MS</v>
      </c>
      <c r="AE46" s="3"/>
      <c r="AF46" s="3"/>
      <c r="AG46" s="3" t="str">
        <f ca="1">IFERROR(__xludf.DUMMYFUNCTION("""COMPUTED_VALUE"""),"Nu")</f>
        <v>Nu</v>
      </c>
      <c r="AH46" s="3" t="str">
        <f ca="1">IFERROR(__xludf.DUMMYFUNCTION("""COMPUTED_VALUE"""),"Nu")</f>
        <v>Nu</v>
      </c>
      <c r="AI46" s="3" t="str">
        <f ca="1">IFERROR(__xludf.DUMMYFUNCTION("""COMPUTED_VALUE"""),"Afecțiuni cardiovasculare")</f>
        <v>Afecțiuni cardiovasculare</v>
      </c>
      <c r="AJ46" s="7" t="str">
        <f ca="1">IFERROR(__xludf.DUMMYFUNCTION("""COMPUTED_VALUE"""),"Y")</f>
        <v>Y</v>
      </c>
      <c r="AK46" s="7" t="str">
        <f ca="1">IFERROR(__xludf.DUMMYFUNCTION("""COMPUTED_VALUE"""),"N")</f>
        <v>N</v>
      </c>
      <c r="AL46" s="7" t="str">
        <f ca="1">IFERROR(__xludf.DUMMYFUNCTION("""COMPUTED_VALUE"""),"N")</f>
        <v>N</v>
      </c>
      <c r="AM46" s="7" t="str">
        <f ca="1">IFERROR(__xludf.DUMMYFUNCTION("""COMPUTED_VALUE"""),"N")</f>
        <v>N</v>
      </c>
      <c r="AN46" s="7" t="str">
        <f ca="1">IFERROR(__xludf.DUMMYFUNCTION("""COMPUTED_VALUE"""),"Y")</f>
        <v>Y</v>
      </c>
      <c r="AO46" s="7" t="str">
        <f ca="1">IFERROR(__xludf.DUMMYFUNCTION("""COMPUTED_VALUE"""),"N")</f>
        <v>N</v>
      </c>
      <c r="AP46" s="7" t="str">
        <f ca="1">IFERROR(__xludf.DUMMYFUNCTION("""COMPUTED_VALUE"""),"N")</f>
        <v>N</v>
      </c>
      <c r="AQ46" s="7" t="str">
        <f ca="1">IFERROR(__xludf.DUMMYFUNCTION("""COMPUTED_VALUE"""),"N")</f>
        <v>N</v>
      </c>
      <c r="AR46" s="7" t="str">
        <f ca="1">IFERROR(__xludf.DUMMYFUNCTION("""COMPUTED_VALUE"""),"N")</f>
        <v>N</v>
      </c>
      <c r="AS46" s="7" t="str">
        <f ca="1">IFERROR(__xludf.DUMMYFUNCTION("""COMPUTED_VALUE"""),"N")</f>
        <v>N</v>
      </c>
      <c r="AT46" s="7" t="str">
        <f ca="1">IFERROR(__xludf.DUMMYFUNCTION("""COMPUTED_VALUE"""),"N")</f>
        <v>N</v>
      </c>
      <c r="AU46" s="3"/>
      <c r="AV46" s="3"/>
      <c r="AW46" s="3"/>
      <c r="AX46" s="3"/>
      <c r="AY46" s="3"/>
    </row>
    <row r="47" spans="1:51" ht="16.5" customHeight="1">
      <c r="A47" s="3">
        <f ca="1">IFERROR(__xludf.DUMMYFUNCTION("""COMPUTED_VALUE"""),11425)</f>
        <v>11425</v>
      </c>
      <c r="B47" s="3">
        <f ca="1">IFERROR(__xludf.DUMMYFUNCTION("""COMPUTED_VALUE"""),10708)</f>
        <v>10708</v>
      </c>
      <c r="C47" s="3">
        <f ca="1">IFERROR(__xludf.DUMMYFUNCTION("""COMPUTED_VALUE"""),691)</f>
        <v>691</v>
      </c>
      <c r="D47" s="3" t="str">
        <f ca="1">IFERROR(__xludf.DUMMYFUNCTION("""COMPUTED_VALUE"""),"Masculin")</f>
        <v>Masculin</v>
      </c>
      <c r="E47" s="4">
        <f ca="1">IFERROR(__xludf.DUMMYFUNCTION("""COMPUTED_VALUE"""),98)</f>
        <v>98</v>
      </c>
      <c r="F47" s="3" t="str">
        <f ca="1">IFERROR(__xludf.DUMMYFUNCTION("""COMPUTED_VALUE"""),"Over 80 years")</f>
        <v>Over 80 years</v>
      </c>
      <c r="G47" s="3" t="str">
        <f ca="1">IFERROR(__xludf.DUMMYFUNCTION("""COMPUTED_VALUE"""),"București")</f>
        <v>București</v>
      </c>
      <c r="H47" s="3"/>
      <c r="I47" s="3">
        <f ca="1">IFERROR(__xludf.DUMMYFUNCTION("""COMPUTED_VALUE"""),1357)</f>
        <v>1357</v>
      </c>
      <c r="J47" s="3" t="str">
        <f ca="1">IFERROR(__xludf.DUMMYFUNCTION("""COMPUTED_VALUE"""),"Demență mixtă severă decompensată comportamental, insuficiență cardiacă congestivă clasa III NYHA, hipertensiune arterială, bronșită cronică, Insuficiență circulatorie venoasă, cardiopatie ischemică.")</f>
        <v>Demență mixtă severă decompensată comportamental, insuficiență cardiacă congestivă clasa III NYHA, hipertensiune arterială, bronșită cronică, Insuficiență circulatorie venoasă, cardiopatie ischemică.</v>
      </c>
      <c r="K47" s="5">
        <f ca="1">IFERROR(__xludf.DUMMYFUNCTION("""COMPUTED_VALUE"""),43950)</f>
        <v>43950</v>
      </c>
      <c r="L47" s="5">
        <f ca="1">IFERROR(__xludf.DUMMYFUNCTION("""COMPUTED_VALUE"""),43949)</f>
        <v>43949</v>
      </c>
      <c r="M47" s="3" t="str">
        <f ca="1">IFERROR(__xludf.DUMMYFUNCTION("""COMPUTED_VALUE"""),"1")</f>
        <v>1</v>
      </c>
      <c r="N47" s="5">
        <f ca="1">IFERROR(__xludf.DUMMYFUNCTION("""COMPUTED_VALUE"""),43947)</f>
        <v>43947</v>
      </c>
      <c r="O47" s="5">
        <f ca="1">IFERROR(__xludf.DUMMYFUNCTION("""COMPUTED_VALUE"""),43949)</f>
        <v>43949</v>
      </c>
      <c r="P47" s="3" t="str">
        <f ca="1">IFERROR(__xludf.DUMMYFUNCTION("""COMPUTED_VALUE"""),"2")</f>
        <v>2</v>
      </c>
      <c r="Q47" s="3" t="str">
        <f ca="1">IFERROR(__xludf.DUMMYFUNCTION("""COMPUTED_VALUE"""),"0")</f>
        <v>0</v>
      </c>
      <c r="R47" s="3" t="str">
        <f ca="1">IFERROR(__xludf.DUMMYFUNCTION("""COMPUTED_VALUE"""),"Nu")</f>
        <v>Nu</v>
      </c>
      <c r="S47" s="3" t="str">
        <f ca="1">IFERROR(__xludf.DUMMYFUNCTION("""COMPUTED_VALUE"""),"NU")</f>
        <v>NU</v>
      </c>
      <c r="T47" s="3"/>
      <c r="U47" s="3" t="str">
        <f ca="1">IFERROR(__xludf.DUMMYFUNCTION("""COMPUTED_VALUE"""),"Nu")</f>
        <v>Nu</v>
      </c>
      <c r="V47" s="6" t="str">
        <f ca="1">IFERROR(__xludf.DUMMYFUNCTION("""COMPUTED_VALUE"""),"http://www.ms.ro/2020/04/29/decese-689-693/")</f>
        <v>http://www.ms.ro/2020/04/29/decese-689-693/</v>
      </c>
      <c r="W47" s="3" t="str">
        <f ca="1">IFERROR(__xludf.DUMMYFUNCTION("""COMPUTED_VALUE"""),"Cămin de bătrâni")</f>
        <v>Cămin de bătrâni</v>
      </c>
      <c r="X47" s="3"/>
      <c r="Y47" s="3" t="str">
        <f ca="1">IFERROR(__xludf.DUMMYFUNCTION("""COMPUTED_VALUE"""),"Cămin de bătrâni")</f>
        <v>Cămin de bătrâni</v>
      </c>
      <c r="Z47" s="3"/>
      <c r="AA47" s="3" t="str">
        <f ca="1">IFERROR(__xludf.DUMMYFUNCTION("""COMPUTED_VALUE"""),"Cămin de bătrâni")</f>
        <v>Cămin de bătrâni</v>
      </c>
      <c r="AB47" s="3" t="str">
        <f ca="1">IFERROR(__xludf.DUMMYFUNCTION("""COMPUTED_VALUE"""),"Bărbat, 98 ani din municipiul București.
Dată recoltare: 26.04.2020.
Dată rezultat: 28.04.2020.
Dată deces: decedat la cămin în data de 28.04.2020.
Comorbidități: demență mixtă severă decompensată comportamental, insuficiență cardiacă congestivă clasa II"&amp;"I NYHA, hipertensiune arterială, bronșită cronică, Insuficiență circulatorie venoasă, cardiopatie ischemică.
Cămin de bătrâni")</f>
        <v>Bărbat, 98 ani din municipiul București.
Dată recoltare: 26.04.2020.
Dată rezultat: 28.04.2020.
Dată deces: decedat la cămin în data de 28.04.2020.
Comorbidități: demență mixtă severă decompensată comportamental, insuficiență cardiacă congestivă clasa III NYHA, hipertensiune arterială, bronșită cronică, Insuficiență circulatorie venoasă, cardiopatie ischemică.
Cămin de bătrâni</v>
      </c>
      <c r="AC47" s="3"/>
      <c r="AD47" s="3" t="str">
        <f ca="1">IFERROR(__xludf.DUMMYFUNCTION("""COMPUTED_VALUE"""),"MS")</f>
        <v>MS</v>
      </c>
      <c r="AE47" s="3" t="str">
        <f ca="1">IFERROR(__xludf.DUMMYFUNCTION("""COMPUTED_VALUE"""),"Decesele 689-691 sunt rezidenti in camin de bătrâni")</f>
        <v>Decesele 689-691 sunt rezidenti in camin de bătrâni</v>
      </c>
      <c r="AF47" s="3" t="str">
        <f ca="1">IFERROR(__xludf.DUMMYFUNCTION("""COMPUTED_VALUE"""),"Cămin de bătrâni")</f>
        <v>Cămin de bătrâni</v>
      </c>
      <c r="AG47" s="3" t="str">
        <f ca="1">IFERROR(__xludf.DUMMYFUNCTION("""COMPUTED_VALUE"""),"Da")</f>
        <v>Da</v>
      </c>
      <c r="AH47" s="3" t="str">
        <f ca="1">IFERROR(__xludf.DUMMYFUNCTION("""COMPUTED_VALUE"""),"Nu")</f>
        <v>Nu</v>
      </c>
      <c r="AI47" s="3" t="str">
        <f ca="1">IFERROR(__xludf.DUMMYFUNCTION("""COMPUTED_VALUE"""),"Afecțiuni cardiovasculare")</f>
        <v>Afecțiuni cardiovasculare</v>
      </c>
      <c r="AJ47" s="7" t="str">
        <f ca="1">IFERROR(__xludf.DUMMYFUNCTION("""COMPUTED_VALUE"""),"Y")</f>
        <v>Y</v>
      </c>
      <c r="AK47" s="7" t="str">
        <f ca="1">IFERROR(__xludf.DUMMYFUNCTION("""COMPUTED_VALUE"""),"N")</f>
        <v>N</v>
      </c>
      <c r="AL47" s="7" t="str">
        <f ca="1">IFERROR(__xludf.DUMMYFUNCTION("""COMPUTED_VALUE"""),"N")</f>
        <v>N</v>
      </c>
      <c r="AM47" s="7" t="str">
        <f ca="1">IFERROR(__xludf.DUMMYFUNCTION("""COMPUTED_VALUE"""),"Y")</f>
        <v>Y</v>
      </c>
      <c r="AN47" s="7" t="str">
        <f ca="1">IFERROR(__xludf.DUMMYFUNCTION("""COMPUTED_VALUE"""),"Y")</f>
        <v>Y</v>
      </c>
      <c r="AO47" s="7" t="str">
        <f ca="1">IFERROR(__xludf.DUMMYFUNCTION("""COMPUTED_VALUE"""),"N")</f>
        <v>N</v>
      </c>
      <c r="AP47" s="7" t="str">
        <f ca="1">IFERROR(__xludf.DUMMYFUNCTION("""COMPUTED_VALUE"""),"N")</f>
        <v>N</v>
      </c>
      <c r="AQ47" s="7" t="str">
        <f ca="1">IFERROR(__xludf.DUMMYFUNCTION("""COMPUTED_VALUE"""),"N")</f>
        <v>N</v>
      </c>
      <c r="AR47" s="7" t="str">
        <f ca="1">IFERROR(__xludf.DUMMYFUNCTION("""COMPUTED_VALUE"""),"N")</f>
        <v>N</v>
      </c>
      <c r="AS47" s="7" t="str">
        <f ca="1">IFERROR(__xludf.DUMMYFUNCTION("""COMPUTED_VALUE"""),"N")</f>
        <v>N</v>
      </c>
      <c r="AT47" s="7" t="str">
        <f ca="1">IFERROR(__xludf.DUMMYFUNCTION("""COMPUTED_VALUE"""),"N")</f>
        <v>N</v>
      </c>
      <c r="AU47" s="3"/>
      <c r="AV47" s="3"/>
      <c r="AW47" s="3"/>
      <c r="AX47" s="3"/>
      <c r="AY47" s="3"/>
    </row>
    <row r="48" spans="1:51" ht="16.5" customHeight="1">
      <c r="A48" s="3">
        <f ca="1">IFERROR(__xludf.DUMMYFUNCTION("""COMPUTED_VALUE"""),10708)</f>
        <v>10708</v>
      </c>
      <c r="B48" s="3"/>
      <c r="C48" s="3">
        <f ca="1">IFERROR(__xludf.DUMMYFUNCTION("""COMPUTED_VALUE"""),690)</f>
        <v>690</v>
      </c>
      <c r="D48" s="3" t="str">
        <f ca="1">IFERROR(__xludf.DUMMYFUNCTION("""COMPUTED_VALUE"""),"Masculin")</f>
        <v>Masculin</v>
      </c>
      <c r="E48" s="4">
        <f ca="1">IFERROR(__xludf.DUMMYFUNCTION("""COMPUTED_VALUE"""),88)</f>
        <v>88</v>
      </c>
      <c r="F48" s="3" t="str">
        <f ca="1">IFERROR(__xludf.DUMMYFUNCTION("""COMPUTED_VALUE"""),"Over 80 years")</f>
        <v>Over 80 years</v>
      </c>
      <c r="G48" s="3" t="str">
        <f ca="1">IFERROR(__xludf.DUMMYFUNCTION("""COMPUTED_VALUE"""),"București")</f>
        <v>București</v>
      </c>
      <c r="H48" s="3"/>
      <c r="I48" s="3">
        <f ca="1">IFERROR(__xludf.DUMMYFUNCTION("""COMPUTED_VALUE"""),1277)</f>
        <v>1277</v>
      </c>
      <c r="J48" s="3" t="str">
        <f ca="1">IFERROR(__xludf.DUMMYFUNCTION("""COMPUTED_VALUE"""),"Diabet zaharat complicat cu neuropatie diabetica și microangiopatie, boală renală cronică, HTA, hernie inghinală, arteriopatie obliteranta cronica bilaterala, insuficienta cardiaca, boală neurocognitiva mixtă cu tulburare afectivă depresivă")</f>
        <v>Diabet zaharat complicat cu neuropatie diabetica și microangiopatie, boală renală cronică, HTA, hernie inghinală, arteriopatie obliteranta cronica bilaterala, insuficienta cardiaca, boală neurocognitiva mixtă cu tulburare afectivă depresivă</v>
      </c>
      <c r="K48" s="5">
        <f ca="1">IFERROR(__xludf.DUMMYFUNCTION("""COMPUTED_VALUE"""),43950)</f>
        <v>43950</v>
      </c>
      <c r="L48" s="5">
        <f ca="1">IFERROR(__xludf.DUMMYFUNCTION("""COMPUTED_VALUE"""),43949)</f>
        <v>43949</v>
      </c>
      <c r="M48" s="3" t="str">
        <f ca="1">IFERROR(__xludf.DUMMYFUNCTION("""COMPUTED_VALUE"""),"1")</f>
        <v>1</v>
      </c>
      <c r="N48" s="5">
        <f ca="1">IFERROR(__xludf.DUMMYFUNCTION("""COMPUTED_VALUE"""),43947)</f>
        <v>43947</v>
      </c>
      <c r="O48" s="5">
        <f ca="1">IFERROR(__xludf.DUMMYFUNCTION("""COMPUTED_VALUE"""),43949)</f>
        <v>43949</v>
      </c>
      <c r="P48" s="3" t="str">
        <f ca="1">IFERROR(__xludf.DUMMYFUNCTION("""COMPUTED_VALUE"""),"2")</f>
        <v>2</v>
      </c>
      <c r="Q48" s="3" t="str">
        <f ca="1">IFERROR(__xludf.DUMMYFUNCTION("""COMPUTED_VALUE"""),"0")</f>
        <v>0</v>
      </c>
      <c r="R48" s="3" t="str">
        <f ca="1">IFERROR(__xludf.DUMMYFUNCTION("""COMPUTED_VALUE"""),"Nu")</f>
        <v>Nu</v>
      </c>
      <c r="S48" s="3" t="str">
        <f ca="1">IFERROR(__xludf.DUMMYFUNCTION("""COMPUTED_VALUE"""),"NU")</f>
        <v>NU</v>
      </c>
      <c r="T48" s="3"/>
      <c r="U48" s="3" t="str">
        <f ca="1">IFERROR(__xludf.DUMMYFUNCTION("""COMPUTED_VALUE"""),"Nu")</f>
        <v>Nu</v>
      </c>
      <c r="V48" s="6" t="str">
        <f ca="1">IFERROR(__xludf.DUMMYFUNCTION("""COMPUTED_VALUE"""),"http://www.ms.ro/2020/04/29/decese-689-693/")</f>
        <v>http://www.ms.ro/2020/04/29/decese-689-693/</v>
      </c>
      <c r="W48" s="3" t="str">
        <f ca="1">IFERROR(__xludf.DUMMYFUNCTION("""COMPUTED_VALUE"""),"Cămin de bătrâni")</f>
        <v>Cămin de bătrâni</v>
      </c>
      <c r="X48" s="3"/>
      <c r="Y48" s="3" t="str">
        <f ca="1">IFERROR(__xludf.DUMMYFUNCTION("""COMPUTED_VALUE"""),"Cămin de bătrâni")</f>
        <v>Cămin de bătrâni</v>
      </c>
      <c r="Z48" s="3"/>
      <c r="AA48" s="3" t="str">
        <f ca="1">IFERROR(__xludf.DUMMYFUNCTION("""COMPUTED_VALUE"""),"Cămin de bătrâni")</f>
        <v>Cămin de bătrâni</v>
      </c>
      <c r="AB48" s="3" t="str">
        <f ca="1">IFERROR(__xludf.DUMMYFUNCTION("""COMPUTED_VALUE"""),"Bărbat, 88 ani din municipiul București.
Dată recoltare: 26.04.2020.
Dată rezultat: 26.08.2020.
Dată deces: decedat la cămin în data de 28.04.2020.
Comorbidități: diabet zaharat complicat cu neuropatie diabetica și microangiopatie, boală renală cronică, "&amp;"HTA, hernie inghinală, arteriopatie obliteranta cronica bilaterala, insuficienta cardiaca, boală neurocognitiva mixtă cu tulburare afectivă depresivă.
Cămin de bătrâni")</f>
        <v>Bărbat, 88 ani din municipiul București.
Dată recoltare: 26.04.2020.
Dată rezultat: 26.08.2020.
Dată deces: decedat la cămin în data de 28.04.2020.
Comorbidități: diabet zaharat complicat cu neuropatie diabetica și microangiopatie, boală renală cronică, HTA, hernie inghinală, arteriopatie obliteranta cronica bilaterala, insuficienta cardiaca, boală neurocognitiva mixtă cu tulburare afectivă depresivă.
Cămin de bătrâni</v>
      </c>
      <c r="AC48" s="3"/>
      <c r="AD48" s="3" t="str">
        <f ca="1">IFERROR(__xludf.DUMMYFUNCTION("""COMPUTED_VALUE"""),"MS")</f>
        <v>MS</v>
      </c>
      <c r="AE48" s="3" t="str">
        <f ca="1">IFERROR(__xludf.DUMMYFUNCTION("""COMPUTED_VALUE"""),"Decesele 689-691 sunt rezidenti in camin de bătrâni")</f>
        <v>Decesele 689-691 sunt rezidenti in camin de bătrâni</v>
      </c>
      <c r="AF48" s="3" t="str">
        <f ca="1">IFERROR(__xludf.DUMMYFUNCTION("""COMPUTED_VALUE"""),"Cămin de bătrâni")</f>
        <v>Cămin de bătrâni</v>
      </c>
      <c r="AG48" s="3" t="str">
        <f ca="1">IFERROR(__xludf.DUMMYFUNCTION("""COMPUTED_VALUE"""),"Da")</f>
        <v>Da</v>
      </c>
      <c r="AH48" s="3" t="str">
        <f ca="1">IFERROR(__xludf.DUMMYFUNCTION("""COMPUTED_VALUE"""),"Nu")</f>
        <v>Nu</v>
      </c>
      <c r="AI48" s="3" t="str">
        <f ca="1">IFERROR(__xludf.DUMMYFUNCTION("""COMPUTED_VALUE"""),"Afecțiuni cardiovasculare")</f>
        <v>Afecțiuni cardiovasculare</v>
      </c>
      <c r="AJ48" s="7" t="str">
        <f ca="1">IFERROR(__xludf.DUMMYFUNCTION("""COMPUTED_VALUE"""),"Y")</f>
        <v>Y</v>
      </c>
      <c r="AK48" s="7" t="str">
        <f ca="1">IFERROR(__xludf.DUMMYFUNCTION("""COMPUTED_VALUE"""),"Y")</f>
        <v>Y</v>
      </c>
      <c r="AL48" s="7" t="str">
        <f ca="1">IFERROR(__xludf.DUMMYFUNCTION("""COMPUTED_VALUE"""),"Y")</f>
        <v>Y</v>
      </c>
      <c r="AM48" s="7" t="str">
        <f ca="1">IFERROR(__xludf.DUMMYFUNCTION("""COMPUTED_VALUE"""),"N")</f>
        <v>N</v>
      </c>
      <c r="AN48" s="7" t="str">
        <f ca="1">IFERROR(__xludf.DUMMYFUNCTION("""COMPUTED_VALUE"""),"Y")</f>
        <v>Y</v>
      </c>
      <c r="AO48" s="7" t="str">
        <f ca="1">IFERROR(__xludf.DUMMYFUNCTION("""COMPUTED_VALUE"""),"N")</f>
        <v>N</v>
      </c>
      <c r="AP48" s="7" t="str">
        <f ca="1">IFERROR(__xludf.DUMMYFUNCTION("""COMPUTED_VALUE"""),"N")</f>
        <v>N</v>
      </c>
      <c r="AQ48" s="7" t="str">
        <f ca="1">IFERROR(__xludf.DUMMYFUNCTION("""COMPUTED_VALUE"""),"N")</f>
        <v>N</v>
      </c>
      <c r="AR48" s="7" t="str">
        <f ca="1">IFERROR(__xludf.DUMMYFUNCTION("""COMPUTED_VALUE"""),"N")</f>
        <v>N</v>
      </c>
      <c r="AS48" s="7" t="str">
        <f ca="1">IFERROR(__xludf.DUMMYFUNCTION("""COMPUTED_VALUE"""),"N")</f>
        <v>N</v>
      </c>
      <c r="AT48" s="7" t="str">
        <f ca="1">IFERROR(__xludf.DUMMYFUNCTION("""COMPUTED_VALUE"""),"N")</f>
        <v>N</v>
      </c>
      <c r="AU48" s="3"/>
      <c r="AV48" s="3"/>
      <c r="AW48" s="3"/>
      <c r="AX48" s="3"/>
      <c r="AY48" s="3"/>
    </row>
    <row r="49" spans="1:51" ht="16.5" customHeight="1">
      <c r="A49" s="3">
        <f ca="1">IFERROR(__xludf.DUMMYFUNCTION("""COMPUTED_VALUE"""),10707)</f>
        <v>10707</v>
      </c>
      <c r="B49" s="3">
        <f ca="1">IFERROR(__xludf.DUMMYFUNCTION("""COMPUTED_VALUE"""),10708)</f>
        <v>10708</v>
      </c>
      <c r="C49" s="3">
        <f ca="1">IFERROR(__xludf.DUMMYFUNCTION("""COMPUTED_VALUE"""),689)</f>
        <v>689</v>
      </c>
      <c r="D49" s="3" t="str">
        <f ca="1">IFERROR(__xludf.DUMMYFUNCTION("""COMPUTED_VALUE"""),"Feminin")</f>
        <v>Feminin</v>
      </c>
      <c r="E49" s="4">
        <f ca="1">IFERROR(__xludf.DUMMYFUNCTION("""COMPUTED_VALUE"""),83)</f>
        <v>83</v>
      </c>
      <c r="F49" s="3" t="str">
        <f ca="1">IFERROR(__xludf.DUMMYFUNCTION("""COMPUTED_VALUE"""),"Over 80 years")</f>
        <v>Over 80 years</v>
      </c>
      <c r="G49" s="3" t="str">
        <f ca="1">IFERROR(__xludf.DUMMYFUNCTION("""COMPUTED_VALUE"""),"București")</f>
        <v>București</v>
      </c>
      <c r="H49" s="3"/>
      <c r="I49" s="3">
        <f ca="1">IFERROR(__xludf.DUMMYFUNCTION("""COMPUTED_VALUE"""),1152)</f>
        <v>1152</v>
      </c>
      <c r="J49" s="3" t="str">
        <f ca="1">IFERROR(__xludf.DUMMYFUNCTION("""COMPUTED_VALUE"""),"Demență Altzheimer")</f>
        <v>Demență Altzheimer</v>
      </c>
      <c r="K49" s="5">
        <f ca="1">IFERROR(__xludf.DUMMYFUNCTION("""COMPUTED_VALUE"""),43950)</f>
        <v>43950</v>
      </c>
      <c r="L49" s="5">
        <f ca="1">IFERROR(__xludf.DUMMYFUNCTION("""COMPUTED_VALUE"""),43949)</f>
        <v>43949</v>
      </c>
      <c r="M49" s="3" t="str">
        <f ca="1">IFERROR(__xludf.DUMMYFUNCTION("""COMPUTED_VALUE"""),"1")</f>
        <v>1</v>
      </c>
      <c r="N49" s="5">
        <f ca="1">IFERROR(__xludf.DUMMYFUNCTION("""COMPUTED_VALUE"""),43947)</f>
        <v>43947</v>
      </c>
      <c r="O49" s="5">
        <f ca="1">IFERROR(__xludf.DUMMYFUNCTION("""COMPUTED_VALUE"""),43947)</f>
        <v>43947</v>
      </c>
      <c r="P49" s="3" t="str">
        <f ca="1">IFERROR(__xludf.DUMMYFUNCTION("""COMPUTED_VALUE"""),"0")</f>
        <v>0</v>
      </c>
      <c r="Q49" s="3" t="str">
        <f ca="1">IFERROR(__xludf.DUMMYFUNCTION("""COMPUTED_VALUE"""),"2")</f>
        <v>2</v>
      </c>
      <c r="R49" s="3" t="str">
        <f ca="1">IFERROR(__xludf.DUMMYFUNCTION("""COMPUTED_VALUE"""),"Nu")</f>
        <v>Nu</v>
      </c>
      <c r="S49" s="3" t="str">
        <f ca="1">IFERROR(__xludf.DUMMYFUNCTION("""COMPUTED_VALUE"""),"4/26/2020")</f>
        <v>4/26/2020</v>
      </c>
      <c r="T49" s="3">
        <f ca="1">IFERROR(__xludf.DUMMYFUNCTION("""COMPUTED_VALUE"""),2)</f>
        <v>2</v>
      </c>
      <c r="U49" s="3" t="str">
        <f ca="1">IFERROR(__xludf.DUMMYFUNCTION("""COMPUTED_VALUE"""),"Da")</f>
        <v>Da</v>
      </c>
      <c r="V49" s="6" t="str">
        <f ca="1">IFERROR(__xludf.DUMMYFUNCTION("""COMPUTED_VALUE"""),"http://www.ms.ro/2020/04/29/decese-689-693/")</f>
        <v>http://www.ms.ro/2020/04/29/decese-689-693/</v>
      </c>
      <c r="W49" s="3" t="str">
        <f ca="1">IFERROR(__xludf.DUMMYFUNCTION("""COMPUTED_VALUE"""),"Spitalul Pantelimon")</f>
        <v>Spitalul Pantelimon</v>
      </c>
      <c r="X49" s="3"/>
      <c r="Y49" s="3" t="str">
        <f ca="1">IFERROR(__xludf.DUMMYFUNCTION("""COMPUTED_VALUE"""),"Spitalul Colentina")</f>
        <v>Spitalul Colentina</v>
      </c>
      <c r="Z49" s="3"/>
      <c r="AA49" s="3" t="str">
        <f ca="1">IFERROR(__xludf.DUMMYFUNCTION("""COMPUTED_VALUE"""),"Spitalul Colentina")</f>
        <v>Spitalul Colentina</v>
      </c>
      <c r="AB49" s="3" t="str">
        <f ca="1">IFERROR(__xludf.DUMMYFUNCTION("""COMPUTED_VALUE"""),"Femeie, 83 de ani din județul București.
Dată internare: 26.04.2020 Spitalul Pantelimon, transferat Spitalul Colentina în 27.04.2020.
Dată recoltare: 26.04.2020.
Dată rezultat: 26.04.2020.
Dată deces: 28.04.2020.
Comorbidități: demență Altzheimer
Cămin d"&amp;"e bătrâni")</f>
        <v>Femeie, 83 de ani din județul București.
Dată internare: 26.04.2020 Spitalul Pantelimon, transferat Spitalul Colentina în 27.04.2020.
Dată recoltare: 26.04.2020.
Dată rezultat: 26.04.2020.
Dată deces: 28.04.2020.
Comorbidități: demență Altzheimer
Cămin de bătrâni</v>
      </c>
      <c r="AC49" s="3"/>
      <c r="AD49" s="3" t="str">
        <f ca="1">IFERROR(__xludf.DUMMYFUNCTION("""COMPUTED_VALUE"""),"MS")</f>
        <v>MS</v>
      </c>
      <c r="AE49" s="3" t="str">
        <f ca="1">IFERROR(__xludf.DUMMYFUNCTION("""COMPUTED_VALUE"""),"Decesele 689-691 sunt rezidenti in camin de bătrâni")</f>
        <v>Decesele 689-691 sunt rezidenti in camin de bătrâni</v>
      </c>
      <c r="AF49" s="3" t="str">
        <f ca="1">IFERROR(__xludf.DUMMYFUNCTION("""COMPUTED_VALUE"""),"Cămin de bătrâni")</f>
        <v>Cămin de bătrâni</v>
      </c>
      <c r="AG49" s="3" t="str">
        <f ca="1">IFERROR(__xludf.DUMMYFUNCTION("""COMPUTED_VALUE"""),"Da")</f>
        <v>Da</v>
      </c>
      <c r="AH49" s="3" t="str">
        <f ca="1">IFERROR(__xludf.DUMMYFUNCTION("""COMPUTED_VALUE"""),"Nu")</f>
        <v>Nu</v>
      </c>
      <c r="AI49" s="3" t="str">
        <f ca="1">IFERROR(__xludf.DUMMYFUNCTION("""COMPUTED_VALUE"""),"Afecțiuni neurologice")</f>
        <v>Afecțiuni neurologice</v>
      </c>
      <c r="AJ49" s="7" t="str">
        <f ca="1">IFERROR(__xludf.DUMMYFUNCTION("""COMPUTED_VALUE"""),"N")</f>
        <v>N</v>
      </c>
      <c r="AK49" s="7" t="str">
        <f ca="1">IFERROR(__xludf.DUMMYFUNCTION("""COMPUTED_VALUE"""),"N")</f>
        <v>N</v>
      </c>
      <c r="AL49" s="7" t="str">
        <f ca="1">IFERROR(__xludf.DUMMYFUNCTION("""COMPUTED_VALUE"""),"N")</f>
        <v>N</v>
      </c>
      <c r="AM49" s="7" t="str">
        <f ca="1">IFERROR(__xludf.DUMMYFUNCTION("""COMPUTED_VALUE"""),"N")</f>
        <v>N</v>
      </c>
      <c r="AN49" s="7" t="str">
        <f ca="1">IFERROR(__xludf.DUMMYFUNCTION("""COMPUTED_VALUE"""),"Y")</f>
        <v>Y</v>
      </c>
      <c r="AO49" s="7" t="str">
        <f ca="1">IFERROR(__xludf.DUMMYFUNCTION("""COMPUTED_VALUE"""),"N")</f>
        <v>N</v>
      </c>
      <c r="AP49" s="7" t="str">
        <f ca="1">IFERROR(__xludf.DUMMYFUNCTION("""COMPUTED_VALUE"""),"N")</f>
        <v>N</v>
      </c>
      <c r="AQ49" s="7" t="str">
        <f ca="1">IFERROR(__xludf.DUMMYFUNCTION("""COMPUTED_VALUE"""),"N")</f>
        <v>N</v>
      </c>
      <c r="AR49" s="7" t="str">
        <f ca="1">IFERROR(__xludf.DUMMYFUNCTION("""COMPUTED_VALUE"""),"N")</f>
        <v>N</v>
      </c>
      <c r="AS49" s="7" t="str">
        <f ca="1">IFERROR(__xludf.DUMMYFUNCTION("""COMPUTED_VALUE"""),"N")</f>
        <v>N</v>
      </c>
      <c r="AT49" s="7" t="str">
        <f ca="1">IFERROR(__xludf.DUMMYFUNCTION("""COMPUTED_VALUE"""),"N")</f>
        <v>N</v>
      </c>
      <c r="AU49" s="3"/>
      <c r="AV49" s="3"/>
      <c r="AW49" s="3"/>
      <c r="AX49" s="3"/>
      <c r="AY49" s="3"/>
    </row>
    <row r="50" spans="1:51" ht="16.5" customHeight="1">
      <c r="A50" s="3">
        <f ca="1">IFERROR(__xludf.DUMMYFUNCTION("""COMPUTED_VALUE"""),8143)</f>
        <v>8143</v>
      </c>
      <c r="B50" s="3"/>
      <c r="C50" s="3">
        <f ca="1">IFERROR(__xludf.DUMMYFUNCTION("""COMPUTED_VALUE"""),674)</f>
        <v>674</v>
      </c>
      <c r="D50" s="3" t="str">
        <f ca="1">IFERROR(__xludf.DUMMYFUNCTION("""COMPUTED_VALUE"""),"Feminin")</f>
        <v>Feminin</v>
      </c>
      <c r="E50" s="4">
        <f ca="1">IFERROR(__xludf.DUMMYFUNCTION("""COMPUTED_VALUE"""),86)</f>
        <v>86</v>
      </c>
      <c r="F50" s="3" t="str">
        <f ca="1">IFERROR(__xludf.DUMMYFUNCTION("""COMPUTED_VALUE"""),"Over 80 years")</f>
        <v>Over 80 years</v>
      </c>
      <c r="G50" s="3" t="str">
        <f ca="1">IFERROR(__xludf.DUMMYFUNCTION("""COMPUTED_VALUE"""),"București")</f>
        <v>București</v>
      </c>
      <c r="H50" s="3"/>
      <c r="I50" s="3">
        <f ca="1">IFERROR(__xludf.DUMMYFUNCTION("""COMPUTED_VALUE"""),1239)</f>
        <v>1239</v>
      </c>
      <c r="J50" s="3" t="str">
        <f ca="1">IFERROR(__xludf.DUMMYFUNCTION("""COMPUTED_VALUE"""),"Boală cardiovasculară. HTA. Boală renală cr. Anemie normocroma. Tulburare neuro-senzitiva majoră. ")</f>
        <v xml:space="preserve">Boală cardiovasculară. HTA. Boală renală cr. Anemie normocroma. Tulburare neuro-senzitiva majoră. </v>
      </c>
      <c r="K50" s="5">
        <f ca="1">IFERROR(__xludf.DUMMYFUNCTION("""COMPUTED_VALUE"""),43950)</f>
        <v>43950</v>
      </c>
      <c r="L50" s="5">
        <f ca="1">IFERROR(__xludf.DUMMYFUNCTION("""COMPUTED_VALUE"""),43949)</f>
        <v>43949</v>
      </c>
      <c r="M50" s="3" t="str">
        <f ca="1">IFERROR(__xludf.DUMMYFUNCTION("""COMPUTED_VALUE"""),"1")</f>
        <v>1</v>
      </c>
      <c r="N50" s="5">
        <f ca="1">IFERROR(__xludf.DUMMYFUNCTION("""COMPUTED_VALUE"""),43939)</f>
        <v>43939</v>
      </c>
      <c r="O50" s="5">
        <f ca="1">IFERROR(__xludf.DUMMYFUNCTION("""COMPUTED_VALUE"""),43939)</f>
        <v>43939</v>
      </c>
      <c r="P50" s="3" t="str">
        <f ca="1">IFERROR(__xludf.DUMMYFUNCTION("""COMPUTED_VALUE"""),"0")</f>
        <v>0</v>
      </c>
      <c r="Q50" s="3" t="str">
        <f ca="1">IFERROR(__xludf.DUMMYFUNCTION("""COMPUTED_VALUE"""),"10")</f>
        <v>10</v>
      </c>
      <c r="R50" s="3" t="str">
        <f ca="1">IFERROR(__xludf.DUMMYFUNCTION("""COMPUTED_VALUE"""),"Nu")</f>
        <v>Nu</v>
      </c>
      <c r="S50" s="3" t="str">
        <f ca="1">IFERROR(__xludf.DUMMYFUNCTION("""COMPUTED_VALUE"""),"4/7/2020")</f>
        <v>4/7/2020</v>
      </c>
      <c r="T50" s="3">
        <f ca="1">IFERROR(__xludf.DUMMYFUNCTION("""COMPUTED_VALUE"""),21)</f>
        <v>21</v>
      </c>
      <c r="U50" s="3" t="str">
        <f ca="1">IFERROR(__xludf.DUMMYFUNCTION("""COMPUTED_VALUE"""),"Da")</f>
        <v>Da</v>
      </c>
      <c r="V50" s="6" t="str">
        <f ca="1">IFERROR(__xludf.DUMMYFUNCTION("""COMPUTED_VALUE"""),"http://www.ms.ro/2020/04/29/decese-664-675/")</f>
        <v>http://www.ms.ro/2020/04/29/decese-664-675/</v>
      </c>
      <c r="W50" s="3" t="str">
        <f ca="1">IFERROR(__xludf.DUMMYFUNCTION("""COMPUTED_VALUE"""),"Spitalul Universitar de Urgență București")</f>
        <v>Spitalul Universitar de Urgență București</v>
      </c>
      <c r="X50" s="3"/>
      <c r="Y50" s="3" t="str">
        <f ca="1">IFERROR(__xludf.DUMMYFUNCTION("""COMPUTED_VALUE"""),"Spitalul Clinic de Boli Infecțioase și Tropicale “Victor Babeș” București")</f>
        <v>Spitalul Clinic de Boli Infecțioase și Tropicale “Victor Babeș” București</v>
      </c>
      <c r="Z50" s="3"/>
      <c r="AA50" s="3" t="str">
        <f ca="1">IFERROR(__xludf.DUMMYFUNCTION("""COMPUTED_VALUE"""),"Spitalul Clinic de Boli Infecțioase și Tropicale “Victor Babeș” București")</f>
        <v>Spitalul Clinic de Boli Infecțioase și Tropicale “Victor Babeș” București</v>
      </c>
      <c r="AB50" s="3" t="str">
        <f ca="1">IFERROR(__xludf.DUMMYFUNCTION("""COMPUTED_VALUE"""),"Femeie, 86 ani din municipiul București. 
Data debutului: 15.04.2020. 
Data internării: 07.04.2020, la Spitalul Universitar de Urgență București; transferată pe 19.04.2020 la Spitalul Clinic de Boli Infecțioase și Tropicale “Victor Babeș” București. 
"&amp;"
Data confirmarii: 18.04.2020 în INBI Matei Balș. 
Data decesului: 28.04.2020.
Comorbiditati: Boală cardiovasculară. HTA. Boală renală cr. Anemie normocroma. Tulburare neuro-senzitiva majoră. ")</f>
        <v xml:space="preserve">Femeie, 86 ani din municipiul București. 
Data debutului: 15.04.2020. 
Data internării: 07.04.2020, la Spitalul Universitar de Urgență București; transferată pe 19.04.2020 la Spitalul Clinic de Boli Infecțioase și Tropicale “Victor Babeș” București. 
Data confirmarii: 18.04.2020 în INBI Matei Balș. 
Data decesului: 28.04.2020.
Comorbiditati: Boală cardiovasculară. HTA. Boală renală cr. Anemie normocroma. Tulburare neuro-senzitiva majoră. </v>
      </c>
      <c r="AC50" s="3"/>
      <c r="AD50" s="3" t="str">
        <f ca="1">IFERROR(__xludf.DUMMYFUNCTION("""COMPUTED_VALUE"""),"MS")</f>
        <v>MS</v>
      </c>
      <c r="AE50" s="3"/>
      <c r="AF50" s="3"/>
      <c r="AG50" s="3" t="str">
        <f ca="1">IFERROR(__xludf.DUMMYFUNCTION("""COMPUTED_VALUE"""),"Nu")</f>
        <v>Nu</v>
      </c>
      <c r="AH50" s="3" t="str">
        <f ca="1">IFERROR(__xludf.DUMMYFUNCTION("""COMPUTED_VALUE"""),"Nu")</f>
        <v>Nu</v>
      </c>
      <c r="AI50" s="3" t="str">
        <f ca="1">IFERROR(__xludf.DUMMYFUNCTION("""COMPUTED_VALUE"""),"Afecțiuni cardiovasculare")</f>
        <v>Afecțiuni cardiovasculare</v>
      </c>
      <c r="AJ50" s="7" t="str">
        <f ca="1">IFERROR(__xludf.DUMMYFUNCTION("""COMPUTED_VALUE"""),"Y")</f>
        <v>Y</v>
      </c>
      <c r="AK50" s="7" t="str">
        <f ca="1">IFERROR(__xludf.DUMMYFUNCTION("""COMPUTED_VALUE"""),"N")</f>
        <v>N</v>
      </c>
      <c r="AL50" s="7" t="str">
        <f ca="1">IFERROR(__xludf.DUMMYFUNCTION("""COMPUTED_VALUE"""),"Y")</f>
        <v>Y</v>
      </c>
      <c r="AM50" s="7" t="str">
        <f ca="1">IFERROR(__xludf.DUMMYFUNCTION("""COMPUTED_VALUE"""),"N")</f>
        <v>N</v>
      </c>
      <c r="AN50" s="7" t="str">
        <f ca="1">IFERROR(__xludf.DUMMYFUNCTION("""COMPUTED_VALUE"""),"Y")</f>
        <v>Y</v>
      </c>
      <c r="AO50" s="7" t="str">
        <f ca="1">IFERROR(__xludf.DUMMYFUNCTION("""COMPUTED_VALUE"""),"N")</f>
        <v>N</v>
      </c>
      <c r="AP50" s="7" t="str">
        <f ca="1">IFERROR(__xludf.DUMMYFUNCTION("""COMPUTED_VALUE"""),"N")</f>
        <v>N</v>
      </c>
      <c r="AQ50" s="7" t="str">
        <f ca="1">IFERROR(__xludf.DUMMYFUNCTION("""COMPUTED_VALUE"""),"N")</f>
        <v>N</v>
      </c>
      <c r="AR50" s="7" t="str">
        <f ca="1">IFERROR(__xludf.DUMMYFUNCTION("""COMPUTED_VALUE"""),"N")</f>
        <v>N</v>
      </c>
      <c r="AS50" s="7" t="str">
        <f ca="1">IFERROR(__xludf.DUMMYFUNCTION("""COMPUTED_VALUE"""),"N")</f>
        <v>N</v>
      </c>
      <c r="AT50" s="7" t="str">
        <f ca="1">IFERROR(__xludf.DUMMYFUNCTION("""COMPUTED_VALUE"""),"N")</f>
        <v>N</v>
      </c>
      <c r="AU50" s="3"/>
      <c r="AV50" s="3"/>
      <c r="AW50" s="3"/>
      <c r="AX50" s="3"/>
      <c r="AY50" s="3"/>
    </row>
    <row r="51" spans="1:51" ht="16.5" customHeight="1">
      <c r="A51" s="3">
        <f ca="1">IFERROR(__xludf.DUMMYFUNCTION("""COMPUTED_VALUE"""),8816)</f>
        <v>8816</v>
      </c>
      <c r="B51" s="3"/>
      <c r="C51" s="3">
        <f ca="1">IFERROR(__xludf.DUMMYFUNCTION("""COMPUTED_VALUE"""),673)</f>
        <v>673</v>
      </c>
      <c r="D51" s="3" t="str">
        <f ca="1">IFERROR(__xludf.DUMMYFUNCTION("""COMPUTED_VALUE"""),"Feminin")</f>
        <v>Feminin</v>
      </c>
      <c r="E51" s="4">
        <f ca="1">IFERROR(__xludf.DUMMYFUNCTION("""COMPUTED_VALUE"""),76)</f>
        <v>76</v>
      </c>
      <c r="F51" s="3" t="str">
        <f ca="1">IFERROR(__xludf.DUMMYFUNCTION("""COMPUTED_VALUE"""),"70-79 years")</f>
        <v>70-79 years</v>
      </c>
      <c r="G51" s="3" t="str">
        <f ca="1">IFERROR(__xludf.DUMMYFUNCTION("""COMPUTED_VALUE"""),"București")</f>
        <v>București</v>
      </c>
      <c r="H51" s="3"/>
      <c r="I51" s="3">
        <f ca="1">IFERROR(__xludf.DUMMYFUNCTION("""COMPUTED_VALUE"""),894)</f>
        <v>894</v>
      </c>
      <c r="J51" s="3" t="str">
        <f ca="1">IFERROR(__xludf.DUMMYFUNCTION("""COMPUTED_VALUE"""),"Neoplasm de san drept. Radioterapie în martie 2020")</f>
        <v>Neoplasm de san drept. Radioterapie în martie 2020</v>
      </c>
      <c r="K51" s="5">
        <f ca="1">IFERROR(__xludf.DUMMYFUNCTION("""COMPUTED_VALUE"""),43950)</f>
        <v>43950</v>
      </c>
      <c r="L51" s="5">
        <f ca="1">IFERROR(__xludf.DUMMYFUNCTION("""COMPUTED_VALUE"""),43949)</f>
        <v>43949</v>
      </c>
      <c r="M51" s="3" t="str">
        <f ca="1">IFERROR(__xludf.DUMMYFUNCTION("""COMPUTED_VALUE"""),"1")</f>
        <v>1</v>
      </c>
      <c r="N51" s="5">
        <f ca="1">IFERROR(__xludf.DUMMYFUNCTION("""COMPUTED_VALUE"""),43941)</f>
        <v>43941</v>
      </c>
      <c r="O51" s="5">
        <f ca="1">IFERROR(__xludf.DUMMYFUNCTION("""COMPUTED_VALUE"""),43941)</f>
        <v>43941</v>
      </c>
      <c r="P51" s="3" t="str">
        <f ca="1">IFERROR(__xludf.DUMMYFUNCTION("""COMPUTED_VALUE"""),"0")</f>
        <v>0</v>
      </c>
      <c r="Q51" s="3" t="str">
        <f ca="1">IFERROR(__xludf.DUMMYFUNCTION("""COMPUTED_VALUE"""),"8")</f>
        <v>8</v>
      </c>
      <c r="R51" s="3" t="str">
        <f ca="1">IFERROR(__xludf.DUMMYFUNCTION("""COMPUTED_VALUE"""),"Nu")</f>
        <v>Nu</v>
      </c>
      <c r="S51" s="3" t="str">
        <f ca="1">IFERROR(__xludf.DUMMYFUNCTION("""COMPUTED_VALUE"""),"4/19/2020")</f>
        <v>4/19/2020</v>
      </c>
      <c r="T51" s="3">
        <f ca="1">IFERROR(__xludf.DUMMYFUNCTION("""COMPUTED_VALUE"""),9)</f>
        <v>9</v>
      </c>
      <c r="U51" s="3" t="str">
        <f ca="1">IFERROR(__xludf.DUMMYFUNCTION("""COMPUTED_VALUE"""),"Da")</f>
        <v>Da</v>
      </c>
      <c r="V51" s="6" t="str">
        <f ca="1">IFERROR(__xludf.DUMMYFUNCTION("""COMPUTED_VALUE"""),"http://www.ms.ro/2020/04/29/decese-664-675/")</f>
        <v>http://www.ms.ro/2020/04/29/decese-664-675/</v>
      </c>
      <c r="W51" s="3" t="str">
        <f ca="1">IFERROR(__xludf.DUMMYFUNCTION("""COMPUTED_VALUE"""),"Spitalul Universitar de Urgență București")</f>
        <v>Spitalul Universitar de Urgență București</v>
      </c>
      <c r="X51" s="3"/>
      <c r="Y51" s="3" t="str">
        <f ca="1">IFERROR(__xludf.DUMMYFUNCTION("""COMPUTED_VALUE"""),"Spitalul Clinic Colentina")</f>
        <v>Spitalul Clinic Colentina</v>
      </c>
      <c r="Z51" s="3"/>
      <c r="AA51" s="3" t="str">
        <f ca="1">IFERROR(__xludf.DUMMYFUNCTION("""COMPUTED_VALUE"""),"Spitalul Clinic Colentina")</f>
        <v>Spitalul Clinic Colentina</v>
      </c>
      <c r="AB51" s="3" t="str">
        <f ca="1">IFERROR(__xludf.DUMMYFUNCTION("""COMPUTED_VALUE"""),"Femeie, 76 ani din municipiul București.  
Data debutului: 19.04.2020. 
Data internării: 19.04.2020, la Spitalul Universitar de Urgență București; transferată pe 20.04.2020 la Spitalul Clinic Colentina (spital de suport).
Data recoltarii: 20.04.2020."&amp;"
Data confirmării: 20.04.2020 în Spitalul Universitar de Urgență București. 
Data decesului: 28.04.2020. 
Comorbiditati: Neoplasm de san drept. Radioterapie în martie 2020")</f>
        <v>Femeie, 76 ani din municipiul București.  
Data debutului: 19.04.2020. 
Data internării: 19.04.2020, la Spitalul Universitar de Urgență București; transferată pe 20.04.2020 la Spitalul Clinic Colentina (spital de suport).
Data recoltarii: 20.04.2020.
Data confirmării: 20.04.2020 în Spitalul Universitar de Urgență București. 
Data decesului: 28.04.2020. 
Comorbiditati: Neoplasm de san drept. Radioterapie în martie 2020</v>
      </c>
      <c r="AC51" s="3"/>
      <c r="AD51" s="3" t="str">
        <f ca="1">IFERROR(__xludf.DUMMYFUNCTION("""COMPUTED_VALUE"""),"MS")</f>
        <v>MS</v>
      </c>
      <c r="AE51" s="3"/>
      <c r="AF51" s="3"/>
      <c r="AG51" s="3" t="str">
        <f ca="1">IFERROR(__xludf.DUMMYFUNCTION("""COMPUTED_VALUE"""),"Nu")</f>
        <v>Nu</v>
      </c>
      <c r="AH51" s="3" t="str">
        <f ca="1">IFERROR(__xludf.DUMMYFUNCTION("""COMPUTED_VALUE"""),"Nu")</f>
        <v>Nu</v>
      </c>
      <c r="AI51" s="3" t="str">
        <f ca="1">IFERROR(__xludf.DUMMYFUNCTION("""COMPUTED_VALUE"""),"Alte afecțiuni preexistente")</f>
        <v>Alte afecțiuni preexistente</v>
      </c>
      <c r="AJ51" s="7" t="str">
        <f ca="1">IFERROR(__xludf.DUMMYFUNCTION("""COMPUTED_VALUE"""),"N")</f>
        <v>N</v>
      </c>
      <c r="AK51" s="7" t="str">
        <f ca="1">IFERROR(__xludf.DUMMYFUNCTION("""COMPUTED_VALUE"""),"N")</f>
        <v>N</v>
      </c>
      <c r="AL51" s="7" t="str">
        <f ca="1">IFERROR(__xludf.DUMMYFUNCTION("""COMPUTED_VALUE"""),"N")</f>
        <v>N</v>
      </c>
      <c r="AM51" s="7" t="str">
        <f ca="1">IFERROR(__xludf.DUMMYFUNCTION("""COMPUTED_VALUE"""),"N")</f>
        <v>N</v>
      </c>
      <c r="AN51" s="7" t="str">
        <f ca="1">IFERROR(__xludf.DUMMYFUNCTION("""COMPUTED_VALUE"""),"N")</f>
        <v>N</v>
      </c>
      <c r="AO51" s="7" t="str">
        <f ca="1">IFERROR(__xludf.DUMMYFUNCTION("""COMPUTED_VALUE"""),"N")</f>
        <v>N</v>
      </c>
      <c r="AP51" s="7" t="str">
        <f ca="1">IFERROR(__xludf.DUMMYFUNCTION("""COMPUTED_VALUE"""),"N")</f>
        <v>N</v>
      </c>
      <c r="AQ51" s="7" t="str">
        <f ca="1">IFERROR(__xludf.DUMMYFUNCTION("""COMPUTED_VALUE"""),"N")</f>
        <v>N</v>
      </c>
      <c r="AR51" s="7" t="str">
        <f ca="1">IFERROR(__xludf.DUMMYFUNCTION("""COMPUTED_VALUE"""),"N")</f>
        <v>N</v>
      </c>
      <c r="AS51" s="7" t="str">
        <f ca="1">IFERROR(__xludf.DUMMYFUNCTION("""COMPUTED_VALUE"""),"Y")</f>
        <v>Y</v>
      </c>
      <c r="AT51" s="7" t="str">
        <f ca="1">IFERROR(__xludf.DUMMYFUNCTION("""COMPUTED_VALUE"""),"N")</f>
        <v>N</v>
      </c>
      <c r="AU51" s="3"/>
      <c r="AV51" s="3"/>
      <c r="AW51" s="3"/>
      <c r="AX51" s="3"/>
      <c r="AY51" s="3"/>
    </row>
    <row r="52" spans="1:51" ht="16.5" customHeight="1">
      <c r="A52" s="3">
        <f ca="1">IFERROR(__xludf.DUMMYFUNCTION("""COMPUTED_VALUE"""),10384)</f>
        <v>10384</v>
      </c>
      <c r="B52" s="3"/>
      <c r="C52" s="3">
        <f ca="1">IFERROR(__xludf.DUMMYFUNCTION("""COMPUTED_VALUE"""),672)</f>
        <v>672</v>
      </c>
      <c r="D52" s="3" t="str">
        <f ca="1">IFERROR(__xludf.DUMMYFUNCTION("""COMPUTED_VALUE"""),"Masculin")</f>
        <v>Masculin</v>
      </c>
      <c r="E52" s="4">
        <f ca="1">IFERROR(__xludf.DUMMYFUNCTION("""COMPUTED_VALUE"""),59)</f>
        <v>59</v>
      </c>
      <c r="F52" s="3" t="str">
        <f ca="1">IFERROR(__xludf.DUMMYFUNCTION("""COMPUTED_VALUE"""),"50-59 years")</f>
        <v>50-59 years</v>
      </c>
      <c r="G52" s="3" t="str">
        <f ca="1">IFERROR(__xludf.DUMMYFUNCTION("""COMPUTED_VALUE"""),"București")</f>
        <v>București</v>
      </c>
      <c r="H52" s="3"/>
      <c r="I52" s="3">
        <f ca="1">IFERROR(__xludf.DUMMYFUNCTION("""COMPUTED_VALUE"""),282)</f>
        <v>282</v>
      </c>
      <c r="J52" s="3" t="str">
        <f ca="1">IFERROR(__xludf.DUMMYFUNCTION("""COMPUTED_VALUE"""),"Neoplasm colon. Neoplasm pancreas. Metastaze pulmonare și hepatice. Ascita para-neoplazica. Diabet zaharat tip II insulino-necesitant. HTA. Tromboza de vena porta. Infecție cu Clostridium. ")</f>
        <v xml:space="preserve">Neoplasm colon. Neoplasm pancreas. Metastaze pulmonare și hepatice. Ascita para-neoplazica. Diabet zaharat tip II insulino-necesitant. HTA. Tromboza de vena porta. Infecție cu Clostridium. </v>
      </c>
      <c r="K52" s="5">
        <f ca="1">IFERROR(__xludf.DUMMYFUNCTION("""COMPUTED_VALUE"""),43950)</f>
        <v>43950</v>
      </c>
      <c r="L52" s="5">
        <f ca="1">IFERROR(__xludf.DUMMYFUNCTION("""COMPUTED_VALUE"""),43949)</f>
        <v>43949</v>
      </c>
      <c r="M52" s="3" t="str">
        <f ca="1">IFERROR(__xludf.DUMMYFUNCTION("""COMPUTED_VALUE"""),"1")</f>
        <v>1</v>
      </c>
      <c r="N52" s="5">
        <f ca="1">IFERROR(__xludf.DUMMYFUNCTION("""COMPUTED_VALUE"""),43944)</f>
        <v>43944</v>
      </c>
      <c r="O52" s="5">
        <f ca="1">IFERROR(__xludf.DUMMYFUNCTION("""COMPUTED_VALUE"""),43945)</f>
        <v>43945</v>
      </c>
      <c r="P52" s="3" t="str">
        <f ca="1">IFERROR(__xludf.DUMMYFUNCTION("""COMPUTED_VALUE"""),"1")</f>
        <v>1</v>
      </c>
      <c r="Q52" s="3" t="str">
        <f ca="1">IFERROR(__xludf.DUMMYFUNCTION("""COMPUTED_VALUE"""),"4")</f>
        <v>4</v>
      </c>
      <c r="R52" s="3" t="str">
        <f ca="1">IFERROR(__xludf.DUMMYFUNCTION("""COMPUTED_VALUE"""),"Nu")</f>
        <v>Nu</v>
      </c>
      <c r="S52" s="3" t="str">
        <f ca="1">IFERROR(__xludf.DUMMYFUNCTION("""COMPUTED_VALUE"""),"4/7/2020")</f>
        <v>4/7/2020</v>
      </c>
      <c r="T52" s="3">
        <f ca="1">IFERROR(__xludf.DUMMYFUNCTION("""COMPUTED_VALUE"""),21)</f>
        <v>21</v>
      </c>
      <c r="U52" s="3" t="str">
        <f ca="1">IFERROR(__xludf.DUMMYFUNCTION("""COMPUTED_VALUE"""),"Da")</f>
        <v>Da</v>
      </c>
      <c r="V52" s="6" t="str">
        <f ca="1">IFERROR(__xludf.DUMMYFUNCTION("""COMPUTED_VALUE"""),"http://www.ms.ro/2020/04/29/decese-664-675/")</f>
        <v>http://www.ms.ro/2020/04/29/decese-664-675/</v>
      </c>
      <c r="W52" s="3" t="str">
        <f ca="1">IFERROR(__xludf.DUMMYFUNCTION("""COMPUTED_VALUE"""),"Spitalul Universitar de Urgență București")</f>
        <v>Spitalul Universitar de Urgență București</v>
      </c>
      <c r="X52" s="3"/>
      <c r="Y52" s="3" t="str">
        <f ca="1">IFERROR(__xludf.DUMMYFUNCTION("""COMPUTED_VALUE"""),"Spitalul Clinic Colentina")</f>
        <v>Spitalul Clinic Colentina</v>
      </c>
      <c r="Z52" s="3"/>
      <c r="AA52" s="3" t="str">
        <f ca="1">IFERROR(__xludf.DUMMYFUNCTION("""COMPUTED_VALUE"""),"Spitalul Clinic Colentina")</f>
        <v>Spitalul Clinic Colentina</v>
      </c>
      <c r="AB52" s="3" t="str">
        <f ca="1">IFERROR(__xludf.DUMMYFUNCTION("""COMPUTED_VALUE"""),"Bărbat, 59 ani din municipiul București.  
Data internării: 07.04.2020, la Spitalul Universitar de Urgență București; transferat pe 24.04.2020 la Spitalul Clinic Colentina (spital de suport). 
Data recoltării: 23.04.2020.
Data confirmării: 24.04.2020"&amp;" în Spitalul Universitar de Urgență București. 
Data decesului: 28.04.2020.
Comorbiditati: Neoplasm colon. Neoplasm pancreas. Metastaze pulmonare și hepatice. Ascita para-neoplazica. Diabet zaharat tip II insulino-necesitant. HTA. Tromboza de vena porta"&amp;". Infecție cu Clostridium. ")</f>
        <v xml:space="preserve">Bărbat, 59 ani din municipiul București.  
Data internării: 07.04.2020, la Spitalul Universitar de Urgență București; transferat pe 24.04.2020 la Spitalul Clinic Colentina (spital de suport). 
Data recoltării: 23.04.2020.
Data confirmării: 24.04.2020 în Spitalul Universitar de Urgență București. 
Data decesului: 28.04.2020.
Comorbiditati: Neoplasm colon. Neoplasm pancreas. Metastaze pulmonare și hepatice. Ascita para-neoplazica. Diabet zaharat tip II insulino-necesitant. HTA. Tromboza de vena porta. Infecție cu Clostridium. </v>
      </c>
      <c r="AC52" s="3"/>
      <c r="AD52" s="3" t="str">
        <f ca="1">IFERROR(__xludf.DUMMYFUNCTION("""COMPUTED_VALUE"""),"MS")</f>
        <v>MS</v>
      </c>
      <c r="AE52" s="3"/>
      <c r="AF52" s="3"/>
      <c r="AG52" s="3" t="str">
        <f ca="1">IFERROR(__xludf.DUMMYFUNCTION("""COMPUTED_VALUE"""),"Nu")</f>
        <v>Nu</v>
      </c>
      <c r="AH52" s="3" t="str">
        <f ca="1">IFERROR(__xludf.DUMMYFUNCTION("""COMPUTED_VALUE"""),"Nu")</f>
        <v>Nu</v>
      </c>
      <c r="AI52" s="3" t="str">
        <f ca="1">IFERROR(__xludf.DUMMYFUNCTION("""COMPUTED_VALUE"""),"Afecțiuni cardiovasculare")</f>
        <v>Afecțiuni cardiovasculare</v>
      </c>
      <c r="AJ52" s="7" t="str">
        <f ca="1">IFERROR(__xludf.DUMMYFUNCTION("""COMPUTED_VALUE"""),"Y")</f>
        <v>Y</v>
      </c>
      <c r="AK52" s="7" t="str">
        <f ca="1">IFERROR(__xludf.DUMMYFUNCTION("""COMPUTED_VALUE"""),"Y")</f>
        <v>Y</v>
      </c>
      <c r="AL52" s="7" t="str">
        <f ca="1">IFERROR(__xludf.DUMMYFUNCTION("""COMPUTED_VALUE"""),"N")</f>
        <v>N</v>
      </c>
      <c r="AM52" s="7" t="str">
        <f ca="1">IFERROR(__xludf.DUMMYFUNCTION("""COMPUTED_VALUE"""),"Y")</f>
        <v>Y</v>
      </c>
      <c r="AN52" s="7" t="str">
        <f ca="1">IFERROR(__xludf.DUMMYFUNCTION("""COMPUTED_VALUE"""),"N")</f>
        <v>N</v>
      </c>
      <c r="AO52" s="7" t="str">
        <f ca="1">IFERROR(__xludf.DUMMYFUNCTION("""COMPUTED_VALUE"""),"N")</f>
        <v>N</v>
      </c>
      <c r="AP52" s="7" t="str">
        <f ca="1">IFERROR(__xludf.DUMMYFUNCTION("""COMPUTED_VALUE"""),"Y")</f>
        <v>Y</v>
      </c>
      <c r="AQ52" s="7" t="str">
        <f ca="1">IFERROR(__xludf.DUMMYFUNCTION("""COMPUTED_VALUE"""),"N")</f>
        <v>N</v>
      </c>
      <c r="AR52" s="7" t="str">
        <f ca="1">IFERROR(__xludf.DUMMYFUNCTION("""COMPUTED_VALUE"""),"N")</f>
        <v>N</v>
      </c>
      <c r="AS52" s="7" t="str">
        <f ca="1">IFERROR(__xludf.DUMMYFUNCTION("""COMPUTED_VALUE"""),"N")</f>
        <v>N</v>
      </c>
      <c r="AT52" s="7" t="str">
        <f ca="1">IFERROR(__xludf.DUMMYFUNCTION("""COMPUTED_VALUE"""),"N")</f>
        <v>N</v>
      </c>
      <c r="AU52" s="3"/>
      <c r="AV52" s="3"/>
      <c r="AW52" s="3"/>
      <c r="AX52" s="3"/>
      <c r="AY52" s="3"/>
    </row>
    <row r="53" spans="1:51" ht="16.5" customHeight="1">
      <c r="A53" s="3">
        <f ca="1">IFERROR(__xludf.DUMMYFUNCTION("""COMPUTED_VALUE"""),10063)</f>
        <v>10063</v>
      </c>
      <c r="B53" s="3"/>
      <c r="C53" s="3">
        <f ca="1">IFERROR(__xludf.DUMMYFUNCTION("""COMPUTED_VALUE"""),671)</f>
        <v>671</v>
      </c>
      <c r="D53" s="3" t="str">
        <f ca="1">IFERROR(__xludf.DUMMYFUNCTION("""COMPUTED_VALUE"""),"Feminin")</f>
        <v>Feminin</v>
      </c>
      <c r="E53" s="4">
        <f ca="1">IFERROR(__xludf.DUMMYFUNCTION("""COMPUTED_VALUE"""),86)</f>
        <v>86</v>
      </c>
      <c r="F53" s="3" t="str">
        <f ca="1">IFERROR(__xludf.DUMMYFUNCTION("""COMPUTED_VALUE"""),"Over 80 years")</f>
        <v>Over 80 years</v>
      </c>
      <c r="G53" s="3" t="str">
        <f ca="1">IFERROR(__xludf.DUMMYFUNCTION("""COMPUTED_VALUE"""),"București")</f>
        <v>București</v>
      </c>
      <c r="H53" s="3"/>
      <c r="I53" s="3">
        <f ca="1">IFERROR(__xludf.DUMMYFUNCTION("""COMPUTED_VALUE"""),1239)</f>
        <v>1239</v>
      </c>
      <c r="J53" s="3" t="str">
        <f ca="1">IFERROR(__xludf.DUMMYFUNCTION("""COMPUTED_VALUE"""),"Demență mixtă. Boală cardiacă ischemică. Fibrilație atrială. Ulcerație de decubit în zona sacrală. ")</f>
        <v xml:space="preserve">Demență mixtă. Boală cardiacă ischemică. Fibrilație atrială. Ulcerație de decubit în zona sacrală. </v>
      </c>
      <c r="K53" s="5">
        <f ca="1">IFERROR(__xludf.DUMMYFUNCTION("""COMPUTED_VALUE"""),43950)</f>
        <v>43950</v>
      </c>
      <c r="L53" s="5">
        <f ca="1">IFERROR(__xludf.DUMMYFUNCTION("""COMPUTED_VALUE"""),43949)</f>
        <v>43949</v>
      </c>
      <c r="M53" s="3" t="str">
        <f ca="1">IFERROR(__xludf.DUMMYFUNCTION("""COMPUTED_VALUE"""),"1")</f>
        <v>1</v>
      </c>
      <c r="N53" s="5">
        <f ca="1">IFERROR(__xludf.DUMMYFUNCTION("""COMPUTED_VALUE"""),43943)</f>
        <v>43943</v>
      </c>
      <c r="O53" s="5">
        <f ca="1">IFERROR(__xludf.DUMMYFUNCTION("""COMPUTED_VALUE"""),43944)</f>
        <v>43944</v>
      </c>
      <c r="P53" s="3" t="str">
        <f ca="1">IFERROR(__xludf.DUMMYFUNCTION("""COMPUTED_VALUE"""),"1")</f>
        <v>1</v>
      </c>
      <c r="Q53" s="3" t="str">
        <f ca="1">IFERROR(__xludf.DUMMYFUNCTION("""COMPUTED_VALUE"""),"5")</f>
        <v>5</v>
      </c>
      <c r="R53" s="3" t="str">
        <f ca="1">IFERROR(__xludf.DUMMYFUNCTION("""COMPUTED_VALUE"""),"Nu")</f>
        <v>Nu</v>
      </c>
      <c r="S53" s="3" t="str">
        <f ca="1">IFERROR(__xludf.DUMMYFUNCTION("""COMPUTED_VALUE"""),"4/26/2020")</f>
        <v>4/26/2020</v>
      </c>
      <c r="T53" s="3">
        <f ca="1">IFERROR(__xludf.DUMMYFUNCTION("""COMPUTED_VALUE"""),2)</f>
        <v>2</v>
      </c>
      <c r="U53" s="3" t="str">
        <f ca="1">IFERROR(__xludf.DUMMYFUNCTION("""COMPUTED_VALUE"""),"Da")</f>
        <v>Da</v>
      </c>
      <c r="V53" s="6" t="str">
        <f ca="1">IFERROR(__xludf.DUMMYFUNCTION("""COMPUTED_VALUE"""),"http://www.ms.ro/2020/04/29/decese-664-675/")</f>
        <v>http://www.ms.ro/2020/04/29/decese-664-675/</v>
      </c>
      <c r="W53" s="3" t="str">
        <f ca="1">IFERROR(__xludf.DUMMYFUNCTION("""COMPUTED_VALUE"""),"Spitalul Clinic Colentina")</f>
        <v>Spitalul Clinic Colentina</v>
      </c>
      <c r="X53" s="3"/>
      <c r="Y53" s="3" t="str">
        <f ca="1">IFERROR(__xludf.DUMMYFUNCTION("""COMPUTED_VALUE"""),"Spitalul Clinic Colentina")</f>
        <v>Spitalul Clinic Colentina</v>
      </c>
      <c r="Z53" s="3"/>
      <c r="AA53" s="3" t="str">
        <f ca="1">IFERROR(__xludf.DUMMYFUNCTION("""COMPUTED_VALUE"""),"Spitalul Clinic Colentina")</f>
        <v>Spitalul Clinic Colentina</v>
      </c>
      <c r="AB53" s="3" t="str">
        <f ca="1">IFERROR(__xludf.DUMMYFUNCTION("""COMPUTED_VALUE"""),"Femeie, 86 ani din municipiul București. 
Data internării: 26.04.2020, la Spitalul Clinic Colentina (spital de suport).
Data recoltării: 22.04.2020.
Data confirmării: 23.04.2020 la INCDMM Cantacuzino. 
Data decesului: 28.04.2020. 
Conditii medicale"&amp;" pre-existente: Demență mixtă. Boală cardiacă ischemică. Fibrilație atrială. Ulcerație de decubit în zona sacrală. 
Provine din Căminul de bătrâni “Butterfly Solutions” din București. ")</f>
        <v xml:space="preserve">Femeie, 86 ani din municipiul București. 
Data internării: 26.04.2020, la Spitalul Clinic Colentina (spital de suport).
Data recoltării: 22.04.2020.
Data confirmării: 23.04.2020 la INCDMM Cantacuzino. 
Data decesului: 28.04.2020. 
Conditii medicale pre-existente: Demență mixtă. Boală cardiacă ischemică. Fibrilație atrială. Ulcerație de decubit în zona sacrală. 
Provine din Căminul de bătrâni “Butterfly Solutions” din București. </v>
      </c>
      <c r="AC53" s="3"/>
      <c r="AD53" s="3" t="str">
        <f ca="1">IFERROR(__xludf.DUMMYFUNCTION("""COMPUTED_VALUE"""),"MS")</f>
        <v>MS</v>
      </c>
      <c r="AE53" s="3" t="str">
        <f ca="1">IFERROR(__xludf.DUMMYFUNCTION("""COMPUTED_VALUE"""),"Provine din Căminul de bătrâni “Butterfly Solutions” din București. ")</f>
        <v xml:space="preserve">Provine din Căminul de bătrâni “Butterfly Solutions” din București. </v>
      </c>
      <c r="AF53" s="3" t="str">
        <f ca="1">IFERROR(__xludf.DUMMYFUNCTION("""COMPUTED_VALUE"""),"Cămin de bătrâni")</f>
        <v>Cămin de bătrâni</v>
      </c>
      <c r="AG53" s="3" t="str">
        <f ca="1">IFERROR(__xludf.DUMMYFUNCTION("""COMPUTED_VALUE"""),"Da")</f>
        <v>Da</v>
      </c>
      <c r="AH53" s="3" t="str">
        <f ca="1">IFERROR(__xludf.DUMMYFUNCTION("""COMPUTED_VALUE"""),"Nu")</f>
        <v>Nu</v>
      </c>
      <c r="AI53" s="3" t="str">
        <f ca="1">IFERROR(__xludf.DUMMYFUNCTION("""COMPUTED_VALUE"""),"Afecțiuni cardiovasculare")</f>
        <v>Afecțiuni cardiovasculare</v>
      </c>
      <c r="AJ53" s="7" t="str">
        <f ca="1">IFERROR(__xludf.DUMMYFUNCTION("""COMPUTED_VALUE"""),"Y")</f>
        <v>Y</v>
      </c>
      <c r="AK53" s="7" t="str">
        <f ca="1">IFERROR(__xludf.DUMMYFUNCTION("""COMPUTED_VALUE"""),"N")</f>
        <v>N</v>
      </c>
      <c r="AL53" s="7" t="str">
        <f ca="1">IFERROR(__xludf.DUMMYFUNCTION("""COMPUTED_VALUE"""),"N")</f>
        <v>N</v>
      </c>
      <c r="AM53" s="7" t="str">
        <f ca="1">IFERROR(__xludf.DUMMYFUNCTION("""COMPUTED_VALUE"""),"N")</f>
        <v>N</v>
      </c>
      <c r="AN53" s="7" t="str">
        <f ca="1">IFERROR(__xludf.DUMMYFUNCTION("""COMPUTED_VALUE"""),"Y")</f>
        <v>Y</v>
      </c>
      <c r="AO53" s="7" t="str">
        <f ca="1">IFERROR(__xludf.DUMMYFUNCTION("""COMPUTED_VALUE"""),"N")</f>
        <v>N</v>
      </c>
      <c r="AP53" s="7" t="str">
        <f ca="1">IFERROR(__xludf.DUMMYFUNCTION("""COMPUTED_VALUE"""),"N")</f>
        <v>N</v>
      </c>
      <c r="AQ53" s="7" t="str">
        <f ca="1">IFERROR(__xludf.DUMMYFUNCTION("""COMPUTED_VALUE"""),"N")</f>
        <v>N</v>
      </c>
      <c r="AR53" s="7" t="str">
        <f ca="1">IFERROR(__xludf.DUMMYFUNCTION("""COMPUTED_VALUE"""),"N")</f>
        <v>N</v>
      </c>
      <c r="AS53" s="7" t="str">
        <f ca="1">IFERROR(__xludf.DUMMYFUNCTION("""COMPUTED_VALUE"""),"N")</f>
        <v>N</v>
      </c>
      <c r="AT53" s="7" t="str">
        <f ca="1">IFERROR(__xludf.DUMMYFUNCTION("""COMPUTED_VALUE"""),"N")</f>
        <v>N</v>
      </c>
      <c r="AU53" s="3"/>
      <c r="AV53" s="3"/>
      <c r="AW53" s="3"/>
      <c r="AX53" s="3"/>
      <c r="AY53" s="3"/>
    </row>
    <row r="54" spans="1:51" ht="16.5" customHeight="1">
      <c r="A54" s="3">
        <f ca="1">IFERROR(__xludf.DUMMYFUNCTION("""COMPUTED_VALUE"""),6703)</f>
        <v>6703</v>
      </c>
      <c r="B54" s="3"/>
      <c r="C54" s="3">
        <f ca="1">IFERROR(__xludf.DUMMYFUNCTION("""COMPUTED_VALUE"""),641)</f>
        <v>641</v>
      </c>
      <c r="D54" s="3" t="str">
        <f ca="1">IFERROR(__xludf.DUMMYFUNCTION("""COMPUTED_VALUE"""),"Feminin")</f>
        <v>Feminin</v>
      </c>
      <c r="E54" s="4">
        <f ca="1">IFERROR(__xludf.DUMMYFUNCTION("""COMPUTED_VALUE"""),77)</f>
        <v>77</v>
      </c>
      <c r="F54" s="3" t="str">
        <f ca="1">IFERROR(__xludf.DUMMYFUNCTION("""COMPUTED_VALUE"""),"70-79 years")</f>
        <v>70-79 years</v>
      </c>
      <c r="G54" s="3" t="str">
        <f ca="1">IFERROR(__xludf.DUMMYFUNCTION("""COMPUTED_VALUE"""),"București")</f>
        <v>București</v>
      </c>
      <c r="H54" s="3"/>
      <c r="I54" s="3">
        <f ca="1">IFERROR(__xludf.DUMMYFUNCTION("""COMPUTED_VALUE"""),929)</f>
        <v>929</v>
      </c>
      <c r="J54" s="3" t="str">
        <f ca="1">IFERROR(__xludf.DUMMYFUNCTION("""COMPUTED_VALUE"""),"AVC ischemic, TCC, Hematom subdural, HTA, afecțiuni cardiovasculare, obezitate")</f>
        <v>AVC ischemic, TCC, Hematom subdural, HTA, afecțiuni cardiovasculare, obezitate</v>
      </c>
      <c r="K54" s="5">
        <f ca="1">IFERROR(__xludf.DUMMYFUNCTION("""COMPUTED_VALUE"""),43948)</f>
        <v>43948</v>
      </c>
      <c r="L54" s="5">
        <f ca="1">IFERROR(__xludf.DUMMYFUNCTION("""COMPUTED_VALUE"""),43948)</f>
        <v>43948</v>
      </c>
      <c r="M54" s="3" t="str">
        <f ca="1">IFERROR(__xludf.DUMMYFUNCTION("""COMPUTED_VALUE"""),"0")</f>
        <v>0</v>
      </c>
      <c r="N54" s="5">
        <f ca="1">IFERROR(__xludf.DUMMYFUNCTION("""COMPUTED_VALUE"""),43935)</f>
        <v>43935</v>
      </c>
      <c r="O54" s="5">
        <f ca="1">IFERROR(__xludf.DUMMYFUNCTION("""COMPUTED_VALUE"""),43935)</f>
        <v>43935</v>
      </c>
      <c r="P54" s="3" t="str">
        <f ca="1">IFERROR(__xludf.DUMMYFUNCTION("""COMPUTED_VALUE"""),"0")</f>
        <v>0</v>
      </c>
      <c r="Q54" s="3" t="str">
        <f ca="1">IFERROR(__xludf.DUMMYFUNCTION("""COMPUTED_VALUE"""),"13")</f>
        <v>13</v>
      </c>
      <c r="R54" s="3" t="str">
        <f ca="1">IFERROR(__xludf.DUMMYFUNCTION("""COMPUTED_VALUE"""),"Nu")</f>
        <v>Nu</v>
      </c>
      <c r="S54" s="3" t="str">
        <f ca="1">IFERROR(__xludf.DUMMYFUNCTION("""COMPUTED_VALUE"""),"3/28/2020")</f>
        <v>3/28/2020</v>
      </c>
      <c r="T54" s="3">
        <f ca="1">IFERROR(__xludf.DUMMYFUNCTION("""COMPUTED_VALUE"""),30)</f>
        <v>30</v>
      </c>
      <c r="U54" s="3" t="str">
        <f ca="1">IFERROR(__xludf.DUMMYFUNCTION("""COMPUTED_VALUE"""),"Da")</f>
        <v>Da</v>
      </c>
      <c r="V54" s="6" t="str">
        <f ca="1">IFERROR(__xludf.DUMMYFUNCTION("""COMPUTED_VALUE"""),"http://www.ms.ro/2020/04/27/decese-632-641/")</f>
        <v>http://www.ms.ro/2020/04/27/decese-632-641/</v>
      </c>
      <c r="W54" s="3" t="str">
        <f ca="1">IFERROR(__xludf.DUMMYFUNCTION("""COMPUTED_VALUE"""),"Spitalul Sf. Pantelimon")</f>
        <v>Spitalul Sf. Pantelimon</v>
      </c>
      <c r="X54" s="3"/>
      <c r="Y54" s="3" t="str">
        <f ca="1">IFERROR(__xludf.DUMMYFUNCTION("""COMPUTED_VALUE"""),"Spitalul Colentina")</f>
        <v>Spitalul Colentina</v>
      </c>
      <c r="Z54" s="3" t="str">
        <f ca="1">IFERROR(__xludf.DUMMYFUNCTION("""COMPUTED_VALUE"""),"ATI")</f>
        <v>ATI</v>
      </c>
      <c r="AA54" s="3" t="str">
        <f ca="1">IFERROR(__xludf.DUMMYFUNCTION("""COMPUTED_VALUE"""),"Spitalul Colentina")</f>
        <v>Spitalul Colentina</v>
      </c>
      <c r="AB54" s="3" t="str">
        <f ca="1">IFERROR(__xludf.DUMMYFUNCTION("""COMPUTED_VALUE"""),"Femeie, 77 ani din municipiul București.
Internată în data de 28.03.2020 în Spitalul Sf. Pantelimon pentru Hematom subdural secundar și AVC ischemic. Transfer în Spitalul Colentina în 17.04.2020- ATI intubată și ventilată mecanic.
Recoltat în data de "&amp;"14.04.2020.
Rezultat pozitiv în data de 14.04.2020.
Decedat în data de 27.04.2020.
Comorbidități: AVC ischemic, TCC, Hematom subdural, HTA, afecțiuni cardiovasculare, obezitate.")</f>
        <v>Femeie, 77 ani din municipiul București.
Internată în data de 28.03.2020 în Spitalul Sf. Pantelimon pentru Hematom subdural secundar și AVC ischemic. Transfer în Spitalul Colentina în 17.04.2020- ATI intubată și ventilată mecanic.
Recoltat în data de 14.04.2020.
Rezultat pozitiv în data de 14.04.2020.
Decedat în data de 27.04.2020.
Comorbidități: AVC ischemic, TCC, Hematom subdural, HTA, afecțiuni cardiovasculare, obezitate.</v>
      </c>
      <c r="AC54" s="3" t="str">
        <f ca="1">IFERROR(__xludf.DUMMYFUNCTION("""COMPUTED_VALUE"""),"Hematom subdural secundar și AVC ischemic")</f>
        <v>Hematom subdural secundar și AVC ischemic</v>
      </c>
      <c r="AD54" s="3" t="str">
        <f ca="1">IFERROR(__xludf.DUMMYFUNCTION("""COMPUTED_VALUE"""),"MS")</f>
        <v>MS</v>
      </c>
      <c r="AE54" s="3"/>
      <c r="AF54" s="3"/>
      <c r="AG54" s="3" t="str">
        <f ca="1">IFERROR(__xludf.DUMMYFUNCTION("""COMPUTED_VALUE"""),"Nu")</f>
        <v>Nu</v>
      </c>
      <c r="AH54" s="3" t="str">
        <f ca="1">IFERROR(__xludf.DUMMYFUNCTION("""COMPUTED_VALUE"""),"Nu")</f>
        <v>Nu</v>
      </c>
      <c r="AI54" s="3" t="str">
        <f ca="1">IFERROR(__xludf.DUMMYFUNCTION("""COMPUTED_VALUE"""),"Afecțiuni cardiovasculare")</f>
        <v>Afecțiuni cardiovasculare</v>
      </c>
      <c r="AJ54" s="7" t="str">
        <f ca="1">IFERROR(__xludf.DUMMYFUNCTION("""COMPUTED_VALUE"""),"Y")</f>
        <v>Y</v>
      </c>
      <c r="AK54" s="7" t="str">
        <f ca="1">IFERROR(__xludf.DUMMYFUNCTION("""COMPUTED_VALUE"""),"N")</f>
        <v>N</v>
      </c>
      <c r="AL54" s="7" t="str">
        <f ca="1">IFERROR(__xludf.DUMMYFUNCTION("""COMPUTED_VALUE"""),"N")</f>
        <v>N</v>
      </c>
      <c r="AM54" s="7" t="str">
        <f ca="1">IFERROR(__xludf.DUMMYFUNCTION("""COMPUTED_VALUE"""),"N")</f>
        <v>N</v>
      </c>
      <c r="AN54" s="7" t="str">
        <f ca="1">IFERROR(__xludf.DUMMYFUNCTION("""COMPUTED_VALUE"""),"Y")</f>
        <v>Y</v>
      </c>
      <c r="AO54" s="7" t="str">
        <f ca="1">IFERROR(__xludf.DUMMYFUNCTION("""COMPUTED_VALUE"""),"N")</f>
        <v>N</v>
      </c>
      <c r="AP54" s="7" t="str">
        <f ca="1">IFERROR(__xludf.DUMMYFUNCTION("""COMPUTED_VALUE"""),"N")</f>
        <v>N</v>
      </c>
      <c r="AQ54" s="7" t="str">
        <f ca="1">IFERROR(__xludf.DUMMYFUNCTION("""COMPUTED_VALUE"""),"N")</f>
        <v>N</v>
      </c>
      <c r="AR54" s="7" t="str">
        <f ca="1">IFERROR(__xludf.DUMMYFUNCTION("""COMPUTED_VALUE"""),"Y")</f>
        <v>Y</v>
      </c>
      <c r="AS54" s="7" t="str">
        <f ca="1">IFERROR(__xludf.DUMMYFUNCTION("""COMPUTED_VALUE"""),"N")</f>
        <v>N</v>
      </c>
      <c r="AT54" s="7" t="str">
        <f ca="1">IFERROR(__xludf.DUMMYFUNCTION("""COMPUTED_VALUE"""),"N")</f>
        <v>N</v>
      </c>
      <c r="AU54" s="3"/>
      <c r="AV54" s="3"/>
      <c r="AW54" s="3"/>
      <c r="AX54" s="3"/>
      <c r="AY54" s="3"/>
    </row>
    <row r="55" spans="1:51" ht="16.5" customHeight="1">
      <c r="A55" s="3">
        <f ca="1">IFERROR(__xludf.DUMMYFUNCTION("""COMPUTED_VALUE"""),4054)</f>
        <v>4054</v>
      </c>
      <c r="B55" s="3"/>
      <c r="C55" s="3">
        <f ca="1">IFERROR(__xludf.DUMMYFUNCTION("""COMPUTED_VALUE"""),640)</f>
        <v>640</v>
      </c>
      <c r="D55" s="3" t="str">
        <f ca="1">IFERROR(__xludf.DUMMYFUNCTION("""COMPUTED_VALUE"""),"Masculin")</f>
        <v>Masculin</v>
      </c>
      <c r="E55" s="4">
        <f ca="1">IFERROR(__xludf.DUMMYFUNCTION("""COMPUTED_VALUE"""),82)</f>
        <v>82</v>
      </c>
      <c r="F55" s="3" t="str">
        <f ca="1">IFERROR(__xludf.DUMMYFUNCTION("""COMPUTED_VALUE"""),"Over 80 years")</f>
        <v>Over 80 years</v>
      </c>
      <c r="G55" s="3" t="str">
        <f ca="1">IFERROR(__xludf.DUMMYFUNCTION("""COMPUTED_VALUE"""),"București")</f>
        <v>București</v>
      </c>
      <c r="H55" s="3"/>
      <c r="I55" s="3">
        <f ca="1">IFERROR(__xludf.DUMMYFUNCTION("""COMPUTED_VALUE"""),1119)</f>
        <v>1119</v>
      </c>
      <c r="J55" s="3" t="str">
        <f ca="1">IFERROR(__xludf.DUMMYFUNCTION("""COMPUTED_VALUE"""),"BPOC, Boală renală cronică, Neoplasm vezical și de prostată")</f>
        <v>BPOC, Boală renală cronică, Neoplasm vezical și de prostată</v>
      </c>
      <c r="K55" s="5">
        <f ca="1">IFERROR(__xludf.DUMMYFUNCTION("""COMPUTED_VALUE"""),43948)</f>
        <v>43948</v>
      </c>
      <c r="L55" s="5">
        <f ca="1">IFERROR(__xludf.DUMMYFUNCTION("""COMPUTED_VALUE"""),43946)</f>
        <v>43946</v>
      </c>
      <c r="M55" s="3" t="str">
        <f ca="1">IFERROR(__xludf.DUMMYFUNCTION("""COMPUTED_VALUE"""),"2")</f>
        <v>2</v>
      </c>
      <c r="N55" s="5">
        <f ca="1">IFERROR(__xludf.DUMMYFUNCTION("""COMPUTED_VALUE"""),43926)</f>
        <v>43926</v>
      </c>
      <c r="O55" s="5">
        <f ca="1">IFERROR(__xludf.DUMMYFUNCTION("""COMPUTED_VALUE"""),43927)</f>
        <v>43927</v>
      </c>
      <c r="P55" s="3" t="str">
        <f ca="1">IFERROR(__xludf.DUMMYFUNCTION("""COMPUTED_VALUE"""),"1")</f>
        <v>1</v>
      </c>
      <c r="Q55" s="3" t="str">
        <f ca="1">IFERROR(__xludf.DUMMYFUNCTION("""COMPUTED_VALUE"""),"19")</f>
        <v>19</v>
      </c>
      <c r="R55" s="3" t="str">
        <f ca="1">IFERROR(__xludf.DUMMYFUNCTION("""COMPUTED_VALUE"""),"Nu")</f>
        <v>Nu</v>
      </c>
      <c r="S55" s="3" t="str">
        <f ca="1">IFERROR(__xludf.DUMMYFUNCTION("""COMPUTED_VALUE"""),"3/16/2020")</f>
        <v>3/16/2020</v>
      </c>
      <c r="T55" s="3">
        <f ca="1">IFERROR(__xludf.DUMMYFUNCTION("""COMPUTED_VALUE"""),40)</f>
        <v>40</v>
      </c>
      <c r="U55" s="3" t="str">
        <f ca="1">IFERROR(__xludf.DUMMYFUNCTION("""COMPUTED_VALUE"""),"Da")</f>
        <v>Da</v>
      </c>
      <c r="V55" s="6" t="str">
        <f ca="1">IFERROR(__xludf.DUMMYFUNCTION("""COMPUTED_VALUE"""),"http://www.ms.ro/2020/04/27/decese-632-641/")</f>
        <v>http://www.ms.ro/2020/04/27/decese-632-641/</v>
      </c>
      <c r="W55" s="3" t="str">
        <f ca="1">IFERROR(__xludf.DUMMYFUNCTION("""COMPUTED_VALUE"""),"Spitalul Universitar de Urgență București")</f>
        <v>Spitalul Universitar de Urgență București</v>
      </c>
      <c r="X55" s="3" t="str">
        <f ca="1">IFERROR(__xludf.DUMMYFUNCTION("""COMPUTED_VALUE"""),"Cardiologie ")</f>
        <v xml:space="preserve">Cardiologie </v>
      </c>
      <c r="Y55" s="3" t="str">
        <f ca="1">IFERROR(__xludf.DUMMYFUNCTION("""COMPUTED_VALUE"""),"Spitalul Colentina")</f>
        <v>Spitalul Colentina</v>
      </c>
      <c r="Z55" s="3"/>
      <c r="AA55" s="3" t="str">
        <f ca="1">IFERROR(__xludf.DUMMYFUNCTION("""COMPUTED_VALUE"""),"Spitalul Colentina")</f>
        <v>Spitalul Colentina</v>
      </c>
      <c r="AB55" s="3" t="str">
        <f ca="1">IFERROR(__xludf.DUMMYFUNCTION("""COMPUTED_VALUE"""),"Bărbat, 82 ani din municipiul București.
Internat în data de 16.03.2020 în Spitalul Universitar de Urgență București -Cardiologie pentru înlocuire stimulator cardiac. Transfer în Spitalul Colentina în data de 07.04.2020.
Recoltat în data de 05.04.2020"&amp;".
Rezultat pozitiv în data de 06.04.2020.
Decedat în data de 25.04.2020.
Comorbidități: BPOC, Boală renală cronică, Neoplasm vezical și de prostată.")</f>
        <v>Bărbat, 82 ani din municipiul București.
Internat în data de 16.03.2020 în Spitalul Universitar de Urgență București -Cardiologie pentru înlocuire stimulator cardiac. Transfer în Spitalul Colentina în data de 07.04.2020.
Recoltat în data de 05.04.2020.
Rezultat pozitiv în data de 06.04.2020.
Decedat în data de 25.04.2020.
Comorbidități: BPOC, Boală renală cronică, Neoplasm vezical și de prostată.</v>
      </c>
      <c r="AC55" s="3"/>
      <c r="AD55" s="3" t="str">
        <f ca="1">IFERROR(__xludf.DUMMYFUNCTION("""COMPUTED_VALUE"""),"MS")</f>
        <v>MS</v>
      </c>
      <c r="AE55" s="3"/>
      <c r="AF55" s="3"/>
      <c r="AG55" s="3" t="str">
        <f ca="1">IFERROR(__xludf.DUMMYFUNCTION("""COMPUTED_VALUE"""),"Nu")</f>
        <v>Nu</v>
      </c>
      <c r="AH55" s="3" t="str">
        <f ca="1">IFERROR(__xludf.DUMMYFUNCTION("""COMPUTED_VALUE"""),"Nu")</f>
        <v>Nu</v>
      </c>
      <c r="AI55" s="3" t="str">
        <f ca="1">IFERROR(__xludf.DUMMYFUNCTION("""COMPUTED_VALUE"""),"Afecțiuni cardiovasculare")</f>
        <v>Afecțiuni cardiovasculare</v>
      </c>
      <c r="AJ55" s="7" t="str">
        <f ca="1">IFERROR(__xludf.DUMMYFUNCTION("""COMPUTED_VALUE"""),"Y")</f>
        <v>Y</v>
      </c>
      <c r="AK55" s="7" t="str">
        <f ca="1">IFERROR(__xludf.DUMMYFUNCTION("""COMPUTED_VALUE"""),"N")</f>
        <v>N</v>
      </c>
      <c r="AL55" s="7" t="str">
        <f ca="1">IFERROR(__xludf.DUMMYFUNCTION("""COMPUTED_VALUE"""),"Y")</f>
        <v>Y</v>
      </c>
      <c r="AM55" s="7" t="str">
        <f ca="1">IFERROR(__xludf.DUMMYFUNCTION("""COMPUTED_VALUE"""),"Y")</f>
        <v>Y</v>
      </c>
      <c r="AN55" s="7" t="str">
        <f ca="1">IFERROR(__xludf.DUMMYFUNCTION("""COMPUTED_VALUE"""),"N")</f>
        <v>N</v>
      </c>
      <c r="AO55" s="7" t="str">
        <f ca="1">IFERROR(__xludf.DUMMYFUNCTION("""COMPUTED_VALUE"""),"N")</f>
        <v>N</v>
      </c>
      <c r="AP55" s="7" t="str">
        <f ca="1">IFERROR(__xludf.DUMMYFUNCTION("""COMPUTED_VALUE"""),"N")</f>
        <v>N</v>
      </c>
      <c r="AQ55" s="7" t="str">
        <f ca="1">IFERROR(__xludf.DUMMYFUNCTION("""COMPUTED_VALUE"""),"N")</f>
        <v>N</v>
      </c>
      <c r="AR55" s="7" t="str">
        <f ca="1">IFERROR(__xludf.DUMMYFUNCTION("""COMPUTED_VALUE"""),"N")</f>
        <v>N</v>
      </c>
      <c r="AS55" s="7" t="str">
        <f ca="1">IFERROR(__xludf.DUMMYFUNCTION("""COMPUTED_VALUE"""),"N")</f>
        <v>N</v>
      </c>
      <c r="AT55" s="7" t="str">
        <f ca="1">IFERROR(__xludf.DUMMYFUNCTION("""COMPUTED_VALUE"""),"N")</f>
        <v>N</v>
      </c>
      <c r="AU55" s="3"/>
      <c r="AV55" s="3"/>
      <c r="AW55" s="3"/>
      <c r="AX55" s="3"/>
      <c r="AY55" s="3"/>
    </row>
    <row r="56" spans="1:51" ht="16.5" customHeight="1">
      <c r="A56" s="3">
        <f ca="1">IFERROR(__xludf.DUMMYFUNCTION("""COMPUTED_VALUE"""),10383)</f>
        <v>10383</v>
      </c>
      <c r="B56" s="3"/>
      <c r="C56" s="3">
        <f ca="1">IFERROR(__xludf.DUMMYFUNCTION("""COMPUTED_VALUE"""),634)</f>
        <v>634</v>
      </c>
      <c r="D56" s="3" t="str">
        <f ca="1">IFERROR(__xludf.DUMMYFUNCTION("""COMPUTED_VALUE"""),"Feminin")</f>
        <v>Feminin</v>
      </c>
      <c r="E56" s="4">
        <f ca="1">IFERROR(__xludf.DUMMYFUNCTION("""COMPUTED_VALUE"""),82)</f>
        <v>82</v>
      </c>
      <c r="F56" s="3" t="str">
        <f ca="1">IFERROR(__xludf.DUMMYFUNCTION("""COMPUTED_VALUE"""),"Over 80 years")</f>
        <v>Over 80 years</v>
      </c>
      <c r="G56" s="3" t="str">
        <f ca="1">IFERROR(__xludf.DUMMYFUNCTION("""COMPUTED_VALUE"""),"București")</f>
        <v>București</v>
      </c>
      <c r="H56" s="3"/>
      <c r="I56" s="3">
        <f ca="1">IFERROR(__xludf.DUMMYFUNCTION("""COMPUTED_VALUE"""),1119)</f>
        <v>1119</v>
      </c>
      <c r="J56" s="3" t="str">
        <f ca="1">IFERROR(__xludf.DUMMYFUNCTION("""COMPUTED_VALUE"""),"Afecțiuni cardiovasculare")</f>
        <v>Afecțiuni cardiovasculare</v>
      </c>
      <c r="K56" s="5">
        <f ca="1">IFERROR(__xludf.DUMMYFUNCTION("""COMPUTED_VALUE"""),43948)</f>
        <v>43948</v>
      </c>
      <c r="L56" s="5">
        <f ca="1">IFERROR(__xludf.DUMMYFUNCTION("""COMPUTED_VALUE"""),43948)</f>
        <v>43948</v>
      </c>
      <c r="M56" s="3" t="str">
        <f ca="1">IFERROR(__xludf.DUMMYFUNCTION("""COMPUTED_VALUE"""),"0")</f>
        <v>0</v>
      </c>
      <c r="N56" s="5">
        <f ca="1">IFERROR(__xludf.DUMMYFUNCTION("""COMPUTED_VALUE"""),43945)</f>
        <v>43945</v>
      </c>
      <c r="O56" s="5">
        <f ca="1">IFERROR(__xludf.DUMMYFUNCTION("""COMPUTED_VALUE"""),43945)</f>
        <v>43945</v>
      </c>
      <c r="P56" s="3" t="str">
        <f ca="1">IFERROR(__xludf.DUMMYFUNCTION("""COMPUTED_VALUE"""),"0")</f>
        <v>0</v>
      </c>
      <c r="Q56" s="3" t="str">
        <f ca="1">IFERROR(__xludf.DUMMYFUNCTION("""COMPUTED_VALUE"""),"3")</f>
        <v>3</v>
      </c>
      <c r="R56" s="3" t="str">
        <f ca="1">IFERROR(__xludf.DUMMYFUNCTION("""COMPUTED_VALUE"""),"Nu")</f>
        <v>Nu</v>
      </c>
      <c r="S56" s="3" t="str">
        <f ca="1">IFERROR(__xludf.DUMMYFUNCTION("""COMPUTED_VALUE"""),"4/23/2020")</f>
        <v>4/23/2020</v>
      </c>
      <c r="T56" s="3">
        <f ca="1">IFERROR(__xludf.DUMMYFUNCTION("""COMPUTED_VALUE"""),4)</f>
        <v>4</v>
      </c>
      <c r="U56" s="3" t="str">
        <f ca="1">IFERROR(__xludf.DUMMYFUNCTION("""COMPUTED_VALUE"""),"Da")</f>
        <v>Da</v>
      </c>
      <c r="V56" s="6" t="str">
        <f ca="1">IFERROR(__xludf.DUMMYFUNCTION("""COMPUTED_VALUE"""),"http://www.ms.ro/2020/04/27/decese-632-641/")</f>
        <v>http://www.ms.ro/2020/04/27/decese-632-641/</v>
      </c>
      <c r="W56" s="3" t="str">
        <f ca="1">IFERROR(__xludf.DUMMYFUNCTION("""COMPUTED_VALUE"""),"Spitalul Județean de Urgență Ilfov")</f>
        <v>Spitalul Județean de Urgență Ilfov</v>
      </c>
      <c r="X56" s="3"/>
      <c r="Y56" s="3" t="str">
        <f ca="1">IFERROR(__xludf.DUMMYFUNCTION("""COMPUTED_VALUE"""),"Spitalul Colentina")</f>
        <v>Spitalul Colentina</v>
      </c>
      <c r="Z56" s="3"/>
      <c r="AA56" s="3" t="str">
        <f ca="1">IFERROR(__xludf.DUMMYFUNCTION("""COMPUTED_VALUE"""),"Spitalul Colentina")</f>
        <v>Spitalul Colentina</v>
      </c>
      <c r="AB56" s="3" t="str">
        <f ca="1">IFERROR(__xludf.DUMMYFUNCTION("""COMPUTED_VALUE"""),"Femeie, 82 ani din municipiul București.
Internată în Spitalul Județean de Urgență Ilfov în 23.04.2020, transfer în Spitalul Colentina în data
de 24.04.2020.
Recoltat in data de 24.04.2020.
Rezultat pozitiv în data de 24.04.2020.
Decedat în data de"&amp;" 27.04.2020.
Comorbidități: afecțiuni cardiovasculare.")</f>
        <v>Femeie, 82 ani din municipiul București.
Internată în Spitalul Județean de Urgență Ilfov în 23.04.2020, transfer în Spitalul Colentina în data
de 24.04.2020.
Recoltat in data de 24.04.2020.
Rezultat pozitiv în data de 24.04.2020.
Decedat în data de 27.04.2020.
Comorbidități: afecțiuni cardiovasculare.</v>
      </c>
      <c r="AC56" s="3"/>
      <c r="AD56" s="3" t="str">
        <f ca="1">IFERROR(__xludf.DUMMYFUNCTION("""COMPUTED_VALUE"""),"MS")</f>
        <v>MS</v>
      </c>
      <c r="AE56" s="3"/>
      <c r="AF56" s="3"/>
      <c r="AG56" s="3" t="str">
        <f ca="1">IFERROR(__xludf.DUMMYFUNCTION("""COMPUTED_VALUE"""),"Nu")</f>
        <v>Nu</v>
      </c>
      <c r="AH56" s="3" t="str">
        <f ca="1">IFERROR(__xludf.DUMMYFUNCTION("""COMPUTED_VALUE"""),"Nu")</f>
        <v>Nu</v>
      </c>
      <c r="AI56" s="3" t="str">
        <f ca="1">IFERROR(__xludf.DUMMYFUNCTION("""COMPUTED_VALUE"""),"Afecțiuni cardiovasculare")</f>
        <v>Afecțiuni cardiovasculare</v>
      </c>
      <c r="AJ56" s="7" t="str">
        <f ca="1">IFERROR(__xludf.DUMMYFUNCTION("""COMPUTED_VALUE"""),"Y")</f>
        <v>Y</v>
      </c>
      <c r="AK56" s="7" t="str">
        <f ca="1">IFERROR(__xludf.DUMMYFUNCTION("""COMPUTED_VALUE"""),"N")</f>
        <v>N</v>
      </c>
      <c r="AL56" s="7" t="str">
        <f ca="1">IFERROR(__xludf.DUMMYFUNCTION("""COMPUTED_VALUE"""),"N")</f>
        <v>N</v>
      </c>
      <c r="AM56" s="7" t="str">
        <f ca="1">IFERROR(__xludf.DUMMYFUNCTION("""COMPUTED_VALUE"""),"N")</f>
        <v>N</v>
      </c>
      <c r="AN56" s="7" t="str">
        <f ca="1">IFERROR(__xludf.DUMMYFUNCTION("""COMPUTED_VALUE"""),"N")</f>
        <v>N</v>
      </c>
      <c r="AO56" s="7" t="str">
        <f ca="1">IFERROR(__xludf.DUMMYFUNCTION("""COMPUTED_VALUE"""),"N")</f>
        <v>N</v>
      </c>
      <c r="AP56" s="7" t="str">
        <f ca="1">IFERROR(__xludf.DUMMYFUNCTION("""COMPUTED_VALUE"""),"N")</f>
        <v>N</v>
      </c>
      <c r="AQ56" s="7" t="str">
        <f ca="1">IFERROR(__xludf.DUMMYFUNCTION("""COMPUTED_VALUE"""),"N")</f>
        <v>N</v>
      </c>
      <c r="AR56" s="7" t="str">
        <f ca="1">IFERROR(__xludf.DUMMYFUNCTION("""COMPUTED_VALUE"""),"N")</f>
        <v>N</v>
      </c>
      <c r="AS56" s="7" t="str">
        <f ca="1">IFERROR(__xludf.DUMMYFUNCTION("""COMPUTED_VALUE"""),"N")</f>
        <v>N</v>
      </c>
      <c r="AT56" s="7" t="str">
        <f ca="1">IFERROR(__xludf.DUMMYFUNCTION("""COMPUTED_VALUE"""),"N")</f>
        <v>N</v>
      </c>
      <c r="AU56" s="3"/>
      <c r="AV56" s="3"/>
      <c r="AW56" s="3"/>
      <c r="AX56" s="3"/>
      <c r="AY56" s="3"/>
    </row>
    <row r="57" spans="1:51" ht="16.5" customHeight="1">
      <c r="A57" s="3">
        <f ca="1">IFERROR(__xludf.DUMMYFUNCTION("""COMPUTED_VALUE"""),9011)</f>
        <v>9011</v>
      </c>
      <c r="B57" s="3"/>
      <c r="C57" s="3">
        <f ca="1">IFERROR(__xludf.DUMMYFUNCTION("""COMPUTED_VALUE"""),632)</f>
        <v>632</v>
      </c>
      <c r="D57" s="3" t="str">
        <f ca="1">IFERROR(__xludf.DUMMYFUNCTION("""COMPUTED_VALUE"""),"Masculin")</f>
        <v>Masculin</v>
      </c>
      <c r="E57" s="4">
        <f ca="1">IFERROR(__xludf.DUMMYFUNCTION("""COMPUTED_VALUE"""),57)</f>
        <v>57</v>
      </c>
      <c r="F57" s="3" t="str">
        <f ca="1">IFERROR(__xludf.DUMMYFUNCTION("""COMPUTED_VALUE"""),"50-59 years")</f>
        <v>50-59 years</v>
      </c>
      <c r="G57" s="3" t="str">
        <f ca="1">IFERROR(__xludf.DUMMYFUNCTION("""COMPUTED_VALUE"""),"București")</f>
        <v>București</v>
      </c>
      <c r="H57" s="3"/>
      <c r="I57" s="3">
        <f ca="1">IFERROR(__xludf.DUMMYFUNCTION("""COMPUTED_VALUE"""),244)</f>
        <v>244</v>
      </c>
      <c r="J57" s="3" t="str">
        <f ca="1">IFERROR(__xludf.DUMMYFUNCTION("""COMPUTED_VALUE"""),"Ciroză, insuficiență hepatică")</f>
        <v>Ciroză, insuficiență hepatică</v>
      </c>
      <c r="K57" s="5">
        <f ca="1">IFERROR(__xludf.DUMMYFUNCTION("""COMPUTED_VALUE"""),43948)</f>
        <v>43948</v>
      </c>
      <c r="L57" s="5">
        <f ca="1">IFERROR(__xludf.DUMMYFUNCTION("""COMPUTED_VALUE"""),43947)</f>
        <v>43947</v>
      </c>
      <c r="M57" s="3" t="str">
        <f ca="1">IFERROR(__xludf.DUMMYFUNCTION("""COMPUTED_VALUE"""),"1")</f>
        <v>1</v>
      </c>
      <c r="N57" s="5"/>
      <c r="O57" s="5">
        <f ca="1">IFERROR(__xludf.DUMMYFUNCTION("""COMPUTED_VALUE"""),43942)</f>
        <v>43942</v>
      </c>
      <c r="P57" s="3" t="str">
        <f ca="1">IFERROR(__xludf.DUMMYFUNCTION("""COMPUTED_VALUE"""),"Necunoscut")</f>
        <v>Necunoscut</v>
      </c>
      <c r="Q57" s="3" t="str">
        <f ca="1">IFERROR(__xludf.DUMMYFUNCTION("""COMPUTED_VALUE"""),"5")</f>
        <v>5</v>
      </c>
      <c r="R57" s="3" t="str">
        <f ca="1">IFERROR(__xludf.DUMMYFUNCTION("""COMPUTED_VALUE"""),"Nu")</f>
        <v>Nu</v>
      </c>
      <c r="S57" s="3" t="str">
        <f ca="1">IFERROR(__xludf.DUMMYFUNCTION("""COMPUTED_VALUE"""),"4/10/2020")</f>
        <v>4/10/2020</v>
      </c>
      <c r="T57" s="3">
        <f ca="1">IFERROR(__xludf.DUMMYFUNCTION("""COMPUTED_VALUE"""),16)</f>
        <v>16</v>
      </c>
      <c r="U57" s="3" t="str">
        <f ca="1">IFERROR(__xludf.DUMMYFUNCTION("""COMPUTED_VALUE"""),"Da")</f>
        <v>Da</v>
      </c>
      <c r="V57" s="6" t="str">
        <f ca="1">IFERROR(__xludf.DUMMYFUNCTION("""COMPUTED_VALUE"""),"http://www.ms.ro/2020/04/27/decese-632-641/")</f>
        <v>http://www.ms.ro/2020/04/27/decese-632-641/</v>
      </c>
      <c r="W57" s="3" t="str">
        <f ca="1">IFERROR(__xludf.DUMMYFUNCTION("""COMPUTED_VALUE"""),"Spitalul Universitar de Urgență București")</f>
        <v>Spitalul Universitar de Urgență București</v>
      </c>
      <c r="X57" s="3"/>
      <c r="Y57" s="3" t="str">
        <f ca="1">IFERROR(__xludf.DUMMYFUNCTION("""COMPUTED_VALUE"""),"Spitalul de Boli Infecțioase Colentina")</f>
        <v>Spitalul de Boli Infecțioase Colentina</v>
      </c>
      <c r="Z57" s="3"/>
      <c r="AA57" s="3" t="str">
        <f ca="1">IFERROR(__xludf.DUMMYFUNCTION("""COMPUTED_VALUE"""),"Spitalul de Boli Infecțioase Colentina")</f>
        <v>Spitalul de Boli Infecțioase Colentina</v>
      </c>
      <c r="AB57" s="3" t="str">
        <f ca="1">IFERROR(__xludf.DUMMYFUNCTION("""COMPUTED_VALUE"""),"Bărbat, 57 ani din municipiul București.
Data internarii: 10.04.2020 la Spitalul Universitar de Urgență București, transferat în 21.04.2020 la Spitalul de Boli Infecțioase Colentina (modificari Rx pulmonare).
Data confirmării: 21.04.2020.
Data decesu"&amp;"lui: 26.04.2020.
Comorbidități: ciroză, insuficiență hepatică.")</f>
        <v>Bărbat, 57 ani din municipiul București.
Data internarii: 10.04.2020 la Spitalul Universitar de Urgență București, transferat în 21.04.2020 la Spitalul de Boli Infecțioase Colentina (modificari Rx pulmonare).
Data confirmării: 21.04.2020.
Data decesului: 26.04.2020.
Comorbidități: ciroză, insuficiență hepatică.</v>
      </c>
      <c r="AC57" s="3"/>
      <c r="AD57" s="3" t="str">
        <f ca="1">IFERROR(__xludf.DUMMYFUNCTION("""COMPUTED_VALUE"""),"MS")</f>
        <v>MS</v>
      </c>
      <c r="AE57" s="3"/>
      <c r="AF57" s="3"/>
      <c r="AG57" s="3" t="str">
        <f ca="1">IFERROR(__xludf.DUMMYFUNCTION("""COMPUTED_VALUE"""),"Nu")</f>
        <v>Nu</v>
      </c>
      <c r="AH57" s="3" t="str">
        <f ca="1">IFERROR(__xludf.DUMMYFUNCTION("""COMPUTED_VALUE"""),"Nu")</f>
        <v>Nu</v>
      </c>
      <c r="AI57" s="3" t="str">
        <f ca="1">IFERROR(__xludf.DUMMYFUNCTION("""COMPUTED_VALUE"""),"Afecțiuni pulmonare")</f>
        <v>Afecțiuni pulmonare</v>
      </c>
      <c r="AJ57" s="7" t="str">
        <f ca="1">IFERROR(__xludf.DUMMYFUNCTION("""COMPUTED_VALUE"""),"N")</f>
        <v>N</v>
      </c>
      <c r="AK57" s="7" t="str">
        <f ca="1">IFERROR(__xludf.DUMMYFUNCTION("""COMPUTED_VALUE"""),"N")</f>
        <v>N</v>
      </c>
      <c r="AL57" s="7" t="str">
        <f ca="1">IFERROR(__xludf.DUMMYFUNCTION("""COMPUTED_VALUE"""),"N")</f>
        <v>N</v>
      </c>
      <c r="AM57" s="7" t="str">
        <f ca="1">IFERROR(__xludf.DUMMYFUNCTION("""COMPUTED_VALUE"""),"Y")</f>
        <v>Y</v>
      </c>
      <c r="AN57" s="7" t="str">
        <f ca="1">IFERROR(__xludf.DUMMYFUNCTION("""COMPUTED_VALUE"""),"N")</f>
        <v>N</v>
      </c>
      <c r="AO57" s="7" t="str">
        <f ca="1">IFERROR(__xludf.DUMMYFUNCTION("""COMPUTED_VALUE"""),"N")</f>
        <v>N</v>
      </c>
      <c r="AP57" s="7" t="str">
        <f ca="1">IFERROR(__xludf.DUMMYFUNCTION("""COMPUTED_VALUE"""),"Y")</f>
        <v>Y</v>
      </c>
      <c r="AQ57" s="7" t="str">
        <f ca="1">IFERROR(__xludf.DUMMYFUNCTION("""COMPUTED_VALUE"""),"N")</f>
        <v>N</v>
      </c>
      <c r="AR57" s="7" t="str">
        <f ca="1">IFERROR(__xludf.DUMMYFUNCTION("""COMPUTED_VALUE"""),"N")</f>
        <v>N</v>
      </c>
      <c r="AS57" s="7" t="str">
        <f ca="1">IFERROR(__xludf.DUMMYFUNCTION("""COMPUTED_VALUE"""),"N")</f>
        <v>N</v>
      </c>
      <c r="AT57" s="7" t="str">
        <f ca="1">IFERROR(__xludf.DUMMYFUNCTION("""COMPUTED_VALUE"""),"N")</f>
        <v>N</v>
      </c>
      <c r="AU57" s="3"/>
      <c r="AV57" s="3"/>
      <c r="AW57" s="3"/>
      <c r="AX57" s="3"/>
      <c r="AY57" s="3"/>
    </row>
    <row r="58" spans="1:51" ht="16.5" customHeight="1">
      <c r="A58" s="3">
        <f ca="1">IFERROR(__xludf.DUMMYFUNCTION("""COMPUTED_VALUE"""),4129)</f>
        <v>4129</v>
      </c>
      <c r="B58" s="3"/>
      <c r="C58" s="3">
        <f ca="1">IFERROR(__xludf.DUMMYFUNCTION("""COMPUTED_VALUE"""),590)</f>
        <v>590</v>
      </c>
      <c r="D58" s="3" t="str">
        <f ca="1">IFERROR(__xludf.DUMMYFUNCTION("""COMPUTED_VALUE"""),"Masculin")</f>
        <v>Masculin</v>
      </c>
      <c r="E58" s="4">
        <f ca="1">IFERROR(__xludf.DUMMYFUNCTION("""COMPUTED_VALUE"""),65)</f>
        <v>65</v>
      </c>
      <c r="F58" s="3" t="str">
        <f ca="1">IFERROR(__xludf.DUMMYFUNCTION("""COMPUTED_VALUE"""),"60-69 years")</f>
        <v>60-69 years</v>
      </c>
      <c r="G58" s="3" t="str">
        <f ca="1">IFERROR(__xludf.DUMMYFUNCTION("""COMPUTED_VALUE"""),"București")</f>
        <v>București</v>
      </c>
      <c r="H58" s="3"/>
      <c r="I58" s="3">
        <f ca="1">IFERROR(__xludf.DUMMYFUNCTION("""COMPUTED_VALUE"""),477)</f>
        <v>477</v>
      </c>
      <c r="J58" s="3" t="str">
        <f ca="1">IFERROR(__xludf.DUMMYFUNCTION("""COMPUTED_VALUE"""),"Infarct miocardic acut, HTA")</f>
        <v>Infarct miocardic acut, HTA</v>
      </c>
      <c r="K58" s="5">
        <f ca="1">IFERROR(__xludf.DUMMYFUNCTION("""COMPUTED_VALUE"""),43946)</f>
        <v>43946</v>
      </c>
      <c r="L58" s="5">
        <f ca="1">IFERROR(__xludf.DUMMYFUNCTION("""COMPUTED_VALUE"""),43946)</f>
        <v>43946</v>
      </c>
      <c r="M58" s="3" t="str">
        <f ca="1">IFERROR(__xludf.DUMMYFUNCTION("""COMPUTED_VALUE"""),"0")</f>
        <v>0</v>
      </c>
      <c r="N58" s="5">
        <f ca="1">IFERROR(__xludf.DUMMYFUNCTION("""COMPUTED_VALUE"""),43926)</f>
        <v>43926</v>
      </c>
      <c r="O58" s="5">
        <f ca="1">IFERROR(__xludf.DUMMYFUNCTION("""COMPUTED_VALUE"""),43928)</f>
        <v>43928</v>
      </c>
      <c r="P58" s="3" t="str">
        <f ca="1">IFERROR(__xludf.DUMMYFUNCTION("""COMPUTED_VALUE"""),"2")</f>
        <v>2</v>
      </c>
      <c r="Q58" s="3" t="str">
        <f ca="1">IFERROR(__xludf.DUMMYFUNCTION("""COMPUTED_VALUE"""),"18")</f>
        <v>18</v>
      </c>
      <c r="R58" s="3" t="str">
        <f ca="1">IFERROR(__xludf.DUMMYFUNCTION("""COMPUTED_VALUE"""),"Nu")</f>
        <v>Nu</v>
      </c>
      <c r="S58" s="3" t="str">
        <f ca="1">IFERROR(__xludf.DUMMYFUNCTION("""COMPUTED_VALUE"""),"3/30/2020")</f>
        <v>3/30/2020</v>
      </c>
      <c r="T58" s="3">
        <f ca="1">IFERROR(__xludf.DUMMYFUNCTION("""COMPUTED_VALUE"""),26)</f>
        <v>26</v>
      </c>
      <c r="U58" s="3" t="str">
        <f ca="1">IFERROR(__xludf.DUMMYFUNCTION("""COMPUTED_VALUE"""),"Da")</f>
        <v>Da</v>
      </c>
      <c r="V58" s="6" t="str">
        <f ca="1">IFERROR(__xludf.DUMMYFUNCTION("""COMPUTED_VALUE"""),"http://www.ms.ro/2020/04/25/decese-580-601/")</f>
        <v>http://www.ms.ro/2020/04/25/decese-580-601/</v>
      </c>
      <c r="W58" s="3" t="str">
        <f ca="1">IFERROR(__xludf.DUMMYFUNCTION("""COMPUTED_VALUE"""),"Spitalul Universitar de Urgență București")</f>
        <v>Spitalul Universitar de Urgență București</v>
      </c>
      <c r="X58" s="3" t="str">
        <f ca="1">IFERROR(__xludf.DUMMYFUNCTION("""COMPUTED_VALUE"""),"Cardiologie ")</f>
        <v xml:space="preserve">Cardiologie </v>
      </c>
      <c r="Y58" s="3" t="str">
        <f ca="1">IFERROR(__xludf.DUMMYFUNCTION("""COMPUTED_VALUE"""),"Spitalul de Boli Infecțioase și Tropicale V. Babeș")</f>
        <v>Spitalul de Boli Infecțioase și Tropicale V. Babeș</v>
      </c>
      <c r="Z58" s="3"/>
      <c r="AA58" s="3" t="str">
        <f ca="1">IFERROR(__xludf.DUMMYFUNCTION("""COMPUTED_VALUE"""),"Spitalul de Boli Infecțioase și Tropicale V. Babeș")</f>
        <v>Spitalul de Boli Infecțioase și Tropicale V. Babeș</v>
      </c>
      <c r="AB58" s="3" t="str">
        <f ca="1">IFERROR(__xludf.DUMMYFUNCTION("""COMPUTED_VALUE"""),"Bărbat, 65 ani din municipiul București.
Data internării: 30.03-7.04.2020 în Spitalul Universitar de Urgență București -Cardiologie pentru Infarct miocardic acut. Transfer în 07.04.2020 în Spitalul de Boli Infecțioase și Tropicale V. Babeș.
Data recol"&amp;"tării probelor pentru COVID-19: 05.04.2020.
Data confirmării: 07.04.2020.
Data decesului: 25.04.2020.
Comorbidități: Infarct miocardic acut, HTA.")</f>
        <v>Bărbat, 65 ani din municipiul București.
Data internării: 30.03-7.04.2020 în Spitalul Universitar de Urgență București -Cardiologie pentru Infarct miocardic acut. Transfer în 07.04.2020 în Spitalul de Boli Infecțioase și Tropicale V. Babeș.
Data recoltării probelor pentru COVID-19: 05.04.2020.
Data confirmării: 07.04.2020.
Data decesului: 25.04.2020.
Comorbidități: Infarct miocardic acut, HTA.</v>
      </c>
      <c r="AC58" s="3"/>
      <c r="AD58" s="3" t="str">
        <f ca="1">IFERROR(__xludf.DUMMYFUNCTION("""COMPUTED_VALUE"""),"MS")</f>
        <v>MS</v>
      </c>
      <c r="AE58" s="3"/>
      <c r="AF58" s="3"/>
      <c r="AG58" s="3" t="str">
        <f ca="1">IFERROR(__xludf.DUMMYFUNCTION("""COMPUTED_VALUE"""),"Nu")</f>
        <v>Nu</v>
      </c>
      <c r="AH58" s="3" t="str">
        <f ca="1">IFERROR(__xludf.DUMMYFUNCTION("""COMPUTED_VALUE"""),"Nu")</f>
        <v>Nu</v>
      </c>
      <c r="AI58" s="3" t="str">
        <f ca="1">IFERROR(__xludf.DUMMYFUNCTION("""COMPUTED_VALUE"""),"Afecțiuni cardiovasculare")</f>
        <v>Afecțiuni cardiovasculare</v>
      </c>
      <c r="AJ58" s="7" t="str">
        <f ca="1">IFERROR(__xludf.DUMMYFUNCTION("""COMPUTED_VALUE"""),"Y")</f>
        <v>Y</v>
      </c>
      <c r="AK58" s="7" t="str">
        <f ca="1">IFERROR(__xludf.DUMMYFUNCTION("""COMPUTED_VALUE"""),"N")</f>
        <v>N</v>
      </c>
      <c r="AL58" s="7" t="str">
        <f ca="1">IFERROR(__xludf.DUMMYFUNCTION("""COMPUTED_VALUE"""),"N")</f>
        <v>N</v>
      </c>
      <c r="AM58" s="7" t="str">
        <f ca="1">IFERROR(__xludf.DUMMYFUNCTION("""COMPUTED_VALUE"""),"N")</f>
        <v>N</v>
      </c>
      <c r="AN58" s="7" t="str">
        <f ca="1">IFERROR(__xludf.DUMMYFUNCTION("""COMPUTED_VALUE"""),"N")</f>
        <v>N</v>
      </c>
      <c r="AO58" s="7" t="str">
        <f ca="1">IFERROR(__xludf.DUMMYFUNCTION("""COMPUTED_VALUE"""),"N")</f>
        <v>N</v>
      </c>
      <c r="AP58" s="7" t="str">
        <f ca="1">IFERROR(__xludf.DUMMYFUNCTION("""COMPUTED_VALUE"""),"N")</f>
        <v>N</v>
      </c>
      <c r="AQ58" s="7" t="str">
        <f ca="1">IFERROR(__xludf.DUMMYFUNCTION("""COMPUTED_VALUE"""),"N")</f>
        <v>N</v>
      </c>
      <c r="AR58" s="7" t="str">
        <f ca="1">IFERROR(__xludf.DUMMYFUNCTION("""COMPUTED_VALUE"""),"N")</f>
        <v>N</v>
      </c>
      <c r="AS58" s="7" t="str">
        <f ca="1">IFERROR(__xludf.DUMMYFUNCTION("""COMPUTED_VALUE"""),"N")</f>
        <v>N</v>
      </c>
      <c r="AT58" s="7" t="str">
        <f ca="1">IFERROR(__xludf.DUMMYFUNCTION("""COMPUTED_VALUE"""),"N")</f>
        <v>N</v>
      </c>
      <c r="AU58" s="3"/>
      <c r="AV58" s="3"/>
      <c r="AW58" s="3"/>
      <c r="AX58" s="3"/>
      <c r="AY58" s="3"/>
    </row>
    <row r="59" spans="1:51" ht="16.5" customHeight="1">
      <c r="A59" s="3">
        <f ca="1">IFERROR(__xludf.DUMMYFUNCTION("""COMPUTED_VALUE"""),9010)</f>
        <v>9010</v>
      </c>
      <c r="B59" s="3"/>
      <c r="C59" s="3">
        <f ca="1">IFERROR(__xludf.DUMMYFUNCTION("""COMPUTED_VALUE"""),500)</f>
        <v>500</v>
      </c>
      <c r="D59" s="3" t="str">
        <f ca="1">IFERROR(__xludf.DUMMYFUNCTION("""COMPUTED_VALUE"""),"Feminin")</f>
        <v>Feminin</v>
      </c>
      <c r="E59" s="4">
        <f ca="1">IFERROR(__xludf.DUMMYFUNCTION("""COMPUTED_VALUE"""),73)</f>
        <v>73</v>
      </c>
      <c r="F59" s="3" t="str">
        <f ca="1">IFERROR(__xludf.DUMMYFUNCTION("""COMPUTED_VALUE"""),"70-79 years")</f>
        <v>70-79 years</v>
      </c>
      <c r="G59" s="3" t="str">
        <f ca="1">IFERROR(__xludf.DUMMYFUNCTION("""COMPUTED_VALUE"""),"București")</f>
        <v>București</v>
      </c>
      <c r="H59" s="3"/>
      <c r="I59" s="3">
        <f ca="1">IFERROR(__xludf.DUMMYFUNCTION("""COMPUTED_VALUE"""),803)</f>
        <v>803</v>
      </c>
      <c r="J59" s="3" t="str">
        <f ca="1">IFERROR(__xludf.DUMMYFUNCTION("""COMPUTED_VALUE"""),"HTA, obezitate")</f>
        <v>HTA, obezitate</v>
      </c>
      <c r="K59" s="5">
        <f ca="1">IFERROR(__xludf.DUMMYFUNCTION("""COMPUTED_VALUE"""),43943)</f>
        <v>43943</v>
      </c>
      <c r="L59" s="5">
        <f ca="1">IFERROR(__xludf.DUMMYFUNCTION("""COMPUTED_VALUE"""),43942)</f>
        <v>43942</v>
      </c>
      <c r="M59" s="3" t="str">
        <f ca="1">IFERROR(__xludf.DUMMYFUNCTION("""COMPUTED_VALUE"""),"1")</f>
        <v>1</v>
      </c>
      <c r="N59" s="5">
        <f ca="1">IFERROR(__xludf.DUMMYFUNCTION("""COMPUTED_VALUE"""),43941)</f>
        <v>43941</v>
      </c>
      <c r="O59" s="5">
        <f ca="1">IFERROR(__xludf.DUMMYFUNCTION("""COMPUTED_VALUE"""),43942)</f>
        <v>43942</v>
      </c>
      <c r="P59" s="3" t="str">
        <f ca="1">IFERROR(__xludf.DUMMYFUNCTION("""COMPUTED_VALUE"""),"1")</f>
        <v>1</v>
      </c>
      <c r="Q59" s="3" t="str">
        <f ca="1">IFERROR(__xludf.DUMMYFUNCTION("""COMPUTED_VALUE"""),"0")</f>
        <v>0</v>
      </c>
      <c r="R59" s="3" t="str">
        <f ca="1">IFERROR(__xludf.DUMMYFUNCTION("""COMPUTED_VALUE"""),"Nu")</f>
        <v>Nu</v>
      </c>
      <c r="S59" s="3" t="str">
        <f ca="1">IFERROR(__xludf.DUMMYFUNCTION("""COMPUTED_VALUE"""),"4/20/2020")</f>
        <v>4/20/2020</v>
      </c>
      <c r="T59" s="3">
        <f ca="1">IFERROR(__xludf.DUMMYFUNCTION("""COMPUTED_VALUE"""),1)</f>
        <v>1</v>
      </c>
      <c r="U59" s="3" t="str">
        <f ca="1">IFERROR(__xludf.DUMMYFUNCTION("""COMPUTED_VALUE"""),"Da")</f>
        <v>Da</v>
      </c>
      <c r="V59" s="6" t="str">
        <f ca="1">IFERROR(__xludf.DUMMYFUNCTION("""COMPUTED_VALUE"""),"http://www.ms.ro/2020/04/22/decese-499-507/")</f>
        <v>http://www.ms.ro/2020/04/22/decese-499-507/</v>
      </c>
      <c r="W59" s="3" t="str">
        <f ca="1">IFERROR(__xludf.DUMMYFUNCTION("""COMPUTED_VALUE"""),"Spitalul Marius Nasta din București")</f>
        <v>Spitalul Marius Nasta din București</v>
      </c>
      <c r="X59" s="3" t="str">
        <f ca="1">IFERROR(__xludf.DUMMYFUNCTION("""COMPUTED_VALUE"""),"ATI")</f>
        <v>ATI</v>
      </c>
      <c r="Y59" s="3" t="str">
        <f ca="1">IFERROR(__xludf.DUMMYFUNCTION("""COMPUTED_VALUE"""),"Spitalul Marius Nasta din București")</f>
        <v>Spitalul Marius Nasta din București</v>
      </c>
      <c r="Z59" s="3"/>
      <c r="AA59" s="3" t="str">
        <f ca="1">IFERROR(__xludf.DUMMYFUNCTION("""COMPUTED_VALUE"""),"Spitalul Marius Nasta din București")</f>
        <v>Spitalul Marius Nasta din București</v>
      </c>
      <c r="AB59" s="3" t="str">
        <f ca="1">IFERROR(__xludf.DUMMYFUNCTION("""COMPUTED_VALUE"""),"Femeie, 73 ani din București.
Data recoltare: 20.04.2020.
Dată rezultat: 21.04.2020.
Dată internare: 20.04.2020 ATI Spitalul Marius Nasta din București – febra, tuse, dispnee.
Dată deces: 21.04.2020.
Comorbidități: HTA, obezitate.")</f>
        <v>Femeie, 73 ani din București.
Data recoltare: 20.04.2020.
Dată rezultat: 21.04.2020.
Dată internare: 20.04.2020 ATI Spitalul Marius Nasta din București – febra, tuse, dispnee.
Dată deces: 21.04.2020.
Comorbidități: HTA, obezitate.</v>
      </c>
      <c r="AC59" s="3" t="str">
        <f ca="1">IFERROR(__xludf.DUMMYFUNCTION("""COMPUTED_VALUE"""),"febra, tuse, dispnee")</f>
        <v>febra, tuse, dispnee</v>
      </c>
      <c r="AD59" s="3" t="str">
        <f ca="1">IFERROR(__xludf.DUMMYFUNCTION("""COMPUTED_VALUE"""),"MS")</f>
        <v>MS</v>
      </c>
      <c r="AE59" s="3"/>
      <c r="AF59" s="3"/>
      <c r="AG59" s="3" t="str">
        <f ca="1">IFERROR(__xludf.DUMMYFUNCTION("""COMPUTED_VALUE"""),"Nu")</f>
        <v>Nu</v>
      </c>
      <c r="AH59" s="3" t="str">
        <f ca="1">IFERROR(__xludf.DUMMYFUNCTION("""COMPUTED_VALUE"""),"Nu")</f>
        <v>Nu</v>
      </c>
      <c r="AI59" s="3" t="str">
        <f ca="1">IFERROR(__xludf.DUMMYFUNCTION("""COMPUTED_VALUE"""),"Afecțiuni cardiovasculare")</f>
        <v>Afecțiuni cardiovasculare</v>
      </c>
      <c r="AJ59" s="7" t="str">
        <f ca="1">IFERROR(__xludf.DUMMYFUNCTION("""COMPUTED_VALUE"""),"Y")</f>
        <v>Y</v>
      </c>
      <c r="AK59" s="7" t="str">
        <f ca="1">IFERROR(__xludf.DUMMYFUNCTION("""COMPUTED_VALUE"""),"N")</f>
        <v>N</v>
      </c>
      <c r="AL59" s="7" t="str">
        <f ca="1">IFERROR(__xludf.DUMMYFUNCTION("""COMPUTED_VALUE"""),"N")</f>
        <v>N</v>
      </c>
      <c r="AM59" s="7" t="str">
        <f ca="1">IFERROR(__xludf.DUMMYFUNCTION("""COMPUTED_VALUE"""),"N")</f>
        <v>N</v>
      </c>
      <c r="AN59" s="7" t="str">
        <f ca="1">IFERROR(__xludf.DUMMYFUNCTION("""COMPUTED_VALUE"""),"N")</f>
        <v>N</v>
      </c>
      <c r="AO59" s="7" t="str">
        <f ca="1">IFERROR(__xludf.DUMMYFUNCTION("""COMPUTED_VALUE"""),"N")</f>
        <v>N</v>
      </c>
      <c r="AP59" s="7" t="str">
        <f ca="1">IFERROR(__xludf.DUMMYFUNCTION("""COMPUTED_VALUE"""),"N")</f>
        <v>N</v>
      </c>
      <c r="AQ59" s="7" t="str">
        <f ca="1">IFERROR(__xludf.DUMMYFUNCTION("""COMPUTED_VALUE"""),"N")</f>
        <v>N</v>
      </c>
      <c r="AR59" s="7" t="str">
        <f ca="1">IFERROR(__xludf.DUMMYFUNCTION("""COMPUTED_VALUE"""),"Y")</f>
        <v>Y</v>
      </c>
      <c r="AS59" s="7" t="str">
        <f ca="1">IFERROR(__xludf.DUMMYFUNCTION("""COMPUTED_VALUE"""),"N")</f>
        <v>N</v>
      </c>
      <c r="AT59" s="7" t="str">
        <f ca="1">IFERROR(__xludf.DUMMYFUNCTION("""COMPUTED_VALUE"""),"N")</f>
        <v>N</v>
      </c>
      <c r="AU59" s="3"/>
      <c r="AV59" s="3"/>
      <c r="AW59" s="3"/>
      <c r="AX59" s="3"/>
      <c r="AY59" s="3"/>
    </row>
    <row r="60" spans="1:51" ht="16.5" customHeight="1">
      <c r="A60" s="3">
        <f ca="1">IFERROR(__xludf.DUMMYFUNCTION("""COMPUTED_VALUE"""),4128)</f>
        <v>4128</v>
      </c>
      <c r="B60" s="3"/>
      <c r="C60" s="3">
        <f ca="1">IFERROR(__xludf.DUMMYFUNCTION("""COMPUTED_VALUE"""),499)</f>
        <v>499</v>
      </c>
      <c r="D60" s="3" t="str">
        <f ca="1">IFERROR(__xludf.DUMMYFUNCTION("""COMPUTED_VALUE"""),"Feminin")</f>
        <v>Feminin</v>
      </c>
      <c r="E60" s="4">
        <f ca="1">IFERROR(__xludf.DUMMYFUNCTION("""COMPUTED_VALUE"""),78)</f>
        <v>78</v>
      </c>
      <c r="F60" s="3" t="str">
        <f ca="1">IFERROR(__xludf.DUMMYFUNCTION("""COMPUTED_VALUE"""),"70-79 years")</f>
        <v>70-79 years</v>
      </c>
      <c r="G60" s="3" t="str">
        <f ca="1">IFERROR(__xludf.DUMMYFUNCTION("""COMPUTED_VALUE"""),"București")</f>
        <v>București</v>
      </c>
      <c r="H60" s="3"/>
      <c r="I60" s="3">
        <f ca="1">IFERROR(__xludf.DUMMYFUNCTION("""COMPUTED_VALUE"""),967)</f>
        <v>967</v>
      </c>
      <c r="J60" s="3" t="str">
        <f ca="1">IFERROR(__xludf.DUMMYFUNCTION("""COMPUTED_VALUE"""),"Boală cardiovasculară, HTA, obezitate, boala pulmonara cronică")</f>
        <v>Boală cardiovasculară, HTA, obezitate, boala pulmonara cronică</v>
      </c>
      <c r="K60" s="5">
        <f ca="1">IFERROR(__xludf.DUMMYFUNCTION("""COMPUTED_VALUE"""),43943)</f>
        <v>43943</v>
      </c>
      <c r="L60" s="5">
        <f ca="1">IFERROR(__xludf.DUMMYFUNCTION("""COMPUTED_VALUE"""),43941)</f>
        <v>43941</v>
      </c>
      <c r="M60" s="3" t="str">
        <f ca="1">IFERROR(__xludf.DUMMYFUNCTION("""COMPUTED_VALUE"""),"2")</f>
        <v>2</v>
      </c>
      <c r="N60" s="5">
        <f ca="1">IFERROR(__xludf.DUMMYFUNCTION("""COMPUTED_VALUE"""),43927)</f>
        <v>43927</v>
      </c>
      <c r="O60" s="5">
        <f ca="1">IFERROR(__xludf.DUMMYFUNCTION("""COMPUTED_VALUE"""),43928)</f>
        <v>43928</v>
      </c>
      <c r="P60" s="3" t="str">
        <f ca="1">IFERROR(__xludf.DUMMYFUNCTION("""COMPUTED_VALUE"""),"1")</f>
        <v>1</v>
      </c>
      <c r="Q60" s="3" t="str">
        <f ca="1">IFERROR(__xludf.DUMMYFUNCTION("""COMPUTED_VALUE"""),"13")</f>
        <v>13</v>
      </c>
      <c r="R60" s="3" t="str">
        <f ca="1">IFERROR(__xludf.DUMMYFUNCTION("""COMPUTED_VALUE"""),"Nu")</f>
        <v>Nu</v>
      </c>
      <c r="S60" s="3" t="str">
        <f ca="1">IFERROR(__xludf.DUMMYFUNCTION("""COMPUTED_VALUE"""),"4/4/2020")</f>
        <v>4/4/2020</v>
      </c>
      <c r="T60" s="3">
        <f ca="1">IFERROR(__xludf.DUMMYFUNCTION("""COMPUTED_VALUE"""),16)</f>
        <v>16</v>
      </c>
      <c r="U60" s="3" t="str">
        <f ca="1">IFERROR(__xludf.DUMMYFUNCTION("""COMPUTED_VALUE"""),"Da")</f>
        <v>Da</v>
      </c>
      <c r="V60" s="6" t="str">
        <f ca="1">IFERROR(__xludf.DUMMYFUNCTION("""COMPUTED_VALUE"""),"http://www.ms.ro/2020/04/22/decese-499-507/")</f>
        <v>http://www.ms.ro/2020/04/22/decese-499-507/</v>
      </c>
      <c r="W60" s="3" t="str">
        <f ca="1">IFERROR(__xludf.DUMMYFUNCTION("""COMPUTED_VALUE"""),"Spital Militar Central București")</f>
        <v>Spital Militar Central București</v>
      </c>
      <c r="X60" s="3" t="str">
        <f ca="1">IFERROR(__xludf.DUMMYFUNCTION("""COMPUTED_VALUE"""),"ATI")</f>
        <v>ATI</v>
      </c>
      <c r="Y60" s="3" t="str">
        <f ca="1">IFERROR(__xludf.DUMMYFUNCTION("""COMPUTED_VALUE"""),"Spital Militar Central București")</f>
        <v>Spital Militar Central București</v>
      </c>
      <c r="Z60" s="3"/>
      <c r="AA60" s="3" t="str">
        <f ca="1">IFERROR(__xludf.DUMMYFUNCTION("""COMPUTED_VALUE"""),"Spital Militar Central București")</f>
        <v>Spital Militar Central București</v>
      </c>
      <c r="AB60" s="3" t="str">
        <f ca="1">IFERROR(__xludf.DUMMYFUNCTION("""COMPUTED_VALUE"""),"Femeie, 78 ani din București.
Data internării: 04.04.2020 – Spital Militar Central București – ATI.
Dată recoltare: 06.04.2020.
Dată rezultat: 07.04.2020.
Dată deces: 20.04.2020.
Comorbidități: boală cardiovasculară, HTA, obezitate, boala pulmonara"&amp;" cronică")</f>
        <v>Femeie, 78 ani din București.
Data internării: 04.04.2020 – Spital Militar Central București – ATI.
Dată recoltare: 06.04.2020.
Dată rezultat: 07.04.2020.
Dată deces: 20.04.2020.
Comorbidități: boală cardiovasculară, HTA, obezitate, boala pulmonara cronică</v>
      </c>
      <c r="AC60" s="3"/>
      <c r="AD60" s="3" t="str">
        <f ca="1">IFERROR(__xludf.DUMMYFUNCTION("""COMPUTED_VALUE"""),"MS")</f>
        <v>MS</v>
      </c>
      <c r="AE60" s="3"/>
      <c r="AF60" s="3"/>
      <c r="AG60" s="3" t="str">
        <f ca="1">IFERROR(__xludf.DUMMYFUNCTION("""COMPUTED_VALUE"""),"Nu")</f>
        <v>Nu</v>
      </c>
      <c r="AH60" s="3" t="str">
        <f ca="1">IFERROR(__xludf.DUMMYFUNCTION("""COMPUTED_VALUE"""),"Nu")</f>
        <v>Nu</v>
      </c>
      <c r="AI60" s="3" t="str">
        <f ca="1">IFERROR(__xludf.DUMMYFUNCTION("""COMPUTED_VALUE"""),"Afecțiuni cardiovasculare")</f>
        <v>Afecțiuni cardiovasculare</v>
      </c>
      <c r="AJ60" s="7" t="str">
        <f ca="1">IFERROR(__xludf.DUMMYFUNCTION("""COMPUTED_VALUE"""),"Y")</f>
        <v>Y</v>
      </c>
      <c r="AK60" s="7" t="str">
        <f ca="1">IFERROR(__xludf.DUMMYFUNCTION("""COMPUTED_VALUE"""),"N")</f>
        <v>N</v>
      </c>
      <c r="AL60" s="7" t="str">
        <f ca="1">IFERROR(__xludf.DUMMYFUNCTION("""COMPUTED_VALUE"""),"N")</f>
        <v>N</v>
      </c>
      <c r="AM60" s="7" t="str">
        <f ca="1">IFERROR(__xludf.DUMMYFUNCTION("""COMPUTED_VALUE"""),"Y")</f>
        <v>Y</v>
      </c>
      <c r="AN60" s="7" t="str">
        <f ca="1">IFERROR(__xludf.DUMMYFUNCTION("""COMPUTED_VALUE"""),"N")</f>
        <v>N</v>
      </c>
      <c r="AO60" s="7" t="str">
        <f ca="1">IFERROR(__xludf.DUMMYFUNCTION("""COMPUTED_VALUE"""),"N")</f>
        <v>N</v>
      </c>
      <c r="AP60" s="7" t="str">
        <f ca="1">IFERROR(__xludf.DUMMYFUNCTION("""COMPUTED_VALUE"""),"N")</f>
        <v>N</v>
      </c>
      <c r="AQ60" s="7" t="str">
        <f ca="1">IFERROR(__xludf.DUMMYFUNCTION("""COMPUTED_VALUE"""),"N")</f>
        <v>N</v>
      </c>
      <c r="AR60" s="7" t="str">
        <f ca="1">IFERROR(__xludf.DUMMYFUNCTION("""COMPUTED_VALUE"""),"Y")</f>
        <v>Y</v>
      </c>
      <c r="AS60" s="7" t="str">
        <f ca="1">IFERROR(__xludf.DUMMYFUNCTION("""COMPUTED_VALUE"""),"N")</f>
        <v>N</v>
      </c>
      <c r="AT60" s="7" t="str">
        <f ca="1">IFERROR(__xludf.DUMMYFUNCTION("""COMPUTED_VALUE"""),"N")</f>
        <v>N</v>
      </c>
      <c r="AU60" s="3"/>
      <c r="AV60" s="3"/>
      <c r="AW60" s="3"/>
      <c r="AX60" s="3"/>
      <c r="AY60" s="3"/>
    </row>
    <row r="61" spans="1:51" ht="16.5" customHeight="1">
      <c r="A61" s="3">
        <f ca="1">IFERROR(__xludf.DUMMYFUNCTION("""COMPUTED_VALUE"""),1213)</f>
        <v>1213</v>
      </c>
      <c r="B61" s="3">
        <f ca="1">IFERROR(__xludf.DUMMYFUNCTION("""COMPUTED_VALUE"""),328)</f>
        <v>328</v>
      </c>
      <c r="C61" s="3">
        <f ca="1">IFERROR(__xludf.DUMMYFUNCTION("""COMPUTED_VALUE"""),483)</f>
        <v>483</v>
      </c>
      <c r="D61" s="3" t="str">
        <f ca="1">IFERROR(__xludf.DUMMYFUNCTION("""COMPUTED_VALUE"""),"Feminin")</f>
        <v>Feminin</v>
      </c>
      <c r="E61" s="4">
        <f ca="1">IFERROR(__xludf.DUMMYFUNCTION("""COMPUTED_VALUE"""),72)</f>
        <v>72</v>
      </c>
      <c r="F61" s="3" t="str">
        <f ca="1">IFERROR(__xludf.DUMMYFUNCTION("""COMPUTED_VALUE"""),"70-79 years")</f>
        <v>70-79 years</v>
      </c>
      <c r="G61" s="3" t="str">
        <f ca="1">IFERROR(__xludf.DUMMYFUNCTION("""COMPUTED_VALUE"""),"București")</f>
        <v>București</v>
      </c>
      <c r="H61" s="3"/>
      <c r="I61" s="3">
        <f ca="1">IFERROR(__xludf.DUMMYFUNCTION("""COMPUTED_VALUE"""),763)</f>
        <v>763</v>
      </c>
      <c r="J61" s="3" t="str">
        <f ca="1">IFERROR(__xludf.DUMMYFUNCTION("""COMPUTED_VALUE"""),"Boala cardiovasculara, DZ tip II, boala renala cronica – pacienta dializata, cataracta, obezitate")</f>
        <v>Boala cardiovasculara, DZ tip II, boala renala cronica – pacienta dializata, cataracta, obezitate</v>
      </c>
      <c r="K61" s="5">
        <f ca="1">IFERROR(__xludf.DUMMYFUNCTION("""COMPUTED_VALUE"""),43942)</f>
        <v>43942</v>
      </c>
      <c r="L61" s="5">
        <f ca="1">IFERROR(__xludf.DUMMYFUNCTION("""COMPUTED_VALUE"""),43941)</f>
        <v>43941</v>
      </c>
      <c r="M61" s="3" t="str">
        <f ca="1">IFERROR(__xludf.DUMMYFUNCTION("""COMPUTED_VALUE"""),"1")</f>
        <v>1</v>
      </c>
      <c r="N61" s="5">
        <f ca="1">IFERROR(__xludf.DUMMYFUNCTION("""COMPUTED_VALUE"""),43917)</f>
        <v>43917</v>
      </c>
      <c r="O61" s="5">
        <f ca="1">IFERROR(__xludf.DUMMYFUNCTION("""COMPUTED_VALUE"""),43917)</f>
        <v>43917</v>
      </c>
      <c r="P61" s="3" t="str">
        <f ca="1">IFERROR(__xludf.DUMMYFUNCTION("""COMPUTED_VALUE"""),"0")</f>
        <v>0</v>
      </c>
      <c r="Q61" s="3" t="str">
        <f ca="1">IFERROR(__xludf.DUMMYFUNCTION("""COMPUTED_VALUE"""),"24")</f>
        <v>24</v>
      </c>
      <c r="R61" s="3" t="str">
        <f ca="1">IFERROR(__xludf.DUMMYFUNCTION("""COMPUTED_VALUE"""),"Nu")</f>
        <v>Nu</v>
      </c>
      <c r="S61" s="3" t="str">
        <f ca="1">IFERROR(__xludf.DUMMYFUNCTION("""COMPUTED_VALUE"""),"4/4/2020")</f>
        <v>4/4/2020</v>
      </c>
      <c r="T61" s="3">
        <f ca="1">IFERROR(__xludf.DUMMYFUNCTION("""COMPUTED_VALUE"""),16)</f>
        <v>16</v>
      </c>
      <c r="U61" s="3" t="str">
        <f ca="1">IFERROR(__xludf.DUMMYFUNCTION("""COMPUTED_VALUE"""),"Da")</f>
        <v>Da</v>
      </c>
      <c r="V61" s="6" t="str">
        <f ca="1">IFERROR(__xludf.DUMMYFUNCTION("""COMPUTED_VALUE"""),"http://www.ms.ro/2020/04/21/decese-483-498/")</f>
        <v>http://www.ms.ro/2020/04/21/decese-483-498/</v>
      </c>
      <c r="W61" s="3" t="str">
        <f ca="1">IFERROR(__xludf.DUMMYFUNCTION("""COMPUTED_VALUE"""),"Spitalul Clinic de Boli Infecțioase V. Babeș Bucuresti")</f>
        <v>Spitalul Clinic de Boli Infecțioase V. Babeș Bucuresti</v>
      </c>
      <c r="X61" s="3" t="str">
        <f ca="1">IFERROR(__xludf.DUMMYFUNCTION("""COMPUTED_VALUE"""),"ATI")</f>
        <v>ATI</v>
      </c>
      <c r="Y61" s="3" t="str">
        <f ca="1">IFERROR(__xludf.DUMMYFUNCTION("""COMPUTED_VALUE"""),"Spitalul Clinic de Boli Infecțioase V. Babeș Bucuresti")</f>
        <v>Spitalul Clinic de Boli Infecțioase V. Babeș Bucuresti</v>
      </c>
      <c r="Z61" s="3"/>
      <c r="AA61" s="3" t="str">
        <f ca="1">IFERROR(__xludf.DUMMYFUNCTION("""COMPUTED_VALUE"""),"Spitalul Clinic de Boli Infecțioase V. Babeș Bucuresti")</f>
        <v>Spitalul Clinic de Boli Infecțioase V. Babeș Bucuresti</v>
      </c>
      <c r="AB61" s="3" t="str">
        <f ca="1">IFERROR(__xludf.DUMMYFUNCTION("""COMPUTED_VALUE"""),"Femeie, 72 ani, mun. Bucuresti
Data internării: 04.04.2020, la Spitalul Clinic de Boli Infecțioase V. Babeș Bucuresti, sectia ATI
Data recoltării: 27.03.2020
Data confirmării: 27.03.2020
Face parte din focarul de la Clinica de dializă;contact al pacie"&amp;"ntilor infectati
Data decesului: 20.04.2020
Comorbiditati: boala cardiovasculara, DZ tip II, boala renala cronica – pacienta dializata, cataracta, obezitate")</f>
        <v>Femeie, 72 ani, mun. Bucuresti
Data internării: 04.04.2020, la Spitalul Clinic de Boli Infecțioase V. Babeș Bucuresti, sectia ATI
Data recoltării: 27.03.2020
Data confirmării: 27.03.2020
Face parte din focarul de la Clinica de dializă;contact al pacientilor infectati
Data decesului: 20.04.2020
Comorbiditati: boala cardiovasculara, DZ tip II, boala renala cronica – pacienta dializata, cataracta, obezitate</v>
      </c>
      <c r="AC61" s="3"/>
      <c r="AD61" s="3" t="str">
        <f ca="1">IFERROR(__xludf.DUMMYFUNCTION("""COMPUTED_VALUE"""),"MS")</f>
        <v>MS</v>
      </c>
      <c r="AE61" s="3" t="str">
        <f ca="1">IFERROR(__xludf.DUMMYFUNCTION("""COMPUTED_VALUE"""),"Face parte din focarul de la Clinica de dializă")</f>
        <v>Face parte din focarul de la Clinica de dializă</v>
      </c>
      <c r="AF61" s="3" t="str">
        <f ca="1">IFERROR(__xludf.DUMMYFUNCTION("""COMPUTED_VALUE"""),"Face parte din focarul de la Clinica de dializă")</f>
        <v>Face parte din focarul de la Clinica de dializă</v>
      </c>
      <c r="AG61" s="3" t="str">
        <f ca="1">IFERROR(__xludf.DUMMYFUNCTION("""COMPUTED_VALUE"""),"Da")</f>
        <v>Da</v>
      </c>
      <c r="AH61" s="3" t="str">
        <f ca="1">IFERROR(__xludf.DUMMYFUNCTION("""COMPUTED_VALUE"""),"Nu")</f>
        <v>Nu</v>
      </c>
      <c r="AI61" s="3" t="str">
        <f ca="1">IFERROR(__xludf.DUMMYFUNCTION("""COMPUTED_VALUE"""),"Afecțiuni cardiovasculare")</f>
        <v>Afecțiuni cardiovasculare</v>
      </c>
      <c r="AJ61" s="7" t="str">
        <f ca="1">IFERROR(__xludf.DUMMYFUNCTION("""COMPUTED_VALUE"""),"Y")</f>
        <v>Y</v>
      </c>
      <c r="AK61" s="7" t="str">
        <f ca="1">IFERROR(__xludf.DUMMYFUNCTION("""COMPUTED_VALUE"""),"Y")</f>
        <v>Y</v>
      </c>
      <c r="AL61" s="7" t="str">
        <f ca="1">IFERROR(__xludf.DUMMYFUNCTION("""COMPUTED_VALUE"""),"Y")</f>
        <v>Y</v>
      </c>
      <c r="AM61" s="7" t="str">
        <f ca="1">IFERROR(__xludf.DUMMYFUNCTION("""COMPUTED_VALUE"""),"N")</f>
        <v>N</v>
      </c>
      <c r="AN61" s="7" t="str">
        <f ca="1">IFERROR(__xludf.DUMMYFUNCTION("""COMPUTED_VALUE"""),"N")</f>
        <v>N</v>
      </c>
      <c r="AO61" s="7" t="str">
        <f ca="1">IFERROR(__xludf.DUMMYFUNCTION("""COMPUTED_VALUE"""),"N")</f>
        <v>N</v>
      </c>
      <c r="AP61" s="7" t="str">
        <f ca="1">IFERROR(__xludf.DUMMYFUNCTION("""COMPUTED_VALUE"""),"N")</f>
        <v>N</v>
      </c>
      <c r="AQ61" s="7" t="str">
        <f ca="1">IFERROR(__xludf.DUMMYFUNCTION("""COMPUTED_VALUE"""),"N")</f>
        <v>N</v>
      </c>
      <c r="AR61" s="7" t="str">
        <f ca="1">IFERROR(__xludf.DUMMYFUNCTION("""COMPUTED_VALUE"""),"Y")</f>
        <v>Y</v>
      </c>
      <c r="AS61" s="7" t="str">
        <f ca="1">IFERROR(__xludf.DUMMYFUNCTION("""COMPUTED_VALUE"""),"N")</f>
        <v>N</v>
      </c>
      <c r="AT61" s="7" t="str">
        <f ca="1">IFERROR(__xludf.DUMMYFUNCTION("""COMPUTED_VALUE"""),"N")</f>
        <v>N</v>
      </c>
      <c r="AU61" s="3"/>
      <c r="AV61" s="3"/>
      <c r="AW61" s="3"/>
      <c r="AX61" s="3"/>
      <c r="AY61" s="3"/>
    </row>
    <row r="62" spans="1:51" ht="16.5" customHeight="1">
      <c r="A62" s="3">
        <f ca="1">IFERROR(__xludf.DUMMYFUNCTION("""COMPUTED_VALUE"""),6047)</f>
        <v>6047</v>
      </c>
      <c r="B62" s="3"/>
      <c r="C62" s="3">
        <f ca="1">IFERROR(__xludf.DUMMYFUNCTION("""COMPUTED_VALUE"""),458)</f>
        <v>458</v>
      </c>
      <c r="D62" s="3" t="str">
        <f ca="1">IFERROR(__xludf.DUMMYFUNCTION("""COMPUTED_VALUE"""),"Masculin")</f>
        <v>Masculin</v>
      </c>
      <c r="E62" s="4">
        <f ca="1">IFERROR(__xludf.DUMMYFUNCTION("""COMPUTED_VALUE"""),91)</f>
        <v>91</v>
      </c>
      <c r="F62" s="3" t="str">
        <f ca="1">IFERROR(__xludf.DUMMYFUNCTION("""COMPUTED_VALUE"""),"Over 80 years")</f>
        <v>Over 80 years</v>
      </c>
      <c r="G62" s="3" t="str">
        <f ca="1">IFERROR(__xludf.DUMMYFUNCTION("""COMPUTED_VALUE"""),"București")</f>
        <v>București</v>
      </c>
      <c r="H62" s="3"/>
      <c r="I62" s="3">
        <f ca="1">IFERROR(__xludf.DUMMYFUNCTION("""COMPUTED_VALUE"""),1329)</f>
        <v>1329</v>
      </c>
      <c r="J62" s="3" t="str">
        <f ca="1">IFERROR(__xludf.DUMMYFUNCTION("""COMPUTED_VALUE"""),"HTA, boală cardiovasculară, DZ tip II, hepatită cu virus C, boala Parkinson, melanom excizat")</f>
        <v>HTA, boală cardiovasculară, DZ tip II, hepatită cu virus C, boala Parkinson, melanom excizat</v>
      </c>
      <c r="K62" s="5">
        <f ca="1">IFERROR(__xludf.DUMMYFUNCTION("""COMPUTED_VALUE"""),43941)</f>
        <v>43941</v>
      </c>
      <c r="L62" s="5">
        <f ca="1">IFERROR(__xludf.DUMMYFUNCTION("""COMPUTED_VALUE"""),43940)</f>
        <v>43940</v>
      </c>
      <c r="M62" s="3" t="str">
        <f ca="1">IFERROR(__xludf.DUMMYFUNCTION("""COMPUTED_VALUE"""),"1")</f>
        <v>1</v>
      </c>
      <c r="N62" s="5">
        <f ca="1">IFERROR(__xludf.DUMMYFUNCTION("""COMPUTED_VALUE"""),43932)</f>
        <v>43932</v>
      </c>
      <c r="O62" s="5">
        <f ca="1">IFERROR(__xludf.DUMMYFUNCTION("""COMPUTED_VALUE"""),43933)</f>
        <v>43933</v>
      </c>
      <c r="P62" s="3" t="str">
        <f ca="1">IFERROR(__xludf.DUMMYFUNCTION("""COMPUTED_VALUE"""),"1")</f>
        <v>1</v>
      </c>
      <c r="Q62" s="3" t="str">
        <f ca="1">IFERROR(__xludf.DUMMYFUNCTION("""COMPUTED_VALUE"""),"7")</f>
        <v>7</v>
      </c>
      <c r="R62" s="3" t="str">
        <f ca="1">IFERROR(__xludf.DUMMYFUNCTION("""COMPUTED_VALUE"""),"Nu")</f>
        <v>Nu</v>
      </c>
      <c r="S62" s="3" t="str">
        <f ca="1">IFERROR(__xludf.DUMMYFUNCTION("""COMPUTED_VALUE"""),"4/11/2020")</f>
        <v>4/11/2020</v>
      </c>
      <c r="T62" s="3">
        <f ca="1">IFERROR(__xludf.DUMMYFUNCTION("""COMPUTED_VALUE"""),8)</f>
        <v>8</v>
      </c>
      <c r="U62" s="3" t="str">
        <f ca="1">IFERROR(__xludf.DUMMYFUNCTION("""COMPUTED_VALUE"""),"Da")</f>
        <v>Da</v>
      </c>
      <c r="V62" s="6" t="str">
        <f ca="1">IFERROR(__xludf.DUMMYFUNCTION("""COMPUTED_VALUE"""),"http://www.ms.ro/2020/04/20/decese-452-460/")</f>
        <v>http://www.ms.ro/2020/04/20/decese-452-460/</v>
      </c>
      <c r="W62" s="3" t="str">
        <f ca="1">IFERROR(__xludf.DUMMYFUNCTION("""COMPUTED_VALUE"""),"Spitalul Colentina")</f>
        <v>Spitalul Colentina</v>
      </c>
      <c r="X62" s="3"/>
      <c r="Y62" s="3" t="str">
        <f ca="1">IFERROR(__xludf.DUMMYFUNCTION("""COMPUTED_VALUE"""),"Spitalul Colentina")</f>
        <v>Spitalul Colentina</v>
      </c>
      <c r="Z62" s="3" t="str">
        <f ca="1">IFERROR(__xludf.DUMMYFUNCTION("""COMPUTED_VALUE"""),"ATI ")</f>
        <v xml:space="preserve">ATI </v>
      </c>
      <c r="AA62" s="3" t="str">
        <f ca="1">IFERROR(__xludf.DUMMYFUNCTION("""COMPUTED_VALUE"""),"Spitalul Colentina")</f>
        <v>Spitalul Colentina</v>
      </c>
      <c r="AB62" s="3" t="str">
        <f ca="1">IFERROR(__xludf.DUMMYFUNCTION("""COMPUTED_VALUE"""),"Bărbat, 91 ani din municipiul București.
Data internării: 11.04.2020, la Spitalul Colentina, transferat în secția ATI în data de 15.04.2020.
Data recoltării: 11.04.2020.
Data confirmării: 12.04.2020
Data decesului: 19.04.2020.
Comorbidități: HTA, b"&amp;"oală cardiovasculară, DZ tip II, hepatită cu virus C, boala Parkinson, melanom excizat.")</f>
        <v>Bărbat, 91 ani din municipiul București.
Data internării: 11.04.2020, la Spitalul Colentina, transferat în secția ATI în data de 15.04.2020.
Data recoltării: 11.04.2020.
Data confirmării: 12.04.2020
Data decesului: 19.04.2020.
Comorbidități: HTA, boală cardiovasculară, DZ tip II, hepatită cu virus C, boala Parkinson, melanom excizat.</v>
      </c>
      <c r="AC62" s="3"/>
      <c r="AD62" s="3" t="str">
        <f ca="1">IFERROR(__xludf.DUMMYFUNCTION("""COMPUTED_VALUE"""),"MS")</f>
        <v>MS</v>
      </c>
      <c r="AE62" s="3"/>
      <c r="AF62" s="3"/>
      <c r="AG62" s="3" t="str">
        <f ca="1">IFERROR(__xludf.DUMMYFUNCTION("""COMPUTED_VALUE"""),"Nu")</f>
        <v>Nu</v>
      </c>
      <c r="AH62" s="3" t="str">
        <f ca="1">IFERROR(__xludf.DUMMYFUNCTION("""COMPUTED_VALUE"""),"Nu")</f>
        <v>Nu</v>
      </c>
      <c r="AI62" s="3" t="str">
        <f ca="1">IFERROR(__xludf.DUMMYFUNCTION("""COMPUTED_VALUE"""),"Afecțiuni cardiovasculare")</f>
        <v>Afecțiuni cardiovasculare</v>
      </c>
      <c r="AJ62" s="7" t="str">
        <f ca="1">IFERROR(__xludf.DUMMYFUNCTION("""COMPUTED_VALUE"""),"Y")</f>
        <v>Y</v>
      </c>
      <c r="AK62" s="7" t="str">
        <f ca="1">IFERROR(__xludf.DUMMYFUNCTION("""COMPUTED_VALUE"""),"Y")</f>
        <v>Y</v>
      </c>
      <c r="AL62" s="7" t="str">
        <f ca="1">IFERROR(__xludf.DUMMYFUNCTION("""COMPUTED_VALUE"""),"N")</f>
        <v>N</v>
      </c>
      <c r="AM62" s="7" t="str">
        <f ca="1">IFERROR(__xludf.DUMMYFUNCTION("""COMPUTED_VALUE"""),"N")</f>
        <v>N</v>
      </c>
      <c r="AN62" s="7" t="str">
        <f ca="1">IFERROR(__xludf.DUMMYFUNCTION("""COMPUTED_VALUE"""),"Y")</f>
        <v>Y</v>
      </c>
      <c r="AO62" s="7" t="str">
        <f ca="1">IFERROR(__xludf.DUMMYFUNCTION("""COMPUTED_VALUE"""),"N")</f>
        <v>N</v>
      </c>
      <c r="AP62" s="7" t="str">
        <f ca="1">IFERROR(__xludf.DUMMYFUNCTION("""COMPUTED_VALUE"""),"Y")</f>
        <v>Y</v>
      </c>
      <c r="AQ62" s="7" t="str">
        <f ca="1">IFERROR(__xludf.DUMMYFUNCTION("""COMPUTED_VALUE"""),"N")</f>
        <v>N</v>
      </c>
      <c r="AR62" s="7" t="str">
        <f ca="1">IFERROR(__xludf.DUMMYFUNCTION("""COMPUTED_VALUE"""),"N")</f>
        <v>N</v>
      </c>
      <c r="AS62" s="7" t="str">
        <f ca="1">IFERROR(__xludf.DUMMYFUNCTION("""COMPUTED_VALUE"""),"N")</f>
        <v>N</v>
      </c>
      <c r="AT62" s="7" t="str">
        <f ca="1">IFERROR(__xludf.DUMMYFUNCTION("""COMPUTED_VALUE"""),"N")</f>
        <v>N</v>
      </c>
      <c r="AU62" s="3"/>
      <c r="AV62" s="3"/>
      <c r="AW62" s="3"/>
      <c r="AX62" s="3"/>
      <c r="AY62" s="3"/>
    </row>
    <row r="63" spans="1:51" ht="16.5" customHeight="1">
      <c r="A63" s="3">
        <f ca="1">IFERROR(__xludf.DUMMYFUNCTION("""COMPUTED_VALUE"""),8468)</f>
        <v>8468</v>
      </c>
      <c r="B63" s="3"/>
      <c r="C63" s="3">
        <f ca="1">IFERROR(__xludf.DUMMYFUNCTION("""COMPUTED_VALUE"""),443)</f>
        <v>443</v>
      </c>
      <c r="D63" s="3" t="str">
        <f ca="1">IFERROR(__xludf.DUMMYFUNCTION("""COMPUTED_VALUE"""),"Masculin")</f>
        <v>Masculin</v>
      </c>
      <c r="E63" s="4">
        <f ca="1">IFERROR(__xludf.DUMMYFUNCTION("""COMPUTED_VALUE"""),65)</f>
        <v>65</v>
      </c>
      <c r="F63" s="3" t="str">
        <f ca="1">IFERROR(__xludf.DUMMYFUNCTION("""COMPUTED_VALUE"""),"60-69 years")</f>
        <v>60-69 years</v>
      </c>
      <c r="G63" s="3" t="str">
        <f ca="1">IFERROR(__xludf.DUMMYFUNCTION("""COMPUTED_VALUE"""),"București")</f>
        <v>București</v>
      </c>
      <c r="H63" s="3"/>
      <c r="I63" s="3">
        <f ca="1">IFERROR(__xludf.DUMMYFUNCTION("""COMPUTED_VALUE"""),477)</f>
        <v>477</v>
      </c>
      <c r="J63" s="3" t="str">
        <f ca="1">IFERROR(__xludf.DUMMYFUNCTION("""COMPUTED_VALUE"""),"Boală cronică renală std. 5 (program Dializă), BPOC, Diabet zaharat tip II, HTA")</f>
        <v>Boală cronică renală std. 5 (program Dializă), BPOC, Diabet zaharat tip II, HTA</v>
      </c>
      <c r="K63" s="5">
        <f ca="1">IFERROR(__xludf.DUMMYFUNCTION("""COMPUTED_VALUE"""),43940)</f>
        <v>43940</v>
      </c>
      <c r="L63" s="5">
        <f ca="1">IFERROR(__xludf.DUMMYFUNCTION("""COMPUTED_VALUE"""),43940)</f>
        <v>43940</v>
      </c>
      <c r="M63" s="3" t="str">
        <f ca="1">IFERROR(__xludf.DUMMYFUNCTION("""COMPUTED_VALUE"""),"0")</f>
        <v>0</v>
      </c>
      <c r="N63" s="5"/>
      <c r="O63" s="5">
        <f ca="1">IFERROR(__xludf.DUMMYFUNCTION("""COMPUTED_VALUE"""),43940)</f>
        <v>43940</v>
      </c>
      <c r="P63" s="3" t="str">
        <f ca="1">IFERROR(__xludf.DUMMYFUNCTION("""COMPUTED_VALUE"""),"Necunoscut")</f>
        <v>Necunoscut</v>
      </c>
      <c r="Q63" s="3" t="str">
        <f ca="1">IFERROR(__xludf.DUMMYFUNCTION("""COMPUTED_VALUE"""),"0")</f>
        <v>0</v>
      </c>
      <c r="R63" s="3" t="str">
        <f ca="1">IFERROR(__xludf.DUMMYFUNCTION("""COMPUTED_VALUE"""),"Nu")</f>
        <v>Nu</v>
      </c>
      <c r="S63" s="3" t="str">
        <f ca="1">IFERROR(__xludf.DUMMYFUNCTION("""COMPUTED_VALUE"""),"4/18/2020")</f>
        <v>4/18/2020</v>
      </c>
      <c r="T63" s="3">
        <f ca="1">IFERROR(__xludf.DUMMYFUNCTION("""COMPUTED_VALUE"""),1)</f>
        <v>1</v>
      </c>
      <c r="U63" s="3" t="str">
        <f ca="1">IFERROR(__xludf.DUMMYFUNCTION("""COMPUTED_VALUE"""),"Da")</f>
        <v>Da</v>
      </c>
      <c r="V63" s="6" t="str">
        <f ca="1">IFERROR(__xludf.DUMMYFUNCTION("""COMPUTED_VALUE"""),"http://www.ms.ro/2020/04/19/decese-435-445/")</f>
        <v>http://www.ms.ro/2020/04/19/decese-435-445/</v>
      </c>
      <c r="W63" s="3" t="str">
        <f ca="1">IFERROR(__xludf.DUMMYFUNCTION("""COMPUTED_VALUE"""),"Spitalul Universitar de Urgență București")</f>
        <v>Spitalul Universitar de Urgență București</v>
      </c>
      <c r="X63" s="3" t="str">
        <f ca="1">IFERROR(__xludf.DUMMYFUNCTION("""COMPUTED_VALUE"""),"medicină internă")</f>
        <v>medicină internă</v>
      </c>
      <c r="Y63" s="3" t="str">
        <f ca="1">IFERROR(__xludf.DUMMYFUNCTION("""COMPUTED_VALUE"""),"Spitalul Universitar de Urgență București")</f>
        <v>Spitalul Universitar de Urgență București</v>
      </c>
      <c r="Z63" s="3"/>
      <c r="AA63" s="3" t="str">
        <f ca="1">IFERROR(__xludf.DUMMYFUNCTION("""COMPUTED_VALUE"""),"Spitalul Universitar de Urgență București")</f>
        <v>Spitalul Universitar de Urgență București</v>
      </c>
      <c r="AB63" s="3" t="str">
        <f ca="1">IFERROR(__xludf.DUMMYFUNCTION("""COMPUTED_VALUE"""),"Bărbat, 65 ani din municipiul București.
Internat în Spitalul Universitar de Urgență București, secția medicină internă în data de 18.04.2020.
Rezultat pozitiv pe data de 19.04.2020
Decedat pe data de 19.04.2020
Comorbidități: Boală cronică renală s"&amp;"td. 5 (program Dializă), BPOC, Diabet zaharat tip II, HTA.")</f>
        <v>Bărbat, 65 ani din municipiul București.
Internat în Spitalul Universitar de Urgență București, secția medicină internă în data de 18.04.2020.
Rezultat pozitiv pe data de 19.04.2020
Decedat pe data de 19.04.2020
Comorbidități: Boală cronică renală std. 5 (program Dializă), BPOC, Diabet zaharat tip II, HTA.</v>
      </c>
      <c r="AC63" s="3"/>
      <c r="AD63" s="3" t="str">
        <f ca="1">IFERROR(__xludf.DUMMYFUNCTION("""COMPUTED_VALUE"""),"MS")</f>
        <v>MS</v>
      </c>
      <c r="AE63" s="3"/>
      <c r="AF63" s="3"/>
      <c r="AG63" s="3" t="str">
        <f ca="1">IFERROR(__xludf.DUMMYFUNCTION("""COMPUTED_VALUE"""),"Da")</f>
        <v>Da</v>
      </c>
      <c r="AH63" s="3" t="str">
        <f ca="1">IFERROR(__xludf.DUMMYFUNCTION("""COMPUTED_VALUE"""),"Nu")</f>
        <v>Nu</v>
      </c>
      <c r="AI63" s="3" t="str">
        <f ca="1">IFERROR(__xludf.DUMMYFUNCTION("""COMPUTED_VALUE"""),"Afecțiuni cardiovasculare")</f>
        <v>Afecțiuni cardiovasculare</v>
      </c>
      <c r="AJ63" s="7" t="str">
        <f ca="1">IFERROR(__xludf.DUMMYFUNCTION("""COMPUTED_VALUE"""),"Y")</f>
        <v>Y</v>
      </c>
      <c r="AK63" s="7" t="str">
        <f ca="1">IFERROR(__xludf.DUMMYFUNCTION("""COMPUTED_VALUE"""),"Y")</f>
        <v>Y</v>
      </c>
      <c r="AL63" s="7" t="str">
        <f ca="1">IFERROR(__xludf.DUMMYFUNCTION("""COMPUTED_VALUE"""),"Y")</f>
        <v>Y</v>
      </c>
      <c r="AM63" s="7" t="str">
        <f ca="1">IFERROR(__xludf.DUMMYFUNCTION("""COMPUTED_VALUE"""),"Y")</f>
        <v>Y</v>
      </c>
      <c r="AN63" s="7" t="str">
        <f ca="1">IFERROR(__xludf.DUMMYFUNCTION("""COMPUTED_VALUE"""),"N")</f>
        <v>N</v>
      </c>
      <c r="AO63" s="7" t="str">
        <f ca="1">IFERROR(__xludf.DUMMYFUNCTION("""COMPUTED_VALUE"""),"N")</f>
        <v>N</v>
      </c>
      <c r="AP63" s="7" t="str">
        <f ca="1">IFERROR(__xludf.DUMMYFUNCTION("""COMPUTED_VALUE"""),"N")</f>
        <v>N</v>
      </c>
      <c r="AQ63" s="7" t="str">
        <f ca="1">IFERROR(__xludf.DUMMYFUNCTION("""COMPUTED_VALUE"""),"N")</f>
        <v>N</v>
      </c>
      <c r="AR63" s="7" t="str">
        <f ca="1">IFERROR(__xludf.DUMMYFUNCTION("""COMPUTED_VALUE"""),"N")</f>
        <v>N</v>
      </c>
      <c r="AS63" s="7" t="str">
        <f ca="1">IFERROR(__xludf.DUMMYFUNCTION("""COMPUTED_VALUE"""),"N")</f>
        <v>N</v>
      </c>
      <c r="AT63" s="7" t="str">
        <f ca="1">IFERROR(__xludf.DUMMYFUNCTION("""COMPUTED_VALUE"""),"N")</f>
        <v>N</v>
      </c>
      <c r="AU63" s="3"/>
      <c r="AV63" s="3"/>
      <c r="AW63" s="3"/>
      <c r="AX63" s="3"/>
      <c r="AY63" s="3"/>
    </row>
    <row r="64" spans="1:51" ht="16.5" customHeight="1">
      <c r="A64" s="3">
        <f ca="1">IFERROR(__xludf.DUMMYFUNCTION("""COMPUTED_VALUE"""),2774)</f>
        <v>2774</v>
      </c>
      <c r="B64" s="3"/>
      <c r="C64" s="3">
        <f ca="1">IFERROR(__xludf.DUMMYFUNCTION("""COMPUTED_VALUE"""),438)</f>
        <v>438</v>
      </c>
      <c r="D64" s="3" t="str">
        <f ca="1">IFERROR(__xludf.DUMMYFUNCTION("""COMPUTED_VALUE"""),"Feminin")</f>
        <v>Feminin</v>
      </c>
      <c r="E64" s="4">
        <f ca="1">IFERROR(__xludf.DUMMYFUNCTION("""COMPUTED_VALUE"""),77)</f>
        <v>77</v>
      </c>
      <c r="F64" s="3" t="str">
        <f ca="1">IFERROR(__xludf.DUMMYFUNCTION("""COMPUTED_VALUE"""),"70-79 years")</f>
        <v>70-79 years</v>
      </c>
      <c r="G64" s="3" t="str">
        <f ca="1">IFERROR(__xludf.DUMMYFUNCTION("""COMPUTED_VALUE"""),"București")</f>
        <v>București</v>
      </c>
      <c r="H64" s="3"/>
      <c r="I64" s="3">
        <f ca="1">IFERROR(__xludf.DUMMYFUNCTION("""COMPUTED_VALUE"""),929)</f>
        <v>929</v>
      </c>
      <c r="J64" s="3" t="str">
        <f ca="1">IFERROR(__xludf.DUMMYFUNCTION("""COMPUTED_VALUE"""),"Insuficiență cardiacă congenitala, HTA, dislipidemie")</f>
        <v>Insuficiență cardiacă congenitala, HTA, dislipidemie</v>
      </c>
      <c r="K64" s="5">
        <f ca="1">IFERROR(__xludf.DUMMYFUNCTION("""COMPUTED_VALUE"""),43940)</f>
        <v>43940</v>
      </c>
      <c r="L64" s="5">
        <f ca="1">IFERROR(__xludf.DUMMYFUNCTION("""COMPUTED_VALUE"""),43939)</f>
        <v>43939</v>
      </c>
      <c r="M64" s="3" t="str">
        <f ca="1">IFERROR(__xludf.DUMMYFUNCTION("""COMPUTED_VALUE"""),"1")</f>
        <v>1</v>
      </c>
      <c r="N64" s="5"/>
      <c r="O64" s="5">
        <f ca="1">IFERROR(__xludf.DUMMYFUNCTION("""COMPUTED_VALUE"""),43924)</f>
        <v>43924</v>
      </c>
      <c r="P64" s="3" t="str">
        <f ca="1">IFERROR(__xludf.DUMMYFUNCTION("""COMPUTED_VALUE"""),"Necunoscut")</f>
        <v>Necunoscut</v>
      </c>
      <c r="Q64" s="3" t="str">
        <f ca="1">IFERROR(__xludf.DUMMYFUNCTION("""COMPUTED_VALUE"""),"15")</f>
        <v>15</v>
      </c>
      <c r="R64" s="3" t="str">
        <f ca="1">IFERROR(__xludf.DUMMYFUNCTION("""COMPUTED_VALUE"""),"Nu")</f>
        <v>Nu</v>
      </c>
      <c r="S64" s="3" t="str">
        <f ca="1">IFERROR(__xludf.DUMMYFUNCTION("""COMPUTED_VALUE"""),"3/17/2020")</f>
        <v>3/17/2020</v>
      </c>
      <c r="T64" s="3">
        <f ca="1">IFERROR(__xludf.DUMMYFUNCTION("""COMPUTED_VALUE"""),32)</f>
        <v>32</v>
      </c>
      <c r="U64" s="3" t="str">
        <f ca="1">IFERROR(__xludf.DUMMYFUNCTION("""COMPUTED_VALUE"""),"Da")</f>
        <v>Da</v>
      </c>
      <c r="V64" s="6" t="str">
        <f ca="1">IFERROR(__xludf.DUMMYFUNCTION("""COMPUTED_VALUE"""),"http://www.ms.ro/2020/04/19/decese-435-445/")</f>
        <v>http://www.ms.ro/2020/04/19/decese-435-445/</v>
      </c>
      <c r="W64" s="3" t="str">
        <f ca="1">IFERROR(__xludf.DUMMYFUNCTION("""COMPUTED_VALUE"""),"Spitalul Universitar de Urgență București")</f>
        <v>Spitalul Universitar de Urgență București</v>
      </c>
      <c r="X64" s="3" t="str">
        <f ca="1">IFERROR(__xludf.DUMMYFUNCTION("""COMPUTED_VALUE"""),"cardiologie ")</f>
        <v xml:space="preserve">cardiologie </v>
      </c>
      <c r="Y64" s="3" t="str">
        <f ca="1">IFERROR(__xludf.DUMMYFUNCTION("""COMPUTED_VALUE"""),"Spitalul Colentina")</f>
        <v>Spitalul Colentina</v>
      </c>
      <c r="Z64" s="3"/>
      <c r="AA64" s="3" t="str">
        <f ca="1">IFERROR(__xludf.DUMMYFUNCTION("""COMPUTED_VALUE"""),"Spitalul Colentina")</f>
        <v>Spitalul Colentina</v>
      </c>
      <c r="AB64" s="3" t="str">
        <f ca="1">IFERROR(__xludf.DUMMYFUNCTION("""COMPUTED_VALUE"""),"Femeie, 77 ani din municipiul București.
Internată în Spitalul Universitar de Urgență București, secția cardiologie în data de 17.03-02.04.2020, transferată în Spitalul Colentina.
Rezultat pozitiv pe data de 03.04.2020
Decedată pe data de 18.04.2020."&amp;"
Comorbidități:Insuficiență cardiacă congenitala, HTA, dislipidemie.")</f>
        <v>Femeie, 77 ani din municipiul București.
Internată în Spitalul Universitar de Urgență București, secția cardiologie în data de 17.03-02.04.2020, transferată în Spitalul Colentina.
Rezultat pozitiv pe data de 03.04.2020
Decedată pe data de 18.04.2020.
Comorbidități:Insuficiență cardiacă congenitala, HTA, dislipidemie.</v>
      </c>
      <c r="AC64" s="3"/>
      <c r="AD64" s="3" t="str">
        <f ca="1">IFERROR(__xludf.DUMMYFUNCTION("""COMPUTED_VALUE"""),"MS")</f>
        <v>MS</v>
      </c>
      <c r="AE64" s="3"/>
      <c r="AF64" s="3"/>
      <c r="AG64" s="3" t="str">
        <f ca="1">IFERROR(__xludf.DUMMYFUNCTION("""COMPUTED_VALUE"""),"Nu")</f>
        <v>Nu</v>
      </c>
      <c r="AH64" s="3" t="str">
        <f ca="1">IFERROR(__xludf.DUMMYFUNCTION("""COMPUTED_VALUE"""),"Nu")</f>
        <v>Nu</v>
      </c>
      <c r="AI64" s="3" t="str">
        <f ca="1">IFERROR(__xludf.DUMMYFUNCTION("""COMPUTED_VALUE"""),"Afecțiuni cardiovasculare")</f>
        <v>Afecțiuni cardiovasculare</v>
      </c>
      <c r="AJ64" s="7" t="str">
        <f ca="1">IFERROR(__xludf.DUMMYFUNCTION("""COMPUTED_VALUE"""),"Y")</f>
        <v>Y</v>
      </c>
      <c r="AK64" s="7" t="str">
        <f ca="1">IFERROR(__xludf.DUMMYFUNCTION("""COMPUTED_VALUE"""),"N")</f>
        <v>N</v>
      </c>
      <c r="AL64" s="7" t="str">
        <f ca="1">IFERROR(__xludf.DUMMYFUNCTION("""COMPUTED_VALUE"""),"N")</f>
        <v>N</v>
      </c>
      <c r="AM64" s="7" t="str">
        <f ca="1">IFERROR(__xludf.DUMMYFUNCTION("""COMPUTED_VALUE"""),"N")</f>
        <v>N</v>
      </c>
      <c r="AN64" s="7" t="str">
        <f ca="1">IFERROR(__xludf.DUMMYFUNCTION("""COMPUTED_VALUE"""),"N")</f>
        <v>N</v>
      </c>
      <c r="AO64" s="7" t="str">
        <f ca="1">IFERROR(__xludf.DUMMYFUNCTION("""COMPUTED_VALUE"""),"N")</f>
        <v>N</v>
      </c>
      <c r="AP64" s="7" t="str">
        <f ca="1">IFERROR(__xludf.DUMMYFUNCTION("""COMPUTED_VALUE"""),"N")</f>
        <v>N</v>
      </c>
      <c r="AQ64" s="7" t="str">
        <f ca="1">IFERROR(__xludf.DUMMYFUNCTION("""COMPUTED_VALUE"""),"N")</f>
        <v>N</v>
      </c>
      <c r="AR64" s="7" t="str">
        <f ca="1">IFERROR(__xludf.DUMMYFUNCTION("""COMPUTED_VALUE"""),"N")</f>
        <v>N</v>
      </c>
      <c r="AS64" s="7" t="str">
        <f ca="1">IFERROR(__xludf.DUMMYFUNCTION("""COMPUTED_VALUE"""),"N")</f>
        <v>N</v>
      </c>
      <c r="AT64" s="7" t="str">
        <f ca="1">IFERROR(__xludf.DUMMYFUNCTION("""COMPUTED_VALUE"""),"N")</f>
        <v>N</v>
      </c>
      <c r="AU64" s="3"/>
      <c r="AV64" s="3"/>
      <c r="AW64" s="3"/>
      <c r="AX64" s="3"/>
      <c r="AY64" s="3"/>
    </row>
    <row r="65" spans="1:51" ht="16.5" customHeight="1">
      <c r="A65" s="3">
        <f ca="1">IFERROR(__xludf.DUMMYFUNCTION("""COMPUTED_VALUE"""),1212)</f>
        <v>1212</v>
      </c>
      <c r="B65" s="3"/>
      <c r="C65" s="3">
        <f ca="1">IFERROR(__xludf.DUMMYFUNCTION("""COMPUTED_VALUE"""),408)</f>
        <v>408</v>
      </c>
      <c r="D65" s="3" t="str">
        <f ca="1">IFERROR(__xludf.DUMMYFUNCTION("""COMPUTED_VALUE"""),"Masculin")</f>
        <v>Masculin</v>
      </c>
      <c r="E65" s="4">
        <f ca="1">IFERROR(__xludf.DUMMYFUNCTION("""COMPUTED_VALUE"""),94)</f>
        <v>94</v>
      </c>
      <c r="F65" s="3" t="str">
        <f ca="1">IFERROR(__xludf.DUMMYFUNCTION("""COMPUTED_VALUE"""),"Over 80 years")</f>
        <v>Over 80 years</v>
      </c>
      <c r="G65" s="3" t="str">
        <f ca="1">IFERROR(__xludf.DUMMYFUNCTION("""COMPUTED_VALUE"""),"București")</f>
        <v>București</v>
      </c>
      <c r="H65" s="3"/>
      <c r="I65" s="3">
        <f ca="1">IFERROR(__xludf.DUMMYFUNCTION("""COMPUTED_VALUE"""),1345)</f>
        <v>1345</v>
      </c>
      <c r="J65" s="3" t="str">
        <f ca="1">IFERROR(__xludf.DUMMYFUNCTION("""COMPUTED_VALUE"""),"Boală cronică renala stadiul V, HTA stadiul III, boală cardică ischemică, insuficiență cardiacă congestiva stadiul IV, nefropatie, arteriopatie obliteranta membre inferioare")</f>
        <v>Boală cronică renala stadiul V, HTA stadiul III, boală cardică ischemică, insuficiență cardiacă congestiva stadiul IV, nefropatie, arteriopatie obliteranta membre inferioare</v>
      </c>
      <c r="K65" s="5">
        <f ca="1">IFERROR(__xludf.DUMMYFUNCTION("""COMPUTED_VALUE"""),43938)</f>
        <v>43938</v>
      </c>
      <c r="L65" s="5">
        <f ca="1">IFERROR(__xludf.DUMMYFUNCTION("""COMPUTED_VALUE"""),43937)</f>
        <v>43937</v>
      </c>
      <c r="M65" s="3" t="str">
        <f ca="1">IFERROR(__xludf.DUMMYFUNCTION("""COMPUTED_VALUE"""),"1")</f>
        <v>1</v>
      </c>
      <c r="N65" s="5"/>
      <c r="O65" s="5">
        <f ca="1">IFERROR(__xludf.DUMMYFUNCTION("""COMPUTED_VALUE"""),43917)</f>
        <v>43917</v>
      </c>
      <c r="P65" s="3" t="str">
        <f ca="1">IFERROR(__xludf.DUMMYFUNCTION("""COMPUTED_VALUE"""),"Necunoscut")</f>
        <v>Necunoscut</v>
      </c>
      <c r="Q65" s="3" t="str">
        <f ca="1">IFERROR(__xludf.DUMMYFUNCTION("""COMPUTED_VALUE"""),"20")</f>
        <v>20</v>
      </c>
      <c r="R65" s="3" t="str">
        <f ca="1">IFERROR(__xludf.DUMMYFUNCTION("""COMPUTED_VALUE"""),"Nu")</f>
        <v>Nu</v>
      </c>
      <c r="S65" s="3" t="str">
        <f ca="1">IFERROR(__xludf.DUMMYFUNCTION("""COMPUTED_VALUE"""),"3/30/2020")</f>
        <v>3/30/2020</v>
      </c>
      <c r="T65" s="3">
        <f ca="1">IFERROR(__xludf.DUMMYFUNCTION("""COMPUTED_VALUE"""),17)</f>
        <v>17</v>
      </c>
      <c r="U65" s="3" t="str">
        <f ca="1">IFERROR(__xludf.DUMMYFUNCTION("""COMPUTED_VALUE"""),"Da")</f>
        <v>Da</v>
      </c>
      <c r="V65" s="6" t="str">
        <f ca="1">IFERROR(__xludf.DUMMYFUNCTION("""COMPUTED_VALUE"""),"http://www.ms.ro/2020/04/17/decese-401-411/")</f>
        <v>http://www.ms.ro/2020/04/17/decese-401-411/</v>
      </c>
      <c r="W65" s="3"/>
      <c r="X65" s="3"/>
      <c r="Y65" s="3"/>
      <c r="Z65" s="3"/>
      <c r="AA65" s="3"/>
      <c r="AB65" s="3" t="str">
        <f ca="1">IFERROR(__xludf.DUMMYFUNCTION("""COMPUTED_VALUE"""),"Barbat, 94 ani din București. Pacient Clinică Dializă.
Rezultat pozitiv pe data de 27.03.2020.
Internat în Spitalul Colentina în 30.03.2020, transferat în ATI in 16.04.2020
Decedat pe data de 16.04.2020.
Comorbidități: boală cronică renala stadiul V, "&amp;"HTA stadiul III, boală cardică ischemică, insuficiență cardiacă congestiva stadiul IV, nefropatie, arteriopatie obliteranta membre inferioare.")</f>
        <v>Barbat, 94 ani din București. Pacient Clinică Dializă.
Rezultat pozitiv pe data de 27.03.2020.
Internat în Spitalul Colentina în 30.03.2020, transferat în ATI in 16.04.2020
Decedat pe data de 16.04.2020.
Comorbidități: boală cronică renala stadiul V, HTA stadiul III, boală cardică ischemică, insuficiență cardiacă congestiva stadiul IV, nefropatie, arteriopatie obliteranta membre inferioare.</v>
      </c>
      <c r="AC65" s="3"/>
      <c r="AD65" s="3" t="str">
        <f ca="1">IFERROR(__xludf.DUMMYFUNCTION("""COMPUTED_VALUE"""),"MS")</f>
        <v>MS</v>
      </c>
      <c r="AE65" s="3"/>
      <c r="AF65" s="3"/>
      <c r="AG65" s="3" t="str">
        <f ca="1">IFERROR(__xludf.DUMMYFUNCTION("""COMPUTED_VALUE"""),"Nu")</f>
        <v>Nu</v>
      </c>
      <c r="AH65" s="3" t="str">
        <f ca="1">IFERROR(__xludf.DUMMYFUNCTION("""COMPUTED_VALUE"""),"Nu")</f>
        <v>Nu</v>
      </c>
      <c r="AI65" s="3" t="str">
        <f ca="1">IFERROR(__xludf.DUMMYFUNCTION("""COMPUTED_VALUE"""),"Afecțiuni cardiovasculare")</f>
        <v>Afecțiuni cardiovasculare</v>
      </c>
      <c r="AJ65" s="7" t="str">
        <f ca="1">IFERROR(__xludf.DUMMYFUNCTION("""COMPUTED_VALUE"""),"Y")</f>
        <v>Y</v>
      </c>
      <c r="AK65" s="7" t="str">
        <f ca="1">IFERROR(__xludf.DUMMYFUNCTION("""COMPUTED_VALUE"""),"N")</f>
        <v>N</v>
      </c>
      <c r="AL65" s="7" t="str">
        <f ca="1">IFERROR(__xludf.DUMMYFUNCTION("""COMPUTED_VALUE"""),"Y")</f>
        <v>Y</v>
      </c>
      <c r="AM65" s="7" t="str">
        <f ca="1">IFERROR(__xludf.DUMMYFUNCTION("""COMPUTED_VALUE"""),"N")</f>
        <v>N</v>
      </c>
      <c r="AN65" s="7" t="str">
        <f ca="1">IFERROR(__xludf.DUMMYFUNCTION("""COMPUTED_VALUE"""),"N")</f>
        <v>N</v>
      </c>
      <c r="AO65" s="7" t="str">
        <f ca="1">IFERROR(__xludf.DUMMYFUNCTION("""COMPUTED_VALUE"""),"N")</f>
        <v>N</v>
      </c>
      <c r="AP65" s="7" t="str">
        <f ca="1">IFERROR(__xludf.DUMMYFUNCTION("""COMPUTED_VALUE"""),"N")</f>
        <v>N</v>
      </c>
      <c r="AQ65" s="7" t="str">
        <f ca="1">IFERROR(__xludf.DUMMYFUNCTION("""COMPUTED_VALUE"""),"N")</f>
        <v>N</v>
      </c>
      <c r="AR65" s="7" t="str">
        <f ca="1">IFERROR(__xludf.DUMMYFUNCTION("""COMPUTED_VALUE"""),"N")</f>
        <v>N</v>
      </c>
      <c r="AS65" s="7" t="str">
        <f ca="1">IFERROR(__xludf.DUMMYFUNCTION("""COMPUTED_VALUE"""),"N")</f>
        <v>N</v>
      </c>
      <c r="AT65" s="7" t="str">
        <f ca="1">IFERROR(__xludf.DUMMYFUNCTION("""COMPUTED_VALUE"""),"N")</f>
        <v>N</v>
      </c>
      <c r="AU65" s="3"/>
      <c r="AV65" s="3"/>
      <c r="AW65" s="3"/>
      <c r="AX65" s="3"/>
      <c r="AY65" s="3"/>
    </row>
    <row r="66" spans="1:51" ht="16.5" customHeight="1">
      <c r="A66" s="3">
        <f ca="1">IFERROR(__xludf.DUMMYFUNCTION("""COMPUTED_VALUE"""),481)</f>
        <v>481</v>
      </c>
      <c r="B66" s="3">
        <f ca="1">IFERROR(__xludf.DUMMYFUNCTION("""COMPUTED_VALUE"""),328)</f>
        <v>328</v>
      </c>
      <c r="C66" s="3">
        <f ca="1">IFERROR(__xludf.DUMMYFUNCTION("""COMPUTED_VALUE"""),349)</f>
        <v>349</v>
      </c>
      <c r="D66" s="3" t="str">
        <f ca="1">IFERROR(__xludf.DUMMYFUNCTION("""COMPUTED_VALUE"""),"Masculin")</f>
        <v>Masculin</v>
      </c>
      <c r="E66" s="4">
        <f ca="1">IFERROR(__xludf.DUMMYFUNCTION("""COMPUTED_VALUE"""),56)</f>
        <v>56</v>
      </c>
      <c r="F66" s="3" t="str">
        <f ca="1">IFERROR(__xludf.DUMMYFUNCTION("""COMPUTED_VALUE"""),"50-59 years")</f>
        <v>50-59 years</v>
      </c>
      <c r="G66" s="3" t="str">
        <f ca="1">IFERROR(__xludf.DUMMYFUNCTION("""COMPUTED_VALUE"""),"București")</f>
        <v>București</v>
      </c>
      <c r="H66" s="3"/>
      <c r="I66" s="3">
        <f ca="1">IFERROR(__xludf.DUMMYFUNCTION("""COMPUTED_VALUE"""),218)</f>
        <v>218</v>
      </c>
      <c r="J66" s="3" t="str">
        <f ca="1">IFERROR(__xludf.DUMMYFUNCTION("""COMPUTED_VALUE"""),"Nespecificat")</f>
        <v>Nespecificat</v>
      </c>
      <c r="K66" s="5">
        <f ca="1">IFERROR(__xludf.DUMMYFUNCTION("""COMPUTED_VALUE"""),43935)</f>
        <v>43935</v>
      </c>
      <c r="L66" s="5">
        <f ca="1">IFERROR(__xludf.DUMMYFUNCTION("""COMPUTED_VALUE"""),43934)</f>
        <v>43934</v>
      </c>
      <c r="M66" s="3" t="str">
        <f ca="1">IFERROR(__xludf.DUMMYFUNCTION("""COMPUTED_VALUE"""),"1")</f>
        <v>1</v>
      </c>
      <c r="N66" s="5">
        <f ca="1">IFERROR(__xludf.DUMMYFUNCTION("""COMPUTED_VALUE"""),43912)</f>
        <v>43912</v>
      </c>
      <c r="O66" s="5">
        <f ca="1">IFERROR(__xludf.DUMMYFUNCTION("""COMPUTED_VALUE"""),43913)</f>
        <v>43913</v>
      </c>
      <c r="P66" s="3" t="str">
        <f ca="1">IFERROR(__xludf.DUMMYFUNCTION("""COMPUTED_VALUE"""),"1")</f>
        <v>1</v>
      </c>
      <c r="Q66" s="3" t="str">
        <f ca="1">IFERROR(__xludf.DUMMYFUNCTION("""COMPUTED_VALUE"""),"21")</f>
        <v>21</v>
      </c>
      <c r="R66" s="3" t="str">
        <f ca="1">IFERROR(__xludf.DUMMYFUNCTION("""COMPUTED_VALUE"""),"Nu")</f>
        <v>Nu</v>
      </c>
      <c r="S66" s="3" t="str">
        <f ca="1">IFERROR(__xludf.DUMMYFUNCTION("""COMPUTED_VALUE"""),"3/22/2020")</f>
        <v>3/22/2020</v>
      </c>
      <c r="T66" s="3">
        <f ca="1">IFERROR(__xludf.DUMMYFUNCTION("""COMPUTED_VALUE"""),22)</f>
        <v>22</v>
      </c>
      <c r="U66" s="3" t="str">
        <f ca="1">IFERROR(__xludf.DUMMYFUNCTION("""COMPUTED_VALUE"""),"Da")</f>
        <v>Da</v>
      </c>
      <c r="V66" s="6" t="str">
        <f ca="1">IFERROR(__xludf.DUMMYFUNCTION("""COMPUTED_VALUE"""),"http://www.ms.ro/2020/04/14/decese-347-351/")</f>
        <v>http://www.ms.ro/2020/04/14/decese-347-351/</v>
      </c>
      <c r="W66" s="3"/>
      <c r="X66" s="3"/>
      <c r="Y66" s="3"/>
      <c r="Z66" s="3"/>
      <c r="AA66" s="3"/>
      <c r="AB66" s="3" t="str">
        <f ca="1">IFERROR(__xludf.DUMMYFUNCTION("""COMPUTED_VALUE"""),"Bărbat, 56 ani din București, șofer ambulanță privată transportă pacienți în vederea dializarii.
Internat din data de 23 martie 2020 la Institutul National de Boli Infecțioase „Matei Balș”
Data recoltării: 22.03.2020.
Data internării: 23.03.2020.
Da"&amp;"ta rezultatului: 23.03.2020.
Data deces: 13.04.2020.")</f>
        <v>Bărbat, 56 ani din București, șofer ambulanță privată transportă pacienți în vederea dializarii.
Internat din data de 23 martie 2020 la Institutul National de Boli Infecțioase „Matei Balș”
Data recoltării: 22.03.2020.
Data internării: 23.03.2020.
Data rezultatului: 23.03.2020.
Data deces: 13.04.2020.</v>
      </c>
      <c r="AC66" s="3"/>
      <c r="AD66" s="3" t="str">
        <f ca="1">IFERROR(__xludf.DUMMYFUNCTION("""COMPUTED_VALUE"""),"MS")</f>
        <v>MS</v>
      </c>
      <c r="AE66" s="3"/>
      <c r="AF66" s="3" t="str">
        <f ca="1">IFERROR(__xludf.DUMMYFUNCTION("""COMPUTED_VALUE"""),"Caz centru privat dializă Diaverum-Sema Parc")</f>
        <v>Caz centru privat dializă Diaverum-Sema Parc</v>
      </c>
      <c r="AG66" s="3" t="str">
        <f ca="1">IFERROR(__xludf.DUMMYFUNCTION("""COMPUTED_VALUE"""),"Da")</f>
        <v>Da</v>
      </c>
      <c r="AH66" s="3" t="str">
        <f ca="1">IFERROR(__xludf.DUMMYFUNCTION("""COMPUTED_VALUE"""),"Nu")</f>
        <v>Nu</v>
      </c>
      <c r="AI66" s="3" t="str">
        <f ca="1">IFERROR(__xludf.DUMMYFUNCTION("""COMPUTED_VALUE"""),"Afecțiuni renale")</f>
        <v>Afecțiuni renale</v>
      </c>
      <c r="AJ66" s="7" t="str">
        <f ca="1">IFERROR(__xludf.DUMMYFUNCTION("""COMPUTED_VALUE"""),"N")</f>
        <v>N</v>
      </c>
      <c r="AK66" s="7" t="str">
        <f ca="1">IFERROR(__xludf.DUMMYFUNCTION("""COMPUTED_VALUE"""),"N")</f>
        <v>N</v>
      </c>
      <c r="AL66" s="7" t="str">
        <f ca="1">IFERROR(__xludf.DUMMYFUNCTION("""COMPUTED_VALUE"""),"Y")</f>
        <v>Y</v>
      </c>
      <c r="AM66" s="7" t="str">
        <f ca="1">IFERROR(__xludf.DUMMYFUNCTION("""COMPUTED_VALUE"""),"N")</f>
        <v>N</v>
      </c>
      <c r="AN66" s="7" t="str">
        <f ca="1">IFERROR(__xludf.DUMMYFUNCTION("""COMPUTED_VALUE"""),"N")</f>
        <v>N</v>
      </c>
      <c r="AO66" s="7" t="str">
        <f ca="1">IFERROR(__xludf.DUMMYFUNCTION("""COMPUTED_VALUE"""),"N")</f>
        <v>N</v>
      </c>
      <c r="AP66" s="7" t="str">
        <f ca="1">IFERROR(__xludf.DUMMYFUNCTION("""COMPUTED_VALUE"""),"N")</f>
        <v>N</v>
      </c>
      <c r="AQ66" s="7" t="str">
        <f ca="1">IFERROR(__xludf.DUMMYFUNCTION("""COMPUTED_VALUE"""),"N")</f>
        <v>N</v>
      </c>
      <c r="AR66" s="7" t="str">
        <f ca="1">IFERROR(__xludf.DUMMYFUNCTION("""COMPUTED_VALUE"""),"N")</f>
        <v>N</v>
      </c>
      <c r="AS66" s="7" t="str">
        <f ca="1">IFERROR(__xludf.DUMMYFUNCTION("""COMPUTED_VALUE"""),"N")</f>
        <v>N</v>
      </c>
      <c r="AT66" s="7" t="str">
        <f ca="1">IFERROR(__xludf.DUMMYFUNCTION("""COMPUTED_VALUE"""),"Y")</f>
        <v>Y</v>
      </c>
      <c r="AU66" s="3"/>
      <c r="AV66" s="3"/>
      <c r="AW66" s="3"/>
      <c r="AX66" s="3"/>
      <c r="AY66" s="3"/>
    </row>
    <row r="67" spans="1:51" ht="16.5" customHeight="1">
      <c r="A67" s="3">
        <f ca="1">IFERROR(__xludf.DUMMYFUNCTION("""COMPUTED_VALUE"""),1211)</f>
        <v>1211</v>
      </c>
      <c r="B67" s="3"/>
      <c r="C67" s="3">
        <f ca="1">IFERROR(__xludf.DUMMYFUNCTION("""COMPUTED_VALUE"""),301)</f>
        <v>301</v>
      </c>
      <c r="D67" s="3" t="str">
        <f ca="1">IFERROR(__xludf.DUMMYFUNCTION("""COMPUTED_VALUE"""),"Feminin")</f>
        <v>Feminin</v>
      </c>
      <c r="E67" s="4">
        <f ca="1">IFERROR(__xludf.DUMMYFUNCTION("""COMPUTED_VALUE"""),71)</f>
        <v>71</v>
      </c>
      <c r="F67" s="3" t="str">
        <f ca="1">IFERROR(__xludf.DUMMYFUNCTION("""COMPUTED_VALUE"""),"70-79 years")</f>
        <v>70-79 years</v>
      </c>
      <c r="G67" s="3" t="str">
        <f ca="1">IFERROR(__xludf.DUMMYFUNCTION("""COMPUTED_VALUE"""),"București")</f>
        <v>București</v>
      </c>
      <c r="H67" s="3"/>
      <c r="I67" s="3">
        <f ca="1">IFERROR(__xludf.DUMMYFUNCTION("""COMPUTED_VALUE"""),728)</f>
        <v>728</v>
      </c>
      <c r="J67" s="3" t="str">
        <f ca="1">IFERROR(__xludf.DUMMYFUNCTION("""COMPUTED_VALUE"""),"Neoplasm colon")</f>
        <v>Neoplasm colon</v>
      </c>
      <c r="K67" s="5">
        <f ca="1">IFERROR(__xludf.DUMMYFUNCTION("""COMPUTED_VALUE"""),43933)</f>
        <v>43933</v>
      </c>
      <c r="L67" s="5">
        <f ca="1">IFERROR(__xludf.DUMMYFUNCTION("""COMPUTED_VALUE"""),43932)</f>
        <v>43932</v>
      </c>
      <c r="M67" s="3" t="str">
        <f ca="1">IFERROR(__xludf.DUMMYFUNCTION("""COMPUTED_VALUE"""),"1")</f>
        <v>1</v>
      </c>
      <c r="N67" s="5">
        <f ca="1">IFERROR(__xludf.DUMMYFUNCTION("""COMPUTED_VALUE"""),0)</f>
        <v>0</v>
      </c>
      <c r="O67" s="5">
        <f ca="1">IFERROR(__xludf.DUMMYFUNCTION("""COMPUTED_VALUE"""),43916)</f>
        <v>43916</v>
      </c>
      <c r="P67" s="3" t="str">
        <f ca="1">IFERROR(__xludf.DUMMYFUNCTION("""COMPUTED_VALUE"""),"Necunoscut")</f>
        <v>Necunoscut</v>
      </c>
      <c r="Q67" s="3" t="str">
        <f ca="1">IFERROR(__xludf.DUMMYFUNCTION("""COMPUTED_VALUE"""),"16")</f>
        <v>16</v>
      </c>
      <c r="R67" s="3" t="str">
        <f ca="1">IFERROR(__xludf.DUMMYFUNCTION("""COMPUTED_VALUE"""),"Nu")</f>
        <v>Nu</v>
      </c>
      <c r="S67" s="3" t="str">
        <f ca="1">IFERROR(__xludf.DUMMYFUNCTION("""COMPUTED_VALUE"""),"4/6/2020")</f>
        <v>4/6/2020</v>
      </c>
      <c r="T67" s="3">
        <f ca="1">IFERROR(__xludf.DUMMYFUNCTION("""COMPUTED_VALUE"""),5)</f>
        <v>5</v>
      </c>
      <c r="U67" s="3" t="str">
        <f ca="1">IFERROR(__xludf.DUMMYFUNCTION("""COMPUTED_VALUE"""),"Da")</f>
        <v>Da</v>
      </c>
      <c r="V67" s="6" t="str">
        <f ca="1">IFERROR(__xludf.DUMMYFUNCTION("""COMPUTED_VALUE"""),"http://www.ms.ro/2020/04/12/decese-291-306/")</f>
        <v>http://www.ms.ro/2020/04/12/decese-291-306/</v>
      </c>
      <c r="W67" s="3"/>
      <c r="X67" s="3"/>
      <c r="Y67" s="3"/>
      <c r="Z67" s="3"/>
      <c r="AA67" s="3"/>
      <c r="AB67" s="3" t="str">
        <f ca="1">IFERROR(__xludf.DUMMYFUNCTION("""COMPUTED_VALUE"""),"Femeie, 71 ani din municipiul București.
Internată în Spitalul Militar Central pentru neoplasm colon operat; în data
de 06.04.2020 a fost transferată în Spitalul Colentina – Secția ATI cu complicații postoperatorii.
Rezultat pozitiv în data de 26.03.20"&amp;"20.
Decedată în data de 11.04.2020.
Comorbidități: Neoplasm colon.")</f>
        <v>Femeie, 71 ani din municipiul București.
Internată în Spitalul Militar Central pentru neoplasm colon operat; în data
de 06.04.2020 a fost transferată în Spitalul Colentina – Secția ATI cu complicații postoperatorii.
Rezultat pozitiv în data de 26.03.2020.
Decedată în data de 11.04.2020.
Comorbidități: Neoplasm colon.</v>
      </c>
      <c r="AC67" s="3"/>
      <c r="AD67" s="3" t="str">
        <f ca="1">IFERROR(__xludf.DUMMYFUNCTION("""COMPUTED_VALUE"""),"MS")</f>
        <v>MS</v>
      </c>
      <c r="AE67" s="3"/>
      <c r="AF67" s="3"/>
      <c r="AG67" s="3" t="str">
        <f ca="1">IFERROR(__xludf.DUMMYFUNCTION("""COMPUTED_VALUE"""),"Nu")</f>
        <v>Nu</v>
      </c>
      <c r="AH67" s="3" t="str">
        <f ca="1">IFERROR(__xludf.DUMMYFUNCTION("""COMPUTED_VALUE"""),"Nu")</f>
        <v>Nu</v>
      </c>
      <c r="AI67" s="3" t="str">
        <f ca="1">IFERROR(__xludf.DUMMYFUNCTION("""COMPUTED_VALUE"""),"Alte afecțiuni preexistente")</f>
        <v>Alte afecțiuni preexistente</v>
      </c>
      <c r="AJ67" s="7" t="str">
        <f ca="1">IFERROR(__xludf.DUMMYFUNCTION("""COMPUTED_VALUE"""),"N")</f>
        <v>N</v>
      </c>
      <c r="AK67" s="7" t="str">
        <f ca="1">IFERROR(__xludf.DUMMYFUNCTION("""COMPUTED_VALUE"""),"N")</f>
        <v>N</v>
      </c>
      <c r="AL67" s="7" t="str">
        <f ca="1">IFERROR(__xludf.DUMMYFUNCTION("""COMPUTED_VALUE"""),"N")</f>
        <v>N</v>
      </c>
      <c r="AM67" s="7" t="str">
        <f ca="1">IFERROR(__xludf.DUMMYFUNCTION("""COMPUTED_VALUE"""),"N")</f>
        <v>N</v>
      </c>
      <c r="AN67" s="7" t="str">
        <f ca="1">IFERROR(__xludf.DUMMYFUNCTION("""COMPUTED_VALUE"""),"N")</f>
        <v>N</v>
      </c>
      <c r="AO67" s="7" t="str">
        <f ca="1">IFERROR(__xludf.DUMMYFUNCTION("""COMPUTED_VALUE"""),"N")</f>
        <v>N</v>
      </c>
      <c r="AP67" s="7" t="str">
        <f ca="1">IFERROR(__xludf.DUMMYFUNCTION("""COMPUTED_VALUE"""),"N")</f>
        <v>N</v>
      </c>
      <c r="AQ67" s="7" t="str">
        <f ca="1">IFERROR(__xludf.DUMMYFUNCTION("""COMPUTED_VALUE"""),"N")</f>
        <v>N</v>
      </c>
      <c r="AR67" s="7" t="str">
        <f ca="1">IFERROR(__xludf.DUMMYFUNCTION("""COMPUTED_VALUE"""),"N")</f>
        <v>N</v>
      </c>
      <c r="AS67" s="7" t="str">
        <f ca="1">IFERROR(__xludf.DUMMYFUNCTION("""COMPUTED_VALUE"""),"Y")</f>
        <v>Y</v>
      </c>
      <c r="AT67" s="7" t="str">
        <f ca="1">IFERROR(__xludf.DUMMYFUNCTION("""COMPUTED_VALUE"""),"N")</f>
        <v>N</v>
      </c>
      <c r="AU67" s="3"/>
      <c r="AV67" s="3"/>
      <c r="AW67" s="3"/>
      <c r="AX67" s="3"/>
      <c r="AY67" s="3"/>
    </row>
    <row r="68" spans="1:51" ht="16.5" customHeight="1">
      <c r="A68" s="3">
        <f ca="1">IFERROR(__xludf.DUMMYFUNCTION("""COMPUTED_VALUE"""),3715)</f>
        <v>3715</v>
      </c>
      <c r="B68" s="3"/>
      <c r="C68" s="3">
        <f ca="1">IFERROR(__xludf.DUMMYFUNCTION("""COMPUTED_VALUE"""),286)</f>
        <v>286</v>
      </c>
      <c r="D68" s="3" t="str">
        <f ca="1">IFERROR(__xludf.DUMMYFUNCTION("""COMPUTED_VALUE"""),"Masculin")</f>
        <v>Masculin</v>
      </c>
      <c r="E68" s="4">
        <f ca="1">IFERROR(__xludf.DUMMYFUNCTION("""COMPUTED_VALUE"""),78)</f>
        <v>78</v>
      </c>
      <c r="F68" s="3" t="str">
        <f ca="1">IFERROR(__xludf.DUMMYFUNCTION("""COMPUTED_VALUE"""),"70-79 years")</f>
        <v>70-79 years</v>
      </c>
      <c r="G68" s="3" t="str">
        <f ca="1">IFERROR(__xludf.DUMMYFUNCTION("""COMPUTED_VALUE"""),"București")</f>
        <v>București</v>
      </c>
      <c r="H68" s="3"/>
      <c r="I68" s="3">
        <f ca="1">IFERROR(__xludf.DUMMYFUNCTION("""COMPUTED_VALUE"""),967)</f>
        <v>967</v>
      </c>
      <c r="J68" s="3" t="str">
        <f ca="1">IFERROR(__xludf.DUMMYFUNCTION("""COMPUTED_VALUE"""),"Fibrilatie atriala paroxistica. Sindrom de colestaza și citoliza. Soc septic pulmonar")</f>
        <v>Fibrilatie atriala paroxistica. Sindrom de colestaza și citoliza. Soc septic pulmonar</v>
      </c>
      <c r="K68" s="5">
        <f ca="1">IFERROR(__xludf.DUMMYFUNCTION("""COMPUTED_VALUE"""),43932)</f>
        <v>43932</v>
      </c>
      <c r="L68" s="5">
        <f ca="1">IFERROR(__xludf.DUMMYFUNCTION("""COMPUTED_VALUE"""),43931)</f>
        <v>43931</v>
      </c>
      <c r="M68" s="3" t="str">
        <f ca="1">IFERROR(__xludf.DUMMYFUNCTION("""COMPUTED_VALUE"""),"1")</f>
        <v>1</v>
      </c>
      <c r="N68" s="5">
        <f ca="1">IFERROR(__xludf.DUMMYFUNCTION("""COMPUTED_VALUE"""),43926)</f>
        <v>43926</v>
      </c>
      <c r="O68" s="5">
        <f ca="1">IFERROR(__xludf.DUMMYFUNCTION("""COMPUTED_VALUE"""),43926)</f>
        <v>43926</v>
      </c>
      <c r="P68" s="3" t="str">
        <f ca="1">IFERROR(__xludf.DUMMYFUNCTION("""COMPUTED_VALUE"""),"0")</f>
        <v>0</v>
      </c>
      <c r="Q68" s="3" t="str">
        <f ca="1">IFERROR(__xludf.DUMMYFUNCTION("""COMPUTED_VALUE"""),"5")</f>
        <v>5</v>
      </c>
      <c r="R68" s="3" t="str">
        <f ca="1">IFERROR(__xludf.DUMMYFUNCTION("""COMPUTED_VALUE"""),"Nu")</f>
        <v>Nu</v>
      </c>
      <c r="S68" s="3" t="str">
        <f ca="1">IFERROR(__xludf.DUMMYFUNCTION("""COMPUTED_VALUE"""),"4/5/2020")</f>
        <v>4/5/2020</v>
      </c>
      <c r="T68" s="3">
        <f ca="1">IFERROR(__xludf.DUMMYFUNCTION("""COMPUTED_VALUE"""),5)</f>
        <v>5</v>
      </c>
      <c r="U68" s="3" t="str">
        <f ca="1">IFERROR(__xludf.DUMMYFUNCTION("""COMPUTED_VALUE"""),"Da")</f>
        <v>Da</v>
      </c>
      <c r="V68" s="6" t="str">
        <f ca="1">IFERROR(__xludf.DUMMYFUNCTION("""COMPUTED_VALUE"""),"http://www.ms.ro/2020/04/11/decese-283-290/")</f>
        <v>http://www.ms.ro/2020/04/11/decese-283-290/</v>
      </c>
      <c r="W68" s="3"/>
      <c r="X68" s="3"/>
      <c r="Y68" s="3"/>
      <c r="Z68" s="3"/>
      <c r="AA68" s="3"/>
      <c r="AB68" s="3" t="str">
        <f ca="1">IFERROR(__xludf.DUMMYFUNCTION("""COMPUTED_VALUE"""),"Bărbat, 78 ani din municipiul București. Internat în Spitalul Sf. Ioan București în 05.04.2020 și transferat în ATI – Spital Colentina în data de
06.04.2020 (în comă).
Recoltare proba COVID-19 în data de 05.04.2020.
Rezultat pozitiv în data de 05.04.20"&amp;"20.
Decedat în data de 10.04.2020.
Comorbidități: Fibrilatie atriala paroxistica. Sindrom de colestaza și citoliza. Soc septic pulmonar.")</f>
        <v>Bărbat, 78 ani din municipiul București. Internat în Spitalul Sf. Ioan București în 05.04.2020 și transferat în ATI – Spital Colentina în data de
06.04.2020 (în comă).
Recoltare proba COVID-19 în data de 05.04.2020.
Rezultat pozitiv în data de 05.04.2020.
Decedat în data de 10.04.2020.
Comorbidități: Fibrilatie atriala paroxistica. Sindrom de colestaza și citoliza. Soc septic pulmonar.</v>
      </c>
      <c r="AC68" s="3"/>
      <c r="AD68" s="3" t="str">
        <f ca="1">IFERROR(__xludf.DUMMYFUNCTION("""COMPUTED_VALUE"""),"MS")</f>
        <v>MS</v>
      </c>
      <c r="AE68" s="3"/>
      <c r="AF68" s="3"/>
      <c r="AG68" s="3" t="str">
        <f ca="1">IFERROR(__xludf.DUMMYFUNCTION("""COMPUTED_VALUE"""),"Nu")</f>
        <v>Nu</v>
      </c>
      <c r="AH68" s="3" t="str">
        <f ca="1">IFERROR(__xludf.DUMMYFUNCTION("""COMPUTED_VALUE"""),"Nu")</f>
        <v>Nu</v>
      </c>
      <c r="AI68" s="3" t="str">
        <f ca="1">IFERROR(__xludf.DUMMYFUNCTION("""COMPUTED_VALUE"""),"Afecțiuni pulmonare")</f>
        <v>Afecțiuni pulmonare</v>
      </c>
      <c r="AJ68" s="7" t="str">
        <f ca="1">IFERROR(__xludf.DUMMYFUNCTION("""COMPUTED_VALUE"""),"N")</f>
        <v>N</v>
      </c>
      <c r="AK68" s="7" t="str">
        <f ca="1">IFERROR(__xludf.DUMMYFUNCTION("""COMPUTED_VALUE"""),"N")</f>
        <v>N</v>
      </c>
      <c r="AL68" s="7" t="str">
        <f ca="1">IFERROR(__xludf.DUMMYFUNCTION("""COMPUTED_VALUE"""),"N")</f>
        <v>N</v>
      </c>
      <c r="AM68" s="7" t="str">
        <f ca="1">IFERROR(__xludf.DUMMYFUNCTION("""COMPUTED_VALUE"""),"Y")</f>
        <v>Y</v>
      </c>
      <c r="AN68" s="7" t="str">
        <f ca="1">IFERROR(__xludf.DUMMYFUNCTION("""COMPUTED_VALUE"""),"N")</f>
        <v>N</v>
      </c>
      <c r="AO68" s="7" t="str">
        <f ca="1">IFERROR(__xludf.DUMMYFUNCTION("""COMPUTED_VALUE"""),"N")</f>
        <v>N</v>
      </c>
      <c r="AP68" s="7" t="str">
        <f ca="1">IFERROR(__xludf.DUMMYFUNCTION("""COMPUTED_VALUE"""),"N")</f>
        <v>N</v>
      </c>
      <c r="AQ68" s="7" t="str">
        <f ca="1">IFERROR(__xludf.DUMMYFUNCTION("""COMPUTED_VALUE"""),"N")</f>
        <v>N</v>
      </c>
      <c r="AR68" s="7" t="str">
        <f ca="1">IFERROR(__xludf.DUMMYFUNCTION("""COMPUTED_VALUE"""),"N")</f>
        <v>N</v>
      </c>
      <c r="AS68" s="7" t="str">
        <f ca="1">IFERROR(__xludf.DUMMYFUNCTION("""COMPUTED_VALUE"""),"N")</f>
        <v>N</v>
      </c>
      <c r="AT68" s="7" t="str">
        <f ca="1">IFERROR(__xludf.DUMMYFUNCTION("""COMPUTED_VALUE"""),"N")</f>
        <v>N</v>
      </c>
      <c r="AU68" s="3"/>
      <c r="AV68" s="3"/>
      <c r="AW68" s="3"/>
      <c r="AX68" s="3"/>
      <c r="AY68" s="3"/>
    </row>
    <row r="69" spans="1:51" ht="16.5" customHeight="1">
      <c r="A69" s="3">
        <f ca="1">IFERROR(__xludf.DUMMYFUNCTION("""COMPUTED_VALUE"""),3714)</f>
        <v>3714</v>
      </c>
      <c r="B69" s="3"/>
      <c r="C69" s="3">
        <f ca="1">IFERROR(__xludf.DUMMYFUNCTION("""COMPUTED_VALUE"""),272)</f>
        <v>272</v>
      </c>
      <c r="D69" s="3" t="str">
        <f ca="1">IFERROR(__xludf.DUMMYFUNCTION("""COMPUTED_VALUE"""),"Masculin")</f>
        <v>Masculin</v>
      </c>
      <c r="E69" s="4">
        <f ca="1">IFERROR(__xludf.DUMMYFUNCTION("""COMPUTED_VALUE"""),76)</f>
        <v>76</v>
      </c>
      <c r="F69" s="3" t="str">
        <f ca="1">IFERROR(__xludf.DUMMYFUNCTION("""COMPUTED_VALUE"""),"70-79 years")</f>
        <v>70-79 years</v>
      </c>
      <c r="G69" s="3" t="str">
        <f ca="1">IFERROR(__xludf.DUMMYFUNCTION("""COMPUTED_VALUE"""),"București")</f>
        <v>București</v>
      </c>
      <c r="H69" s="3"/>
      <c r="I69" s="3">
        <f ca="1">IFERROR(__xludf.DUMMYFUNCTION("""COMPUTED_VALUE"""),894)</f>
        <v>894</v>
      </c>
      <c r="J69" s="3" t="str">
        <f ca="1">IFERROR(__xludf.DUMMYFUNCTION("""COMPUTED_VALUE"""),"Nespecificat")</f>
        <v>Nespecificat</v>
      </c>
      <c r="K69" s="5">
        <f ca="1">IFERROR(__xludf.DUMMYFUNCTION("""COMPUTED_VALUE"""),43932)</f>
        <v>43932</v>
      </c>
      <c r="L69" s="5">
        <f ca="1">IFERROR(__xludf.DUMMYFUNCTION("""COMPUTED_VALUE"""),43931)</f>
        <v>43931</v>
      </c>
      <c r="M69" s="3" t="str">
        <f ca="1">IFERROR(__xludf.DUMMYFUNCTION("""COMPUTED_VALUE"""),"1")</f>
        <v>1</v>
      </c>
      <c r="N69" s="5">
        <f ca="1">IFERROR(__xludf.DUMMYFUNCTION("""COMPUTED_VALUE"""),43925)</f>
        <v>43925</v>
      </c>
      <c r="O69" s="5">
        <f ca="1">IFERROR(__xludf.DUMMYFUNCTION("""COMPUTED_VALUE"""),43926)</f>
        <v>43926</v>
      </c>
      <c r="P69" s="3" t="str">
        <f ca="1">IFERROR(__xludf.DUMMYFUNCTION("""COMPUTED_VALUE"""),"1")</f>
        <v>1</v>
      </c>
      <c r="Q69" s="3" t="str">
        <f ca="1">IFERROR(__xludf.DUMMYFUNCTION("""COMPUTED_VALUE"""),"5")</f>
        <v>5</v>
      </c>
      <c r="R69" s="3" t="str">
        <f ca="1">IFERROR(__xludf.DUMMYFUNCTION("""COMPUTED_VALUE"""),"Nu")</f>
        <v>Nu</v>
      </c>
      <c r="S69" s="3" t="str">
        <f ca="1">IFERROR(__xludf.DUMMYFUNCTION("""COMPUTED_VALUE"""),"4/4/2020")</f>
        <v>4/4/2020</v>
      </c>
      <c r="T69" s="3">
        <f ca="1">IFERROR(__xludf.DUMMYFUNCTION("""COMPUTED_VALUE"""),6)</f>
        <v>6</v>
      </c>
      <c r="U69" s="3" t="str">
        <f ca="1">IFERROR(__xludf.DUMMYFUNCTION("""COMPUTED_VALUE"""),"Da")</f>
        <v>Da</v>
      </c>
      <c r="V69" s="6" t="str">
        <f ca="1">IFERROR(__xludf.DUMMYFUNCTION("""COMPUTED_VALUE"""),"http://www.ms.ro/2020/04/11/decese-271-282/")</f>
        <v>http://www.ms.ro/2020/04/11/decese-271-282/</v>
      </c>
      <c r="W69" s="3"/>
      <c r="X69" s="3"/>
      <c r="Y69" s="3"/>
      <c r="Z69" s="3"/>
      <c r="AA69" s="3"/>
      <c r="AB69" s="3" t="str">
        <f ca="1">IFERROR(__xludf.DUMMYFUNCTION("""COMPUTED_VALUE"""),"Bărbat, 76 de ani din municipiul București.
Data internării: 04.04.2020 la Spitalul Clinic de Urgență București, transferat în data de 05.04.2020 în secția ATI a Spitalului Colentina.
Data recoltării: 04.04.2020.
Data confirmării: 05.04.2020
Data decesulu"&amp;"i: 10.04.2020
Comorbiditati : încă necunoscute.")</f>
        <v>Bărbat, 76 de ani din municipiul București.
Data internării: 04.04.2020 la Spitalul Clinic de Urgență București, transferat în data de 05.04.2020 în secția ATI a Spitalului Colentina.
Data recoltării: 04.04.2020.
Data confirmării: 05.04.2020
Data decesului: 10.04.2020
Comorbiditati : încă necunoscute.</v>
      </c>
      <c r="AC69" s="3"/>
      <c r="AD69" s="3" t="str">
        <f ca="1">IFERROR(__xludf.DUMMYFUNCTION("""COMPUTED_VALUE"""),"MS")</f>
        <v>MS</v>
      </c>
      <c r="AE69" s="3"/>
      <c r="AF69" s="3"/>
      <c r="AG69" s="3" t="str">
        <f ca="1">IFERROR(__xludf.DUMMYFUNCTION("""COMPUTED_VALUE"""),"Nu")</f>
        <v>Nu</v>
      </c>
      <c r="AH69" s="3" t="str">
        <f ca="1">IFERROR(__xludf.DUMMYFUNCTION("""COMPUTED_VALUE"""),"Nu")</f>
        <v>Nu</v>
      </c>
      <c r="AI69" s="3" t="str">
        <f ca="1">IFERROR(__xludf.DUMMYFUNCTION("""COMPUTED_VALUE"""),"Fără afecțiuni preexistente cunoscute")</f>
        <v>Fără afecțiuni preexistente cunoscute</v>
      </c>
      <c r="AJ69" s="7" t="str">
        <f ca="1">IFERROR(__xludf.DUMMYFUNCTION("""COMPUTED_VALUE"""),"N")</f>
        <v>N</v>
      </c>
      <c r="AK69" s="7" t="str">
        <f ca="1">IFERROR(__xludf.DUMMYFUNCTION("""COMPUTED_VALUE"""),"N")</f>
        <v>N</v>
      </c>
      <c r="AL69" s="7" t="str">
        <f ca="1">IFERROR(__xludf.DUMMYFUNCTION("""COMPUTED_VALUE"""),"N")</f>
        <v>N</v>
      </c>
      <c r="AM69" s="7" t="str">
        <f ca="1">IFERROR(__xludf.DUMMYFUNCTION("""COMPUTED_VALUE"""),"N")</f>
        <v>N</v>
      </c>
      <c r="AN69" s="7" t="str">
        <f ca="1">IFERROR(__xludf.DUMMYFUNCTION("""COMPUTED_VALUE"""),"N")</f>
        <v>N</v>
      </c>
      <c r="AO69" s="7" t="str">
        <f ca="1">IFERROR(__xludf.DUMMYFUNCTION("""COMPUTED_VALUE"""),"N")</f>
        <v>N</v>
      </c>
      <c r="AP69" s="7" t="str">
        <f ca="1">IFERROR(__xludf.DUMMYFUNCTION("""COMPUTED_VALUE"""),"N")</f>
        <v>N</v>
      </c>
      <c r="AQ69" s="7" t="str">
        <f ca="1">IFERROR(__xludf.DUMMYFUNCTION("""COMPUTED_VALUE"""),"N")</f>
        <v>N</v>
      </c>
      <c r="AR69" s="7" t="str">
        <f ca="1">IFERROR(__xludf.DUMMYFUNCTION("""COMPUTED_VALUE"""),"N")</f>
        <v>N</v>
      </c>
      <c r="AS69" s="7" t="str">
        <f ca="1">IFERROR(__xludf.DUMMYFUNCTION("""COMPUTED_VALUE"""),"N")</f>
        <v>N</v>
      </c>
      <c r="AT69" s="7" t="str">
        <f ca="1">IFERROR(__xludf.DUMMYFUNCTION("""COMPUTED_VALUE"""),"Y")</f>
        <v>Y</v>
      </c>
      <c r="AU69" s="3"/>
      <c r="AV69" s="3"/>
      <c r="AW69" s="3"/>
      <c r="AX69" s="3"/>
      <c r="AY69" s="3"/>
    </row>
    <row r="70" spans="1:51" ht="16.5" customHeight="1">
      <c r="A70" s="3">
        <f ca="1">IFERROR(__xludf.DUMMYFUNCTION("""COMPUTED_VALUE"""),1760)</f>
        <v>1760</v>
      </c>
      <c r="B70" s="3"/>
      <c r="C70" s="3">
        <f ca="1">IFERROR(__xludf.DUMMYFUNCTION("""COMPUTED_VALUE"""),262)</f>
        <v>262</v>
      </c>
      <c r="D70" s="3" t="str">
        <f ca="1">IFERROR(__xludf.DUMMYFUNCTION("""COMPUTED_VALUE"""),"Feminin")</f>
        <v>Feminin</v>
      </c>
      <c r="E70" s="4">
        <f ca="1">IFERROR(__xludf.DUMMYFUNCTION("""COMPUTED_VALUE"""),80)</f>
        <v>80</v>
      </c>
      <c r="F70" s="3" t="str">
        <f ca="1">IFERROR(__xludf.DUMMYFUNCTION("""COMPUTED_VALUE"""),"Over 80 years")</f>
        <v>Over 80 years</v>
      </c>
      <c r="G70" s="3" t="str">
        <f ca="1">IFERROR(__xludf.DUMMYFUNCTION("""COMPUTED_VALUE"""),"București")</f>
        <v>București</v>
      </c>
      <c r="H70" s="3"/>
      <c r="I70" s="3">
        <f ca="1">IFERROR(__xludf.DUMMYFUNCTION("""COMPUTED_VALUE"""),1042)</f>
        <v>1042</v>
      </c>
      <c r="J70" s="3" t="str">
        <f ca="1">IFERROR(__xludf.DUMMYFUNCTION("""COMPUTED_VALUE"""),"Boală cardiovasculară")</f>
        <v>Boală cardiovasculară</v>
      </c>
      <c r="K70" s="5">
        <f ca="1">IFERROR(__xludf.DUMMYFUNCTION("""COMPUTED_VALUE"""),43931)</f>
        <v>43931</v>
      </c>
      <c r="L70" s="5">
        <f ca="1">IFERROR(__xludf.DUMMYFUNCTION("""COMPUTED_VALUE"""),43930)</f>
        <v>43930</v>
      </c>
      <c r="M70" s="3" t="str">
        <f ca="1">IFERROR(__xludf.DUMMYFUNCTION("""COMPUTED_VALUE"""),"1")</f>
        <v>1</v>
      </c>
      <c r="N70" s="5">
        <f ca="1">IFERROR(__xludf.DUMMYFUNCTION("""COMPUTED_VALUE"""),0)</f>
        <v>0</v>
      </c>
      <c r="O70" s="5">
        <f ca="1">IFERROR(__xludf.DUMMYFUNCTION("""COMPUTED_VALUE"""),0)</f>
        <v>0</v>
      </c>
      <c r="P70" s="3" t="str">
        <f ca="1">IFERROR(__xludf.DUMMYFUNCTION("""COMPUTED_VALUE"""),"Necunoscut")</f>
        <v>Necunoscut</v>
      </c>
      <c r="Q70" s="3" t="str">
        <f ca="1">IFERROR(__xludf.DUMMYFUNCTION("""COMPUTED_VALUE"""),"Necunoscut")</f>
        <v>Necunoscut</v>
      </c>
      <c r="R70" s="3" t="str">
        <f ca="1">IFERROR(__xludf.DUMMYFUNCTION("""COMPUTED_VALUE"""),"Nu")</f>
        <v>Nu</v>
      </c>
      <c r="S70" s="3" t="str">
        <f ca="1">IFERROR(__xludf.DUMMYFUNCTION("""COMPUTED_VALUE"""),"3/15/2020")</f>
        <v>3/15/2020</v>
      </c>
      <c r="T70" s="3">
        <f ca="1">IFERROR(__xludf.DUMMYFUNCTION("""COMPUTED_VALUE"""),25)</f>
        <v>25</v>
      </c>
      <c r="U70" s="3" t="str">
        <f ca="1">IFERROR(__xludf.DUMMYFUNCTION("""COMPUTED_VALUE"""),"Da")</f>
        <v>Da</v>
      </c>
      <c r="V70" s="6" t="str">
        <f ca="1">IFERROR(__xludf.DUMMYFUNCTION("""COMPUTED_VALUE"""),"http://www.ms.ro/2020/04/10/decese-258-265/")</f>
        <v>http://www.ms.ro/2020/04/10/decese-258-265/</v>
      </c>
      <c r="W70" s="3" t="str">
        <f ca="1">IFERROR(__xludf.DUMMYFUNCTION("""COMPUTED_VALUE"""),"SUUB Bucuresti")</f>
        <v>SUUB Bucuresti</v>
      </c>
      <c r="X70" s="3"/>
      <c r="Y70" s="3" t="str">
        <f ca="1">IFERROR(__xludf.DUMMYFUNCTION("""COMPUTED_VALUE"""),"Spitalul Clinic de Boli Infecțioase și Tropicale “Victor Babeș” București")</f>
        <v>Spitalul Clinic de Boli Infecțioase și Tropicale “Victor Babeș” București</v>
      </c>
      <c r="Z70" s="3"/>
      <c r="AA70" s="3" t="str">
        <f ca="1">IFERROR(__xludf.DUMMYFUNCTION("""COMPUTED_VALUE"""),"Spitalul Clinic de Boli Infecțioase și Tropicale “Victor Babeș” București")</f>
        <v>Spitalul Clinic de Boli Infecțioase și Tropicale “Victor Babeș” București</v>
      </c>
      <c r="AB70" s="3" t="str">
        <f ca="1">IFERROR(__xludf.DUMMYFUNCTION("""COMPUTED_VALUE"""),"Femeie, 80 de ani din municipiul București.
Debut pe 29.03.2020.
Internata in perioada 15.03.2020-31.03.2020 in SUUB Bucuresti, trasnferata pe 31.03.2020 în Spitalul Clinic de Boli Infecțioase și Tropicale “Victor Babeș” București.
Decedata pe 09.04."&amp;"2020.
Comorbiditati : Boală cardiovasculară.")</f>
        <v>Femeie, 80 de ani din municipiul București.
Debut pe 29.03.2020.
Internata in perioada 15.03.2020-31.03.2020 in SUUB Bucuresti, trasnferata pe 31.03.2020 în Spitalul Clinic de Boli Infecțioase și Tropicale “Victor Babeș” București.
Decedata pe 09.04.2020.
Comorbiditati : Boală cardiovasculară.</v>
      </c>
      <c r="AC70" s="3"/>
      <c r="AD70" s="3" t="str">
        <f ca="1">IFERROR(__xludf.DUMMYFUNCTION("""COMPUTED_VALUE"""),"MS")</f>
        <v>MS</v>
      </c>
      <c r="AE70" s="3"/>
      <c r="AF70" s="3"/>
      <c r="AG70" s="3" t="str">
        <f ca="1">IFERROR(__xludf.DUMMYFUNCTION("""COMPUTED_VALUE"""),"Nu")</f>
        <v>Nu</v>
      </c>
      <c r="AH70" s="3" t="str">
        <f ca="1">IFERROR(__xludf.DUMMYFUNCTION("""COMPUTED_VALUE"""),"Nu")</f>
        <v>Nu</v>
      </c>
      <c r="AI70" s="3" t="str">
        <f ca="1">IFERROR(__xludf.DUMMYFUNCTION("""COMPUTED_VALUE"""),"Afecțiuni cardiovasculare")</f>
        <v>Afecțiuni cardiovasculare</v>
      </c>
      <c r="AJ70" s="7" t="str">
        <f ca="1">IFERROR(__xludf.DUMMYFUNCTION("""COMPUTED_VALUE"""),"Y")</f>
        <v>Y</v>
      </c>
      <c r="AK70" s="7" t="str">
        <f ca="1">IFERROR(__xludf.DUMMYFUNCTION("""COMPUTED_VALUE"""),"N")</f>
        <v>N</v>
      </c>
      <c r="AL70" s="7" t="str">
        <f ca="1">IFERROR(__xludf.DUMMYFUNCTION("""COMPUTED_VALUE"""),"N")</f>
        <v>N</v>
      </c>
      <c r="AM70" s="7" t="str">
        <f ca="1">IFERROR(__xludf.DUMMYFUNCTION("""COMPUTED_VALUE"""),"N")</f>
        <v>N</v>
      </c>
      <c r="AN70" s="7" t="str">
        <f ca="1">IFERROR(__xludf.DUMMYFUNCTION("""COMPUTED_VALUE"""),"N")</f>
        <v>N</v>
      </c>
      <c r="AO70" s="7" t="str">
        <f ca="1">IFERROR(__xludf.DUMMYFUNCTION("""COMPUTED_VALUE"""),"N")</f>
        <v>N</v>
      </c>
      <c r="AP70" s="7" t="str">
        <f ca="1">IFERROR(__xludf.DUMMYFUNCTION("""COMPUTED_VALUE"""),"N")</f>
        <v>N</v>
      </c>
      <c r="AQ70" s="7" t="str">
        <f ca="1">IFERROR(__xludf.DUMMYFUNCTION("""COMPUTED_VALUE"""),"N")</f>
        <v>N</v>
      </c>
      <c r="AR70" s="7" t="str">
        <f ca="1">IFERROR(__xludf.DUMMYFUNCTION("""COMPUTED_VALUE"""),"N")</f>
        <v>N</v>
      </c>
      <c r="AS70" s="7" t="str">
        <f ca="1">IFERROR(__xludf.DUMMYFUNCTION("""COMPUTED_VALUE"""),"N")</f>
        <v>N</v>
      </c>
      <c r="AT70" s="7" t="str">
        <f ca="1">IFERROR(__xludf.DUMMYFUNCTION("""COMPUTED_VALUE"""),"N")</f>
        <v>N</v>
      </c>
      <c r="AU70" s="3"/>
      <c r="AV70" s="3"/>
      <c r="AW70" s="3"/>
      <c r="AX70" s="3"/>
      <c r="AY70" s="3"/>
    </row>
    <row r="71" spans="1:51" ht="16.5" customHeight="1">
      <c r="A71" s="3">
        <f ca="1">IFERROR(__xludf.DUMMYFUNCTION("""COMPUTED_VALUE"""),3219)</f>
        <v>3219</v>
      </c>
      <c r="B71" s="3"/>
      <c r="C71" s="3">
        <f ca="1">IFERROR(__xludf.DUMMYFUNCTION("""COMPUTED_VALUE"""),252)</f>
        <v>252</v>
      </c>
      <c r="D71" s="3" t="str">
        <f ca="1">IFERROR(__xludf.DUMMYFUNCTION("""COMPUTED_VALUE"""),"Feminin")</f>
        <v>Feminin</v>
      </c>
      <c r="E71" s="4">
        <f ca="1">IFERROR(__xludf.DUMMYFUNCTION("""COMPUTED_VALUE"""),77)</f>
        <v>77</v>
      </c>
      <c r="F71" s="3" t="str">
        <f ca="1">IFERROR(__xludf.DUMMYFUNCTION("""COMPUTED_VALUE"""),"70-79 years")</f>
        <v>70-79 years</v>
      </c>
      <c r="G71" s="3" t="str">
        <f ca="1">IFERROR(__xludf.DUMMYFUNCTION("""COMPUTED_VALUE"""),"București")</f>
        <v>București</v>
      </c>
      <c r="H71" s="3"/>
      <c r="I71" s="3">
        <f ca="1">IFERROR(__xludf.DUMMYFUNCTION("""COMPUTED_VALUE"""),929)</f>
        <v>929</v>
      </c>
      <c r="J71" s="3" t="str">
        <f ca="1">IFERROR(__xludf.DUMMYFUNCTION("""COMPUTED_VALUE"""),"Insuficiență Renală Cronică")</f>
        <v>Insuficiență Renală Cronică</v>
      </c>
      <c r="K71" s="5">
        <f ca="1">IFERROR(__xludf.DUMMYFUNCTION("""COMPUTED_VALUE"""),43931)</f>
        <v>43931</v>
      </c>
      <c r="L71" s="5">
        <f ca="1">IFERROR(__xludf.DUMMYFUNCTION("""COMPUTED_VALUE"""),43930)</f>
        <v>43930</v>
      </c>
      <c r="M71" s="3" t="str">
        <f ca="1">IFERROR(__xludf.DUMMYFUNCTION("""COMPUTED_VALUE"""),"1")</f>
        <v>1</v>
      </c>
      <c r="N71" s="5">
        <f ca="1">IFERROR(__xludf.DUMMYFUNCTION("""COMPUTED_VALUE"""),0)</f>
        <v>0</v>
      </c>
      <c r="O71" s="5">
        <f ca="1">IFERROR(__xludf.DUMMYFUNCTION("""COMPUTED_VALUE"""),43925)</f>
        <v>43925</v>
      </c>
      <c r="P71" s="3" t="str">
        <f ca="1">IFERROR(__xludf.DUMMYFUNCTION("""COMPUTED_VALUE"""),"Necunoscut")</f>
        <v>Necunoscut</v>
      </c>
      <c r="Q71" s="3" t="str">
        <f ca="1">IFERROR(__xludf.DUMMYFUNCTION("""COMPUTED_VALUE"""),"5")</f>
        <v>5</v>
      </c>
      <c r="R71" s="3" t="str">
        <f ca="1">IFERROR(__xludf.DUMMYFUNCTION("""COMPUTED_VALUE"""),"Nu")</f>
        <v>Nu</v>
      </c>
      <c r="S71" s="3" t="str">
        <f ca="1">IFERROR(__xludf.DUMMYFUNCTION("""COMPUTED_VALUE"""),"3/20/2020")</f>
        <v>3/20/2020</v>
      </c>
      <c r="T71" s="3">
        <f ca="1">IFERROR(__xludf.DUMMYFUNCTION("""COMPUTED_VALUE"""),20)</f>
        <v>20</v>
      </c>
      <c r="U71" s="3" t="str">
        <f ca="1">IFERROR(__xludf.DUMMYFUNCTION("""COMPUTED_VALUE"""),"Da")</f>
        <v>Da</v>
      </c>
      <c r="V71" s="6" t="str">
        <f ca="1">IFERROR(__xludf.DUMMYFUNCTION("""COMPUTED_VALUE"""),"http://www.ms.ro/2020/04/10/deces-249-257/")</f>
        <v>http://www.ms.ro/2020/04/10/deces-249-257/</v>
      </c>
      <c r="W71" s="3"/>
      <c r="X71" s="3"/>
      <c r="Y71" s="3"/>
      <c r="Z71" s="3"/>
      <c r="AA71" s="3"/>
      <c r="AB71" s="3" t="str">
        <f ca="1">IFERROR(__xludf.DUMMYFUNCTION("""COMPUTED_VALUE"""),"Femeie, 77 ani, Bucuresti. Internată în Spitalul Universitar în 20.03.2020 pentru dializă.
Confirmată cu COVID-19 în data de 4.04.2020 și transferată la Spitalul Colentina.
Decedată în data de 9.04.2020
Comorbiditati: Insuficiență Renală Cronică")</f>
        <v>Femeie, 77 ani, Bucuresti. Internată în Spitalul Universitar în 20.03.2020 pentru dializă.
Confirmată cu COVID-19 în data de 4.04.2020 și transferată la Spitalul Colentina.
Decedată în data de 9.04.2020
Comorbiditati: Insuficiență Renală Cronică</v>
      </c>
      <c r="AC71" s="3" t="str">
        <f ca="1">IFERROR(__xludf.DUMMYFUNCTION("""COMPUTED_VALUE"""),"Nespecificat")</f>
        <v>Nespecificat</v>
      </c>
      <c r="AD71" s="3" t="str">
        <f ca="1">IFERROR(__xludf.DUMMYFUNCTION("""COMPUTED_VALUE"""),"MS")</f>
        <v>MS</v>
      </c>
      <c r="AE71" s="3" t="str">
        <f ca="1">IFERROR(__xludf.DUMMYFUNCTION("""COMPUTED_VALUE"""),"Nespecificat")</f>
        <v>Nespecificat</v>
      </c>
      <c r="AF71" s="3" t="str">
        <f ca="1">IFERROR(__xludf.DUMMYFUNCTION("""COMPUTED_VALUE"""),"Nespecificat")</f>
        <v>Nespecificat</v>
      </c>
      <c r="AG71" s="3" t="str">
        <f ca="1">IFERROR(__xludf.DUMMYFUNCTION("""COMPUTED_VALUE"""),"Nu")</f>
        <v>Nu</v>
      </c>
      <c r="AH71" s="3" t="str">
        <f ca="1">IFERROR(__xludf.DUMMYFUNCTION("""COMPUTED_VALUE"""),"Nu")</f>
        <v>Nu</v>
      </c>
      <c r="AI71" s="3" t="str">
        <f ca="1">IFERROR(__xludf.DUMMYFUNCTION("""COMPUTED_VALUE"""),"Afecțiuni renale")</f>
        <v>Afecțiuni renale</v>
      </c>
      <c r="AJ71" s="7" t="str">
        <f ca="1">IFERROR(__xludf.DUMMYFUNCTION("""COMPUTED_VALUE"""),"N")</f>
        <v>N</v>
      </c>
      <c r="AK71" s="7" t="str">
        <f ca="1">IFERROR(__xludf.DUMMYFUNCTION("""COMPUTED_VALUE"""),"N")</f>
        <v>N</v>
      </c>
      <c r="AL71" s="7" t="str">
        <f ca="1">IFERROR(__xludf.DUMMYFUNCTION("""COMPUTED_VALUE"""),"Y")</f>
        <v>Y</v>
      </c>
      <c r="AM71" s="7" t="str">
        <f ca="1">IFERROR(__xludf.DUMMYFUNCTION("""COMPUTED_VALUE"""),"N")</f>
        <v>N</v>
      </c>
      <c r="AN71" s="7" t="str">
        <f ca="1">IFERROR(__xludf.DUMMYFUNCTION("""COMPUTED_VALUE"""),"N")</f>
        <v>N</v>
      </c>
      <c r="AO71" s="7" t="str">
        <f ca="1">IFERROR(__xludf.DUMMYFUNCTION("""COMPUTED_VALUE"""),"N")</f>
        <v>N</v>
      </c>
      <c r="AP71" s="7" t="str">
        <f ca="1">IFERROR(__xludf.DUMMYFUNCTION("""COMPUTED_VALUE"""),"N")</f>
        <v>N</v>
      </c>
      <c r="AQ71" s="7" t="str">
        <f ca="1">IFERROR(__xludf.DUMMYFUNCTION("""COMPUTED_VALUE"""),"Y")</f>
        <v>Y</v>
      </c>
      <c r="AR71" s="7" t="str">
        <f ca="1">IFERROR(__xludf.DUMMYFUNCTION("""COMPUTED_VALUE"""),"N")</f>
        <v>N</v>
      </c>
      <c r="AS71" s="7" t="str">
        <f ca="1">IFERROR(__xludf.DUMMYFUNCTION("""COMPUTED_VALUE"""),"N")</f>
        <v>N</v>
      </c>
      <c r="AT71" s="7" t="str">
        <f ca="1">IFERROR(__xludf.DUMMYFUNCTION("""COMPUTED_VALUE"""),"N")</f>
        <v>N</v>
      </c>
      <c r="AU71" s="3"/>
      <c r="AV71" s="3"/>
      <c r="AW71" s="3"/>
      <c r="AX71" s="3"/>
      <c r="AY71" s="3"/>
    </row>
    <row r="72" spans="1:51" ht="16.5" customHeight="1">
      <c r="A72" s="3">
        <f ca="1">IFERROR(__xludf.DUMMYFUNCTION("""COMPUTED_VALUE"""),772)</f>
        <v>772</v>
      </c>
      <c r="B72" s="3">
        <f ca="1">IFERROR(__xludf.DUMMYFUNCTION("""COMPUTED_VALUE"""),328)</f>
        <v>328</v>
      </c>
      <c r="C72" s="3">
        <f ca="1">IFERROR(__xludf.DUMMYFUNCTION("""COMPUTED_VALUE"""),242)</f>
        <v>242</v>
      </c>
      <c r="D72" s="3" t="str">
        <f ca="1">IFERROR(__xludf.DUMMYFUNCTION("""COMPUTED_VALUE"""),"Feminin")</f>
        <v>Feminin</v>
      </c>
      <c r="E72" s="4">
        <f ca="1">IFERROR(__xludf.DUMMYFUNCTION("""COMPUTED_VALUE"""),72)</f>
        <v>72</v>
      </c>
      <c r="F72" s="3" t="str">
        <f ca="1">IFERROR(__xludf.DUMMYFUNCTION("""COMPUTED_VALUE"""),"70-79 years")</f>
        <v>70-79 years</v>
      </c>
      <c r="G72" s="3" t="str">
        <f ca="1">IFERROR(__xludf.DUMMYFUNCTION("""COMPUTED_VALUE"""),"București")</f>
        <v>București</v>
      </c>
      <c r="H72" s="3"/>
      <c r="I72" s="3">
        <f ca="1">IFERROR(__xludf.DUMMYFUNCTION("""COMPUTED_VALUE"""),763)</f>
        <v>763</v>
      </c>
      <c r="J72" s="3" t="str">
        <f ca="1">IFERROR(__xludf.DUMMYFUNCTION("""COMPUTED_VALUE"""),"Insuficiență renală cronică dializată în centru de dializă")</f>
        <v>Insuficiență renală cronică dializată în centru de dializă</v>
      </c>
      <c r="K72" s="5">
        <f ca="1">IFERROR(__xludf.DUMMYFUNCTION("""COMPUTED_VALUE"""),43930)</f>
        <v>43930</v>
      </c>
      <c r="L72" s="5">
        <f ca="1">IFERROR(__xludf.DUMMYFUNCTION("""COMPUTED_VALUE"""),43927)</f>
        <v>43927</v>
      </c>
      <c r="M72" s="3" t="str">
        <f ca="1">IFERROR(__xludf.DUMMYFUNCTION("""COMPUTED_VALUE"""),"3")</f>
        <v>3</v>
      </c>
      <c r="N72" s="5">
        <f ca="1">IFERROR(__xludf.DUMMYFUNCTION("""COMPUTED_VALUE"""),0)</f>
        <v>0</v>
      </c>
      <c r="O72" s="5">
        <f ca="1">IFERROR(__xludf.DUMMYFUNCTION("""COMPUTED_VALUE"""),43915)</f>
        <v>43915</v>
      </c>
      <c r="P72" s="3" t="str">
        <f ca="1">IFERROR(__xludf.DUMMYFUNCTION("""COMPUTED_VALUE"""),"Necunoscut")</f>
        <v>Necunoscut</v>
      </c>
      <c r="Q72" s="3" t="str">
        <f ca="1">IFERROR(__xludf.DUMMYFUNCTION("""COMPUTED_VALUE"""),"12")</f>
        <v>12</v>
      </c>
      <c r="R72" s="3" t="str">
        <f ca="1">IFERROR(__xludf.DUMMYFUNCTION("""COMPUTED_VALUE"""),"Nu")</f>
        <v>Nu</v>
      </c>
      <c r="S72" s="3" t="str">
        <f ca="1">IFERROR(__xludf.DUMMYFUNCTION("""COMPUTED_VALUE"""),"4/5/2020")</f>
        <v>4/5/2020</v>
      </c>
      <c r="T72" s="3">
        <f ca="1">IFERROR(__xludf.DUMMYFUNCTION("""COMPUTED_VALUE"""),1)</f>
        <v>1</v>
      </c>
      <c r="U72" s="3" t="str">
        <f ca="1">IFERROR(__xludf.DUMMYFUNCTION("""COMPUTED_VALUE"""),"Da")</f>
        <v>Da</v>
      </c>
      <c r="V72" s="6" t="str">
        <f ca="1">IFERROR(__xludf.DUMMYFUNCTION("""COMPUTED_VALUE"""),"http://www.ms.ro/2020/04/09/decese-230-246/")</f>
        <v>http://www.ms.ro/2020/04/09/decese-230-246/</v>
      </c>
      <c r="W72" s="3"/>
      <c r="X72" s="3"/>
      <c r="Y72" s="3"/>
      <c r="Z72" s="3"/>
      <c r="AA72" s="3"/>
      <c r="AB72" s="3" t="str">
        <f ca="1">IFERROR(__xludf.DUMMYFUNCTION("""COMPUTED_VALUE"""),"Femeie, 72 ani din București. Pacientă cu insuficiență renală cronică dializată în centru de dializă.
Confirmată cu COVID-19 în 25.03.2020.
Decedată în 6.04.2020.")</f>
        <v>Femeie, 72 ani din București. Pacientă cu insuficiență renală cronică dializată în centru de dializă.
Confirmată cu COVID-19 în 25.03.2020.
Decedată în 6.04.2020.</v>
      </c>
      <c r="AC72" s="3" t="str">
        <f ca="1">IFERROR(__xludf.DUMMYFUNCTION("""COMPUTED_VALUE"""),"Nespecificat")</f>
        <v>Nespecificat</v>
      </c>
      <c r="AD72" s="3" t="str">
        <f ca="1">IFERROR(__xludf.DUMMYFUNCTION("""COMPUTED_VALUE"""),"MS")</f>
        <v>MS</v>
      </c>
      <c r="AE72" s="3" t="str">
        <f ca="1">IFERROR(__xludf.DUMMYFUNCTION("""COMPUTED_VALUE"""),"Nespecificat")</f>
        <v>Nespecificat</v>
      </c>
      <c r="AF72" s="3" t="str">
        <f ca="1">IFERROR(__xludf.DUMMYFUNCTION("""COMPUTED_VALUE"""),"Caz centru privat dializă Diaverum-Sema Parc")</f>
        <v>Caz centru privat dializă Diaverum-Sema Parc</v>
      </c>
      <c r="AG72" s="3" t="str">
        <f ca="1">IFERROR(__xludf.DUMMYFUNCTION("""COMPUTED_VALUE"""),"Da")</f>
        <v>Da</v>
      </c>
      <c r="AH72" s="3" t="str">
        <f ca="1">IFERROR(__xludf.DUMMYFUNCTION("""COMPUTED_VALUE"""),"Nu")</f>
        <v>Nu</v>
      </c>
      <c r="AI72" s="3" t="str">
        <f ca="1">IFERROR(__xludf.DUMMYFUNCTION("""COMPUTED_VALUE"""),"Afecțiuni renale")</f>
        <v>Afecțiuni renale</v>
      </c>
      <c r="AJ72" s="7" t="str">
        <f ca="1">IFERROR(__xludf.DUMMYFUNCTION("""COMPUTED_VALUE"""),"N")</f>
        <v>N</v>
      </c>
      <c r="AK72" s="7" t="str">
        <f ca="1">IFERROR(__xludf.DUMMYFUNCTION("""COMPUTED_VALUE"""),"N")</f>
        <v>N</v>
      </c>
      <c r="AL72" s="7" t="str">
        <f ca="1">IFERROR(__xludf.DUMMYFUNCTION("""COMPUTED_VALUE"""),"Y")</f>
        <v>Y</v>
      </c>
      <c r="AM72" s="7" t="str">
        <f ca="1">IFERROR(__xludf.DUMMYFUNCTION("""COMPUTED_VALUE"""),"N")</f>
        <v>N</v>
      </c>
      <c r="AN72" s="7" t="str">
        <f ca="1">IFERROR(__xludf.DUMMYFUNCTION("""COMPUTED_VALUE"""),"N")</f>
        <v>N</v>
      </c>
      <c r="AO72" s="7" t="str">
        <f ca="1">IFERROR(__xludf.DUMMYFUNCTION("""COMPUTED_VALUE"""),"N")</f>
        <v>N</v>
      </c>
      <c r="AP72" s="7" t="str">
        <f ca="1">IFERROR(__xludf.DUMMYFUNCTION("""COMPUTED_VALUE"""),"N")</f>
        <v>N</v>
      </c>
      <c r="AQ72" s="7" t="str">
        <f ca="1">IFERROR(__xludf.DUMMYFUNCTION("""COMPUTED_VALUE"""),"Y")</f>
        <v>Y</v>
      </c>
      <c r="AR72" s="7" t="str">
        <f ca="1">IFERROR(__xludf.DUMMYFUNCTION("""COMPUTED_VALUE"""),"N")</f>
        <v>N</v>
      </c>
      <c r="AS72" s="7" t="str">
        <f ca="1">IFERROR(__xludf.DUMMYFUNCTION("""COMPUTED_VALUE"""),"N")</f>
        <v>N</v>
      </c>
      <c r="AT72" s="7" t="str">
        <f ca="1">IFERROR(__xludf.DUMMYFUNCTION("""COMPUTED_VALUE"""),"N")</f>
        <v>N</v>
      </c>
      <c r="AU72" s="3"/>
      <c r="AV72" s="3"/>
      <c r="AW72" s="3"/>
      <c r="AX72" s="3"/>
      <c r="AY72" s="3"/>
    </row>
    <row r="73" spans="1:51" ht="16.5" customHeight="1">
      <c r="A73" s="3">
        <f ca="1">IFERROR(__xludf.DUMMYFUNCTION("""COMPUTED_VALUE"""),4055)</f>
        <v>4055</v>
      </c>
      <c r="B73" s="3"/>
      <c r="C73" s="3">
        <f ca="1">IFERROR(__xludf.DUMMYFUNCTION("""COMPUTED_VALUE"""),241)</f>
        <v>241</v>
      </c>
      <c r="D73" s="3" t="str">
        <f ca="1">IFERROR(__xludf.DUMMYFUNCTION("""COMPUTED_VALUE"""),"Feminin")</f>
        <v>Feminin</v>
      </c>
      <c r="E73" s="4">
        <f ca="1">IFERROR(__xludf.DUMMYFUNCTION("""COMPUTED_VALUE"""),69)</f>
        <v>69</v>
      </c>
      <c r="F73" s="3" t="str">
        <f ca="1">IFERROR(__xludf.DUMMYFUNCTION("""COMPUTED_VALUE"""),"60-69 years")</f>
        <v>60-69 years</v>
      </c>
      <c r="G73" s="3" t="str">
        <f ca="1">IFERROR(__xludf.DUMMYFUNCTION("""COMPUTED_VALUE"""),"București")</f>
        <v>București</v>
      </c>
      <c r="H73" s="3"/>
      <c r="I73" s="3">
        <f ca="1">IFERROR(__xludf.DUMMYFUNCTION("""COMPUTED_VALUE"""),633)</f>
        <v>633</v>
      </c>
      <c r="J73" s="3" t="str">
        <f ca="1">IFERROR(__xludf.DUMMYFUNCTION("""COMPUTED_VALUE"""),"Boala ischemica cronica, Valvulopatie mitrala, Hipertensiune pulmonara secundara, Diabet zaharat tip II, Insuficienta venoasa cronica, Tulburare neuro-cognitiva")</f>
        <v>Boala ischemica cronica, Valvulopatie mitrala, Hipertensiune pulmonara secundara, Diabet zaharat tip II, Insuficienta venoasa cronica, Tulburare neuro-cognitiva</v>
      </c>
      <c r="K73" s="5">
        <f ca="1">IFERROR(__xludf.DUMMYFUNCTION("""COMPUTED_VALUE"""),43930)</f>
        <v>43930</v>
      </c>
      <c r="L73" s="5">
        <f ca="1">IFERROR(__xludf.DUMMYFUNCTION("""COMPUTED_VALUE"""),43930)</f>
        <v>43930</v>
      </c>
      <c r="M73" s="3" t="str">
        <f ca="1">IFERROR(__xludf.DUMMYFUNCTION("""COMPUTED_VALUE"""),"0")</f>
        <v>0</v>
      </c>
      <c r="N73" s="5">
        <f ca="1">IFERROR(__xludf.DUMMYFUNCTION("""COMPUTED_VALUE"""),43927)</f>
        <v>43927</v>
      </c>
      <c r="O73" s="5">
        <f ca="1">IFERROR(__xludf.DUMMYFUNCTION("""COMPUTED_VALUE"""),43927)</f>
        <v>43927</v>
      </c>
      <c r="P73" s="3" t="str">
        <f ca="1">IFERROR(__xludf.DUMMYFUNCTION("""COMPUTED_VALUE"""),"0")</f>
        <v>0</v>
      </c>
      <c r="Q73" s="3" t="str">
        <f ca="1">IFERROR(__xludf.DUMMYFUNCTION("""COMPUTED_VALUE"""),"3")</f>
        <v>3</v>
      </c>
      <c r="R73" s="3" t="str">
        <f ca="1">IFERROR(__xludf.DUMMYFUNCTION("""COMPUTED_VALUE"""),"Nu")</f>
        <v>Nu</v>
      </c>
      <c r="S73" s="3" t="str">
        <f ca="1">IFERROR(__xludf.DUMMYFUNCTION("""COMPUTED_VALUE"""),"4/6/2020")</f>
        <v>4/6/2020</v>
      </c>
      <c r="T73" s="3">
        <f ca="1">IFERROR(__xludf.DUMMYFUNCTION("""COMPUTED_VALUE"""),3)</f>
        <v>3</v>
      </c>
      <c r="U73" s="3" t="str">
        <f ca="1">IFERROR(__xludf.DUMMYFUNCTION("""COMPUTED_VALUE"""),"Da")</f>
        <v>Da</v>
      </c>
      <c r="V73" s="6" t="str">
        <f ca="1">IFERROR(__xludf.DUMMYFUNCTION("""COMPUTED_VALUE"""),"http://www.ms.ro/2020/04/09/decese-230-246/")</f>
        <v>http://www.ms.ro/2020/04/09/decese-230-246/</v>
      </c>
      <c r="W73" s="3"/>
      <c r="X73" s="3"/>
      <c r="Y73" s="3"/>
      <c r="Z73" s="3"/>
      <c r="AA73" s="3"/>
      <c r="AB73" s="3" t="str">
        <f ca="1">IFERROR(__xludf.DUMMYFUNCTION("""COMPUTED_VALUE"""),"Femeie, 69 ani din București. Internată în  Spitalul Universitar București în perioada 20-23.03.2020 pentru afecțiuni cardiace, revine în spital pe data de 6.04.2020 pentru dispnee.
Se recoltează probe pentru COVID-19 în 06.04.2020.
Rezultat pozitiv în "&amp;"6.04.2020, transfer în Spital Colentina.
Data deces: 09.04.2020.
Comorbidități: Boala ischemica cronica, Valvulopatie mitrala, Hipertensiune pulmonara secundara, Diabet zaharat tip II, Insuficienta venoasa cronica, Tulburare neuro-cognitiva.")</f>
        <v>Femeie, 69 ani din București. Internată în  Spitalul Universitar București în perioada 20-23.03.2020 pentru afecțiuni cardiace, revine în spital pe data de 6.04.2020 pentru dispnee.
Se recoltează probe pentru COVID-19 în 06.04.2020.
Rezultat pozitiv în 6.04.2020, transfer în Spital Colentina.
Data deces: 09.04.2020.
Comorbidități: Boala ischemica cronica, Valvulopatie mitrala, Hipertensiune pulmonara secundara, Diabet zaharat tip II, Insuficienta venoasa cronica, Tulburare neuro-cognitiva.</v>
      </c>
      <c r="AC73" s="3" t="str">
        <f ca="1">IFERROR(__xludf.DUMMYFUNCTION("""COMPUTED_VALUE"""),"Nespecificat")</f>
        <v>Nespecificat</v>
      </c>
      <c r="AD73" s="3" t="str">
        <f ca="1">IFERROR(__xludf.DUMMYFUNCTION("""COMPUTED_VALUE"""),"MS")</f>
        <v>MS</v>
      </c>
      <c r="AE73" s="3" t="str">
        <f ca="1">IFERROR(__xludf.DUMMYFUNCTION("""COMPUTED_VALUE"""),"Nespecificat")</f>
        <v>Nespecificat</v>
      </c>
      <c r="AF73" s="3" t="str">
        <f ca="1">IFERROR(__xludf.DUMMYFUNCTION("""COMPUTED_VALUE"""),"Nespecificat")</f>
        <v>Nespecificat</v>
      </c>
      <c r="AG73" s="3" t="str">
        <f ca="1">IFERROR(__xludf.DUMMYFUNCTION("""COMPUTED_VALUE"""),"Nu")</f>
        <v>Nu</v>
      </c>
      <c r="AH73" s="3" t="str">
        <f ca="1">IFERROR(__xludf.DUMMYFUNCTION("""COMPUTED_VALUE"""),"Nu")</f>
        <v>Nu</v>
      </c>
      <c r="AI73" s="3" t="str">
        <f ca="1">IFERROR(__xludf.DUMMYFUNCTION("""COMPUTED_VALUE"""),"Afecțiuni cardiovasculare")</f>
        <v>Afecțiuni cardiovasculare</v>
      </c>
      <c r="AJ73" s="7" t="str">
        <f ca="1">IFERROR(__xludf.DUMMYFUNCTION("""COMPUTED_VALUE"""),"Y")</f>
        <v>Y</v>
      </c>
      <c r="AK73" s="7" t="str">
        <f ca="1">IFERROR(__xludf.DUMMYFUNCTION("""COMPUTED_VALUE"""),"Y")</f>
        <v>Y</v>
      </c>
      <c r="AL73" s="7" t="str">
        <f ca="1">IFERROR(__xludf.DUMMYFUNCTION("""COMPUTED_VALUE"""),"N")</f>
        <v>N</v>
      </c>
      <c r="AM73" s="7" t="str">
        <f ca="1">IFERROR(__xludf.DUMMYFUNCTION("""COMPUTED_VALUE"""),"Y")</f>
        <v>Y</v>
      </c>
      <c r="AN73" s="7" t="str">
        <f ca="1">IFERROR(__xludf.DUMMYFUNCTION("""COMPUTED_VALUE"""),"Y")</f>
        <v>Y</v>
      </c>
      <c r="AO73" s="7" t="str">
        <f ca="1">IFERROR(__xludf.DUMMYFUNCTION("""COMPUTED_VALUE"""),"N")</f>
        <v>N</v>
      </c>
      <c r="AP73" s="7" t="str">
        <f ca="1">IFERROR(__xludf.DUMMYFUNCTION("""COMPUTED_VALUE"""),"N")</f>
        <v>N</v>
      </c>
      <c r="AQ73" s="7" t="str">
        <f ca="1">IFERROR(__xludf.DUMMYFUNCTION("""COMPUTED_VALUE"""),"N")</f>
        <v>N</v>
      </c>
      <c r="AR73" s="7" t="str">
        <f ca="1">IFERROR(__xludf.DUMMYFUNCTION("""COMPUTED_VALUE"""),"N")</f>
        <v>N</v>
      </c>
      <c r="AS73" s="7" t="str">
        <f ca="1">IFERROR(__xludf.DUMMYFUNCTION("""COMPUTED_VALUE"""),"N")</f>
        <v>N</v>
      </c>
      <c r="AT73" s="7" t="str">
        <f ca="1">IFERROR(__xludf.DUMMYFUNCTION("""COMPUTED_VALUE"""),"N")</f>
        <v>N</v>
      </c>
      <c r="AU73" s="3"/>
      <c r="AV73" s="3"/>
      <c r="AW73" s="3"/>
      <c r="AX73" s="3"/>
      <c r="AY73" s="3"/>
    </row>
    <row r="74" spans="1:51" ht="16.5" customHeight="1">
      <c r="A74" s="3">
        <f ca="1">IFERROR(__xludf.DUMMYFUNCTION("""COMPUTED_VALUE"""),2241)</f>
        <v>2241</v>
      </c>
      <c r="B74" s="3"/>
      <c r="C74" s="3">
        <f ca="1">IFERROR(__xludf.DUMMYFUNCTION("""COMPUTED_VALUE"""),229)</f>
        <v>229</v>
      </c>
      <c r="D74" s="3" t="str">
        <f ca="1">IFERROR(__xludf.DUMMYFUNCTION("""COMPUTED_VALUE"""),"Feminin")</f>
        <v>Feminin</v>
      </c>
      <c r="E74" s="4">
        <f ca="1">IFERROR(__xludf.DUMMYFUNCTION("""COMPUTED_VALUE"""),64)</f>
        <v>64</v>
      </c>
      <c r="F74" s="3" t="str">
        <f ca="1">IFERROR(__xludf.DUMMYFUNCTION("""COMPUTED_VALUE"""),"60-69 years")</f>
        <v>60-69 years</v>
      </c>
      <c r="G74" s="3" t="str">
        <f ca="1">IFERROR(__xludf.DUMMYFUNCTION("""COMPUTED_VALUE"""),"București")</f>
        <v>București</v>
      </c>
      <c r="H74" s="3"/>
      <c r="I74" s="3">
        <f ca="1">IFERROR(__xludf.DUMMYFUNCTION("""COMPUTED_VALUE"""),431)</f>
        <v>431</v>
      </c>
      <c r="J74" s="3" t="str">
        <f ca="1">IFERROR(__xludf.DUMMYFUNCTION("""COMPUTED_VALUE"""),"Boală cardiovasculară, Boală renală")</f>
        <v>Boală cardiovasculară, Boală renală</v>
      </c>
      <c r="K74" s="5">
        <f ca="1">IFERROR(__xludf.DUMMYFUNCTION("""COMPUTED_VALUE"""),43930)</f>
        <v>43930</v>
      </c>
      <c r="L74" s="5">
        <f ca="1">IFERROR(__xludf.DUMMYFUNCTION("""COMPUTED_VALUE"""),43922)</f>
        <v>43922</v>
      </c>
      <c r="M74" s="3" t="str">
        <f ca="1">IFERROR(__xludf.DUMMYFUNCTION("""COMPUTED_VALUE"""),"8")</f>
        <v>8</v>
      </c>
      <c r="N74" s="5">
        <f ca="1">IFERROR(__xludf.DUMMYFUNCTION("""COMPUTED_VALUE"""),0)</f>
        <v>0</v>
      </c>
      <c r="O74" s="5">
        <f ca="1">IFERROR(__xludf.DUMMYFUNCTION("""COMPUTED_VALUE"""),43921)</f>
        <v>43921</v>
      </c>
      <c r="P74" s="3" t="str">
        <f ca="1">IFERROR(__xludf.DUMMYFUNCTION("""COMPUTED_VALUE"""),"Necunoscut")</f>
        <v>Necunoscut</v>
      </c>
      <c r="Q74" s="3" t="str">
        <f ca="1">IFERROR(__xludf.DUMMYFUNCTION("""COMPUTED_VALUE"""),"1")</f>
        <v>1</v>
      </c>
      <c r="R74" s="3" t="str">
        <f ca="1">IFERROR(__xludf.DUMMYFUNCTION("""COMPUTED_VALUE"""),"Nu")</f>
        <v>Nu</v>
      </c>
      <c r="S74" s="3" t="str">
        <f ca="1">IFERROR(__xludf.DUMMYFUNCTION("""COMPUTED_VALUE"""),"3/31/2020")</f>
        <v>3/31/2020</v>
      </c>
      <c r="T74" s="3">
        <f ca="1">IFERROR(__xludf.DUMMYFUNCTION("""COMPUTED_VALUE"""),1)</f>
        <v>1</v>
      </c>
      <c r="U74" s="3" t="str">
        <f ca="1">IFERROR(__xludf.DUMMYFUNCTION("""COMPUTED_VALUE"""),"Da")</f>
        <v>Da</v>
      </c>
      <c r="V74" s="6" t="str">
        <f ca="1">IFERROR(__xludf.DUMMYFUNCTION("""COMPUTED_VALUE"""),"http://www.ms.ro/2020/04/09/deces-228-229/")</f>
        <v>http://www.ms.ro/2020/04/09/deces-228-229/</v>
      </c>
      <c r="W74" s="3" t="str">
        <f ca="1">IFERROR(__xludf.DUMMYFUNCTION("""COMPUTED_VALUE"""),"INBI Balș")</f>
        <v>INBI Balș</v>
      </c>
      <c r="X74" s="3"/>
      <c r="Y74" s="3" t="str">
        <f ca="1">IFERROR(__xludf.DUMMYFUNCTION("""COMPUTED_VALUE"""),"Spitalul Colentina București ")</f>
        <v xml:space="preserve">Spitalul Colentina București </v>
      </c>
      <c r="Z74" s="3"/>
      <c r="AA74" s="3" t="str">
        <f ca="1">IFERROR(__xludf.DUMMYFUNCTION("""COMPUTED_VALUE"""),"Spitalul Colentina București ")</f>
        <v xml:space="preserve">Spitalul Colentina București </v>
      </c>
      <c r="AB74" s="3" t="str">
        <f ca="1">IFERROR(__xludf.DUMMYFUNCTION("""COMPUTED_VALUE"""),"Femeie, 64 de ani din București.
Transferată de la INBI Balș la Spitalul Colentina București (spital de suport) pe data de 30.03.2020.
Confirmata pe 31.03.2020
Decedată pe 01.04.2020.
Comorbiditati : Boală cardiovasculară, Boală renală")</f>
        <v>Femeie, 64 de ani din București.
Transferată de la INBI Balș la Spitalul Colentina București (spital de suport) pe data de 30.03.2020.
Confirmata pe 31.03.2020
Decedată pe 01.04.2020.
Comorbiditati : Boală cardiovasculară, Boală renală</v>
      </c>
      <c r="AC74" s="3"/>
      <c r="AD74" s="3" t="str">
        <f ca="1">IFERROR(__xludf.DUMMYFUNCTION("""COMPUTED_VALUE"""),"MS")</f>
        <v>MS</v>
      </c>
      <c r="AE74" s="3" t="str">
        <f ca="1">IFERROR(__xludf.DUMMYFUNCTION("""COMPUTED_VALUE"""),"Nespecificat")</f>
        <v>Nespecificat</v>
      </c>
      <c r="AF74" s="3" t="str">
        <f ca="1">IFERROR(__xludf.DUMMYFUNCTION("""COMPUTED_VALUE"""),"Nespecificat")</f>
        <v>Nespecificat</v>
      </c>
      <c r="AG74" s="3" t="str">
        <f ca="1">IFERROR(__xludf.DUMMYFUNCTION("""COMPUTED_VALUE"""),"Nu")</f>
        <v>Nu</v>
      </c>
      <c r="AH74" s="3" t="str">
        <f ca="1">IFERROR(__xludf.DUMMYFUNCTION("""COMPUTED_VALUE"""),"Nu")</f>
        <v>Nu</v>
      </c>
      <c r="AI74" s="3" t="str">
        <f ca="1">IFERROR(__xludf.DUMMYFUNCTION("""COMPUTED_VALUE"""),"Afecțiuni cardiovasculare")</f>
        <v>Afecțiuni cardiovasculare</v>
      </c>
      <c r="AJ74" s="7" t="str">
        <f ca="1">IFERROR(__xludf.DUMMYFUNCTION("""COMPUTED_VALUE"""),"Y")</f>
        <v>Y</v>
      </c>
      <c r="AK74" s="7" t="str">
        <f ca="1">IFERROR(__xludf.DUMMYFUNCTION("""COMPUTED_VALUE"""),"N")</f>
        <v>N</v>
      </c>
      <c r="AL74" s="7" t="str">
        <f ca="1">IFERROR(__xludf.DUMMYFUNCTION("""COMPUTED_VALUE"""),"Y")</f>
        <v>Y</v>
      </c>
      <c r="AM74" s="7" t="str">
        <f ca="1">IFERROR(__xludf.DUMMYFUNCTION("""COMPUTED_VALUE"""),"N")</f>
        <v>N</v>
      </c>
      <c r="AN74" s="7" t="str">
        <f ca="1">IFERROR(__xludf.DUMMYFUNCTION("""COMPUTED_VALUE"""),"N")</f>
        <v>N</v>
      </c>
      <c r="AO74" s="7" t="str">
        <f ca="1">IFERROR(__xludf.DUMMYFUNCTION("""COMPUTED_VALUE"""),"N")</f>
        <v>N</v>
      </c>
      <c r="AP74" s="7" t="str">
        <f ca="1">IFERROR(__xludf.DUMMYFUNCTION("""COMPUTED_VALUE"""),"N")</f>
        <v>N</v>
      </c>
      <c r="AQ74" s="7" t="str">
        <f ca="1">IFERROR(__xludf.DUMMYFUNCTION("""COMPUTED_VALUE"""),"N")</f>
        <v>N</v>
      </c>
      <c r="AR74" s="7" t="str">
        <f ca="1">IFERROR(__xludf.DUMMYFUNCTION("""COMPUTED_VALUE"""),"N")</f>
        <v>N</v>
      </c>
      <c r="AS74" s="7" t="str">
        <f ca="1">IFERROR(__xludf.DUMMYFUNCTION("""COMPUTED_VALUE"""),"N")</f>
        <v>N</v>
      </c>
      <c r="AT74" s="7" t="str">
        <f ca="1">IFERROR(__xludf.DUMMYFUNCTION("""COMPUTED_VALUE"""),"N")</f>
        <v>N</v>
      </c>
      <c r="AU74" s="3"/>
      <c r="AV74" s="3"/>
      <c r="AW74" s="3"/>
      <c r="AX74" s="3"/>
      <c r="AY74" s="3"/>
    </row>
    <row r="75" spans="1:51" ht="16.5" customHeight="1">
      <c r="A75" s="3">
        <f ca="1">IFERROR(__xludf.DUMMYFUNCTION("""COMPUTED_VALUE"""),1780)</f>
        <v>1780</v>
      </c>
      <c r="B75" s="3"/>
      <c r="C75" s="3">
        <f ca="1">IFERROR(__xludf.DUMMYFUNCTION("""COMPUTED_VALUE"""),222)</f>
        <v>222</v>
      </c>
      <c r="D75" s="3" t="str">
        <f ca="1">IFERROR(__xludf.DUMMYFUNCTION("""COMPUTED_VALUE"""),"Feminin")</f>
        <v>Feminin</v>
      </c>
      <c r="E75" s="4">
        <f ca="1">IFERROR(__xludf.DUMMYFUNCTION("""COMPUTED_VALUE"""),80)</f>
        <v>80</v>
      </c>
      <c r="F75" s="3" t="str">
        <f ca="1">IFERROR(__xludf.DUMMYFUNCTION("""COMPUTED_VALUE"""),"Over 80 years")</f>
        <v>Over 80 years</v>
      </c>
      <c r="G75" s="3" t="str">
        <f ca="1">IFERROR(__xludf.DUMMYFUNCTION("""COMPUTED_VALUE"""),"București")</f>
        <v>București</v>
      </c>
      <c r="H75" s="3"/>
      <c r="I75" s="3">
        <f ca="1">IFERROR(__xludf.DUMMYFUNCTION("""COMPUTED_VALUE"""),1042)</f>
        <v>1042</v>
      </c>
      <c r="J75" s="3" t="str">
        <f ca="1">IFERROR(__xludf.DUMMYFUNCTION("""COMPUTED_VALUE"""),"Diabet zaharat, boala hepatica, cardiovasculară, renală")</f>
        <v>Diabet zaharat, boala hepatica, cardiovasculară, renală</v>
      </c>
      <c r="K75" s="5">
        <f ca="1">IFERROR(__xludf.DUMMYFUNCTION("""COMPUTED_VALUE"""),43930)</f>
        <v>43930</v>
      </c>
      <c r="L75" s="5">
        <f ca="1">IFERROR(__xludf.DUMMYFUNCTION("""COMPUTED_VALUE"""),43923)</f>
        <v>43923</v>
      </c>
      <c r="M75" s="3" t="str">
        <f ca="1">IFERROR(__xludf.DUMMYFUNCTION("""COMPUTED_VALUE"""),"7")</f>
        <v>7</v>
      </c>
      <c r="N75" s="5">
        <f ca="1">IFERROR(__xludf.DUMMYFUNCTION("""COMPUTED_VALUE"""),0)</f>
        <v>0</v>
      </c>
      <c r="O75" s="5">
        <f ca="1">IFERROR(__xludf.DUMMYFUNCTION("""COMPUTED_VALUE"""),43920)</f>
        <v>43920</v>
      </c>
      <c r="P75" s="3" t="str">
        <f ca="1">IFERROR(__xludf.DUMMYFUNCTION("""COMPUTED_VALUE"""),"Necunoscut")</f>
        <v>Necunoscut</v>
      </c>
      <c r="Q75" s="3" t="str">
        <f ca="1">IFERROR(__xludf.DUMMYFUNCTION("""COMPUTED_VALUE"""),"3")</f>
        <v>3</v>
      </c>
      <c r="R75" s="3" t="str">
        <f ca="1">IFERROR(__xludf.DUMMYFUNCTION("""COMPUTED_VALUE"""),"Nu")</f>
        <v>Nu</v>
      </c>
      <c r="S75" s="3" t="str">
        <f ca="1">IFERROR(__xludf.DUMMYFUNCTION("""COMPUTED_VALUE"""),"3/31/2020")</f>
        <v>3/31/2020</v>
      </c>
      <c r="T75" s="3">
        <f ca="1">IFERROR(__xludf.DUMMYFUNCTION("""COMPUTED_VALUE"""),2)</f>
        <v>2</v>
      </c>
      <c r="U75" s="3" t="str">
        <f ca="1">IFERROR(__xludf.DUMMYFUNCTION("""COMPUTED_VALUE"""),"Da")</f>
        <v>Da</v>
      </c>
      <c r="V75" s="6" t="str">
        <f ca="1">IFERROR(__xludf.DUMMYFUNCTION("""COMPUTED_VALUE"""),"http://www.ms.ro/2020/04/09/decese-221-227/")</f>
        <v>http://www.ms.ro/2020/04/09/decese-221-227/</v>
      </c>
      <c r="W75" s="3"/>
      <c r="X75" s="3"/>
      <c r="Y75" s="3"/>
      <c r="Z75" s="3"/>
      <c r="AA75" s="3"/>
      <c r="AB75" s="3" t="str">
        <f ca="1">IFERROR(__xludf.DUMMYFUNCTION("""COMPUTED_VALUE"""),"Femeie, 80 de ani din București.
Internată la Spitalul COVID- Colentina, în data de 31.03.2020 (în ATI); în perioada 12-13.03.2020 a fost internată în Spitalul Universitar de Urgență București.
Comorbiditati : diabet zaharat, boala hepatica, cardiovascu"&amp;"lară, renală.
Confirmată în 30.03.2020.
Decedat pe 02.04.2020.")</f>
        <v>Femeie, 80 de ani din București.
Internată la Spitalul COVID- Colentina, în data de 31.03.2020 (în ATI); în perioada 12-13.03.2020 a fost internată în Spitalul Universitar de Urgență București.
Comorbiditati : diabet zaharat, boala hepatica, cardiovasculară, renală.
Confirmată în 30.03.2020.
Decedat pe 02.04.2020.</v>
      </c>
      <c r="AC75" s="3" t="str">
        <f ca="1">IFERROR(__xludf.DUMMYFUNCTION("""COMPUTED_VALUE"""),"Nespecificat")</f>
        <v>Nespecificat</v>
      </c>
      <c r="AD75" s="3" t="str">
        <f ca="1">IFERROR(__xludf.DUMMYFUNCTION("""COMPUTED_VALUE"""),"MS")</f>
        <v>MS</v>
      </c>
      <c r="AE75" s="3" t="str">
        <f ca="1">IFERROR(__xludf.DUMMYFUNCTION("""COMPUTED_VALUE"""),"Nespecificat")</f>
        <v>Nespecificat</v>
      </c>
      <c r="AF75" s="3" t="str">
        <f ca="1">IFERROR(__xludf.DUMMYFUNCTION("""COMPUTED_VALUE"""),"Nespecificat")</f>
        <v>Nespecificat</v>
      </c>
      <c r="AG75" s="3" t="str">
        <f ca="1">IFERROR(__xludf.DUMMYFUNCTION("""COMPUTED_VALUE"""),"Nu")</f>
        <v>Nu</v>
      </c>
      <c r="AH75" s="3" t="str">
        <f ca="1">IFERROR(__xludf.DUMMYFUNCTION("""COMPUTED_VALUE"""),"Nu")</f>
        <v>Nu</v>
      </c>
      <c r="AI75" s="3" t="str">
        <f ca="1">IFERROR(__xludf.DUMMYFUNCTION("""COMPUTED_VALUE"""),"Afecțiuni cardiovasculare")</f>
        <v>Afecțiuni cardiovasculare</v>
      </c>
      <c r="AJ75" s="7" t="str">
        <f ca="1">IFERROR(__xludf.DUMMYFUNCTION("""COMPUTED_VALUE"""),"Y")</f>
        <v>Y</v>
      </c>
      <c r="AK75" s="7" t="str">
        <f ca="1">IFERROR(__xludf.DUMMYFUNCTION("""COMPUTED_VALUE"""),"Y")</f>
        <v>Y</v>
      </c>
      <c r="AL75" s="7" t="str">
        <f ca="1">IFERROR(__xludf.DUMMYFUNCTION("""COMPUTED_VALUE"""),"Y")</f>
        <v>Y</v>
      </c>
      <c r="AM75" s="7" t="str">
        <f ca="1">IFERROR(__xludf.DUMMYFUNCTION("""COMPUTED_VALUE"""),"N")</f>
        <v>N</v>
      </c>
      <c r="AN75" s="7" t="str">
        <f ca="1">IFERROR(__xludf.DUMMYFUNCTION("""COMPUTED_VALUE"""),"N")</f>
        <v>N</v>
      </c>
      <c r="AO75" s="7" t="str">
        <f ca="1">IFERROR(__xludf.DUMMYFUNCTION("""COMPUTED_VALUE"""),"N")</f>
        <v>N</v>
      </c>
      <c r="AP75" s="7" t="str">
        <f ca="1">IFERROR(__xludf.DUMMYFUNCTION("""COMPUTED_VALUE"""),"Y")</f>
        <v>Y</v>
      </c>
      <c r="AQ75" s="7" t="str">
        <f ca="1">IFERROR(__xludf.DUMMYFUNCTION("""COMPUTED_VALUE"""),"N")</f>
        <v>N</v>
      </c>
      <c r="AR75" s="7" t="str">
        <f ca="1">IFERROR(__xludf.DUMMYFUNCTION("""COMPUTED_VALUE"""),"N")</f>
        <v>N</v>
      </c>
      <c r="AS75" s="7" t="str">
        <f ca="1">IFERROR(__xludf.DUMMYFUNCTION("""COMPUTED_VALUE"""),"N")</f>
        <v>N</v>
      </c>
      <c r="AT75" s="7" t="str">
        <f ca="1">IFERROR(__xludf.DUMMYFUNCTION("""COMPUTED_VALUE"""),"N")</f>
        <v>N</v>
      </c>
      <c r="AU75" s="3"/>
      <c r="AV75" s="3"/>
      <c r="AW75" s="3"/>
      <c r="AX75" s="3"/>
      <c r="AY75" s="3"/>
    </row>
    <row r="76" spans="1:51" ht="16.5" customHeight="1">
      <c r="A76" s="3">
        <f ca="1">IFERROR(__xludf.DUMMYFUNCTION("""COMPUTED_VALUE"""),2773)</f>
        <v>2773</v>
      </c>
      <c r="B76" s="3"/>
      <c r="C76" s="3">
        <f ca="1">IFERROR(__xludf.DUMMYFUNCTION("""COMPUTED_VALUE"""),221)</f>
        <v>221</v>
      </c>
      <c r="D76" s="3" t="str">
        <f ca="1">IFERROR(__xludf.DUMMYFUNCTION("""COMPUTED_VALUE"""),"Masculin")</f>
        <v>Masculin</v>
      </c>
      <c r="E76" s="4">
        <f ca="1">IFERROR(__xludf.DUMMYFUNCTION("""COMPUTED_VALUE"""),88)</f>
        <v>88</v>
      </c>
      <c r="F76" s="3" t="str">
        <f ca="1">IFERROR(__xludf.DUMMYFUNCTION("""COMPUTED_VALUE"""),"Over 80 years")</f>
        <v>Over 80 years</v>
      </c>
      <c r="G76" s="3" t="str">
        <f ca="1">IFERROR(__xludf.DUMMYFUNCTION("""COMPUTED_VALUE"""),"București")</f>
        <v>București</v>
      </c>
      <c r="H76" s="3"/>
      <c r="I76" s="3">
        <f ca="1">IFERROR(__xludf.DUMMYFUNCTION("""COMPUTED_VALUE"""),1277)</f>
        <v>1277</v>
      </c>
      <c r="J76" s="3" t="str">
        <f ca="1">IFERROR(__xludf.DUMMYFUNCTION("""COMPUTED_VALUE"""),"Diabet zaharat, HTA ischemica, neurologica cronica, neoplasm, Alzheimer")</f>
        <v>Diabet zaharat, HTA ischemica, neurologica cronica, neoplasm, Alzheimer</v>
      </c>
      <c r="K76" s="5">
        <f ca="1">IFERROR(__xludf.DUMMYFUNCTION("""COMPUTED_VALUE"""),43930)</f>
        <v>43930</v>
      </c>
      <c r="L76" s="5">
        <f ca="1">IFERROR(__xludf.DUMMYFUNCTION("""COMPUTED_VALUE"""),43927)</f>
        <v>43927</v>
      </c>
      <c r="M76" s="3" t="str">
        <f ca="1">IFERROR(__xludf.DUMMYFUNCTION("""COMPUTED_VALUE"""),"3")</f>
        <v>3</v>
      </c>
      <c r="N76" s="5">
        <f ca="1">IFERROR(__xludf.DUMMYFUNCTION("""COMPUTED_VALUE"""),0)</f>
        <v>0</v>
      </c>
      <c r="O76" s="5">
        <f ca="1">IFERROR(__xludf.DUMMYFUNCTION("""COMPUTED_VALUE"""),43924)</f>
        <v>43924</v>
      </c>
      <c r="P76" s="3" t="str">
        <f ca="1">IFERROR(__xludf.DUMMYFUNCTION("""COMPUTED_VALUE"""),"Necunoscut")</f>
        <v>Necunoscut</v>
      </c>
      <c r="Q76" s="3" t="str">
        <f ca="1">IFERROR(__xludf.DUMMYFUNCTION("""COMPUTED_VALUE"""),"3")</f>
        <v>3</v>
      </c>
      <c r="R76" s="3" t="str">
        <f ca="1">IFERROR(__xludf.DUMMYFUNCTION("""COMPUTED_VALUE"""),"Nu")</f>
        <v>Nu</v>
      </c>
      <c r="S76" s="3" t="str">
        <f ca="1">IFERROR(__xludf.DUMMYFUNCTION("""COMPUTED_VALUE"""),"4/3/2020")</f>
        <v>4/3/2020</v>
      </c>
      <c r="T76" s="3">
        <f ca="1">IFERROR(__xludf.DUMMYFUNCTION("""COMPUTED_VALUE"""),3)</f>
        <v>3</v>
      </c>
      <c r="U76" s="3" t="str">
        <f ca="1">IFERROR(__xludf.DUMMYFUNCTION("""COMPUTED_VALUE"""),"Da")</f>
        <v>Da</v>
      </c>
      <c r="V76" s="6" t="str">
        <f ca="1">IFERROR(__xludf.DUMMYFUNCTION("""COMPUTED_VALUE"""),"http://www.ms.ro/2020/04/09/decese-221-227/")</f>
        <v>http://www.ms.ro/2020/04/09/decese-221-227/</v>
      </c>
      <c r="W76" s="3"/>
      <c r="X76" s="3"/>
      <c r="Y76" s="3"/>
      <c r="Z76" s="3"/>
      <c r="AA76" s="3"/>
      <c r="AB76" s="3" t="str">
        <f ca="1">IFERROR(__xludf.DUMMYFUNCTION("""COMPUTED_VALUE"""),"Bărbat, 88 de ani din București.
Internat la Spitalul COVID-Colentina, în data de 03.04.2020 (în ATI), prin transfer de la Spitalul Universitar de Urgență București.
Comorbiditati : diabet zaharat, HTA ischemica, neurologica cronica, neoplasm, Alzheimer"&amp;".
Confirmat în 03.04.2020.
Decedat pe 06.04.2020.")</f>
        <v>Bărbat, 88 de ani din București.
Internat la Spitalul COVID-Colentina, în data de 03.04.2020 (în ATI), prin transfer de la Spitalul Universitar de Urgență București.
Comorbiditati : diabet zaharat, HTA ischemica, neurologica cronica, neoplasm, Alzheimer.
Confirmat în 03.04.2020.
Decedat pe 06.04.2020.</v>
      </c>
      <c r="AC76" s="3" t="str">
        <f ca="1">IFERROR(__xludf.DUMMYFUNCTION("""COMPUTED_VALUE"""),"Nespecificat")</f>
        <v>Nespecificat</v>
      </c>
      <c r="AD76" s="3" t="str">
        <f ca="1">IFERROR(__xludf.DUMMYFUNCTION("""COMPUTED_VALUE"""),"MS")</f>
        <v>MS</v>
      </c>
      <c r="AE76" s="3" t="str">
        <f ca="1">IFERROR(__xludf.DUMMYFUNCTION("""COMPUTED_VALUE"""),"Nespecificat")</f>
        <v>Nespecificat</v>
      </c>
      <c r="AF76" s="3" t="str">
        <f ca="1">IFERROR(__xludf.DUMMYFUNCTION("""COMPUTED_VALUE"""),"Nespecificat")</f>
        <v>Nespecificat</v>
      </c>
      <c r="AG76" s="3" t="str">
        <f ca="1">IFERROR(__xludf.DUMMYFUNCTION("""COMPUTED_VALUE"""),"Nu")</f>
        <v>Nu</v>
      </c>
      <c r="AH76" s="3" t="str">
        <f ca="1">IFERROR(__xludf.DUMMYFUNCTION("""COMPUTED_VALUE"""),"Nu")</f>
        <v>Nu</v>
      </c>
      <c r="AI76" s="3" t="str">
        <f ca="1">IFERROR(__xludf.DUMMYFUNCTION("""COMPUTED_VALUE"""),"Afecțiuni cardiovasculare")</f>
        <v>Afecțiuni cardiovasculare</v>
      </c>
      <c r="AJ76" s="7" t="str">
        <f ca="1">IFERROR(__xludf.DUMMYFUNCTION("""COMPUTED_VALUE"""),"Y")</f>
        <v>Y</v>
      </c>
      <c r="AK76" s="7" t="str">
        <f ca="1">IFERROR(__xludf.DUMMYFUNCTION("""COMPUTED_VALUE"""),"Y")</f>
        <v>Y</v>
      </c>
      <c r="AL76" s="7" t="str">
        <f ca="1">IFERROR(__xludf.DUMMYFUNCTION("""COMPUTED_VALUE"""),"N")</f>
        <v>N</v>
      </c>
      <c r="AM76" s="7" t="str">
        <f ca="1">IFERROR(__xludf.DUMMYFUNCTION("""COMPUTED_VALUE"""),"N")</f>
        <v>N</v>
      </c>
      <c r="AN76" s="7" t="str">
        <f ca="1">IFERROR(__xludf.DUMMYFUNCTION("""COMPUTED_VALUE"""),"Y")</f>
        <v>Y</v>
      </c>
      <c r="AO76" s="7" t="str">
        <f ca="1">IFERROR(__xludf.DUMMYFUNCTION("""COMPUTED_VALUE"""),"N")</f>
        <v>N</v>
      </c>
      <c r="AP76" s="7" t="str">
        <f ca="1">IFERROR(__xludf.DUMMYFUNCTION("""COMPUTED_VALUE"""),"N")</f>
        <v>N</v>
      </c>
      <c r="AQ76" s="7" t="str">
        <f ca="1">IFERROR(__xludf.DUMMYFUNCTION("""COMPUTED_VALUE"""),"N")</f>
        <v>N</v>
      </c>
      <c r="AR76" s="7" t="str">
        <f ca="1">IFERROR(__xludf.DUMMYFUNCTION("""COMPUTED_VALUE"""),"N")</f>
        <v>N</v>
      </c>
      <c r="AS76" s="7" t="str">
        <f ca="1">IFERROR(__xludf.DUMMYFUNCTION("""COMPUTED_VALUE"""),"N")</f>
        <v>N</v>
      </c>
      <c r="AT76" s="7" t="str">
        <f ca="1">IFERROR(__xludf.DUMMYFUNCTION("""COMPUTED_VALUE"""),"N")</f>
        <v>N</v>
      </c>
      <c r="AU76" s="3"/>
      <c r="AV76" s="3"/>
      <c r="AW76" s="3"/>
      <c r="AX76" s="3"/>
      <c r="AY76" s="3"/>
    </row>
    <row r="77" spans="1:51" ht="16.5" customHeight="1">
      <c r="A77" s="3">
        <f ca="1">IFERROR(__xludf.DUMMYFUNCTION("""COMPUTED_VALUE"""),1761)</f>
        <v>1761</v>
      </c>
      <c r="B77" s="3"/>
      <c r="C77" s="3">
        <f ca="1">IFERROR(__xludf.DUMMYFUNCTION("""COMPUTED_VALUE"""),216)</f>
        <v>216</v>
      </c>
      <c r="D77" s="3" t="str">
        <f ca="1">IFERROR(__xludf.DUMMYFUNCTION("""COMPUTED_VALUE"""),"Masculin")</f>
        <v>Masculin</v>
      </c>
      <c r="E77" s="4">
        <f ca="1">IFERROR(__xludf.DUMMYFUNCTION("""COMPUTED_VALUE"""),35)</f>
        <v>35</v>
      </c>
      <c r="F77" s="3" t="str">
        <f ca="1">IFERROR(__xludf.DUMMYFUNCTION("""COMPUTED_VALUE"""),"under 50 Years")</f>
        <v>under 50 Years</v>
      </c>
      <c r="G77" s="3" t="str">
        <f ca="1">IFERROR(__xludf.DUMMYFUNCTION("""COMPUTED_VALUE"""),"București")</f>
        <v>București</v>
      </c>
      <c r="H77" s="3"/>
      <c r="I77" s="3">
        <f ca="1">IFERROR(__xludf.DUMMYFUNCTION("""COMPUTED_VALUE"""),26)</f>
        <v>26</v>
      </c>
      <c r="J77" s="3" t="str">
        <f ca="1">IFERROR(__xludf.DUMMYFUNCTION("""COMPUTED_VALUE"""),"Boală renală")</f>
        <v>Boală renală</v>
      </c>
      <c r="K77" s="5">
        <f ca="1">IFERROR(__xludf.DUMMYFUNCTION("""COMPUTED_VALUE"""),43929)</f>
        <v>43929</v>
      </c>
      <c r="L77" s="5">
        <f ca="1">IFERROR(__xludf.DUMMYFUNCTION("""COMPUTED_VALUE"""),43923)</f>
        <v>43923</v>
      </c>
      <c r="M77" s="3" t="str">
        <f ca="1">IFERROR(__xludf.DUMMYFUNCTION("""COMPUTED_VALUE"""),"6")</f>
        <v>6</v>
      </c>
      <c r="N77" s="5">
        <f ca="1">IFERROR(__xludf.DUMMYFUNCTION("""COMPUTED_VALUE"""),0)</f>
        <v>0</v>
      </c>
      <c r="O77" s="5">
        <f ca="1">IFERROR(__xludf.DUMMYFUNCTION("""COMPUTED_VALUE"""),43920)</f>
        <v>43920</v>
      </c>
      <c r="P77" s="3" t="str">
        <f ca="1">IFERROR(__xludf.DUMMYFUNCTION("""COMPUTED_VALUE"""),"Necunoscut")</f>
        <v>Necunoscut</v>
      </c>
      <c r="Q77" s="3" t="str">
        <f ca="1">IFERROR(__xludf.DUMMYFUNCTION("""COMPUTED_VALUE"""),"3")</f>
        <v>3</v>
      </c>
      <c r="R77" s="3" t="str">
        <f ca="1">IFERROR(__xludf.DUMMYFUNCTION("""COMPUTED_VALUE"""),"Nu")</f>
        <v>Nu</v>
      </c>
      <c r="S77" s="3" t="str">
        <f ca="1">IFERROR(__xludf.DUMMYFUNCTION("""COMPUTED_VALUE"""),"3/31/2020")</f>
        <v>3/31/2020</v>
      </c>
      <c r="T77" s="3">
        <f ca="1">IFERROR(__xludf.DUMMYFUNCTION("""COMPUTED_VALUE"""),2)</f>
        <v>2</v>
      </c>
      <c r="U77" s="3" t="str">
        <f ca="1">IFERROR(__xludf.DUMMYFUNCTION("""COMPUTED_VALUE"""),"Da")</f>
        <v>Da</v>
      </c>
      <c r="V77" s="6" t="str">
        <f ca="1">IFERROR(__xludf.DUMMYFUNCTION("""COMPUTED_VALUE"""),"http://www.ms.ro/2020/04/08/deces-216-220/")</f>
        <v>http://www.ms.ro/2020/04/08/deces-216-220/</v>
      </c>
      <c r="W77" s="3" t="str">
        <f ca="1">IFERROR(__xludf.DUMMYFUNCTION("""COMPUTED_VALUE"""),"Spitalul Universitar de Urgență București")</f>
        <v>Spitalul Universitar de Urgență București</v>
      </c>
      <c r="X77" s="3"/>
      <c r="Y77" s="3" t="str">
        <f ca="1">IFERROR(__xludf.DUMMYFUNCTION("""COMPUTED_VALUE"""),"Spitalul COVID-Colentina")</f>
        <v>Spitalul COVID-Colentina</v>
      </c>
      <c r="Z77" s="3"/>
      <c r="AA77" s="3" t="str">
        <f ca="1">IFERROR(__xludf.DUMMYFUNCTION("""COMPUTED_VALUE"""),"Spitalul COVID-Colentina")</f>
        <v>Spitalul COVID-Colentina</v>
      </c>
      <c r="AB77" s="3" t="str">
        <f ca="1">IFERROR(__xludf.DUMMYFUNCTION("""COMPUTED_VALUE"""),"Bărbat, 35 de ani din București
Internat la Spitalul COVID-Colentina, în data de 31.03.2020, prin transfer de Spitalul Universitar de Urgență București, în comă și suport ventilator și cu modificări observate prin imagistică medicală la nivel pulmonar.
"&amp;"Comorbiditati : Boală renală.
Confirmat în 30.03.2020.
Decedat pe 02.04.2020.")</f>
        <v>Bărbat, 35 de ani din București
Internat la Spitalul COVID-Colentina, în data de 31.03.2020, prin transfer de Spitalul Universitar de Urgență București, în comă și suport ventilator și cu modificări observate prin imagistică medicală la nivel pulmonar.
Comorbiditati : Boală renală.
Confirmat în 30.03.2020.
Decedat pe 02.04.2020.</v>
      </c>
      <c r="AC77" s="3" t="str">
        <f ca="1">IFERROR(__xludf.DUMMYFUNCTION("""COMPUTED_VALUE"""),"In comă și suport ventilator și cu modificări observate prin imagistică medicală la nivel pulmonar")</f>
        <v>In comă și suport ventilator și cu modificări observate prin imagistică medicală la nivel pulmonar</v>
      </c>
      <c r="AD77" s="3" t="str">
        <f ca="1">IFERROR(__xludf.DUMMYFUNCTION("""COMPUTED_VALUE"""),"MS")</f>
        <v>MS</v>
      </c>
      <c r="AE77" s="3" t="str">
        <f ca="1">IFERROR(__xludf.DUMMYFUNCTION("""COMPUTED_VALUE"""),"Nespecificat")</f>
        <v>Nespecificat</v>
      </c>
      <c r="AF77" s="3" t="str">
        <f ca="1">IFERROR(__xludf.DUMMYFUNCTION("""COMPUTED_VALUE"""),"Nespecificat")</f>
        <v>Nespecificat</v>
      </c>
      <c r="AG77" s="3" t="str">
        <f ca="1">IFERROR(__xludf.DUMMYFUNCTION("""COMPUTED_VALUE"""),"Da")</f>
        <v>Da</v>
      </c>
      <c r="AH77" s="3" t="str">
        <f ca="1">IFERROR(__xludf.DUMMYFUNCTION("""COMPUTED_VALUE"""),"Nu")</f>
        <v>Nu</v>
      </c>
      <c r="AI77" s="3" t="str">
        <f ca="1">IFERROR(__xludf.DUMMYFUNCTION("""COMPUTED_VALUE"""),"Afecțiuni renale")</f>
        <v>Afecțiuni renale</v>
      </c>
      <c r="AJ77" s="7" t="str">
        <f ca="1">IFERROR(__xludf.DUMMYFUNCTION("""COMPUTED_VALUE"""),"N")</f>
        <v>N</v>
      </c>
      <c r="AK77" s="7" t="str">
        <f ca="1">IFERROR(__xludf.DUMMYFUNCTION("""COMPUTED_VALUE"""),"N")</f>
        <v>N</v>
      </c>
      <c r="AL77" s="7" t="str">
        <f ca="1">IFERROR(__xludf.DUMMYFUNCTION("""COMPUTED_VALUE"""),"Y")</f>
        <v>Y</v>
      </c>
      <c r="AM77" s="7" t="str">
        <f ca="1">IFERROR(__xludf.DUMMYFUNCTION("""COMPUTED_VALUE"""),"Y")</f>
        <v>Y</v>
      </c>
      <c r="AN77" s="7" t="str">
        <f ca="1">IFERROR(__xludf.DUMMYFUNCTION("""COMPUTED_VALUE"""),"N")</f>
        <v>N</v>
      </c>
      <c r="AO77" s="7" t="str">
        <f ca="1">IFERROR(__xludf.DUMMYFUNCTION("""COMPUTED_VALUE"""),"N")</f>
        <v>N</v>
      </c>
      <c r="AP77" s="7" t="str">
        <f ca="1">IFERROR(__xludf.DUMMYFUNCTION("""COMPUTED_VALUE"""),"N")</f>
        <v>N</v>
      </c>
      <c r="AQ77" s="7" t="str">
        <f ca="1">IFERROR(__xludf.DUMMYFUNCTION("""COMPUTED_VALUE"""),"N")</f>
        <v>N</v>
      </c>
      <c r="AR77" s="7" t="str">
        <f ca="1">IFERROR(__xludf.DUMMYFUNCTION("""COMPUTED_VALUE"""),"N")</f>
        <v>N</v>
      </c>
      <c r="AS77" s="7" t="str">
        <f ca="1">IFERROR(__xludf.DUMMYFUNCTION("""COMPUTED_VALUE"""),"N")</f>
        <v>N</v>
      </c>
      <c r="AT77" s="7" t="str">
        <f ca="1">IFERROR(__xludf.DUMMYFUNCTION("""COMPUTED_VALUE"""),"N")</f>
        <v>N</v>
      </c>
      <c r="AU77" s="3"/>
      <c r="AV77" s="3"/>
      <c r="AW77" s="3"/>
      <c r="AX77" s="3"/>
      <c r="AY77" s="3"/>
    </row>
    <row r="78" spans="1:51" ht="16.5" customHeight="1">
      <c r="A78" s="3">
        <f ca="1">IFERROR(__xludf.DUMMYFUNCTION("""COMPUTED_VALUE"""),2251)</f>
        <v>2251</v>
      </c>
      <c r="B78" s="3"/>
      <c r="C78" s="3">
        <f ca="1">IFERROR(__xludf.DUMMYFUNCTION("""COMPUTED_VALUE"""),212)</f>
        <v>212</v>
      </c>
      <c r="D78" s="3" t="str">
        <f ca="1">IFERROR(__xludf.DUMMYFUNCTION("""COMPUTED_VALUE"""),"Masculin")</f>
        <v>Masculin</v>
      </c>
      <c r="E78" s="4">
        <f ca="1">IFERROR(__xludf.DUMMYFUNCTION("""COMPUTED_VALUE"""),89)</f>
        <v>89</v>
      </c>
      <c r="F78" s="3" t="str">
        <f ca="1">IFERROR(__xludf.DUMMYFUNCTION("""COMPUTED_VALUE"""),"Over 80 years")</f>
        <v>Over 80 years</v>
      </c>
      <c r="G78" s="3" t="str">
        <f ca="1">IFERROR(__xludf.DUMMYFUNCTION("""COMPUTED_VALUE"""),"București")</f>
        <v>București</v>
      </c>
      <c r="H78" s="3"/>
      <c r="I78" s="3">
        <f ca="1">IFERROR(__xludf.DUMMYFUNCTION("""COMPUTED_VALUE"""),1293)</f>
        <v>1293</v>
      </c>
      <c r="J78" s="3" t="str">
        <f ca="1">IFERROR(__xludf.DUMMYFUNCTION("""COMPUTED_VALUE"""),"Boala cardiovasculara cronică")</f>
        <v>Boala cardiovasculara cronică</v>
      </c>
      <c r="K78" s="5">
        <f ca="1">IFERROR(__xludf.DUMMYFUNCTION("""COMPUTED_VALUE"""),43929)</f>
        <v>43929</v>
      </c>
      <c r="L78" s="5">
        <f ca="1">IFERROR(__xludf.DUMMYFUNCTION("""COMPUTED_VALUE"""),43927)</f>
        <v>43927</v>
      </c>
      <c r="M78" s="3" t="str">
        <f ca="1">IFERROR(__xludf.DUMMYFUNCTION("""COMPUTED_VALUE"""),"2")</f>
        <v>2</v>
      </c>
      <c r="N78" s="5">
        <f ca="1">IFERROR(__xludf.DUMMYFUNCTION("""COMPUTED_VALUE"""),0)</f>
        <v>0</v>
      </c>
      <c r="O78" s="5">
        <f ca="1">IFERROR(__xludf.DUMMYFUNCTION("""COMPUTED_VALUE"""),43922)</f>
        <v>43922</v>
      </c>
      <c r="P78" s="3" t="str">
        <f ca="1">IFERROR(__xludf.DUMMYFUNCTION("""COMPUTED_VALUE"""),"Necunoscut")</f>
        <v>Necunoscut</v>
      </c>
      <c r="Q78" s="3" t="str">
        <f ca="1">IFERROR(__xludf.DUMMYFUNCTION("""COMPUTED_VALUE"""),"5")</f>
        <v>5</v>
      </c>
      <c r="R78" s="3" t="str">
        <f ca="1">IFERROR(__xludf.DUMMYFUNCTION("""COMPUTED_VALUE"""),"Nu")</f>
        <v>Nu</v>
      </c>
      <c r="S78" s="3" t="str">
        <f ca="1">IFERROR(__xludf.DUMMYFUNCTION("""COMPUTED_VALUE"""),"4/1/2020")</f>
        <v>4/1/2020</v>
      </c>
      <c r="T78" s="3">
        <f ca="1">IFERROR(__xludf.DUMMYFUNCTION("""COMPUTED_VALUE"""),5)</f>
        <v>5</v>
      </c>
      <c r="U78" s="3" t="str">
        <f ca="1">IFERROR(__xludf.DUMMYFUNCTION("""COMPUTED_VALUE"""),"Da")</f>
        <v>Da</v>
      </c>
      <c r="V78" s="6" t="str">
        <f ca="1">IFERROR(__xludf.DUMMYFUNCTION("""COMPUTED_VALUE"""),"http://www.ms.ro/2020/04/08/deces-211-215/")</f>
        <v>http://www.ms.ro/2020/04/08/deces-211-215/</v>
      </c>
      <c r="W78" s="3" t="str">
        <f ca="1">IFERROR(__xludf.DUMMYFUNCTION("""COMPUTED_VALUE"""),"Spitalul.Universitar București ")</f>
        <v xml:space="preserve">Spitalul.Universitar București </v>
      </c>
      <c r="X78" s="3"/>
      <c r="Y78" s="3" t="str">
        <f ca="1">IFERROR(__xludf.DUMMYFUNCTION("""COMPUTED_VALUE"""),"Spitalul Colentina")</f>
        <v>Spitalul Colentina</v>
      </c>
      <c r="Z78" s="3" t="str">
        <f ca="1">IFERROR(__xludf.DUMMYFUNCTION("""COMPUTED_VALUE"""),"ATI")</f>
        <v>ATI</v>
      </c>
      <c r="AA78" s="3" t="str">
        <f ca="1">IFERROR(__xludf.DUMMYFUNCTION("""COMPUTED_VALUE"""),"Spitalul Colentina")</f>
        <v>Spitalul Colentina</v>
      </c>
      <c r="AB78" s="3" t="str">
        <f ca="1">IFERROR(__xludf.DUMMYFUNCTION("""COMPUTED_VALUE"""),"Bărbat, 89 de ani, din București
Debut pe data de 01.04.2020
Internat în Spitalul.Universitar București și transferat în data de 01.04.2020 în Spitalul Colentina – Secția ATI, unde a fost intubat
Confirmat în data de 01.04.2020
Decedat pe 06.0"&amp;"4.2020
Comorbiditati : Boala cardiovasculara cronică")</f>
        <v>Bărbat, 89 de ani, din București
Debut pe data de 01.04.2020
Internat în Spitalul.Universitar București și transferat în data de 01.04.2020 în Spitalul Colentina – Secția ATI, unde a fost intubat
Confirmat în data de 01.04.2020
Decedat pe 06.04.2020
Comorbiditati : Boala cardiovasculara cronică</v>
      </c>
      <c r="AC78" s="3" t="str">
        <f ca="1">IFERROR(__xludf.DUMMYFUNCTION("""COMPUTED_VALUE"""),"Nespecificat")</f>
        <v>Nespecificat</v>
      </c>
      <c r="AD78" s="3" t="str">
        <f ca="1">IFERROR(__xludf.DUMMYFUNCTION("""COMPUTED_VALUE"""),"MS")</f>
        <v>MS</v>
      </c>
      <c r="AE78" s="3" t="str">
        <f ca="1">IFERROR(__xludf.DUMMYFUNCTION("""COMPUTED_VALUE"""),"Nespecificat")</f>
        <v>Nespecificat</v>
      </c>
      <c r="AF78" s="3" t="str">
        <f ca="1">IFERROR(__xludf.DUMMYFUNCTION("""COMPUTED_VALUE"""),"Nespecificat")</f>
        <v>Nespecificat</v>
      </c>
      <c r="AG78" s="3" t="str">
        <f ca="1">IFERROR(__xludf.DUMMYFUNCTION("""COMPUTED_VALUE"""),"Nu")</f>
        <v>Nu</v>
      </c>
      <c r="AH78" s="3" t="str">
        <f ca="1">IFERROR(__xludf.DUMMYFUNCTION("""COMPUTED_VALUE"""),"Nu")</f>
        <v>Nu</v>
      </c>
      <c r="AI78" s="3" t="str">
        <f ca="1">IFERROR(__xludf.DUMMYFUNCTION("""COMPUTED_VALUE"""),"Afecțiuni cardiovasculare")</f>
        <v>Afecțiuni cardiovasculare</v>
      </c>
      <c r="AJ78" s="7" t="str">
        <f ca="1">IFERROR(__xludf.DUMMYFUNCTION("""COMPUTED_VALUE"""),"Y")</f>
        <v>Y</v>
      </c>
      <c r="AK78" s="7" t="str">
        <f ca="1">IFERROR(__xludf.DUMMYFUNCTION("""COMPUTED_VALUE"""),"N")</f>
        <v>N</v>
      </c>
      <c r="AL78" s="7" t="str">
        <f ca="1">IFERROR(__xludf.DUMMYFUNCTION("""COMPUTED_VALUE"""),"N")</f>
        <v>N</v>
      </c>
      <c r="AM78" s="7" t="str">
        <f ca="1">IFERROR(__xludf.DUMMYFUNCTION("""COMPUTED_VALUE"""),"N")</f>
        <v>N</v>
      </c>
      <c r="AN78" s="7" t="str">
        <f ca="1">IFERROR(__xludf.DUMMYFUNCTION("""COMPUTED_VALUE"""),"N")</f>
        <v>N</v>
      </c>
      <c r="AO78" s="7" t="str">
        <f ca="1">IFERROR(__xludf.DUMMYFUNCTION("""COMPUTED_VALUE"""),"N")</f>
        <v>N</v>
      </c>
      <c r="AP78" s="7" t="str">
        <f ca="1">IFERROR(__xludf.DUMMYFUNCTION("""COMPUTED_VALUE"""),"N")</f>
        <v>N</v>
      </c>
      <c r="AQ78" s="7" t="str">
        <f ca="1">IFERROR(__xludf.DUMMYFUNCTION("""COMPUTED_VALUE"""),"N")</f>
        <v>N</v>
      </c>
      <c r="AR78" s="7" t="str">
        <f ca="1">IFERROR(__xludf.DUMMYFUNCTION("""COMPUTED_VALUE"""),"N")</f>
        <v>N</v>
      </c>
      <c r="AS78" s="7" t="str">
        <f ca="1">IFERROR(__xludf.DUMMYFUNCTION("""COMPUTED_VALUE"""),"N")</f>
        <v>N</v>
      </c>
      <c r="AT78" s="7" t="str">
        <f ca="1">IFERROR(__xludf.DUMMYFUNCTION("""COMPUTED_VALUE"""),"N")</f>
        <v>N</v>
      </c>
      <c r="AU78" s="3"/>
      <c r="AV78" s="3"/>
      <c r="AW78" s="3"/>
      <c r="AX78" s="3"/>
      <c r="AY78" s="3"/>
    </row>
    <row r="79" spans="1:51" ht="16.5" customHeight="1">
      <c r="A79" s="3">
        <f ca="1">IFERROR(__xludf.DUMMYFUNCTION("""COMPUTED_VALUE"""),4127)</f>
        <v>4127</v>
      </c>
      <c r="B79" s="3"/>
      <c r="C79" s="3">
        <f ca="1">IFERROR(__xludf.DUMMYFUNCTION("""COMPUTED_VALUE"""),203)</f>
        <v>203</v>
      </c>
      <c r="D79" s="3" t="str">
        <f ca="1">IFERROR(__xludf.DUMMYFUNCTION("""COMPUTED_VALUE"""),"Feminin")</f>
        <v>Feminin</v>
      </c>
      <c r="E79" s="4">
        <f ca="1">IFERROR(__xludf.DUMMYFUNCTION("""COMPUTED_VALUE"""),76)</f>
        <v>76</v>
      </c>
      <c r="F79" s="3" t="str">
        <f ca="1">IFERROR(__xludf.DUMMYFUNCTION("""COMPUTED_VALUE"""),"70-79 years")</f>
        <v>70-79 years</v>
      </c>
      <c r="G79" s="3" t="str">
        <f ca="1">IFERROR(__xludf.DUMMYFUNCTION("""COMPUTED_VALUE"""),"București")</f>
        <v>București</v>
      </c>
      <c r="H79" s="3"/>
      <c r="I79" s="3">
        <f ca="1">IFERROR(__xludf.DUMMYFUNCTION("""COMPUTED_VALUE"""),894)</f>
        <v>894</v>
      </c>
      <c r="J79" s="3" t="str">
        <f ca="1">IFERROR(__xludf.DUMMYFUNCTION("""COMPUTED_VALUE"""),"Obezitate, Diabet zaharat tip II, Polineuropatie, Boala renala cronica st.III")</f>
        <v>Obezitate, Diabet zaharat tip II, Polineuropatie, Boala renala cronica st.III</v>
      </c>
      <c r="K79" s="5">
        <f ca="1">IFERROR(__xludf.DUMMYFUNCTION("""COMPUTED_VALUE"""),43929)</f>
        <v>43929</v>
      </c>
      <c r="L79" s="5">
        <f ca="1">IFERROR(__xludf.DUMMYFUNCTION("""COMPUTED_VALUE"""),43928)</f>
        <v>43928</v>
      </c>
      <c r="M79" s="3" t="str">
        <f ca="1">IFERROR(__xludf.DUMMYFUNCTION("""COMPUTED_VALUE"""),"1")</f>
        <v>1</v>
      </c>
      <c r="N79" s="5">
        <f ca="1">IFERROR(__xludf.DUMMYFUNCTION("""COMPUTED_VALUE"""),0)</f>
        <v>0</v>
      </c>
      <c r="O79" s="5">
        <f ca="1">IFERROR(__xludf.DUMMYFUNCTION("""COMPUTED_VALUE"""),43928)</f>
        <v>43928</v>
      </c>
      <c r="P79" s="3" t="str">
        <f ca="1">IFERROR(__xludf.DUMMYFUNCTION("""COMPUTED_VALUE"""),"Necunoscut")</f>
        <v>Necunoscut</v>
      </c>
      <c r="Q79" s="3" t="str">
        <f ca="1">IFERROR(__xludf.DUMMYFUNCTION("""COMPUTED_VALUE"""),"0")</f>
        <v>0</v>
      </c>
      <c r="R79" s="3" t="str">
        <f ca="1">IFERROR(__xludf.DUMMYFUNCTION("""COMPUTED_VALUE"""),"Nu")</f>
        <v>Nu</v>
      </c>
      <c r="S79" s="3" t="str">
        <f ca="1">IFERROR(__xludf.DUMMYFUNCTION("""COMPUTED_VALUE"""),"4/7/2020")</f>
        <v>4/7/2020</v>
      </c>
      <c r="T79" s="3">
        <f ca="1">IFERROR(__xludf.DUMMYFUNCTION("""COMPUTED_VALUE"""),0)</f>
        <v>0</v>
      </c>
      <c r="U79" s="3" t="str">
        <f ca="1">IFERROR(__xludf.DUMMYFUNCTION("""COMPUTED_VALUE"""),"Da")</f>
        <v>Da</v>
      </c>
      <c r="V79" s="6" t="str">
        <f ca="1">IFERROR(__xludf.DUMMYFUNCTION("""COMPUTED_VALUE"""),"http://www.ms.ro/2020/04/08/deces-198-205/")</f>
        <v>http://www.ms.ro/2020/04/08/deces-198-205/</v>
      </c>
      <c r="W79" s="3" t="str">
        <f ca="1">IFERROR(__xludf.DUMMYFUNCTION("""COMPUTED_VALUE"""),"Spitalul Pantelimon")</f>
        <v>Spitalul Pantelimon</v>
      </c>
      <c r="X79" s="3"/>
      <c r="Y79" s="3" t="str">
        <f ca="1">IFERROR(__xludf.DUMMYFUNCTION("""COMPUTED_VALUE"""),"Spitalul Pantelimon")</f>
        <v>Spitalul Pantelimon</v>
      </c>
      <c r="Z79" s="3"/>
      <c r="AA79" s="3" t="str">
        <f ca="1">IFERROR(__xludf.DUMMYFUNCTION("""COMPUTED_VALUE"""),"Spitalul Pantelimon")</f>
        <v>Spitalul Pantelimon</v>
      </c>
      <c r="AB79" s="3" t="str">
        <f ca="1">IFERROR(__xludf.DUMMYFUNCTION("""COMPUTED_VALUE"""),"Femeie, 76 de ani din mun.București. 
Internată pe data de 07.04.2020 în Spitalul Pantelimon cu insuficiență respiratorie acuta, bronhopneumonie; a necesitat ventilatie mecanica. 
Confirmata pe data de 07.04.2020 în INCDMM Cantacuzino. 
Decedata pe dat"&amp;"a 07.04.2020. 
Conditii medicale pre-existente: Obezitate, Diabet zaharat tip II, Polineuropatie, Boala renala cronica st.III.")</f>
        <v>Femeie, 76 de ani din mun.București. 
Internată pe data de 07.04.2020 în Spitalul Pantelimon cu insuficiență respiratorie acuta, bronhopneumonie; a necesitat ventilatie mecanica. 
Confirmata pe data de 07.04.2020 în INCDMM Cantacuzino. 
Decedata pe data 07.04.2020. 
Conditii medicale pre-existente: Obezitate, Diabet zaharat tip II, Polineuropatie, Boala renala cronica st.III.</v>
      </c>
      <c r="AC79" s="3" t="str">
        <f ca="1">IFERROR(__xludf.DUMMYFUNCTION("""COMPUTED_VALUE"""),"Insuficiență respiratorie acuta, bronhopneumonie; a necesitat ventilatie mecanica")</f>
        <v>Insuficiență respiratorie acuta, bronhopneumonie; a necesitat ventilatie mecanica</v>
      </c>
      <c r="AD79" s="3" t="str">
        <f ca="1">IFERROR(__xludf.DUMMYFUNCTION("""COMPUTED_VALUE"""),"MS")</f>
        <v>MS</v>
      </c>
      <c r="AE79" s="3" t="str">
        <f ca="1">IFERROR(__xludf.DUMMYFUNCTION("""COMPUTED_VALUE"""),"Nespecificat")</f>
        <v>Nespecificat</v>
      </c>
      <c r="AF79" s="3" t="str">
        <f ca="1">IFERROR(__xludf.DUMMYFUNCTION("""COMPUTED_VALUE"""),"Nespecificat")</f>
        <v>Nespecificat</v>
      </c>
      <c r="AG79" s="3" t="str">
        <f ca="1">IFERROR(__xludf.DUMMYFUNCTION("""COMPUTED_VALUE"""),"Da")</f>
        <v>Da</v>
      </c>
      <c r="AH79" s="3" t="str">
        <f ca="1">IFERROR(__xludf.DUMMYFUNCTION("""COMPUTED_VALUE"""),"Nu")</f>
        <v>Nu</v>
      </c>
      <c r="AI79" s="3" t="str">
        <f ca="1">IFERROR(__xludf.DUMMYFUNCTION("""COMPUTED_VALUE"""),"Diabet")</f>
        <v>Diabet</v>
      </c>
      <c r="AJ79" s="7" t="str">
        <f ca="1">IFERROR(__xludf.DUMMYFUNCTION("""COMPUTED_VALUE"""),"N")</f>
        <v>N</v>
      </c>
      <c r="AK79" s="7" t="str">
        <f ca="1">IFERROR(__xludf.DUMMYFUNCTION("""COMPUTED_VALUE"""),"Y")</f>
        <v>Y</v>
      </c>
      <c r="AL79" s="7" t="str">
        <f ca="1">IFERROR(__xludf.DUMMYFUNCTION("""COMPUTED_VALUE"""),"Y")</f>
        <v>Y</v>
      </c>
      <c r="AM79" s="7" t="str">
        <f ca="1">IFERROR(__xludf.DUMMYFUNCTION("""COMPUTED_VALUE"""),"Y")</f>
        <v>Y</v>
      </c>
      <c r="AN79" s="7" t="str">
        <f ca="1">IFERROR(__xludf.DUMMYFUNCTION("""COMPUTED_VALUE"""),"Y")</f>
        <v>Y</v>
      </c>
      <c r="AO79" s="7" t="str">
        <f ca="1">IFERROR(__xludf.DUMMYFUNCTION("""COMPUTED_VALUE"""),"N")</f>
        <v>N</v>
      </c>
      <c r="AP79" s="7" t="str">
        <f ca="1">IFERROR(__xludf.DUMMYFUNCTION("""COMPUTED_VALUE"""),"N")</f>
        <v>N</v>
      </c>
      <c r="AQ79" s="7" t="str">
        <f ca="1">IFERROR(__xludf.DUMMYFUNCTION("""COMPUTED_VALUE"""),"N")</f>
        <v>N</v>
      </c>
      <c r="AR79" s="7" t="str">
        <f ca="1">IFERROR(__xludf.DUMMYFUNCTION("""COMPUTED_VALUE"""),"Y")</f>
        <v>Y</v>
      </c>
      <c r="AS79" s="7" t="str">
        <f ca="1">IFERROR(__xludf.DUMMYFUNCTION("""COMPUTED_VALUE"""),"N")</f>
        <v>N</v>
      </c>
      <c r="AT79" s="7" t="str">
        <f ca="1">IFERROR(__xludf.DUMMYFUNCTION("""COMPUTED_VALUE"""),"N")</f>
        <v>N</v>
      </c>
      <c r="AU79" s="3"/>
      <c r="AV79" s="3"/>
      <c r="AW79" s="3"/>
      <c r="AX79" s="3"/>
      <c r="AY79" s="3"/>
    </row>
    <row r="80" spans="1:51" ht="16.5" customHeight="1">
      <c r="A80" s="3">
        <f ca="1">IFERROR(__xludf.DUMMYFUNCTION("""COMPUTED_VALUE"""),1227)</f>
        <v>1227</v>
      </c>
      <c r="B80" s="3"/>
      <c r="C80" s="3">
        <f ca="1">IFERROR(__xludf.DUMMYFUNCTION("""COMPUTED_VALUE"""),202)</f>
        <v>202</v>
      </c>
      <c r="D80" s="3" t="str">
        <f ca="1">IFERROR(__xludf.DUMMYFUNCTION("""COMPUTED_VALUE"""),"Masculin")</f>
        <v>Masculin</v>
      </c>
      <c r="E80" s="4">
        <f ca="1">IFERROR(__xludf.DUMMYFUNCTION("""COMPUTED_VALUE"""),57)</f>
        <v>57</v>
      </c>
      <c r="F80" s="3" t="str">
        <f ca="1">IFERROR(__xludf.DUMMYFUNCTION("""COMPUTED_VALUE"""),"50-59 years")</f>
        <v>50-59 years</v>
      </c>
      <c r="G80" s="3" t="str">
        <f ca="1">IFERROR(__xludf.DUMMYFUNCTION("""COMPUTED_VALUE"""),"București")</f>
        <v>București</v>
      </c>
      <c r="H80" s="3"/>
      <c r="I80" s="3">
        <f ca="1">IFERROR(__xludf.DUMMYFUNCTION("""COMPUTED_VALUE"""),244)</f>
        <v>244</v>
      </c>
      <c r="J80" s="3" t="str">
        <f ca="1">IFERROR(__xludf.DUMMYFUNCTION("""COMPUTED_VALUE"""),"HTA și diabet zaharat")</f>
        <v>HTA și diabet zaharat</v>
      </c>
      <c r="K80" s="5">
        <f ca="1">IFERROR(__xludf.DUMMYFUNCTION("""COMPUTED_VALUE"""),43929)</f>
        <v>43929</v>
      </c>
      <c r="L80" s="5">
        <f ca="1">IFERROR(__xludf.DUMMYFUNCTION("""COMPUTED_VALUE"""),43928)</f>
        <v>43928</v>
      </c>
      <c r="M80" s="3" t="str">
        <f ca="1">IFERROR(__xludf.DUMMYFUNCTION("""COMPUTED_VALUE"""),"1")</f>
        <v>1</v>
      </c>
      <c r="N80" s="5">
        <f ca="1">IFERROR(__xludf.DUMMYFUNCTION("""COMPUTED_VALUE"""),0)</f>
        <v>0</v>
      </c>
      <c r="O80" s="5">
        <f ca="1">IFERROR(__xludf.DUMMYFUNCTION("""COMPUTED_VALUE"""),43916)</f>
        <v>43916</v>
      </c>
      <c r="P80" s="3" t="str">
        <f ca="1">IFERROR(__xludf.DUMMYFUNCTION("""COMPUTED_VALUE"""),"Necunoscut")</f>
        <v>Necunoscut</v>
      </c>
      <c r="Q80" s="3" t="str">
        <f ca="1">IFERROR(__xludf.DUMMYFUNCTION("""COMPUTED_VALUE"""),"12")</f>
        <v>12</v>
      </c>
      <c r="R80" s="3" t="str">
        <f ca="1">IFERROR(__xludf.DUMMYFUNCTION("""COMPUTED_VALUE"""),"Nu")</f>
        <v>Nu</v>
      </c>
      <c r="S80" s="3" t="str">
        <f ca="1">IFERROR(__xludf.DUMMYFUNCTION("""COMPUTED_VALUE"""),"4/6/2020")</f>
        <v>4/6/2020</v>
      </c>
      <c r="T80" s="3">
        <f ca="1">IFERROR(__xludf.DUMMYFUNCTION("""COMPUTED_VALUE"""),1)</f>
        <v>1</v>
      </c>
      <c r="U80" s="3" t="str">
        <f ca="1">IFERROR(__xludf.DUMMYFUNCTION("""COMPUTED_VALUE"""),"Da")</f>
        <v>Da</v>
      </c>
      <c r="V80" s="6" t="str">
        <f ca="1">IFERROR(__xludf.DUMMYFUNCTION("""COMPUTED_VALUE"""),"http://www.ms.ro/2020/04/08/deces-198-205/")</f>
        <v>http://www.ms.ro/2020/04/08/deces-198-205/</v>
      </c>
      <c r="W80" s="3" t="str">
        <f ca="1">IFERROR(__xludf.DUMMYFUNCTION("""COMPUTED_VALUE"""),"Spitalul Elias")</f>
        <v>Spitalul Elias</v>
      </c>
      <c r="X80" s="3"/>
      <c r="Y80" s="3" t="str">
        <f ca="1">IFERROR(__xludf.DUMMYFUNCTION("""COMPUTED_VALUE"""),"Spitalul Colentina")</f>
        <v>Spitalul Colentina</v>
      </c>
      <c r="Z80" s="3"/>
      <c r="AA80" s="3" t="str">
        <f ca="1">IFERROR(__xludf.DUMMYFUNCTION("""COMPUTED_VALUE"""),"Spitalul Colentina")</f>
        <v>Spitalul Colentina</v>
      </c>
      <c r="AB80" s="3" t="str">
        <f ca="1">IFERROR(__xludf.DUMMYFUNCTION("""COMPUTED_VALUE"""),"Bărbat, 57 de ani din mun.București. 
Confirmat pe data de 26.03.2020 în INCDMM Cantacuzino. 
Transferat pe 04.04.2020 din Spitalul Elias la Spitalul Colentina și raportat la DSP București in 07.04.2020. 
Decedat pe data 07.04.2020. 
Comorbiditati : H"&amp;"TA și diabet zaharat.")</f>
        <v>Bărbat, 57 de ani din mun.București. 
Confirmat pe data de 26.03.2020 în INCDMM Cantacuzino. 
Transferat pe 04.04.2020 din Spitalul Elias la Spitalul Colentina și raportat la DSP București in 07.04.2020. 
Decedat pe data 07.04.2020. 
Comorbiditati : HTA și diabet zaharat.</v>
      </c>
      <c r="AC80" s="3" t="str">
        <f ca="1">IFERROR(__xludf.DUMMYFUNCTION("""COMPUTED_VALUE"""),"Nespecificat")</f>
        <v>Nespecificat</v>
      </c>
      <c r="AD80" s="3" t="str">
        <f ca="1">IFERROR(__xludf.DUMMYFUNCTION("""COMPUTED_VALUE"""),"MS")</f>
        <v>MS</v>
      </c>
      <c r="AE80" s="3" t="str">
        <f ca="1">IFERROR(__xludf.DUMMYFUNCTION("""COMPUTED_VALUE"""),"Nespecificat")</f>
        <v>Nespecificat</v>
      </c>
      <c r="AF80" s="3" t="str">
        <f ca="1">IFERROR(__xludf.DUMMYFUNCTION("""COMPUTED_VALUE"""),"Nespecificat")</f>
        <v>Nespecificat</v>
      </c>
      <c r="AG80" s="3" t="str">
        <f ca="1">IFERROR(__xludf.DUMMYFUNCTION("""COMPUTED_VALUE"""),"Nu")</f>
        <v>Nu</v>
      </c>
      <c r="AH80" s="3" t="str">
        <f ca="1">IFERROR(__xludf.DUMMYFUNCTION("""COMPUTED_VALUE"""),"Nu")</f>
        <v>Nu</v>
      </c>
      <c r="AI80" s="3" t="str">
        <f ca="1">IFERROR(__xludf.DUMMYFUNCTION("""COMPUTED_VALUE"""),"Afecțiuni cardiovasculare")</f>
        <v>Afecțiuni cardiovasculare</v>
      </c>
      <c r="AJ80" s="7" t="str">
        <f ca="1">IFERROR(__xludf.DUMMYFUNCTION("""COMPUTED_VALUE"""),"Y")</f>
        <v>Y</v>
      </c>
      <c r="AK80" s="7" t="str">
        <f ca="1">IFERROR(__xludf.DUMMYFUNCTION("""COMPUTED_VALUE"""),"Y")</f>
        <v>Y</v>
      </c>
      <c r="AL80" s="7" t="str">
        <f ca="1">IFERROR(__xludf.DUMMYFUNCTION("""COMPUTED_VALUE"""),"N")</f>
        <v>N</v>
      </c>
      <c r="AM80" s="7" t="str">
        <f ca="1">IFERROR(__xludf.DUMMYFUNCTION("""COMPUTED_VALUE"""),"N")</f>
        <v>N</v>
      </c>
      <c r="AN80" s="7" t="str">
        <f ca="1">IFERROR(__xludf.DUMMYFUNCTION("""COMPUTED_VALUE"""),"N")</f>
        <v>N</v>
      </c>
      <c r="AO80" s="7" t="str">
        <f ca="1">IFERROR(__xludf.DUMMYFUNCTION("""COMPUTED_VALUE"""),"N")</f>
        <v>N</v>
      </c>
      <c r="AP80" s="7" t="str">
        <f ca="1">IFERROR(__xludf.DUMMYFUNCTION("""COMPUTED_VALUE"""),"N")</f>
        <v>N</v>
      </c>
      <c r="AQ80" s="7" t="str">
        <f ca="1">IFERROR(__xludf.DUMMYFUNCTION("""COMPUTED_VALUE"""),"N")</f>
        <v>N</v>
      </c>
      <c r="AR80" s="7" t="str">
        <f ca="1">IFERROR(__xludf.DUMMYFUNCTION("""COMPUTED_VALUE"""),"N")</f>
        <v>N</v>
      </c>
      <c r="AS80" s="7" t="str">
        <f ca="1">IFERROR(__xludf.DUMMYFUNCTION("""COMPUTED_VALUE"""),"N")</f>
        <v>N</v>
      </c>
      <c r="AT80" s="7" t="str">
        <f ca="1">IFERROR(__xludf.DUMMYFUNCTION("""COMPUTED_VALUE"""),"N")</f>
        <v>N</v>
      </c>
      <c r="AU80" s="3"/>
      <c r="AV80" s="3"/>
      <c r="AW80" s="3"/>
      <c r="AX80" s="3"/>
      <c r="AY80" s="3"/>
    </row>
    <row r="81" spans="1:51" ht="16.5" customHeight="1">
      <c r="A81" s="3">
        <f ca="1">IFERROR(__xludf.DUMMYFUNCTION("""COMPUTED_VALUE"""),4126)</f>
        <v>4126</v>
      </c>
      <c r="B81" s="3"/>
      <c r="C81" s="3">
        <f ca="1">IFERROR(__xludf.DUMMYFUNCTION("""COMPUTED_VALUE"""),201)</f>
        <v>201</v>
      </c>
      <c r="D81" s="3" t="str">
        <f ca="1">IFERROR(__xludf.DUMMYFUNCTION("""COMPUTED_VALUE"""),"Feminin")</f>
        <v>Feminin</v>
      </c>
      <c r="E81" s="4">
        <f ca="1">IFERROR(__xludf.DUMMYFUNCTION("""COMPUTED_VALUE"""),90)</f>
        <v>90</v>
      </c>
      <c r="F81" s="3" t="str">
        <f ca="1">IFERROR(__xludf.DUMMYFUNCTION("""COMPUTED_VALUE"""),"Over 80 years")</f>
        <v>Over 80 years</v>
      </c>
      <c r="G81" s="3" t="str">
        <f ca="1">IFERROR(__xludf.DUMMYFUNCTION("""COMPUTED_VALUE"""),"București")</f>
        <v>București</v>
      </c>
      <c r="H81" s="3"/>
      <c r="I81" s="3">
        <f ca="1">IFERROR(__xludf.DUMMYFUNCTION("""COMPUTED_VALUE"""),1310)</f>
        <v>1310</v>
      </c>
      <c r="J81" s="3" t="str">
        <f ca="1">IFERROR(__xludf.DUMMYFUNCTION("""COMPUTED_VALUE"""),"HTA")</f>
        <v>HTA</v>
      </c>
      <c r="K81" s="5">
        <f ca="1">IFERROR(__xludf.DUMMYFUNCTION("""COMPUTED_VALUE"""),43929)</f>
        <v>43929</v>
      </c>
      <c r="L81" s="5">
        <f ca="1">IFERROR(__xludf.DUMMYFUNCTION("""COMPUTED_VALUE"""),43928)</f>
        <v>43928</v>
      </c>
      <c r="M81" s="3" t="str">
        <f ca="1">IFERROR(__xludf.DUMMYFUNCTION("""COMPUTED_VALUE"""),"1")</f>
        <v>1</v>
      </c>
      <c r="N81" s="5">
        <f ca="1">IFERROR(__xludf.DUMMYFUNCTION("""COMPUTED_VALUE"""),0)</f>
        <v>0</v>
      </c>
      <c r="O81" s="5">
        <f ca="1">IFERROR(__xludf.DUMMYFUNCTION("""COMPUTED_VALUE"""),43928)</f>
        <v>43928</v>
      </c>
      <c r="P81" s="3" t="str">
        <f ca="1">IFERROR(__xludf.DUMMYFUNCTION("""COMPUTED_VALUE"""),"Necunoscut")</f>
        <v>Necunoscut</v>
      </c>
      <c r="Q81" s="3" t="str">
        <f ca="1">IFERROR(__xludf.DUMMYFUNCTION("""COMPUTED_VALUE"""),"0")</f>
        <v>0</v>
      </c>
      <c r="R81" s="3" t="str">
        <f ca="1">IFERROR(__xludf.DUMMYFUNCTION("""COMPUTED_VALUE"""),"Nu")</f>
        <v>Nu</v>
      </c>
      <c r="S81" s="3" t="str">
        <f ca="1">IFERROR(__xludf.DUMMYFUNCTION("""COMPUTED_VALUE"""),"4/6/2020")</f>
        <v>4/6/2020</v>
      </c>
      <c r="T81" s="3">
        <f ca="1">IFERROR(__xludf.DUMMYFUNCTION("""COMPUTED_VALUE"""),1)</f>
        <v>1</v>
      </c>
      <c r="U81" s="3" t="str">
        <f ca="1">IFERROR(__xludf.DUMMYFUNCTION("""COMPUTED_VALUE"""),"Da")</f>
        <v>Da</v>
      </c>
      <c r="V81" s="6" t="str">
        <f ca="1">IFERROR(__xludf.DUMMYFUNCTION("""COMPUTED_VALUE"""),"http://www.ms.ro/2020/04/08/deces-198-205/")</f>
        <v>http://www.ms.ro/2020/04/08/deces-198-205/</v>
      </c>
      <c r="W81" s="3" t="str">
        <f ca="1">IFERROR(__xludf.DUMMYFUNCTION("""COMPUTED_VALUE"""),"Spitalul “Floreasca” București")</f>
        <v>Spitalul “Floreasca” București</v>
      </c>
      <c r="X81" s="3"/>
      <c r="Y81" s="3" t="str">
        <f ca="1">IFERROR(__xludf.DUMMYFUNCTION("""COMPUTED_VALUE"""),"INBI “Prof.Dr.Matei Bals”")</f>
        <v>INBI “Prof.Dr.Matei Bals”</v>
      </c>
      <c r="Z81" s="3"/>
      <c r="AA81" s="3" t="str">
        <f ca="1">IFERROR(__xludf.DUMMYFUNCTION("""COMPUTED_VALUE"""),"INBI “Prof.Dr.Matei Bals”")</f>
        <v>INBI “Prof.Dr.Matei Bals”</v>
      </c>
      <c r="AB81" s="3" t="str">
        <f ca="1">IFERROR(__xludf.DUMMYFUNCTION("""COMPUTED_VALUE"""),"Femeie, 90 de ani din mun.București. 
Debut pe data de 04.04.2020, cu febră și alterarea stării generale, confirmată pe 07.04.2020 în INCDMM Cantacuzino
Transferată din Spitalul “Floreasca” București la INBI “Prof.Dr.Matei Bals” pe data de 06.04.2020
D"&amp;"ecedata pe data 07.04.2020. 
Comorbiditati : HTA.")</f>
        <v>Femeie, 90 de ani din mun.București. 
Debut pe data de 04.04.2020, cu febră și alterarea stării generale, confirmată pe 07.04.2020 în INCDMM Cantacuzino
Transferată din Spitalul “Floreasca” București la INBI “Prof.Dr.Matei Bals” pe data de 06.04.2020
Decedata pe data 07.04.2020. 
Comorbiditati : HTA.</v>
      </c>
      <c r="AC81" s="3" t="str">
        <f ca="1">IFERROR(__xludf.DUMMYFUNCTION("""COMPUTED_VALUE"""),"Febră și alterarea stării generale incepand cu 4/4/2020")</f>
        <v>Febră și alterarea stării generale incepand cu 4/4/2020</v>
      </c>
      <c r="AD81" s="3" t="str">
        <f ca="1">IFERROR(__xludf.DUMMYFUNCTION("""COMPUTED_VALUE"""),"MS")</f>
        <v>MS</v>
      </c>
      <c r="AE81" s="3" t="str">
        <f ca="1">IFERROR(__xludf.DUMMYFUNCTION("""COMPUTED_VALUE"""),"Nespecificat")</f>
        <v>Nespecificat</v>
      </c>
      <c r="AF81" s="3" t="str">
        <f ca="1">IFERROR(__xludf.DUMMYFUNCTION("""COMPUTED_VALUE"""),"Fără posibilă expunere identificată, fără condiții medicale pre-existente")</f>
        <v>Fără posibilă expunere identificată, fără condiții medicale pre-existente</v>
      </c>
      <c r="AG81" s="3" t="str">
        <f ca="1">IFERROR(__xludf.DUMMYFUNCTION("""COMPUTED_VALUE"""),"Nu")</f>
        <v>Nu</v>
      </c>
      <c r="AH81" s="3" t="str">
        <f ca="1">IFERROR(__xludf.DUMMYFUNCTION("""COMPUTED_VALUE"""),"Nu")</f>
        <v>Nu</v>
      </c>
      <c r="AI81" s="3" t="str">
        <f ca="1">IFERROR(__xludf.DUMMYFUNCTION("""COMPUTED_VALUE"""),"Afecțiuni cardiovasculare")</f>
        <v>Afecțiuni cardiovasculare</v>
      </c>
      <c r="AJ81" s="7" t="str">
        <f ca="1">IFERROR(__xludf.DUMMYFUNCTION("""COMPUTED_VALUE"""),"Y")</f>
        <v>Y</v>
      </c>
      <c r="AK81" s="7" t="str">
        <f ca="1">IFERROR(__xludf.DUMMYFUNCTION("""COMPUTED_VALUE"""),"N")</f>
        <v>N</v>
      </c>
      <c r="AL81" s="7" t="str">
        <f ca="1">IFERROR(__xludf.DUMMYFUNCTION("""COMPUTED_VALUE"""),"N")</f>
        <v>N</v>
      </c>
      <c r="AM81" s="7" t="str">
        <f ca="1">IFERROR(__xludf.DUMMYFUNCTION("""COMPUTED_VALUE"""),"N")</f>
        <v>N</v>
      </c>
      <c r="AN81" s="7" t="str">
        <f ca="1">IFERROR(__xludf.DUMMYFUNCTION("""COMPUTED_VALUE"""),"N")</f>
        <v>N</v>
      </c>
      <c r="AO81" s="7" t="str">
        <f ca="1">IFERROR(__xludf.DUMMYFUNCTION("""COMPUTED_VALUE"""),"N")</f>
        <v>N</v>
      </c>
      <c r="AP81" s="7" t="str">
        <f ca="1">IFERROR(__xludf.DUMMYFUNCTION("""COMPUTED_VALUE"""),"N")</f>
        <v>N</v>
      </c>
      <c r="AQ81" s="7" t="str">
        <f ca="1">IFERROR(__xludf.DUMMYFUNCTION("""COMPUTED_VALUE"""),"N")</f>
        <v>N</v>
      </c>
      <c r="AR81" s="7" t="str">
        <f ca="1">IFERROR(__xludf.DUMMYFUNCTION("""COMPUTED_VALUE"""),"N")</f>
        <v>N</v>
      </c>
      <c r="AS81" s="7" t="str">
        <f ca="1">IFERROR(__xludf.DUMMYFUNCTION("""COMPUTED_VALUE"""),"N")</f>
        <v>N</v>
      </c>
      <c r="AT81" s="7" t="str">
        <f ca="1">IFERROR(__xludf.DUMMYFUNCTION("""COMPUTED_VALUE"""),"N")</f>
        <v>N</v>
      </c>
      <c r="AU81" s="3"/>
      <c r="AV81" s="3"/>
      <c r="AW81" s="3"/>
      <c r="AX81" s="3"/>
      <c r="AY81" s="3"/>
    </row>
    <row r="82" spans="1:51" ht="16.5" customHeight="1">
      <c r="A82" s="3">
        <f ca="1">IFERROR(__xludf.DUMMYFUNCTION("""COMPUTED_VALUE"""),2497)</f>
        <v>2497</v>
      </c>
      <c r="B82" s="3"/>
      <c r="C82" s="3">
        <f ca="1">IFERROR(__xludf.DUMMYFUNCTION("""COMPUTED_VALUE"""),182)</f>
        <v>182</v>
      </c>
      <c r="D82" s="3" t="str">
        <f ca="1">IFERROR(__xludf.DUMMYFUNCTION("""COMPUTED_VALUE"""),"Feminin")</f>
        <v>Feminin</v>
      </c>
      <c r="E82" s="4">
        <f ca="1">IFERROR(__xludf.DUMMYFUNCTION("""COMPUTED_VALUE"""),70)</f>
        <v>70</v>
      </c>
      <c r="F82" s="3" t="str">
        <f ca="1">IFERROR(__xludf.DUMMYFUNCTION("""COMPUTED_VALUE"""),"70-79 years")</f>
        <v>70-79 years</v>
      </c>
      <c r="G82" s="3" t="str">
        <f ca="1">IFERROR(__xludf.DUMMYFUNCTION("""COMPUTED_VALUE"""),"București")</f>
        <v>București</v>
      </c>
      <c r="H82" s="3"/>
      <c r="I82" s="3">
        <f ca="1">IFERROR(__xludf.DUMMYFUNCTION("""COMPUTED_VALUE"""),672)</f>
        <v>672</v>
      </c>
      <c r="J82" s="3" t="str">
        <f ca="1">IFERROR(__xludf.DUMMYFUNCTION("""COMPUTED_VALUE"""),"Afecțiuni cardiace cornice")</f>
        <v>Afecțiuni cardiace cornice</v>
      </c>
      <c r="K82" s="5">
        <f ca="1">IFERROR(__xludf.DUMMYFUNCTION("""COMPUTED_VALUE"""),43928)</f>
        <v>43928</v>
      </c>
      <c r="L82" s="5">
        <f ca="1">IFERROR(__xludf.DUMMYFUNCTION("""COMPUTED_VALUE"""),43927)</f>
        <v>43927</v>
      </c>
      <c r="M82" s="3" t="str">
        <f ca="1">IFERROR(__xludf.DUMMYFUNCTION("""COMPUTED_VALUE"""),"1")</f>
        <v>1</v>
      </c>
      <c r="N82" s="5">
        <f ca="1">IFERROR(__xludf.DUMMYFUNCTION("""COMPUTED_VALUE"""),0)</f>
        <v>0</v>
      </c>
      <c r="O82" s="5">
        <f ca="1">IFERROR(__xludf.DUMMYFUNCTION("""COMPUTED_VALUE"""),43923)</f>
        <v>43923</v>
      </c>
      <c r="P82" s="3" t="str">
        <f ca="1">IFERROR(__xludf.DUMMYFUNCTION("""COMPUTED_VALUE"""),"Necunoscut")</f>
        <v>Necunoscut</v>
      </c>
      <c r="Q82" s="3" t="str">
        <f ca="1">IFERROR(__xludf.DUMMYFUNCTION("""COMPUTED_VALUE"""),"4")</f>
        <v>4</v>
      </c>
      <c r="R82" s="3" t="str">
        <f ca="1">IFERROR(__xludf.DUMMYFUNCTION("""COMPUTED_VALUE"""),"Nu")</f>
        <v>Nu</v>
      </c>
      <c r="S82" s="3" t="str">
        <f ca="1">IFERROR(__xludf.DUMMYFUNCTION("""COMPUTED_VALUE"""),"4/5/2020")</f>
        <v>4/5/2020</v>
      </c>
      <c r="T82" s="3">
        <f ca="1">IFERROR(__xludf.DUMMYFUNCTION("""COMPUTED_VALUE"""),1)</f>
        <v>1</v>
      </c>
      <c r="U82" s="3" t="str">
        <f ca="1">IFERROR(__xludf.DUMMYFUNCTION("""COMPUTED_VALUE"""),"Da")</f>
        <v>Da</v>
      </c>
      <c r="V82" s="6" t="str">
        <f ca="1">IFERROR(__xludf.DUMMYFUNCTION("""COMPUTED_VALUE"""),"http://www.ms.ro/2020/04/07/deces-177-182/")</f>
        <v>http://www.ms.ro/2020/04/07/deces-177-182/</v>
      </c>
      <c r="W82" s="3" t="str">
        <f ca="1">IFERROR(__xludf.DUMMYFUNCTION("""COMPUTED_VALUE"""),"Spitalul Sf. Ioan București,")</f>
        <v>Spitalul Sf. Ioan București,</v>
      </c>
      <c r="X82" s="3"/>
      <c r="Y82" s="3" t="str">
        <f ca="1">IFERROR(__xludf.DUMMYFUNCTION("""COMPUTED_VALUE"""),"Spitalul V. Babeș București")</f>
        <v>Spitalul V. Babeș București</v>
      </c>
      <c r="Z82" s="3"/>
      <c r="AA82" s="3" t="str">
        <f ca="1">IFERROR(__xludf.DUMMYFUNCTION("""COMPUTED_VALUE"""),"Spitalul V. Babeș București")</f>
        <v>Spitalul V. Babeș București</v>
      </c>
      <c r="AB82" s="3" t="str">
        <f ca="1">IFERROR(__xludf.DUMMYFUNCTION("""COMPUTED_VALUE"""),"Femeie, 70 ani din București. Internata în Spitalul Sf. Ioan București, ulterior transferată la Spitalul V. Babeș București. Rezultat pozitiv în data de 02.04.2020. Dată deces: 06.04.2020. Comorbidități: afecțiuni cardiace cornice.")</f>
        <v>Femeie, 70 ani din București. Internata în Spitalul Sf. Ioan București, ulterior transferată la Spitalul V. Babeș București. Rezultat pozitiv în data de 02.04.2020. Dată deces: 06.04.2020. Comorbidități: afecțiuni cardiace cornice.</v>
      </c>
      <c r="AC82" s="3"/>
      <c r="AD82" s="3" t="str">
        <f ca="1">IFERROR(__xludf.DUMMYFUNCTION("""COMPUTED_VALUE"""),"MS")</f>
        <v>MS</v>
      </c>
      <c r="AE82" s="3" t="str">
        <f ca="1">IFERROR(__xludf.DUMMYFUNCTION("""COMPUTED_VALUE"""),"Nespecificat")</f>
        <v>Nespecificat</v>
      </c>
      <c r="AF82" s="3" t="str">
        <f ca="1">IFERROR(__xludf.DUMMYFUNCTION("""COMPUTED_VALUE"""),"Nespecificat")</f>
        <v>Nespecificat</v>
      </c>
      <c r="AG82" s="3" t="str">
        <f ca="1">IFERROR(__xludf.DUMMYFUNCTION("""COMPUTED_VALUE"""),"Nu")</f>
        <v>Nu</v>
      </c>
      <c r="AH82" s="3" t="str">
        <f ca="1">IFERROR(__xludf.DUMMYFUNCTION("""COMPUTED_VALUE"""),"Nu")</f>
        <v>Nu</v>
      </c>
      <c r="AI82" s="3" t="str">
        <f ca="1">IFERROR(__xludf.DUMMYFUNCTION("""COMPUTED_VALUE"""),"Afecțiuni cardiovasculare")</f>
        <v>Afecțiuni cardiovasculare</v>
      </c>
      <c r="AJ82" s="7" t="str">
        <f ca="1">IFERROR(__xludf.DUMMYFUNCTION("""COMPUTED_VALUE"""),"Y")</f>
        <v>Y</v>
      </c>
      <c r="AK82" s="7" t="str">
        <f ca="1">IFERROR(__xludf.DUMMYFUNCTION("""COMPUTED_VALUE"""),"N")</f>
        <v>N</v>
      </c>
      <c r="AL82" s="7" t="str">
        <f ca="1">IFERROR(__xludf.DUMMYFUNCTION("""COMPUTED_VALUE"""),"N")</f>
        <v>N</v>
      </c>
      <c r="AM82" s="7" t="str">
        <f ca="1">IFERROR(__xludf.DUMMYFUNCTION("""COMPUTED_VALUE"""),"N")</f>
        <v>N</v>
      </c>
      <c r="AN82" s="7" t="str">
        <f ca="1">IFERROR(__xludf.DUMMYFUNCTION("""COMPUTED_VALUE"""),"N")</f>
        <v>N</v>
      </c>
      <c r="AO82" s="7" t="str">
        <f ca="1">IFERROR(__xludf.DUMMYFUNCTION("""COMPUTED_VALUE"""),"N")</f>
        <v>N</v>
      </c>
      <c r="AP82" s="7" t="str">
        <f ca="1">IFERROR(__xludf.DUMMYFUNCTION("""COMPUTED_VALUE"""),"N")</f>
        <v>N</v>
      </c>
      <c r="AQ82" s="7" t="str">
        <f ca="1">IFERROR(__xludf.DUMMYFUNCTION("""COMPUTED_VALUE"""),"N")</f>
        <v>N</v>
      </c>
      <c r="AR82" s="7" t="str">
        <f ca="1">IFERROR(__xludf.DUMMYFUNCTION("""COMPUTED_VALUE"""),"N")</f>
        <v>N</v>
      </c>
      <c r="AS82" s="7" t="str">
        <f ca="1">IFERROR(__xludf.DUMMYFUNCTION("""COMPUTED_VALUE"""),"N")</f>
        <v>N</v>
      </c>
      <c r="AT82" s="7" t="str">
        <f ca="1">IFERROR(__xludf.DUMMYFUNCTION("""COMPUTED_VALUE"""),"N")</f>
        <v>N</v>
      </c>
      <c r="AU82" s="3"/>
      <c r="AV82" s="3"/>
      <c r="AW82" s="3"/>
      <c r="AX82" s="3"/>
      <c r="AY82" s="3"/>
    </row>
    <row r="83" spans="1:51" ht="16.5" customHeight="1">
      <c r="A83" s="3">
        <f ca="1">IFERROR(__xludf.DUMMYFUNCTION("""COMPUTED_VALUE"""),608)</f>
        <v>608</v>
      </c>
      <c r="B83" s="3"/>
      <c r="C83" s="3">
        <f ca="1">IFERROR(__xludf.DUMMYFUNCTION("""COMPUTED_VALUE"""),144)</f>
        <v>144</v>
      </c>
      <c r="D83" s="3" t="str">
        <f ca="1">IFERROR(__xludf.DUMMYFUNCTION("""COMPUTED_VALUE"""),"Masculin")</f>
        <v>Masculin</v>
      </c>
      <c r="E83" s="4">
        <f ca="1">IFERROR(__xludf.DUMMYFUNCTION("""COMPUTED_VALUE"""),53)</f>
        <v>53</v>
      </c>
      <c r="F83" s="3" t="str">
        <f ca="1">IFERROR(__xludf.DUMMYFUNCTION("""COMPUTED_VALUE"""),"50-59 years")</f>
        <v>50-59 years</v>
      </c>
      <c r="G83" s="3" t="str">
        <f ca="1">IFERROR(__xludf.DUMMYFUNCTION("""COMPUTED_VALUE"""),"București")</f>
        <v>București</v>
      </c>
      <c r="H83" s="3" t="str">
        <f ca="1">IFERROR(__xludf.DUMMYFUNCTION("""COMPUTED_VALUE"""),"București")</f>
        <v>București</v>
      </c>
      <c r="I83" s="3">
        <f ca="1">IFERROR(__xludf.DUMMYFUNCTION("""COMPUTED_VALUE"""),173)</f>
        <v>173</v>
      </c>
      <c r="J83" s="3" t="str">
        <f ca="1">IFERROR(__xludf.DUMMYFUNCTION("""COMPUTED_VALUE"""),"Nespecificat")</f>
        <v>Nespecificat</v>
      </c>
      <c r="K83" s="5">
        <f ca="1">IFERROR(__xludf.DUMMYFUNCTION("""COMPUTED_VALUE"""),43925)</f>
        <v>43925</v>
      </c>
      <c r="L83" s="5">
        <f ca="1">IFERROR(__xludf.DUMMYFUNCTION("""COMPUTED_VALUE"""),43925)</f>
        <v>43925</v>
      </c>
      <c r="M83" s="3" t="str">
        <f ca="1">IFERROR(__xludf.DUMMYFUNCTION("""COMPUTED_VALUE"""),"0")</f>
        <v>0</v>
      </c>
      <c r="N83" s="5">
        <f ca="1">IFERROR(__xludf.DUMMYFUNCTION("""COMPUTED_VALUE"""),0)</f>
        <v>0</v>
      </c>
      <c r="O83" s="5">
        <f ca="1">IFERROR(__xludf.DUMMYFUNCTION("""COMPUTED_VALUE"""),43914)</f>
        <v>43914</v>
      </c>
      <c r="P83" s="3" t="str">
        <f ca="1">IFERROR(__xludf.DUMMYFUNCTION("""COMPUTED_VALUE"""),"Necunoscut")</f>
        <v>Necunoscut</v>
      </c>
      <c r="Q83" s="3" t="str">
        <f ca="1">IFERROR(__xludf.DUMMYFUNCTION("""COMPUTED_VALUE"""),"11")</f>
        <v>11</v>
      </c>
      <c r="R83" s="3" t="str">
        <f ca="1">IFERROR(__xludf.DUMMYFUNCTION("""COMPUTED_VALUE"""),"Nu")</f>
        <v>Nu</v>
      </c>
      <c r="S83" s="3" t="str">
        <f ca="1">IFERROR(__xludf.DUMMYFUNCTION("""COMPUTED_VALUE"""),"3/24/2020")</f>
        <v>3/24/2020</v>
      </c>
      <c r="T83" s="3">
        <f ca="1">IFERROR(__xludf.DUMMYFUNCTION("""COMPUTED_VALUE"""),11)</f>
        <v>11</v>
      </c>
      <c r="U83" s="3" t="str">
        <f ca="1">IFERROR(__xludf.DUMMYFUNCTION("""COMPUTED_VALUE"""),"Da")</f>
        <v>Da</v>
      </c>
      <c r="V83" s="6" t="str">
        <f ca="1">IFERROR(__xludf.DUMMYFUNCTION("""COMPUTED_VALUE"""),"http://www.ms.ro/2020/04/04/decese-141-146/")</f>
        <v>http://www.ms.ro/2020/04/04/decese-141-146/</v>
      </c>
      <c r="W83" s="3" t="str">
        <f ca="1">IFERROR(__xludf.DUMMYFUNCTION("""COMPUTED_VALUE"""),"Institutul Național De Boli Infecțioase Prof. Dr. Matei Balș, București")</f>
        <v>Institutul Național De Boli Infecțioase Prof. Dr. Matei Balș, București</v>
      </c>
      <c r="X83" s="3"/>
      <c r="Y83" s="3" t="str">
        <f ca="1">IFERROR(__xludf.DUMMYFUNCTION("""COMPUTED_VALUE"""),"Institutul Național De Boli Infecțioase Prof. Dr. Matei Balș, București")</f>
        <v>Institutul Național De Boli Infecțioase Prof. Dr. Matei Balș, București</v>
      </c>
      <c r="Z83" s="3"/>
      <c r="AA83" s="3" t="str">
        <f ca="1">IFERROR(__xludf.DUMMYFUNCTION("""COMPUTED_VALUE"""),"Institutul Național De Boli Infecțioase Prof. Dr. Matei Balș, București")</f>
        <v>Institutul Național De Boli Infecțioase Prof. Dr. Matei Balș, București</v>
      </c>
      <c r="AB83" s="3" t="str">
        <f ca="1">IFERROR(__xludf.DUMMYFUNCTION("""COMPUTED_VALUE"""),"Bărbat, 53 ani din București. 
Se internează în data de 24.03.2020 la INBI Matei Balș. 
Data deces: 04.04.2020. 
Data confirmare: 24.03.2020. ")</f>
        <v xml:space="preserve">Bărbat, 53 ani din București. 
Se internează în data de 24.03.2020 la INBI Matei Balș. 
Data deces: 04.04.2020. 
Data confirmare: 24.03.2020. </v>
      </c>
      <c r="AC83" s="3" t="str">
        <f ca="1">IFERROR(__xludf.DUMMYFUNCTION("""COMPUTED_VALUE"""),"Nespecificat")</f>
        <v>Nespecificat</v>
      </c>
      <c r="AD83" s="3" t="str">
        <f ca="1">IFERROR(__xludf.DUMMYFUNCTION("""COMPUTED_VALUE"""),"MS")</f>
        <v>MS</v>
      </c>
      <c r="AE83" s="3" t="str">
        <f ca="1">IFERROR(__xludf.DUMMYFUNCTION("""COMPUTED_VALUE"""),"Nespecificat")</f>
        <v>Nespecificat</v>
      </c>
      <c r="AF83" s="3" t="str">
        <f ca="1">IFERROR(__xludf.DUMMYFUNCTION("""COMPUTED_VALUE"""),"Nespecificat")</f>
        <v>Nespecificat</v>
      </c>
      <c r="AG83" s="3" t="str">
        <f ca="1">IFERROR(__xludf.DUMMYFUNCTION("""COMPUTED_VALUE"""),"Nu")</f>
        <v>Nu</v>
      </c>
      <c r="AH83" s="3" t="str">
        <f ca="1">IFERROR(__xludf.DUMMYFUNCTION("""COMPUTED_VALUE"""),"Nu")</f>
        <v>Nu</v>
      </c>
      <c r="AI83" s="3" t="str">
        <f ca="1">IFERROR(__xludf.DUMMYFUNCTION("""COMPUTED_VALUE"""),"Fără afecțiuni preexistente cunoscute")</f>
        <v>Fără afecțiuni preexistente cunoscute</v>
      </c>
      <c r="AJ83" s="7" t="str">
        <f ca="1">IFERROR(__xludf.DUMMYFUNCTION("""COMPUTED_VALUE"""),"N")</f>
        <v>N</v>
      </c>
      <c r="AK83" s="7" t="str">
        <f ca="1">IFERROR(__xludf.DUMMYFUNCTION("""COMPUTED_VALUE"""),"N")</f>
        <v>N</v>
      </c>
      <c r="AL83" s="7" t="str">
        <f ca="1">IFERROR(__xludf.DUMMYFUNCTION("""COMPUTED_VALUE"""),"N")</f>
        <v>N</v>
      </c>
      <c r="AM83" s="7" t="str">
        <f ca="1">IFERROR(__xludf.DUMMYFUNCTION("""COMPUTED_VALUE"""),"N")</f>
        <v>N</v>
      </c>
      <c r="AN83" s="7" t="str">
        <f ca="1">IFERROR(__xludf.DUMMYFUNCTION("""COMPUTED_VALUE"""),"N")</f>
        <v>N</v>
      </c>
      <c r="AO83" s="7" t="str">
        <f ca="1">IFERROR(__xludf.DUMMYFUNCTION("""COMPUTED_VALUE"""),"N")</f>
        <v>N</v>
      </c>
      <c r="AP83" s="7" t="str">
        <f ca="1">IFERROR(__xludf.DUMMYFUNCTION("""COMPUTED_VALUE"""),"N")</f>
        <v>N</v>
      </c>
      <c r="AQ83" s="7" t="str">
        <f ca="1">IFERROR(__xludf.DUMMYFUNCTION("""COMPUTED_VALUE"""),"N")</f>
        <v>N</v>
      </c>
      <c r="AR83" s="7" t="str">
        <f ca="1">IFERROR(__xludf.DUMMYFUNCTION("""COMPUTED_VALUE"""),"N")</f>
        <v>N</v>
      </c>
      <c r="AS83" s="7" t="str">
        <f ca="1">IFERROR(__xludf.DUMMYFUNCTION("""COMPUTED_VALUE"""),"N")</f>
        <v>N</v>
      </c>
      <c r="AT83" s="7" t="str">
        <f ca="1">IFERROR(__xludf.DUMMYFUNCTION("""COMPUTED_VALUE"""),"Y")</f>
        <v>Y</v>
      </c>
      <c r="AU83" s="3"/>
      <c r="AV83" s="3"/>
      <c r="AW83" s="3"/>
      <c r="AX83" s="3"/>
      <c r="AY83" s="3"/>
    </row>
    <row r="84" spans="1:51" ht="16.5" customHeight="1">
      <c r="A84" s="3">
        <f ca="1">IFERROR(__xludf.DUMMYFUNCTION("""COMPUTED_VALUE"""),1224)</f>
        <v>1224</v>
      </c>
      <c r="B84" s="3">
        <f ca="1">IFERROR(__xludf.DUMMYFUNCTION("""COMPUTED_VALUE"""),328)</f>
        <v>328</v>
      </c>
      <c r="C84" s="3">
        <f ca="1">IFERROR(__xludf.DUMMYFUNCTION("""COMPUTED_VALUE"""),139)</f>
        <v>139</v>
      </c>
      <c r="D84" s="3" t="str">
        <f ca="1">IFERROR(__xludf.DUMMYFUNCTION("""COMPUTED_VALUE"""),"Feminin")</f>
        <v>Feminin</v>
      </c>
      <c r="E84" s="4">
        <f ca="1">IFERROR(__xludf.DUMMYFUNCTION("""COMPUTED_VALUE"""),59)</f>
        <v>59</v>
      </c>
      <c r="F84" s="3" t="str">
        <f ca="1">IFERROR(__xludf.DUMMYFUNCTION("""COMPUTED_VALUE"""),"50-59 years")</f>
        <v>50-59 years</v>
      </c>
      <c r="G84" s="3" t="str">
        <f ca="1">IFERROR(__xludf.DUMMYFUNCTION("""COMPUTED_VALUE"""),"București")</f>
        <v>București</v>
      </c>
      <c r="H84" s="3"/>
      <c r="I84" s="3">
        <f ca="1">IFERROR(__xludf.DUMMYFUNCTION("""COMPUTED_VALUE"""),282)</f>
        <v>282</v>
      </c>
      <c r="J84" s="3" t="str">
        <f ca="1">IFERROR(__xludf.DUMMYFUNCTION("""COMPUTED_VALUE"""),"Insuficiență renală cronică")</f>
        <v>Insuficiență renală cronică</v>
      </c>
      <c r="K84" s="5">
        <f ca="1">IFERROR(__xludf.DUMMYFUNCTION("""COMPUTED_VALUE"""),43925)</f>
        <v>43925</v>
      </c>
      <c r="L84" s="5">
        <f ca="1">IFERROR(__xludf.DUMMYFUNCTION("""COMPUTED_VALUE"""),43919)</f>
        <v>43919</v>
      </c>
      <c r="M84" s="3" t="str">
        <f ca="1">IFERROR(__xludf.DUMMYFUNCTION("""COMPUTED_VALUE"""),"6")</f>
        <v>6</v>
      </c>
      <c r="N84" s="5">
        <f ca="1">IFERROR(__xludf.DUMMYFUNCTION("""COMPUTED_VALUE"""),0)</f>
        <v>0</v>
      </c>
      <c r="O84" s="5">
        <f ca="1">IFERROR(__xludf.DUMMYFUNCTION("""COMPUTED_VALUE"""),43917)</f>
        <v>43917</v>
      </c>
      <c r="P84" s="3" t="str">
        <f ca="1">IFERROR(__xludf.DUMMYFUNCTION("""COMPUTED_VALUE"""),"Necunoscut")</f>
        <v>Necunoscut</v>
      </c>
      <c r="Q84" s="3" t="str">
        <f ca="1">IFERROR(__xludf.DUMMYFUNCTION("""COMPUTED_VALUE"""),"2")</f>
        <v>2</v>
      </c>
      <c r="R84" s="3" t="str">
        <f ca="1">IFERROR(__xludf.DUMMYFUNCTION("""COMPUTED_VALUE"""),"Nu")</f>
        <v>Nu</v>
      </c>
      <c r="S84" s="3" t="str">
        <f ca="1">IFERROR(__xludf.DUMMYFUNCTION("""COMPUTED_VALUE"""),"?")</f>
        <v>?</v>
      </c>
      <c r="T84" s="3"/>
      <c r="U84" s="3" t="str">
        <f ca="1">IFERROR(__xludf.DUMMYFUNCTION("""COMPUTED_VALUE"""),"Nespecificat")</f>
        <v>Nespecificat</v>
      </c>
      <c r="V84" s="6" t="str">
        <f ca="1">IFERROR(__xludf.DUMMYFUNCTION("""COMPUTED_VALUE"""),"http://www.ms.ro/2020/04/04/deces-134-141/")</f>
        <v>http://www.ms.ro/2020/04/04/deces-134-141/</v>
      </c>
      <c r="W84" s="3" t="str">
        <f ca="1">IFERROR(__xludf.DUMMYFUNCTION("""COMPUTED_VALUE"""),"Nespecificat")</f>
        <v>Nespecificat</v>
      </c>
      <c r="X84" s="3"/>
      <c r="Y84" s="3" t="str">
        <f ca="1">IFERROR(__xludf.DUMMYFUNCTION("""COMPUTED_VALUE"""),"Nespecificat")</f>
        <v>Nespecificat</v>
      </c>
      <c r="Z84" s="3"/>
      <c r="AA84" s="3" t="str">
        <f ca="1">IFERROR(__xludf.DUMMYFUNCTION("""COMPUTED_VALUE"""),"Nespecificat")</f>
        <v>Nespecificat</v>
      </c>
      <c r="AB84" s="3" t="str">
        <f ca="1">IFERROR(__xludf.DUMMYFUNCTION("""COMPUTED_VALUE"""),"Femeie, 59 ani din București.
Persoana din focarul clinicii care realizează proceduri de hemodializă.
Confirmată pe data de 27/03/2020.
Data decesului: 29/03/2020
**
atenție la decesul #140. femeia era pe hemodializă/ deci avea IRC stadiu final/ doar că n"&amp;"u e menționat dx de IRC (bizar...)-Gabi")</f>
        <v>Femeie, 59 ani din București.
Persoana din focarul clinicii care realizează proceduri de hemodializă.
Confirmată pe data de 27/03/2020.
Data decesului: 29/03/2020
**
atenție la decesul #140. femeia era pe hemodializă/ deci avea IRC stadiu final/ doar că nu e menționat dx de IRC (bizar...)-Gabi</v>
      </c>
      <c r="AC84" s="3" t="str">
        <f ca="1">IFERROR(__xludf.DUMMYFUNCTION("""COMPUTED_VALUE"""),"Nespecificat")</f>
        <v>Nespecificat</v>
      </c>
      <c r="AD84" s="3" t="str">
        <f ca="1">IFERROR(__xludf.DUMMYFUNCTION("""COMPUTED_VALUE"""),"MS")</f>
        <v>MS</v>
      </c>
      <c r="AE84" s="3" t="str">
        <f ca="1">IFERROR(__xludf.DUMMYFUNCTION("""COMPUTED_VALUE"""),"Nespecificat")</f>
        <v>Nespecificat</v>
      </c>
      <c r="AF84" s="3" t="str">
        <f ca="1">IFERROR(__xludf.DUMMYFUNCTION("""COMPUTED_VALUE"""),"Caz centru privat dializă Diaverum-Sema Parc")</f>
        <v>Caz centru privat dializă Diaverum-Sema Parc</v>
      </c>
      <c r="AG84" s="3" t="str">
        <f ca="1">IFERROR(__xludf.DUMMYFUNCTION("""COMPUTED_VALUE"""),"Da")</f>
        <v>Da</v>
      </c>
      <c r="AH84" s="3" t="str">
        <f ca="1">IFERROR(__xludf.DUMMYFUNCTION("""COMPUTED_VALUE"""),"Nu")</f>
        <v>Nu</v>
      </c>
      <c r="AI84" s="3" t="str">
        <f ca="1">IFERROR(__xludf.DUMMYFUNCTION("""COMPUTED_VALUE"""),"Afecțiuni renale")</f>
        <v>Afecțiuni renale</v>
      </c>
      <c r="AJ84" s="7" t="str">
        <f ca="1">IFERROR(__xludf.DUMMYFUNCTION("""COMPUTED_VALUE"""),"N")</f>
        <v>N</v>
      </c>
      <c r="AK84" s="7" t="str">
        <f ca="1">IFERROR(__xludf.DUMMYFUNCTION("""COMPUTED_VALUE"""),"N")</f>
        <v>N</v>
      </c>
      <c r="AL84" s="7" t="str">
        <f ca="1">IFERROR(__xludf.DUMMYFUNCTION("""COMPUTED_VALUE"""),"Y")</f>
        <v>Y</v>
      </c>
      <c r="AM84" s="7" t="str">
        <f ca="1">IFERROR(__xludf.DUMMYFUNCTION("""COMPUTED_VALUE"""),"N")</f>
        <v>N</v>
      </c>
      <c r="AN84" s="7" t="str">
        <f ca="1">IFERROR(__xludf.DUMMYFUNCTION("""COMPUTED_VALUE"""),"N")</f>
        <v>N</v>
      </c>
      <c r="AO84" s="7" t="str">
        <f ca="1">IFERROR(__xludf.DUMMYFUNCTION("""COMPUTED_VALUE"""),"N")</f>
        <v>N</v>
      </c>
      <c r="AP84" s="7" t="str">
        <f ca="1">IFERROR(__xludf.DUMMYFUNCTION("""COMPUTED_VALUE"""),"N")</f>
        <v>N</v>
      </c>
      <c r="AQ84" s="7" t="str">
        <f ca="1">IFERROR(__xludf.DUMMYFUNCTION("""COMPUTED_VALUE"""),"N")</f>
        <v>N</v>
      </c>
      <c r="AR84" s="7" t="str">
        <f ca="1">IFERROR(__xludf.DUMMYFUNCTION("""COMPUTED_VALUE"""),"N")</f>
        <v>N</v>
      </c>
      <c r="AS84" s="7" t="str">
        <f ca="1">IFERROR(__xludf.DUMMYFUNCTION("""COMPUTED_VALUE"""),"N")</f>
        <v>N</v>
      </c>
      <c r="AT84" s="7" t="str">
        <f ca="1">IFERROR(__xludf.DUMMYFUNCTION("""COMPUTED_VALUE"""),"N")</f>
        <v>N</v>
      </c>
      <c r="AU84" s="3"/>
      <c r="AV84" s="3"/>
      <c r="AW84" s="3"/>
      <c r="AX84" s="3"/>
      <c r="AY84" s="3"/>
    </row>
    <row r="85" spans="1:51" ht="16.5" customHeight="1">
      <c r="A85" s="3">
        <f ca="1">IFERROR(__xludf.DUMMYFUNCTION("""COMPUTED_VALUE"""),2496)</f>
        <v>2496</v>
      </c>
      <c r="B85" s="3">
        <f ca="1">IFERROR(__xludf.DUMMYFUNCTION("""COMPUTED_VALUE"""),328)</f>
        <v>328</v>
      </c>
      <c r="C85" s="3">
        <f ca="1">IFERROR(__xludf.DUMMYFUNCTION("""COMPUTED_VALUE"""),134)</f>
        <v>134</v>
      </c>
      <c r="D85" s="3" t="str">
        <f ca="1">IFERROR(__xludf.DUMMYFUNCTION("""COMPUTED_VALUE"""),"Feminin")</f>
        <v>Feminin</v>
      </c>
      <c r="E85" s="4">
        <f ca="1">IFERROR(__xludf.DUMMYFUNCTION("""COMPUTED_VALUE"""),66)</f>
        <v>66</v>
      </c>
      <c r="F85" s="3" t="str">
        <f ca="1">IFERROR(__xludf.DUMMYFUNCTION("""COMPUTED_VALUE"""),"60-69 years")</f>
        <v>60-69 years</v>
      </c>
      <c r="G85" s="3" t="str">
        <f ca="1">IFERROR(__xludf.DUMMYFUNCTION("""COMPUTED_VALUE"""),"București")</f>
        <v>București</v>
      </c>
      <c r="H85" s="3" t="str">
        <f ca="1">IFERROR(__xludf.DUMMYFUNCTION("""COMPUTED_VALUE"""),"București")</f>
        <v>București</v>
      </c>
      <c r="I85" s="3">
        <f ca="1">IFERROR(__xludf.DUMMYFUNCTION("""COMPUTED_VALUE"""),505)</f>
        <v>505</v>
      </c>
      <c r="J85" s="3" t="str">
        <f ca="1">IFERROR(__xludf.DUMMYFUNCTION("""COMPUTED_VALUE"""),"Dializa")</f>
        <v>Dializa</v>
      </c>
      <c r="K85" s="5">
        <f ca="1">IFERROR(__xludf.DUMMYFUNCTION("""COMPUTED_VALUE"""),43925)</f>
        <v>43925</v>
      </c>
      <c r="L85" s="5">
        <f ca="1">IFERROR(__xludf.DUMMYFUNCTION("""COMPUTED_VALUE"""),43924)</f>
        <v>43924</v>
      </c>
      <c r="M85" s="3" t="str">
        <f ca="1">IFERROR(__xludf.DUMMYFUNCTION("""COMPUTED_VALUE"""),"1")</f>
        <v>1</v>
      </c>
      <c r="N85" s="5">
        <f ca="1">IFERROR(__xludf.DUMMYFUNCTION("""COMPUTED_VALUE"""),0)</f>
        <v>0</v>
      </c>
      <c r="O85" s="5">
        <f ca="1">IFERROR(__xludf.DUMMYFUNCTION("""COMPUTED_VALUE"""),43923)</f>
        <v>43923</v>
      </c>
      <c r="P85" s="3" t="str">
        <f ca="1">IFERROR(__xludf.DUMMYFUNCTION("""COMPUTED_VALUE"""),"Necunoscut")</f>
        <v>Necunoscut</v>
      </c>
      <c r="Q85" s="3" t="str">
        <f ca="1">IFERROR(__xludf.DUMMYFUNCTION("""COMPUTED_VALUE"""),"1")</f>
        <v>1</v>
      </c>
      <c r="R85" s="3" t="str">
        <f ca="1">IFERROR(__xludf.DUMMYFUNCTION("""COMPUTED_VALUE"""),"Nu")</f>
        <v>Nu</v>
      </c>
      <c r="S85" s="3" t="str">
        <f ca="1">IFERROR(__xludf.DUMMYFUNCTION("""COMPUTED_VALUE"""),"NU")</f>
        <v>NU</v>
      </c>
      <c r="T85" s="3"/>
      <c r="U85" s="3" t="str">
        <f ca="1">IFERROR(__xludf.DUMMYFUNCTION("""COMPUTED_VALUE"""),"Nu")</f>
        <v>Nu</v>
      </c>
      <c r="V85" s="6" t="str">
        <f ca="1">IFERROR(__xludf.DUMMYFUNCTION("""COMPUTED_VALUE"""),"http://www.ms.ro/2020/04/04/deces-134-141/")</f>
        <v>http://www.ms.ro/2020/04/04/deces-134-141/</v>
      </c>
      <c r="W85" s="3"/>
      <c r="X85" s="3"/>
      <c r="Y85" s="3"/>
      <c r="Z85" s="3"/>
      <c r="AA85" s="3"/>
      <c r="AB85" s="3" t="str">
        <f ca="1">IFERROR(__xludf.DUMMYFUNCTION("""COMPUTED_VALUE"""),"Femeie, 66 ani care a fost dializată într-o clinică din București. Persoana a fost găsită decedată în casă în data de 03.04.2020.
Pacienta a fost confirmată cu COVID 19 în data de 02.04.2020.")</f>
        <v>Femeie, 66 ani care a fost dializată într-o clinică din București. Persoana a fost găsită decedată în casă în data de 03.04.2020.
Pacienta a fost confirmată cu COVID 19 în data de 02.04.2020.</v>
      </c>
      <c r="AC85" s="3" t="str">
        <f ca="1">IFERROR(__xludf.DUMMYFUNCTION("""COMPUTED_VALUE"""),"Nespecificat")</f>
        <v>Nespecificat</v>
      </c>
      <c r="AD85" s="3" t="str">
        <f ca="1">IFERROR(__xludf.DUMMYFUNCTION("""COMPUTED_VALUE"""),"MS")</f>
        <v>MS</v>
      </c>
      <c r="AE85" s="3" t="str">
        <f ca="1">IFERROR(__xludf.DUMMYFUNCTION("""COMPUTED_VALUE"""),"Persoana a fost găsită decedată în casă în data de 03.04.2020.")</f>
        <v>Persoana a fost găsită decedată în casă în data de 03.04.2020.</v>
      </c>
      <c r="AF85" s="3" t="str">
        <f ca="1">IFERROR(__xludf.DUMMYFUNCTION("""COMPUTED_VALUE"""),"Caz centru privat dializă Diaverum-Sema Parc")</f>
        <v>Caz centru privat dializă Diaverum-Sema Parc</v>
      </c>
      <c r="AG85" s="3" t="str">
        <f ca="1">IFERROR(__xludf.DUMMYFUNCTION("""COMPUTED_VALUE"""),"Da")</f>
        <v>Da</v>
      </c>
      <c r="AH85" s="3" t="str">
        <f ca="1">IFERROR(__xludf.DUMMYFUNCTION("""COMPUTED_VALUE"""),"Nu")</f>
        <v>Nu</v>
      </c>
      <c r="AI85" s="3" t="str">
        <f ca="1">IFERROR(__xludf.DUMMYFUNCTION("""COMPUTED_VALUE"""),"Afecțiuni renale")</f>
        <v>Afecțiuni renale</v>
      </c>
      <c r="AJ85" s="7" t="str">
        <f ca="1">IFERROR(__xludf.DUMMYFUNCTION("""COMPUTED_VALUE"""),"N")</f>
        <v>N</v>
      </c>
      <c r="AK85" s="7" t="str">
        <f ca="1">IFERROR(__xludf.DUMMYFUNCTION("""COMPUTED_VALUE"""),"N")</f>
        <v>N</v>
      </c>
      <c r="AL85" s="7" t="str">
        <f ca="1">IFERROR(__xludf.DUMMYFUNCTION("""COMPUTED_VALUE"""),"Y")</f>
        <v>Y</v>
      </c>
      <c r="AM85" s="7" t="str">
        <f ca="1">IFERROR(__xludf.DUMMYFUNCTION("""COMPUTED_VALUE"""),"N")</f>
        <v>N</v>
      </c>
      <c r="AN85" s="7" t="str">
        <f ca="1">IFERROR(__xludf.DUMMYFUNCTION("""COMPUTED_VALUE"""),"N")</f>
        <v>N</v>
      </c>
      <c r="AO85" s="7" t="str">
        <f ca="1">IFERROR(__xludf.DUMMYFUNCTION("""COMPUTED_VALUE"""),"N")</f>
        <v>N</v>
      </c>
      <c r="AP85" s="7" t="str">
        <f ca="1">IFERROR(__xludf.DUMMYFUNCTION("""COMPUTED_VALUE"""),"N")</f>
        <v>N</v>
      </c>
      <c r="AQ85" s="7" t="str">
        <f ca="1">IFERROR(__xludf.DUMMYFUNCTION("""COMPUTED_VALUE"""),"N")</f>
        <v>N</v>
      </c>
      <c r="AR85" s="7" t="str">
        <f ca="1">IFERROR(__xludf.DUMMYFUNCTION("""COMPUTED_VALUE"""),"N")</f>
        <v>N</v>
      </c>
      <c r="AS85" s="7" t="str">
        <f ca="1">IFERROR(__xludf.DUMMYFUNCTION("""COMPUTED_VALUE"""),"N")</f>
        <v>N</v>
      </c>
      <c r="AT85" s="7" t="str">
        <f ca="1">IFERROR(__xludf.DUMMYFUNCTION("""COMPUTED_VALUE"""),"N")</f>
        <v>N</v>
      </c>
      <c r="AU85" s="3"/>
      <c r="AV85" s="3"/>
      <c r="AW85" s="3"/>
      <c r="AX85" s="3"/>
      <c r="AY85" s="3"/>
    </row>
    <row r="86" spans="1:51" ht="16.5" customHeight="1">
      <c r="A86" s="3">
        <f ca="1">IFERROR(__xludf.DUMMYFUNCTION("""COMPUTED_VALUE"""),2026)</f>
        <v>2026</v>
      </c>
      <c r="B86" s="3"/>
      <c r="C86" s="3">
        <f ca="1">IFERROR(__xludf.DUMMYFUNCTION("""COMPUTED_VALUE"""),118)</f>
        <v>118</v>
      </c>
      <c r="D86" s="3" t="str">
        <f ca="1">IFERROR(__xludf.DUMMYFUNCTION("""COMPUTED_VALUE"""),"Masculin")</f>
        <v>Masculin</v>
      </c>
      <c r="E86" s="4">
        <f ca="1">IFERROR(__xludf.DUMMYFUNCTION("""COMPUTED_VALUE"""),61)</f>
        <v>61</v>
      </c>
      <c r="F86" s="3" t="str">
        <f ca="1">IFERROR(__xludf.DUMMYFUNCTION("""COMPUTED_VALUE"""),"60-69 years")</f>
        <v>60-69 years</v>
      </c>
      <c r="G86" s="3" t="str">
        <f ca="1">IFERROR(__xludf.DUMMYFUNCTION("""COMPUTED_VALUE"""),"București")</f>
        <v>București</v>
      </c>
      <c r="H86" s="3"/>
      <c r="I86" s="3">
        <f ca="1">IFERROR(__xludf.DUMMYFUNCTION("""COMPUTED_VALUE"""),342)</f>
        <v>342</v>
      </c>
      <c r="J86" s="3" t="str">
        <f ca="1">IFERROR(__xludf.DUMMYFUNCTION("""COMPUTED_VALUE"""),"Nespecificat")</f>
        <v>Nespecificat</v>
      </c>
      <c r="K86" s="5">
        <f ca="1">IFERROR(__xludf.DUMMYFUNCTION("""COMPUTED_VALUE"""),43924)</f>
        <v>43924</v>
      </c>
      <c r="L86" s="5">
        <f ca="1">IFERROR(__xludf.DUMMYFUNCTION("""COMPUTED_VALUE"""),43924)</f>
        <v>43924</v>
      </c>
      <c r="M86" s="3" t="str">
        <f ca="1">IFERROR(__xludf.DUMMYFUNCTION("""COMPUTED_VALUE"""),"0")</f>
        <v>0</v>
      </c>
      <c r="N86" s="5">
        <f ca="1">IFERROR(__xludf.DUMMYFUNCTION("""COMPUTED_VALUE"""),0)</f>
        <v>0</v>
      </c>
      <c r="O86" s="5">
        <f ca="1">IFERROR(__xludf.DUMMYFUNCTION("""COMPUTED_VALUE"""),43921)</f>
        <v>43921</v>
      </c>
      <c r="P86" s="3" t="str">
        <f ca="1">IFERROR(__xludf.DUMMYFUNCTION("""COMPUTED_VALUE"""),"Necunoscut")</f>
        <v>Necunoscut</v>
      </c>
      <c r="Q86" s="3" t="str">
        <f ca="1">IFERROR(__xludf.DUMMYFUNCTION("""COMPUTED_VALUE"""),"3")</f>
        <v>3</v>
      </c>
      <c r="R86" s="3" t="str">
        <f ca="1">IFERROR(__xludf.DUMMYFUNCTION("""COMPUTED_VALUE"""),"Nu")</f>
        <v>Nu</v>
      </c>
      <c r="S86" s="3" t="str">
        <f ca="1">IFERROR(__xludf.DUMMYFUNCTION("""COMPUTED_VALUE"""),"3/30/2020")</f>
        <v>3/30/2020</v>
      </c>
      <c r="T86" s="3">
        <f ca="1">IFERROR(__xludf.DUMMYFUNCTION("""COMPUTED_VALUE"""),4)</f>
        <v>4</v>
      </c>
      <c r="U86" s="3" t="str">
        <f ca="1">IFERROR(__xludf.DUMMYFUNCTION("""COMPUTED_VALUE"""),"Da")</f>
        <v>Da</v>
      </c>
      <c r="V86" s="6" t="str">
        <f ca="1">IFERROR(__xludf.DUMMYFUNCTION("""COMPUTED_VALUE"""),"http://www.ms.ro/2020/04/03/deces-117-118/")</f>
        <v>http://www.ms.ro/2020/04/03/deces-117-118/</v>
      </c>
      <c r="W86" s="3" t="str">
        <f ca="1">IFERROR(__xludf.DUMMYFUNCTION("""COMPUTED_VALUE""")," ")</f>
        <v xml:space="preserve"> </v>
      </c>
      <c r="X86" s="3"/>
      <c r="Y86" s="3" t="str">
        <f ca="1">IFERROR(__xludf.DUMMYFUNCTION("""COMPUTED_VALUE""")," ")</f>
        <v xml:space="preserve"> </v>
      </c>
      <c r="Z86" s="3"/>
      <c r="AA86" s="3" t="str">
        <f ca="1">IFERROR(__xludf.DUMMYFUNCTION("""COMPUTED_VALUE""")," ")</f>
        <v xml:space="preserve"> </v>
      </c>
      <c r="AB86" s="3" t="str">
        <f ca="1">IFERROR(__xludf.DUMMYFUNCTION("""COMPUTED_VALUE"""),"Bărbat, 61 ani, mun.Bucuresti
Internat în SCBIT “Victor Babes” București, prin transfer de la Spitalul Militar București, pe data de 30/03/2020, confirmat în laboratorul Spitalului Militar București pe data de 31/03/2020.
Data decesului: 03/04/2020.")</f>
        <v>Bărbat, 61 ani, mun.Bucuresti
Internat în SCBIT “Victor Babes” București, prin transfer de la Spitalul Militar București, pe data de 30/03/2020, confirmat în laboratorul Spitalului Militar București pe data de 31/03/2020.
Data decesului: 03/04/2020.</v>
      </c>
      <c r="AC86" s="3" t="str">
        <f ca="1">IFERROR(__xludf.DUMMYFUNCTION("""COMPUTED_VALUE"""),"Nespecificat")</f>
        <v>Nespecificat</v>
      </c>
      <c r="AD86" s="3" t="str">
        <f ca="1">IFERROR(__xludf.DUMMYFUNCTION("""COMPUTED_VALUE"""),"MS")</f>
        <v>MS</v>
      </c>
      <c r="AE86" s="3" t="str">
        <f ca="1">IFERROR(__xludf.DUMMYFUNCTION("""COMPUTED_VALUE"""),"Nespecificat")</f>
        <v>Nespecificat</v>
      </c>
      <c r="AF86" s="3" t="str">
        <f ca="1">IFERROR(__xludf.DUMMYFUNCTION("""COMPUTED_VALUE"""),"Revenită din Turcia pe data de 13/03/2020, confirmată pe data de 19/03/2020 în SCBI Constanța.")</f>
        <v>Revenită din Turcia pe data de 13/03/2020, confirmată pe data de 19/03/2020 în SCBI Constanța.</v>
      </c>
      <c r="AG86" s="3" t="str">
        <f ca="1">IFERROR(__xludf.DUMMYFUNCTION("""COMPUTED_VALUE"""),"Nu")</f>
        <v>Nu</v>
      </c>
      <c r="AH86" s="3" t="str">
        <f ca="1">IFERROR(__xludf.DUMMYFUNCTION("""COMPUTED_VALUE"""),"Nu")</f>
        <v>Nu</v>
      </c>
      <c r="AI86" s="3" t="str">
        <f ca="1">IFERROR(__xludf.DUMMYFUNCTION("""COMPUTED_VALUE"""),"Fără afecțiuni preexistente cunoscute")</f>
        <v>Fără afecțiuni preexistente cunoscute</v>
      </c>
      <c r="AJ86" s="7" t="str">
        <f ca="1">IFERROR(__xludf.DUMMYFUNCTION("""COMPUTED_VALUE"""),"N")</f>
        <v>N</v>
      </c>
      <c r="AK86" s="7" t="str">
        <f ca="1">IFERROR(__xludf.DUMMYFUNCTION("""COMPUTED_VALUE"""),"N")</f>
        <v>N</v>
      </c>
      <c r="AL86" s="7" t="str">
        <f ca="1">IFERROR(__xludf.DUMMYFUNCTION("""COMPUTED_VALUE"""),"N")</f>
        <v>N</v>
      </c>
      <c r="AM86" s="7" t="str">
        <f ca="1">IFERROR(__xludf.DUMMYFUNCTION("""COMPUTED_VALUE"""),"N")</f>
        <v>N</v>
      </c>
      <c r="AN86" s="7" t="str">
        <f ca="1">IFERROR(__xludf.DUMMYFUNCTION("""COMPUTED_VALUE"""),"N")</f>
        <v>N</v>
      </c>
      <c r="AO86" s="7" t="str">
        <f ca="1">IFERROR(__xludf.DUMMYFUNCTION("""COMPUTED_VALUE"""),"N")</f>
        <v>N</v>
      </c>
      <c r="AP86" s="7" t="str">
        <f ca="1">IFERROR(__xludf.DUMMYFUNCTION("""COMPUTED_VALUE"""),"N")</f>
        <v>N</v>
      </c>
      <c r="AQ86" s="7" t="str">
        <f ca="1">IFERROR(__xludf.DUMMYFUNCTION("""COMPUTED_VALUE"""),"N")</f>
        <v>N</v>
      </c>
      <c r="AR86" s="7" t="str">
        <f ca="1">IFERROR(__xludf.DUMMYFUNCTION("""COMPUTED_VALUE"""),"N")</f>
        <v>N</v>
      </c>
      <c r="AS86" s="7" t="str">
        <f ca="1">IFERROR(__xludf.DUMMYFUNCTION("""COMPUTED_VALUE"""),"N")</f>
        <v>N</v>
      </c>
      <c r="AT86" s="7" t="str">
        <f ca="1">IFERROR(__xludf.DUMMYFUNCTION("""COMPUTED_VALUE"""),"Y")</f>
        <v>Y</v>
      </c>
      <c r="AU86" s="3"/>
      <c r="AV86" s="3"/>
      <c r="AW86" s="3"/>
      <c r="AX86" s="3"/>
      <c r="AY86" s="3"/>
    </row>
    <row r="87" spans="1:51" ht="16.5" customHeight="1">
      <c r="A87" s="3">
        <f ca="1">IFERROR(__xludf.DUMMYFUNCTION("""COMPUTED_VALUE"""),947)</f>
        <v>947</v>
      </c>
      <c r="B87" s="3"/>
      <c r="C87" s="3">
        <f ca="1">IFERROR(__xludf.DUMMYFUNCTION("""COMPUTED_VALUE"""),96)</f>
        <v>96</v>
      </c>
      <c r="D87" s="3" t="str">
        <f ca="1">IFERROR(__xludf.DUMMYFUNCTION("""COMPUTED_VALUE"""),"Masculin")</f>
        <v>Masculin</v>
      </c>
      <c r="E87" s="4">
        <f ca="1">IFERROR(__xludf.DUMMYFUNCTION("""COMPUTED_VALUE"""),72)</f>
        <v>72</v>
      </c>
      <c r="F87" s="3" t="str">
        <f ca="1">IFERROR(__xludf.DUMMYFUNCTION("""COMPUTED_VALUE"""),"70-79 years")</f>
        <v>70-79 years</v>
      </c>
      <c r="G87" s="3" t="str">
        <f ca="1">IFERROR(__xludf.DUMMYFUNCTION("""COMPUTED_VALUE"""),"București")</f>
        <v>București</v>
      </c>
      <c r="H87" s="3"/>
      <c r="I87" s="3">
        <f ca="1">IFERROR(__xludf.DUMMYFUNCTION("""COMPUTED_VALUE"""),763)</f>
        <v>763</v>
      </c>
      <c r="J87" s="3" t="str">
        <f ca="1">IFERROR(__xludf.DUMMYFUNCTION("""COMPUTED_VALUE"""),"Insuficienta renala cronica- in dializa, HTA")</f>
        <v>Insuficienta renala cronica- in dializa, HTA</v>
      </c>
      <c r="K87" s="5">
        <f ca="1">IFERROR(__xludf.DUMMYFUNCTION("""COMPUTED_VALUE"""),43923)</f>
        <v>43923</v>
      </c>
      <c r="L87" s="5">
        <f ca="1">IFERROR(__xludf.DUMMYFUNCTION("""COMPUTED_VALUE"""),43923)</f>
        <v>43923</v>
      </c>
      <c r="M87" s="3" t="str">
        <f ca="1">IFERROR(__xludf.DUMMYFUNCTION("""COMPUTED_VALUE"""),"0")</f>
        <v>0</v>
      </c>
      <c r="N87" s="5">
        <f ca="1">IFERROR(__xludf.DUMMYFUNCTION("""COMPUTED_VALUE"""),43916)</f>
        <v>43916</v>
      </c>
      <c r="O87" s="5">
        <f ca="1">IFERROR(__xludf.DUMMYFUNCTION("""COMPUTED_VALUE"""),43916)</f>
        <v>43916</v>
      </c>
      <c r="P87" s="3" t="str">
        <f ca="1">IFERROR(__xludf.DUMMYFUNCTION("""COMPUTED_VALUE"""),"0")</f>
        <v>0</v>
      </c>
      <c r="Q87" s="3" t="str">
        <f ca="1">IFERROR(__xludf.DUMMYFUNCTION("""COMPUTED_VALUE"""),"7")</f>
        <v>7</v>
      </c>
      <c r="R87" s="3" t="str">
        <f ca="1">IFERROR(__xludf.DUMMYFUNCTION("""COMPUTED_VALUE"""),"Nu")</f>
        <v>Nu</v>
      </c>
      <c r="S87" s="3" t="str">
        <f ca="1">IFERROR(__xludf.DUMMYFUNCTION("""COMPUTED_VALUE"""),"3/26/2020")</f>
        <v>3/26/2020</v>
      </c>
      <c r="T87" s="3">
        <f ca="1">IFERROR(__xludf.DUMMYFUNCTION("""COMPUTED_VALUE"""),7)</f>
        <v>7</v>
      </c>
      <c r="U87" s="3" t="str">
        <f ca="1">IFERROR(__xludf.DUMMYFUNCTION("""COMPUTED_VALUE"""),"Da")</f>
        <v>Da</v>
      </c>
      <c r="V87" s="6" t="str">
        <f ca="1">IFERROR(__xludf.DUMMYFUNCTION("""COMPUTED_VALUE"""),"http://www.ms.ro/2020/04/02/decese-95-107/")</f>
        <v>http://www.ms.ro/2020/04/02/decese-95-107/</v>
      </c>
      <c r="W87" s="3" t="str">
        <f ca="1">IFERROR(__xludf.DUMMYFUNCTION("""COMPUTED_VALUE""")," ")</f>
        <v xml:space="preserve"> </v>
      </c>
      <c r="X87" s="3"/>
      <c r="Y87" s="3" t="str">
        <f ca="1">IFERROR(__xludf.DUMMYFUNCTION("""COMPUTED_VALUE""")," ")</f>
        <v xml:space="preserve"> </v>
      </c>
      <c r="Z87" s="3"/>
      <c r="AA87" s="3" t="str">
        <f ca="1">IFERROR(__xludf.DUMMYFUNCTION("""COMPUTED_VALUE""")," ")</f>
        <v xml:space="preserve"> </v>
      </c>
      <c r="AB87" s="3" t="str">
        <f ca="1">IFERROR(__xludf.DUMMYFUNCTION("""COMPUTED_VALUE"""),"Bărbat, 72 ani, Mun. Bucuresti. Probele pentru COVID-19 s-au recoltat în data de 26.03.2020 când pacientul a fost internat în Spitalul V Babeș București, confirmat în 26.03.2020. Data decesului 2.04.2020. Comorbiditati: Insuficienta renala cronica- in dia"&amp;"liza, HTA.")</f>
        <v>Bărbat, 72 ani, Mun. Bucuresti. Probele pentru COVID-19 s-au recoltat în data de 26.03.2020 când pacientul a fost internat în Spitalul V Babeș București, confirmat în 26.03.2020. Data decesului 2.04.2020. Comorbiditati: Insuficienta renala cronica- in dializa, HTA.</v>
      </c>
      <c r="AC87" s="3" t="str">
        <f ca="1">IFERROR(__xludf.DUMMYFUNCTION("""COMPUTED_VALUE"""),"Nespecificat")</f>
        <v>Nespecificat</v>
      </c>
      <c r="AD87" s="3" t="str">
        <f ca="1">IFERROR(__xludf.DUMMYFUNCTION("""COMPUTED_VALUE"""),"MS")</f>
        <v>MS</v>
      </c>
      <c r="AE87" s="3" t="str">
        <f ca="1">IFERROR(__xludf.DUMMYFUNCTION("""COMPUTED_VALUE"""),"Nespecificat")</f>
        <v>Nespecificat</v>
      </c>
      <c r="AF87" s="3" t="str">
        <f ca="1">IFERROR(__xludf.DUMMYFUNCTION("""COMPUTED_VALUE"""),"Nespecificat")</f>
        <v>Nespecificat</v>
      </c>
      <c r="AG87" s="3" t="str">
        <f ca="1">IFERROR(__xludf.DUMMYFUNCTION("""COMPUTED_VALUE"""),"Nu")</f>
        <v>Nu</v>
      </c>
      <c r="AH87" s="3" t="str">
        <f ca="1">IFERROR(__xludf.DUMMYFUNCTION("""COMPUTED_VALUE"""),"Nu")</f>
        <v>Nu</v>
      </c>
      <c r="AI87" s="3" t="str">
        <f ca="1">IFERROR(__xludf.DUMMYFUNCTION("""COMPUTED_VALUE"""),"Afecțiuni cardiovasculare")</f>
        <v>Afecțiuni cardiovasculare</v>
      </c>
      <c r="AJ87" s="7" t="str">
        <f ca="1">IFERROR(__xludf.DUMMYFUNCTION("""COMPUTED_VALUE"""),"Y")</f>
        <v>Y</v>
      </c>
      <c r="AK87" s="7" t="str">
        <f ca="1">IFERROR(__xludf.DUMMYFUNCTION("""COMPUTED_VALUE"""),"N")</f>
        <v>N</v>
      </c>
      <c r="AL87" s="7" t="str">
        <f ca="1">IFERROR(__xludf.DUMMYFUNCTION("""COMPUTED_VALUE"""),"Y")</f>
        <v>Y</v>
      </c>
      <c r="AM87" s="7" t="str">
        <f ca="1">IFERROR(__xludf.DUMMYFUNCTION("""COMPUTED_VALUE"""),"N")</f>
        <v>N</v>
      </c>
      <c r="AN87" s="7" t="str">
        <f ca="1">IFERROR(__xludf.DUMMYFUNCTION("""COMPUTED_VALUE"""),"N")</f>
        <v>N</v>
      </c>
      <c r="AO87" s="7" t="str">
        <f ca="1">IFERROR(__xludf.DUMMYFUNCTION("""COMPUTED_VALUE"""),"N")</f>
        <v>N</v>
      </c>
      <c r="AP87" s="7" t="str">
        <f ca="1">IFERROR(__xludf.DUMMYFUNCTION("""COMPUTED_VALUE"""),"N")</f>
        <v>N</v>
      </c>
      <c r="AQ87" s="7" t="str">
        <f ca="1">IFERROR(__xludf.DUMMYFUNCTION("""COMPUTED_VALUE"""),"N")</f>
        <v>N</v>
      </c>
      <c r="AR87" s="7" t="str">
        <f ca="1">IFERROR(__xludf.DUMMYFUNCTION("""COMPUTED_VALUE"""),"N")</f>
        <v>N</v>
      </c>
      <c r="AS87" s="7" t="str">
        <f ca="1">IFERROR(__xludf.DUMMYFUNCTION("""COMPUTED_VALUE"""),"N")</f>
        <v>N</v>
      </c>
      <c r="AT87" s="7" t="str">
        <f ca="1">IFERROR(__xludf.DUMMYFUNCTION("""COMPUTED_VALUE"""),"N")</f>
        <v>N</v>
      </c>
      <c r="AU87" s="3"/>
      <c r="AV87" s="3"/>
      <c r="AW87" s="3"/>
      <c r="AX87" s="3"/>
      <c r="AY87" s="3"/>
    </row>
    <row r="88" spans="1:51" ht="16.5" customHeight="1">
      <c r="A88" s="3">
        <f ca="1">IFERROR(__xludf.DUMMYFUNCTION("""COMPUTED_VALUE"""),1088)</f>
        <v>1088</v>
      </c>
      <c r="B88" s="3"/>
      <c r="C88" s="3">
        <f ca="1">IFERROR(__xludf.DUMMYFUNCTION("""COMPUTED_VALUE"""),95)</f>
        <v>95</v>
      </c>
      <c r="D88" s="3" t="str">
        <f ca="1">IFERROR(__xludf.DUMMYFUNCTION("""COMPUTED_VALUE"""),"Masculin")</f>
        <v>Masculin</v>
      </c>
      <c r="E88" s="4">
        <f ca="1">IFERROR(__xludf.DUMMYFUNCTION("""COMPUTED_VALUE"""),75)</f>
        <v>75</v>
      </c>
      <c r="F88" s="3" t="str">
        <f ca="1">IFERROR(__xludf.DUMMYFUNCTION("""COMPUTED_VALUE"""),"70-79 years")</f>
        <v>70-79 years</v>
      </c>
      <c r="G88" s="3" t="str">
        <f ca="1">IFERROR(__xludf.DUMMYFUNCTION("""COMPUTED_VALUE"""),"București")</f>
        <v>București</v>
      </c>
      <c r="H88" s="3"/>
      <c r="I88" s="3">
        <f ca="1">IFERROR(__xludf.DUMMYFUNCTION("""COMPUTED_VALUE"""),870)</f>
        <v>870</v>
      </c>
      <c r="J88" s="3" t="str">
        <f ca="1">IFERROR(__xludf.DUMMYFUNCTION("""COMPUTED_VALUE"""),"Transplant renal, insuficienta Renala Cronica –in dializa, HTA, Diabet zaharat tip II")</f>
        <v>Transplant renal, insuficienta Renala Cronica –in dializa, HTA, Diabet zaharat tip II</v>
      </c>
      <c r="K88" s="5">
        <f ca="1">IFERROR(__xludf.DUMMYFUNCTION("""COMPUTED_VALUE"""),43923)</f>
        <v>43923</v>
      </c>
      <c r="L88" s="5">
        <f ca="1">IFERROR(__xludf.DUMMYFUNCTION("""COMPUTED_VALUE"""),43922)</f>
        <v>43922</v>
      </c>
      <c r="M88" s="3" t="str">
        <f ca="1">IFERROR(__xludf.DUMMYFUNCTION("""COMPUTED_VALUE"""),"1")</f>
        <v>1</v>
      </c>
      <c r="N88" s="5">
        <f ca="1">IFERROR(__xludf.DUMMYFUNCTION("""COMPUTED_VALUE"""),43916)</f>
        <v>43916</v>
      </c>
      <c r="O88" s="5">
        <f ca="1">IFERROR(__xludf.DUMMYFUNCTION("""COMPUTED_VALUE"""),43917)</f>
        <v>43917</v>
      </c>
      <c r="P88" s="3" t="str">
        <f ca="1">IFERROR(__xludf.DUMMYFUNCTION("""COMPUTED_VALUE"""),"1")</f>
        <v>1</v>
      </c>
      <c r="Q88" s="3" t="str">
        <f ca="1">IFERROR(__xludf.DUMMYFUNCTION("""COMPUTED_VALUE"""),"5")</f>
        <v>5</v>
      </c>
      <c r="R88" s="3" t="str">
        <f ca="1">IFERROR(__xludf.DUMMYFUNCTION("""COMPUTED_VALUE"""),"Nu")</f>
        <v>Nu</v>
      </c>
      <c r="S88" s="3" t="str">
        <f ca="1">IFERROR(__xludf.DUMMYFUNCTION("""COMPUTED_VALUE"""),"3/27/2020")</f>
        <v>3/27/2020</v>
      </c>
      <c r="T88" s="3">
        <f ca="1">IFERROR(__xludf.DUMMYFUNCTION("""COMPUTED_VALUE"""),5)</f>
        <v>5</v>
      </c>
      <c r="U88" s="3" t="str">
        <f ca="1">IFERROR(__xludf.DUMMYFUNCTION("""COMPUTED_VALUE"""),"Da")</f>
        <v>Da</v>
      </c>
      <c r="V88" s="6" t="str">
        <f ca="1">IFERROR(__xludf.DUMMYFUNCTION("""COMPUTED_VALUE"""),"http://www.ms.ro/2020/04/02/decese-95-107/")</f>
        <v>http://www.ms.ro/2020/04/02/decese-95-107/</v>
      </c>
      <c r="W88" s="3" t="str">
        <f ca="1">IFERROR(__xludf.DUMMYFUNCTION("""COMPUTED_VALUE""")," ")</f>
        <v xml:space="preserve"> </v>
      </c>
      <c r="X88" s="3"/>
      <c r="Y88" s="3" t="str">
        <f ca="1">IFERROR(__xludf.DUMMYFUNCTION("""COMPUTED_VALUE""")," ")</f>
        <v xml:space="preserve"> </v>
      </c>
      <c r="Z88" s="3"/>
      <c r="AA88" s="3" t="str">
        <f ca="1">IFERROR(__xludf.DUMMYFUNCTION("""COMPUTED_VALUE""")," ")</f>
        <v xml:space="preserve"> </v>
      </c>
      <c r="AB88" s="3" t="str">
        <f ca="1">IFERROR(__xludf.DUMMYFUNCTION("""COMPUTED_VALUE"""),"Bărbat, 75 ani, Mun. Bucuresti. Recoltat pentru COVID-19 în data de 26.03.2020, confirmat în 27.03.2020 cand este si internat în Spitalul V. Babeș. Data decesului 1.04.2020. Comorbiditati: transplant renal, insuficienta Renala Cronica –in dializa, HTA, Di"&amp;"abet zaharat tip II.")</f>
        <v>Bărbat, 75 ani, Mun. Bucuresti. Recoltat pentru COVID-19 în data de 26.03.2020, confirmat în 27.03.2020 cand este si internat în Spitalul V. Babeș. Data decesului 1.04.2020. Comorbiditati: transplant renal, insuficienta Renala Cronica –in dializa, HTA, Diabet zaharat tip II.</v>
      </c>
      <c r="AC88" s="3" t="str">
        <f ca="1">IFERROR(__xludf.DUMMYFUNCTION("""COMPUTED_VALUE"""),"Nespecificat")</f>
        <v>Nespecificat</v>
      </c>
      <c r="AD88" s="3" t="str">
        <f ca="1">IFERROR(__xludf.DUMMYFUNCTION("""COMPUTED_VALUE"""),"MS")</f>
        <v>MS</v>
      </c>
      <c r="AE88" s="3" t="str">
        <f ca="1">IFERROR(__xludf.DUMMYFUNCTION("""COMPUTED_VALUE"""),"Nespecificat")</f>
        <v>Nespecificat</v>
      </c>
      <c r="AF88" s="3" t="str">
        <f ca="1">IFERROR(__xludf.DUMMYFUNCTION("""COMPUTED_VALUE"""),"Nespecificat")</f>
        <v>Nespecificat</v>
      </c>
      <c r="AG88" s="3" t="str">
        <f ca="1">IFERROR(__xludf.DUMMYFUNCTION("""COMPUTED_VALUE"""),"Nu")</f>
        <v>Nu</v>
      </c>
      <c r="AH88" s="3" t="str">
        <f ca="1">IFERROR(__xludf.DUMMYFUNCTION("""COMPUTED_VALUE"""),"Nu")</f>
        <v>Nu</v>
      </c>
      <c r="AI88" s="3" t="str">
        <f ca="1">IFERROR(__xludf.DUMMYFUNCTION("""COMPUTED_VALUE"""),"Afecțiuni cardiovasculare")</f>
        <v>Afecțiuni cardiovasculare</v>
      </c>
      <c r="AJ88" s="7" t="str">
        <f ca="1">IFERROR(__xludf.DUMMYFUNCTION("""COMPUTED_VALUE"""),"Y")</f>
        <v>Y</v>
      </c>
      <c r="AK88" s="7" t="str">
        <f ca="1">IFERROR(__xludf.DUMMYFUNCTION("""COMPUTED_VALUE"""),"Y")</f>
        <v>Y</v>
      </c>
      <c r="AL88" s="7" t="str">
        <f ca="1">IFERROR(__xludf.DUMMYFUNCTION("""COMPUTED_VALUE"""),"Y")</f>
        <v>Y</v>
      </c>
      <c r="AM88" s="7" t="str">
        <f ca="1">IFERROR(__xludf.DUMMYFUNCTION("""COMPUTED_VALUE"""),"N")</f>
        <v>N</v>
      </c>
      <c r="AN88" s="7" t="str">
        <f ca="1">IFERROR(__xludf.DUMMYFUNCTION("""COMPUTED_VALUE"""),"N")</f>
        <v>N</v>
      </c>
      <c r="AO88" s="7" t="str">
        <f ca="1">IFERROR(__xludf.DUMMYFUNCTION("""COMPUTED_VALUE"""),"N")</f>
        <v>N</v>
      </c>
      <c r="AP88" s="7" t="str">
        <f ca="1">IFERROR(__xludf.DUMMYFUNCTION("""COMPUTED_VALUE"""),"N")</f>
        <v>N</v>
      </c>
      <c r="AQ88" s="7" t="str">
        <f ca="1">IFERROR(__xludf.DUMMYFUNCTION("""COMPUTED_VALUE"""),"Y")</f>
        <v>Y</v>
      </c>
      <c r="AR88" s="7" t="str">
        <f ca="1">IFERROR(__xludf.DUMMYFUNCTION("""COMPUTED_VALUE"""),"N")</f>
        <v>N</v>
      </c>
      <c r="AS88" s="7" t="str">
        <f ca="1">IFERROR(__xludf.DUMMYFUNCTION("""COMPUTED_VALUE"""),"N")</f>
        <v>N</v>
      </c>
      <c r="AT88" s="7" t="str">
        <f ca="1">IFERROR(__xludf.DUMMYFUNCTION("""COMPUTED_VALUE"""),"N")</f>
        <v>N</v>
      </c>
      <c r="AU88" s="3"/>
      <c r="AV88" s="3"/>
      <c r="AW88" s="3"/>
      <c r="AX88" s="3"/>
      <c r="AY88" s="3"/>
    </row>
    <row r="89" spans="1:51" ht="16.5" customHeight="1">
      <c r="A89" s="3">
        <f ca="1">IFERROR(__xludf.DUMMYFUNCTION("""COMPUTED_VALUE"""),1817)</f>
        <v>1817</v>
      </c>
      <c r="B89" s="3"/>
      <c r="C89" s="3">
        <f ca="1">IFERROR(__xludf.DUMMYFUNCTION("""COMPUTED_VALUE"""),92)</f>
        <v>92</v>
      </c>
      <c r="D89" s="3" t="str">
        <f ca="1">IFERROR(__xludf.DUMMYFUNCTION("""COMPUTED_VALUE"""),"Feminin")</f>
        <v>Feminin</v>
      </c>
      <c r="E89" s="4">
        <f ca="1">IFERROR(__xludf.DUMMYFUNCTION("""COMPUTED_VALUE"""),78)</f>
        <v>78</v>
      </c>
      <c r="F89" s="3" t="str">
        <f ca="1">IFERROR(__xludf.DUMMYFUNCTION("""COMPUTED_VALUE"""),"70-79 years")</f>
        <v>70-79 years</v>
      </c>
      <c r="G89" s="3" t="str">
        <f ca="1">IFERROR(__xludf.DUMMYFUNCTION("""COMPUTED_VALUE"""),"București")</f>
        <v>București</v>
      </c>
      <c r="H89" s="3"/>
      <c r="I89" s="3">
        <f ca="1">IFERROR(__xludf.DUMMYFUNCTION("""COMPUTED_VALUE"""),967)</f>
        <v>967</v>
      </c>
      <c r="J89" s="3" t="str">
        <f ca="1">IFERROR(__xludf.DUMMYFUNCTION("""COMPUTED_VALUE"""),"Boală cardiovasculara, diabet, boala neuro musculară, boală pulmonară cronică")</f>
        <v>Boală cardiovasculara, diabet, boala neuro musculară, boală pulmonară cronică</v>
      </c>
      <c r="K89" s="5">
        <f ca="1">IFERROR(__xludf.DUMMYFUNCTION("""COMPUTED_VALUE"""),43922)</f>
        <v>43922</v>
      </c>
      <c r="L89" s="5">
        <f ca="1">IFERROR(__xludf.DUMMYFUNCTION("""COMPUTED_VALUE"""),43921)</f>
        <v>43921</v>
      </c>
      <c r="M89" s="3" t="str">
        <f ca="1">IFERROR(__xludf.DUMMYFUNCTION("""COMPUTED_VALUE"""),"1")</f>
        <v>1</v>
      </c>
      <c r="N89" s="5">
        <f ca="1">IFERROR(__xludf.DUMMYFUNCTION("""COMPUTED_VALUE"""),0)</f>
        <v>0</v>
      </c>
      <c r="O89" s="5">
        <f ca="1">IFERROR(__xludf.DUMMYFUNCTION("""COMPUTED_VALUE"""),43919)</f>
        <v>43919</v>
      </c>
      <c r="P89" s="3" t="str">
        <f ca="1">IFERROR(__xludf.DUMMYFUNCTION("""COMPUTED_VALUE"""),"Necunoscut")</f>
        <v>Necunoscut</v>
      </c>
      <c r="Q89" s="3" t="str">
        <f ca="1">IFERROR(__xludf.DUMMYFUNCTION("""COMPUTED_VALUE"""),"2")</f>
        <v>2</v>
      </c>
      <c r="R89" s="3" t="str">
        <f ca="1">IFERROR(__xludf.DUMMYFUNCTION("""COMPUTED_VALUE"""),"Nu")</f>
        <v>Nu</v>
      </c>
      <c r="S89" s="3" t="str">
        <f ca="1">IFERROR(__xludf.DUMMYFUNCTION("""COMPUTED_VALUE"""),"3/18/2020")</f>
        <v>3/18/2020</v>
      </c>
      <c r="T89" s="3">
        <f ca="1">IFERROR(__xludf.DUMMYFUNCTION("""COMPUTED_VALUE"""),13)</f>
        <v>13</v>
      </c>
      <c r="U89" s="3" t="str">
        <f ca="1">IFERROR(__xludf.DUMMYFUNCTION("""COMPUTED_VALUE"""),"Da")</f>
        <v>Da</v>
      </c>
      <c r="V89" s="6" t="str">
        <f ca="1">IFERROR(__xludf.DUMMYFUNCTION("""COMPUTED_VALUE"""),"http://www.ms.ro/2020/04/01/deces-91-92/")</f>
        <v>http://www.ms.ro/2020/04/01/deces-91-92/</v>
      </c>
      <c r="W89" s="3" t="str">
        <f ca="1">IFERROR(__xludf.DUMMYFUNCTION("""COMPUTED_VALUE""")," ")</f>
        <v xml:space="preserve"> </v>
      </c>
      <c r="X89" s="3"/>
      <c r="Y89" s="3" t="str">
        <f ca="1">IFERROR(__xludf.DUMMYFUNCTION("""COMPUTED_VALUE""")," ")</f>
        <v xml:space="preserve"> </v>
      </c>
      <c r="Z89" s="3"/>
      <c r="AA89" s="3" t="str">
        <f ca="1">IFERROR(__xludf.DUMMYFUNCTION("""COMPUTED_VALUE""")," ")</f>
        <v xml:space="preserve"> </v>
      </c>
      <c r="AB89" s="3" t="str">
        <f ca="1">IFERROR(__xludf.DUMMYFUNCTION("""COMPUTED_VALUE"""),"Femeie, 78 ani din municipiul București. Internata în data de 18.03.2020 pe secția orotopedie a Spitalul Universitar de Urgenta București pentru o fractura trohanteriana. Se confirmă în data de 29.03.2020 cu infecție COVID-19 și este transferată în 29.03."&amp;"2020 la Spitalul Colentina.
Deces 31.03.2020. Antecedente personale patologice: boală cardiovasculara, diabet, boala neuro musculară, boală pulmonară cronică.")</f>
        <v>Femeie, 78 ani din municipiul București. Internata în data de 18.03.2020 pe secția orotopedie a Spitalul Universitar de Urgenta București pentru o fractura trohanteriana. Se confirmă în data de 29.03.2020 cu infecție COVID-19 și este transferată în 29.03.2020 la Spitalul Colentina.
Deces 31.03.2020. Antecedente personale patologice: boală cardiovasculara, diabet, boala neuro musculară, boală pulmonară cronică.</v>
      </c>
      <c r="AC89" s="3" t="str">
        <f ca="1">IFERROR(__xludf.DUMMYFUNCTION("""COMPUTED_VALUE"""),"Internata în data de 18.03.2020 pe secția orotopedie a Spitalul Universitar de Urgenta București pentru o fractura trohanteriana.")</f>
        <v>Internata în data de 18.03.2020 pe secția orotopedie a Spitalul Universitar de Urgenta București pentru o fractura trohanteriana.</v>
      </c>
      <c r="AD89" s="3" t="str">
        <f ca="1">IFERROR(__xludf.DUMMYFUNCTION("""COMPUTED_VALUE"""),"MS")</f>
        <v>MS</v>
      </c>
      <c r="AE89" s="3" t="str">
        <f ca="1">IFERROR(__xludf.DUMMYFUNCTION("""COMPUTED_VALUE"""),"Nespecificat")</f>
        <v>Nespecificat</v>
      </c>
      <c r="AF89" s="3" t="str">
        <f ca="1">IFERROR(__xludf.DUMMYFUNCTION("""COMPUTED_VALUE"""),"Nespecificat")</f>
        <v>Nespecificat</v>
      </c>
      <c r="AG89" s="3" t="str">
        <f ca="1">IFERROR(__xludf.DUMMYFUNCTION("""COMPUTED_VALUE"""),"Nu")</f>
        <v>Nu</v>
      </c>
      <c r="AH89" s="3" t="str">
        <f ca="1">IFERROR(__xludf.DUMMYFUNCTION("""COMPUTED_VALUE"""),"Nu")</f>
        <v>Nu</v>
      </c>
      <c r="AI89" s="3" t="str">
        <f ca="1">IFERROR(__xludf.DUMMYFUNCTION("""COMPUTED_VALUE"""),"Afecțiuni cardiovasculare")</f>
        <v>Afecțiuni cardiovasculare</v>
      </c>
      <c r="AJ89" s="7" t="str">
        <f ca="1">IFERROR(__xludf.DUMMYFUNCTION("""COMPUTED_VALUE"""),"Y")</f>
        <v>Y</v>
      </c>
      <c r="AK89" s="7" t="str">
        <f ca="1">IFERROR(__xludf.DUMMYFUNCTION("""COMPUTED_VALUE"""),"Y")</f>
        <v>Y</v>
      </c>
      <c r="AL89" s="7" t="str">
        <f ca="1">IFERROR(__xludf.DUMMYFUNCTION("""COMPUTED_VALUE"""),"N")</f>
        <v>N</v>
      </c>
      <c r="AM89" s="7" t="str">
        <f ca="1">IFERROR(__xludf.DUMMYFUNCTION("""COMPUTED_VALUE"""),"Y")</f>
        <v>Y</v>
      </c>
      <c r="AN89" s="7" t="str">
        <f ca="1">IFERROR(__xludf.DUMMYFUNCTION("""COMPUTED_VALUE"""),"Y")</f>
        <v>Y</v>
      </c>
      <c r="AO89" s="7" t="str">
        <f ca="1">IFERROR(__xludf.DUMMYFUNCTION("""COMPUTED_VALUE"""),"N")</f>
        <v>N</v>
      </c>
      <c r="AP89" s="7" t="str">
        <f ca="1">IFERROR(__xludf.DUMMYFUNCTION("""COMPUTED_VALUE"""),"N")</f>
        <v>N</v>
      </c>
      <c r="AQ89" s="7" t="str">
        <f ca="1">IFERROR(__xludf.DUMMYFUNCTION("""COMPUTED_VALUE"""),"N")</f>
        <v>N</v>
      </c>
      <c r="AR89" s="7" t="str">
        <f ca="1">IFERROR(__xludf.DUMMYFUNCTION("""COMPUTED_VALUE"""),"N")</f>
        <v>N</v>
      </c>
      <c r="AS89" s="7" t="str">
        <f ca="1">IFERROR(__xludf.DUMMYFUNCTION("""COMPUTED_VALUE"""),"N")</f>
        <v>N</v>
      </c>
      <c r="AT89" s="7" t="str">
        <f ca="1">IFERROR(__xludf.DUMMYFUNCTION("""COMPUTED_VALUE"""),"N")</f>
        <v>N</v>
      </c>
      <c r="AU89" s="3"/>
      <c r="AV89" s="3"/>
      <c r="AW89" s="3"/>
      <c r="AX89" s="3"/>
      <c r="AY89" s="3"/>
    </row>
    <row r="90" spans="1:51" ht="16.5" customHeight="1">
      <c r="A90" s="3">
        <f ca="1">IFERROR(__xludf.DUMMYFUNCTION("""COMPUTED_VALUE"""),1816)</f>
        <v>1816</v>
      </c>
      <c r="B90" s="3"/>
      <c r="C90" s="3">
        <f ca="1">IFERROR(__xludf.DUMMYFUNCTION("""COMPUTED_VALUE"""),91)</f>
        <v>91</v>
      </c>
      <c r="D90" s="3" t="str">
        <f ca="1">IFERROR(__xludf.DUMMYFUNCTION("""COMPUTED_VALUE"""),"Masculin")</f>
        <v>Masculin</v>
      </c>
      <c r="E90" s="4">
        <f ca="1">IFERROR(__xludf.DUMMYFUNCTION("""COMPUTED_VALUE"""),70)</f>
        <v>70</v>
      </c>
      <c r="F90" s="3" t="str">
        <f ca="1">IFERROR(__xludf.DUMMYFUNCTION("""COMPUTED_VALUE"""),"70-79 years")</f>
        <v>70-79 years</v>
      </c>
      <c r="G90" s="3" t="str">
        <f ca="1">IFERROR(__xludf.DUMMYFUNCTION("""COMPUTED_VALUE"""),"București")</f>
        <v>București</v>
      </c>
      <c r="H90" s="3"/>
      <c r="I90" s="3">
        <f ca="1">IFERROR(__xludf.DUMMYFUNCTION("""COMPUTED_VALUE"""),672)</f>
        <v>672</v>
      </c>
      <c r="J90" s="3" t="str">
        <f ca="1">IFERROR(__xludf.DUMMYFUNCTION("""COMPUTED_VALUE"""),"Dializa")</f>
        <v>Dializa</v>
      </c>
      <c r="K90" s="5">
        <f ca="1">IFERROR(__xludf.DUMMYFUNCTION("""COMPUTED_VALUE"""),43922)</f>
        <v>43922</v>
      </c>
      <c r="L90" s="5">
        <f ca="1">IFERROR(__xludf.DUMMYFUNCTION("""COMPUTED_VALUE"""),43920)</f>
        <v>43920</v>
      </c>
      <c r="M90" s="3" t="str">
        <f ca="1">IFERROR(__xludf.DUMMYFUNCTION("""COMPUTED_VALUE"""),"2")</f>
        <v>2</v>
      </c>
      <c r="N90" s="5">
        <f ca="1">IFERROR(__xludf.DUMMYFUNCTION("""COMPUTED_VALUE"""),43919)</f>
        <v>43919</v>
      </c>
      <c r="O90" s="5">
        <f ca="1">IFERROR(__xludf.DUMMYFUNCTION("""COMPUTED_VALUE"""),43920)</f>
        <v>43920</v>
      </c>
      <c r="P90" s="3" t="str">
        <f ca="1">IFERROR(__xludf.DUMMYFUNCTION("""COMPUTED_VALUE"""),"1")</f>
        <v>1</v>
      </c>
      <c r="Q90" s="3" t="str">
        <f ca="1">IFERROR(__xludf.DUMMYFUNCTION("""COMPUTED_VALUE"""),"0")</f>
        <v>0</v>
      </c>
      <c r="R90" s="3" t="str">
        <f ca="1">IFERROR(__xludf.DUMMYFUNCTION("""COMPUTED_VALUE"""),"Nu")</f>
        <v>Nu</v>
      </c>
      <c r="S90" s="3" t="str">
        <f ca="1">IFERROR(__xludf.DUMMYFUNCTION("""COMPUTED_VALUE"""),"3/29/2020")</f>
        <v>3/29/2020</v>
      </c>
      <c r="T90" s="3">
        <f ca="1">IFERROR(__xludf.DUMMYFUNCTION("""COMPUTED_VALUE"""),1)</f>
        <v>1</v>
      </c>
      <c r="U90" s="3" t="str">
        <f ca="1">IFERROR(__xludf.DUMMYFUNCTION("""COMPUTED_VALUE"""),"Da")</f>
        <v>Da</v>
      </c>
      <c r="V90" s="6" t="str">
        <f ca="1">IFERROR(__xludf.DUMMYFUNCTION("""COMPUTED_VALUE"""),"http://www.ms.ro/2020/04/01/deces-91-92/")</f>
        <v>http://www.ms.ro/2020/04/01/deces-91-92/</v>
      </c>
      <c r="W90" s="3" t="str">
        <f ca="1">IFERROR(__xludf.DUMMYFUNCTION("""COMPUTED_VALUE""")," ")</f>
        <v xml:space="preserve"> </v>
      </c>
      <c r="X90" s="3"/>
      <c r="Y90" s="3" t="str">
        <f ca="1">IFERROR(__xludf.DUMMYFUNCTION("""COMPUTED_VALUE""")," ")</f>
        <v xml:space="preserve"> </v>
      </c>
      <c r="Z90" s="3"/>
      <c r="AA90" s="3" t="str">
        <f ca="1">IFERROR(__xludf.DUMMYFUNCTION("""COMPUTED_VALUE""")," ")</f>
        <v xml:space="preserve"> </v>
      </c>
      <c r="AB90" s="3" t="str">
        <f ca="1">IFERROR(__xludf.DUMMYFUNCTION("""COMPUTED_VALUE"""),"Bărbat, 70 ani, din municipiul Bucuresti. Internat în data de 29.03.2020 la Spitalul Universitar de Urgență Bucuresti pe secția de Nefrologie pentru dializă, pacientul fiind dializat cronic. Debut
simptome respiratorii 29.03.2020, se recoltează proba, ca"&amp;"re este pozitivă în data de 30.03.2020. Pacientul este transferat în data de 30.03.2020 la spitalul Victor Babeș, însă decedează în salvare. Data deces: 30.03.2020")</f>
        <v>Bărbat, 70 ani, din municipiul Bucuresti. Internat în data de 29.03.2020 la Spitalul Universitar de Urgență Bucuresti pe secția de Nefrologie pentru dializă, pacientul fiind dializat cronic. Debut
simptome respiratorii 29.03.2020, se recoltează proba, care este pozitivă în data de 30.03.2020. Pacientul este transferat în data de 30.03.2020 la spitalul Victor Babeș, însă decedează în salvare. Data deces: 30.03.2020</v>
      </c>
      <c r="AC90" s="3" t="str">
        <f ca="1">IFERROR(__xludf.DUMMYFUNCTION("""COMPUTED_VALUE"""),"Nespecificat")</f>
        <v>Nespecificat</v>
      </c>
      <c r="AD90" s="3" t="str">
        <f ca="1">IFERROR(__xludf.DUMMYFUNCTION("""COMPUTED_VALUE"""),"MS")</f>
        <v>MS</v>
      </c>
      <c r="AE90" s="3" t="str">
        <f ca="1">IFERROR(__xludf.DUMMYFUNCTION("""COMPUTED_VALUE"""),"Nespecificat")</f>
        <v>Nespecificat</v>
      </c>
      <c r="AF90" s="3" t="str">
        <f ca="1">IFERROR(__xludf.DUMMYFUNCTION("""COMPUTED_VALUE"""),"Nespecificat")</f>
        <v>Nespecificat</v>
      </c>
      <c r="AG90" s="3" t="str">
        <f ca="1">IFERROR(__xludf.DUMMYFUNCTION("""COMPUTED_VALUE"""),"Nu")</f>
        <v>Nu</v>
      </c>
      <c r="AH90" s="3" t="str">
        <f ca="1">IFERROR(__xludf.DUMMYFUNCTION("""COMPUTED_VALUE"""),"Nu")</f>
        <v>Nu</v>
      </c>
      <c r="AI90" s="3" t="str">
        <f ca="1">IFERROR(__xludf.DUMMYFUNCTION("""COMPUTED_VALUE"""),"Afecțiuni renale")</f>
        <v>Afecțiuni renale</v>
      </c>
      <c r="AJ90" s="7" t="str">
        <f ca="1">IFERROR(__xludf.DUMMYFUNCTION("""COMPUTED_VALUE"""),"N")</f>
        <v>N</v>
      </c>
      <c r="AK90" s="7" t="str">
        <f ca="1">IFERROR(__xludf.DUMMYFUNCTION("""COMPUTED_VALUE"""),"N")</f>
        <v>N</v>
      </c>
      <c r="AL90" s="7" t="str">
        <f ca="1">IFERROR(__xludf.DUMMYFUNCTION("""COMPUTED_VALUE"""),"Y")</f>
        <v>Y</v>
      </c>
      <c r="AM90" s="7" t="str">
        <f ca="1">IFERROR(__xludf.DUMMYFUNCTION("""COMPUTED_VALUE"""),"N")</f>
        <v>N</v>
      </c>
      <c r="AN90" s="7" t="str">
        <f ca="1">IFERROR(__xludf.DUMMYFUNCTION("""COMPUTED_VALUE"""),"N")</f>
        <v>N</v>
      </c>
      <c r="AO90" s="7" t="str">
        <f ca="1">IFERROR(__xludf.DUMMYFUNCTION("""COMPUTED_VALUE"""),"N")</f>
        <v>N</v>
      </c>
      <c r="AP90" s="7" t="str">
        <f ca="1">IFERROR(__xludf.DUMMYFUNCTION("""COMPUTED_VALUE"""),"N")</f>
        <v>N</v>
      </c>
      <c r="AQ90" s="7" t="str">
        <f ca="1">IFERROR(__xludf.DUMMYFUNCTION("""COMPUTED_VALUE"""),"N")</f>
        <v>N</v>
      </c>
      <c r="AR90" s="7" t="str">
        <f ca="1">IFERROR(__xludf.DUMMYFUNCTION("""COMPUTED_VALUE"""),"N")</f>
        <v>N</v>
      </c>
      <c r="AS90" s="7" t="str">
        <f ca="1">IFERROR(__xludf.DUMMYFUNCTION("""COMPUTED_VALUE"""),"N")</f>
        <v>N</v>
      </c>
      <c r="AT90" s="7" t="str">
        <f ca="1">IFERROR(__xludf.DUMMYFUNCTION("""COMPUTED_VALUE"""),"N")</f>
        <v>N</v>
      </c>
      <c r="AU90" s="3"/>
      <c r="AV90" s="3"/>
      <c r="AW90" s="3"/>
      <c r="AX90" s="3"/>
      <c r="AY90" s="3"/>
    </row>
    <row r="91" spans="1:51" ht="16.5" customHeight="1">
      <c r="A91" s="3">
        <f ca="1">IFERROR(__xludf.DUMMYFUNCTION("""COMPUTED_VALUE"""),1345)</f>
        <v>1345</v>
      </c>
      <c r="B91" s="3"/>
      <c r="C91" s="3">
        <f ca="1">IFERROR(__xludf.DUMMYFUNCTION("""COMPUTED_VALUE"""),89)</f>
        <v>89</v>
      </c>
      <c r="D91" s="3" t="str">
        <f ca="1">IFERROR(__xludf.DUMMYFUNCTION("""COMPUTED_VALUE"""),"Feminin")</f>
        <v>Feminin</v>
      </c>
      <c r="E91" s="4">
        <f ca="1">IFERROR(__xludf.DUMMYFUNCTION("""COMPUTED_VALUE"""),66)</f>
        <v>66</v>
      </c>
      <c r="F91" s="3" t="str">
        <f ca="1">IFERROR(__xludf.DUMMYFUNCTION("""COMPUTED_VALUE"""),"60-69 years")</f>
        <v>60-69 years</v>
      </c>
      <c r="G91" s="3" t="str">
        <f ca="1">IFERROR(__xludf.DUMMYFUNCTION("""COMPUTED_VALUE"""),"București")</f>
        <v>București</v>
      </c>
      <c r="H91" s="3"/>
      <c r="I91" s="3">
        <f ca="1">IFERROR(__xludf.DUMMYFUNCTION("""COMPUTED_VALUE"""),505)</f>
        <v>505</v>
      </c>
      <c r="J91" s="3" t="str">
        <f ca="1">IFERROR(__xludf.DUMMYFUNCTION("""COMPUTED_VALUE"""),"Boală cardiovasculară, HTA, Schizofrenie")</f>
        <v>Boală cardiovasculară, HTA, Schizofrenie</v>
      </c>
      <c r="K91" s="5">
        <f ca="1">IFERROR(__xludf.DUMMYFUNCTION("""COMPUTED_VALUE"""),43922)</f>
        <v>43922</v>
      </c>
      <c r="L91" s="5">
        <f ca="1">IFERROR(__xludf.DUMMYFUNCTION("""COMPUTED_VALUE"""),43919)</f>
        <v>43919</v>
      </c>
      <c r="M91" s="3" t="str">
        <f ca="1">IFERROR(__xludf.DUMMYFUNCTION("""COMPUTED_VALUE"""),"3")</f>
        <v>3</v>
      </c>
      <c r="N91" s="5">
        <f ca="1">IFERROR(__xludf.DUMMYFUNCTION("""COMPUTED_VALUE"""),43915)</f>
        <v>43915</v>
      </c>
      <c r="O91" s="5">
        <f ca="1">IFERROR(__xludf.DUMMYFUNCTION("""COMPUTED_VALUE"""),43918)</f>
        <v>43918</v>
      </c>
      <c r="P91" s="3" t="str">
        <f ca="1">IFERROR(__xludf.DUMMYFUNCTION("""COMPUTED_VALUE"""),"3")</f>
        <v>3</v>
      </c>
      <c r="Q91" s="3" t="str">
        <f ca="1">IFERROR(__xludf.DUMMYFUNCTION("""COMPUTED_VALUE"""),"1")</f>
        <v>1</v>
      </c>
      <c r="R91" s="3" t="str">
        <f ca="1">IFERROR(__xludf.DUMMYFUNCTION("""COMPUTED_VALUE"""),"Nu")</f>
        <v>Nu</v>
      </c>
      <c r="S91" s="3" t="str">
        <f ca="1">IFERROR(__xludf.DUMMYFUNCTION("""COMPUTED_VALUE"""),"3/24/2020")</f>
        <v>3/24/2020</v>
      </c>
      <c r="T91" s="3">
        <f ca="1">IFERROR(__xludf.DUMMYFUNCTION("""COMPUTED_VALUE"""),5)</f>
        <v>5</v>
      </c>
      <c r="U91" s="3" t="str">
        <f ca="1">IFERROR(__xludf.DUMMYFUNCTION("""COMPUTED_VALUE"""),"Da")</f>
        <v>Da</v>
      </c>
      <c r="V91" s="6" t="str">
        <f ca="1">IFERROR(__xludf.DUMMYFUNCTION("""COMPUTED_VALUE"""),"http://www.ms.ro/2020/04/01/deces-87-90/")</f>
        <v>http://www.ms.ro/2020/04/01/deces-87-90/</v>
      </c>
      <c r="W91" s="3" t="str">
        <f ca="1">IFERROR(__xludf.DUMMYFUNCTION("""COMPUTED_VALUE""")," ")</f>
        <v xml:space="preserve"> </v>
      </c>
      <c r="X91" s="3"/>
      <c r="Y91" s="3" t="str">
        <f ca="1">IFERROR(__xludf.DUMMYFUNCTION("""COMPUTED_VALUE""")," ")</f>
        <v xml:space="preserve"> </v>
      </c>
      <c r="Z91" s="3"/>
      <c r="AA91" s="3" t="str">
        <f ca="1">IFERROR(__xludf.DUMMYFUNCTION("""COMPUTED_VALUE""")," ")</f>
        <v xml:space="preserve"> </v>
      </c>
      <c r="AB91" s="3" t="str">
        <f ca="1">IFERROR(__xludf.DUMMYFUNCTION("""COMPUTED_VALUE"""),"Femeie, 66 ani din București. Internată în 24.03.2020 în SCU “Bagdasar-Arseni”(pentru lipotimie cu traumatism minor), transferată în 25.03.2020 în Spitalul de Boli Infecțioase Victor Babeș. Recoltare pentru COVID-19 în 25.03.2020, confirmata în 28.03.2020"&amp;", decedată în 29.03.2020. Comorbidități: Boală cardiovasculară, HTA, Schizofrenie.")</f>
        <v>Femeie, 66 ani din București. Internată în 24.03.2020 în SCU “Bagdasar-Arseni”(pentru lipotimie cu traumatism minor), transferată în 25.03.2020 în Spitalul de Boli Infecțioase Victor Babeș. Recoltare pentru COVID-19 în 25.03.2020, confirmata în 28.03.2020, decedată în 29.03.2020. Comorbidități: Boală cardiovasculară, HTA, Schizofrenie.</v>
      </c>
      <c r="AC91" s="3" t="str">
        <f ca="1">IFERROR(__xludf.DUMMYFUNCTION("""COMPUTED_VALUE"""),"Lipotimie cu traumatism minor")</f>
        <v>Lipotimie cu traumatism minor</v>
      </c>
      <c r="AD91" s="3" t="str">
        <f ca="1">IFERROR(__xludf.DUMMYFUNCTION("""COMPUTED_VALUE"""),"MS")</f>
        <v>MS</v>
      </c>
      <c r="AE91" s="3" t="str">
        <f ca="1">IFERROR(__xludf.DUMMYFUNCTION("""COMPUTED_VALUE"""),"Nespecificat")</f>
        <v>Nespecificat</v>
      </c>
      <c r="AF91" s="3" t="str">
        <f ca="1">IFERROR(__xludf.DUMMYFUNCTION("""COMPUTED_VALUE"""),"Nespecificat")</f>
        <v>Nespecificat</v>
      </c>
      <c r="AG91" s="3" t="str">
        <f ca="1">IFERROR(__xludf.DUMMYFUNCTION("""COMPUTED_VALUE"""),"Nu")</f>
        <v>Nu</v>
      </c>
      <c r="AH91" s="3" t="str">
        <f ca="1">IFERROR(__xludf.DUMMYFUNCTION("""COMPUTED_VALUE"""),"Nu")</f>
        <v>Nu</v>
      </c>
      <c r="AI91" s="3" t="str">
        <f ca="1">IFERROR(__xludf.DUMMYFUNCTION("""COMPUTED_VALUE"""),"Afecțiuni cardiovasculare")</f>
        <v>Afecțiuni cardiovasculare</v>
      </c>
      <c r="AJ91" s="7" t="str">
        <f ca="1">IFERROR(__xludf.DUMMYFUNCTION("""COMPUTED_VALUE"""),"Y")</f>
        <v>Y</v>
      </c>
      <c r="AK91" s="7" t="str">
        <f ca="1">IFERROR(__xludf.DUMMYFUNCTION("""COMPUTED_VALUE"""),"N")</f>
        <v>N</v>
      </c>
      <c r="AL91" s="7" t="str">
        <f ca="1">IFERROR(__xludf.DUMMYFUNCTION("""COMPUTED_VALUE"""),"N")</f>
        <v>N</v>
      </c>
      <c r="AM91" s="7" t="str">
        <f ca="1">IFERROR(__xludf.DUMMYFUNCTION("""COMPUTED_VALUE"""),"N")</f>
        <v>N</v>
      </c>
      <c r="AN91" s="7" t="str">
        <f ca="1">IFERROR(__xludf.DUMMYFUNCTION("""COMPUTED_VALUE"""),"N")</f>
        <v>N</v>
      </c>
      <c r="AO91" s="7" t="str">
        <f ca="1">IFERROR(__xludf.DUMMYFUNCTION("""COMPUTED_VALUE"""),"Y")</f>
        <v>Y</v>
      </c>
      <c r="AP91" s="7" t="str">
        <f ca="1">IFERROR(__xludf.DUMMYFUNCTION("""COMPUTED_VALUE"""),"N")</f>
        <v>N</v>
      </c>
      <c r="AQ91" s="7" t="str">
        <f ca="1">IFERROR(__xludf.DUMMYFUNCTION("""COMPUTED_VALUE"""),"N")</f>
        <v>N</v>
      </c>
      <c r="AR91" s="7" t="str">
        <f ca="1">IFERROR(__xludf.DUMMYFUNCTION("""COMPUTED_VALUE"""),"N")</f>
        <v>N</v>
      </c>
      <c r="AS91" s="7" t="str">
        <f ca="1">IFERROR(__xludf.DUMMYFUNCTION("""COMPUTED_VALUE"""),"N")</f>
        <v>N</v>
      </c>
      <c r="AT91" s="7" t="str">
        <f ca="1">IFERROR(__xludf.DUMMYFUNCTION("""COMPUTED_VALUE"""),"N")</f>
        <v>N</v>
      </c>
      <c r="AU91" s="3"/>
      <c r="AV91" s="3"/>
      <c r="AW91" s="3"/>
      <c r="AX91" s="3"/>
      <c r="AY91" s="3"/>
    </row>
    <row r="92" spans="1:51" ht="16.5" customHeight="1">
      <c r="A92" s="3">
        <f ca="1">IFERROR(__xludf.DUMMYFUNCTION("""COMPUTED_VALUE"""),771)</f>
        <v>771</v>
      </c>
      <c r="B92" s="3">
        <f ca="1">IFERROR(__xludf.DUMMYFUNCTION("""COMPUTED_VALUE"""),328)</f>
        <v>328</v>
      </c>
      <c r="C92" s="3">
        <f ca="1">IFERROR(__xludf.DUMMYFUNCTION("""COMPUTED_VALUE"""),85)</f>
        <v>85</v>
      </c>
      <c r="D92" s="3" t="str">
        <f ca="1">IFERROR(__xludf.DUMMYFUNCTION("""COMPUTED_VALUE"""),"Feminin")</f>
        <v>Feminin</v>
      </c>
      <c r="E92" s="4">
        <f ca="1">IFERROR(__xludf.DUMMYFUNCTION("""COMPUTED_VALUE"""),63)</f>
        <v>63</v>
      </c>
      <c r="F92" s="3" t="str">
        <f ca="1">IFERROR(__xludf.DUMMYFUNCTION("""COMPUTED_VALUE"""),"60-69 years")</f>
        <v>60-69 years</v>
      </c>
      <c r="G92" s="3" t="str">
        <f ca="1">IFERROR(__xludf.DUMMYFUNCTION("""COMPUTED_VALUE"""),"București")</f>
        <v>București</v>
      </c>
      <c r="H92" s="3" t="str">
        <f ca="1">IFERROR(__xludf.DUMMYFUNCTION("""COMPUTED_VALUE"""),"București")</f>
        <v>București</v>
      </c>
      <c r="I92" s="3">
        <f ca="1">IFERROR(__xludf.DUMMYFUNCTION("""COMPUTED_VALUE"""),398)</f>
        <v>398</v>
      </c>
      <c r="J92" s="3" t="str">
        <f ca="1">IFERROR(__xludf.DUMMYFUNCTION("""COMPUTED_VALUE"""),"CIC, HTA, boala renala cronica, hipotiroidism")</f>
        <v>CIC, HTA, boala renala cronica, hipotiroidism</v>
      </c>
      <c r="K92" s="5">
        <f ca="1">IFERROR(__xludf.DUMMYFUNCTION("""COMPUTED_VALUE"""),43922)</f>
        <v>43922</v>
      </c>
      <c r="L92" s="5">
        <f ca="1">IFERROR(__xludf.DUMMYFUNCTION("""COMPUTED_VALUE"""),43922)</f>
        <v>43922</v>
      </c>
      <c r="M92" s="3" t="str">
        <f ca="1">IFERROR(__xludf.DUMMYFUNCTION("""COMPUTED_VALUE"""),"0")</f>
        <v>0</v>
      </c>
      <c r="N92" s="5">
        <f ca="1">IFERROR(__xludf.DUMMYFUNCTION("""COMPUTED_VALUE"""),0)</f>
        <v>0</v>
      </c>
      <c r="O92" s="5">
        <f ca="1">IFERROR(__xludf.DUMMYFUNCTION("""COMPUTED_VALUE"""),43914)</f>
        <v>43914</v>
      </c>
      <c r="P92" s="3" t="str">
        <f ca="1">IFERROR(__xludf.DUMMYFUNCTION("""COMPUTED_VALUE"""),"Necunoscut")</f>
        <v>Necunoscut</v>
      </c>
      <c r="Q92" s="3" t="str">
        <f ca="1">IFERROR(__xludf.DUMMYFUNCTION("""COMPUTED_VALUE"""),"8")</f>
        <v>8</v>
      </c>
      <c r="R92" s="3" t="str">
        <f ca="1">IFERROR(__xludf.DUMMYFUNCTION("""COMPUTED_VALUE"""),"Nu")</f>
        <v>Nu</v>
      </c>
      <c r="S92" s="3" t="str">
        <f ca="1">IFERROR(__xludf.DUMMYFUNCTION("""COMPUTED_VALUE"""),"3/23/2020")</f>
        <v>3/23/2020</v>
      </c>
      <c r="T92" s="3">
        <f ca="1">IFERROR(__xludf.DUMMYFUNCTION("""COMPUTED_VALUE"""),9)</f>
        <v>9</v>
      </c>
      <c r="U92" s="3" t="str">
        <f ca="1">IFERROR(__xludf.DUMMYFUNCTION("""COMPUTED_VALUE"""),"Da")</f>
        <v>Da</v>
      </c>
      <c r="V92" s="6" t="str">
        <f ca="1">IFERROR(__xludf.DUMMYFUNCTION("""COMPUTED_VALUE"""),"http://www.ms.ro/2020/04/01/decese-83-85/")</f>
        <v>http://www.ms.ro/2020/04/01/decese-83-85/</v>
      </c>
      <c r="W92" s="3" t="str">
        <f ca="1">IFERROR(__xludf.DUMMYFUNCTION("""COMPUTED_VALUE""")," ")</f>
        <v xml:space="preserve"> </v>
      </c>
      <c r="X92" s="3"/>
      <c r="Y92" s="3" t="str">
        <f ca="1">IFERROR(__xludf.DUMMYFUNCTION("""COMPUTED_VALUE""")," ")</f>
        <v xml:space="preserve"> </v>
      </c>
      <c r="Z92" s="3"/>
      <c r="AA92" s="3" t="str">
        <f ca="1">IFERROR(__xludf.DUMMYFUNCTION("""COMPUTED_VALUE""")," ")</f>
        <v xml:space="preserve"> </v>
      </c>
      <c r="AB92" s="3" t="str">
        <f ca="1">IFERROR(__xludf.DUMMYFUNCTION("""COMPUTED_VALUE"""),"Femeie, 54 ani, din București. Bolnava a decedat la 45 de minute după prezentare în UPU- SUU București (prezentare în 29.03.2020 ora 23:45 decedat în 30.03.2020 la 0:15). Confirmată cu COVID-19 în 30.03.2020. Bolnava a mai avut internări în SUUB în perioa"&amp;"da 03.03-10.03.2020 în Secția de Medicină Internă și în perioada 10-26.03.2020, în Sectia de Chirurgie toracică. Pacienta era cunoscută cu Neoplasm ovarian în stadiu terminal. Conform informațiilor primite de la SUUB în această perioadă pacienta nu a prez"&amp;"entat nicio patologie infecțioasă.")</f>
        <v>Femeie, 54 ani, din București. Bolnava a decedat la 45 de minute după prezentare în UPU- SUU București (prezentare în 29.03.2020 ora 23:45 decedat în 30.03.2020 la 0:15). Confirmată cu COVID-19 în 30.03.2020. Bolnava a mai avut internări în SUUB în perioada 03.03-10.03.2020 în Secția de Medicină Internă și în perioada 10-26.03.2020, în Sectia de Chirurgie toracică. Pacienta era cunoscută cu Neoplasm ovarian în stadiu terminal. Conform informațiilor primite de la SUUB în această perioadă pacienta nu a prezentat nicio patologie infecțioasă.</v>
      </c>
      <c r="AC92" s="3" t="str">
        <f ca="1">IFERROR(__xludf.DUMMYFUNCTION("""COMPUTED_VALUE"""),"Nespecificat")</f>
        <v>Nespecificat</v>
      </c>
      <c r="AD92" s="3" t="str">
        <f ca="1">IFERROR(__xludf.DUMMYFUNCTION("""COMPUTED_VALUE"""),"MS")</f>
        <v>MS</v>
      </c>
      <c r="AE92" s="3" t="str">
        <f ca="1">IFERROR(__xludf.DUMMYFUNCTION("""COMPUTED_VALUE"""),"Nespecificat")</f>
        <v>Nespecificat</v>
      </c>
      <c r="AF92" s="3" t="str">
        <f ca="1">IFERROR(__xludf.DUMMYFUNCTION("""COMPUTED_VALUE"""),"Caz centru privat dializă Diaverum-Sema Parc")</f>
        <v>Caz centru privat dializă Diaverum-Sema Parc</v>
      </c>
      <c r="AG92" s="3" t="str">
        <f ca="1">IFERROR(__xludf.DUMMYFUNCTION("""COMPUTED_VALUE"""),"Da")</f>
        <v>Da</v>
      </c>
      <c r="AH92" s="3" t="str">
        <f ca="1">IFERROR(__xludf.DUMMYFUNCTION("""COMPUTED_VALUE"""),"Nu")</f>
        <v>Nu</v>
      </c>
      <c r="AI92" s="3" t="str">
        <f ca="1">IFERROR(__xludf.DUMMYFUNCTION("""COMPUTED_VALUE"""),"Afecțiuni cardiovasculare")</f>
        <v>Afecțiuni cardiovasculare</v>
      </c>
      <c r="AJ92" s="7" t="str">
        <f ca="1">IFERROR(__xludf.DUMMYFUNCTION("""COMPUTED_VALUE"""),"Y")</f>
        <v>Y</v>
      </c>
      <c r="AK92" s="7" t="str">
        <f ca="1">IFERROR(__xludf.DUMMYFUNCTION("""COMPUTED_VALUE"""),"N")</f>
        <v>N</v>
      </c>
      <c r="AL92" s="7" t="str">
        <f ca="1">IFERROR(__xludf.DUMMYFUNCTION("""COMPUTED_VALUE"""),"N")</f>
        <v>N</v>
      </c>
      <c r="AM92" s="7" t="str">
        <f ca="1">IFERROR(__xludf.DUMMYFUNCTION("""COMPUTED_VALUE"""),"N")</f>
        <v>N</v>
      </c>
      <c r="AN92" s="7" t="str">
        <f ca="1">IFERROR(__xludf.DUMMYFUNCTION("""COMPUTED_VALUE"""),"N")</f>
        <v>N</v>
      </c>
      <c r="AO92" s="7" t="str">
        <f ca="1">IFERROR(__xludf.DUMMYFUNCTION("""COMPUTED_VALUE"""),"N")</f>
        <v>N</v>
      </c>
      <c r="AP92" s="7" t="str">
        <f ca="1">IFERROR(__xludf.DUMMYFUNCTION("""COMPUTED_VALUE"""),"N")</f>
        <v>N</v>
      </c>
      <c r="AQ92" s="7" t="str">
        <f ca="1">IFERROR(__xludf.DUMMYFUNCTION("""COMPUTED_VALUE"""),"N")</f>
        <v>N</v>
      </c>
      <c r="AR92" s="7" t="str">
        <f ca="1">IFERROR(__xludf.DUMMYFUNCTION("""COMPUTED_VALUE"""),"N")</f>
        <v>N</v>
      </c>
      <c r="AS92" s="7" t="str">
        <f ca="1">IFERROR(__xludf.DUMMYFUNCTION("""COMPUTED_VALUE"""),"N")</f>
        <v>N</v>
      </c>
      <c r="AT92" s="7" t="str">
        <f ca="1">IFERROR(__xludf.DUMMYFUNCTION("""COMPUTED_VALUE"""),"N")</f>
        <v>N</v>
      </c>
      <c r="AU92" s="3"/>
      <c r="AV92" s="3"/>
      <c r="AW92" s="3"/>
      <c r="AX92" s="3"/>
      <c r="AY92" s="3"/>
    </row>
    <row r="93" spans="1:51" ht="16.5" customHeight="1">
      <c r="A93" s="3">
        <f ca="1">IFERROR(__xludf.DUMMYFUNCTION("""COMPUTED_VALUE"""),1814)</f>
        <v>1814</v>
      </c>
      <c r="B93" s="3"/>
      <c r="C93" s="3">
        <f ca="1">IFERROR(__xludf.DUMMYFUNCTION("""COMPUTED_VALUE"""),83)</f>
        <v>83</v>
      </c>
      <c r="D93" s="3" t="str">
        <f ca="1">IFERROR(__xludf.DUMMYFUNCTION("""COMPUTED_VALUE"""),"Feminin")</f>
        <v>Feminin</v>
      </c>
      <c r="E93" s="4">
        <f ca="1">IFERROR(__xludf.DUMMYFUNCTION("""COMPUTED_VALUE"""),54)</f>
        <v>54</v>
      </c>
      <c r="F93" s="3" t="str">
        <f ca="1">IFERROR(__xludf.DUMMYFUNCTION("""COMPUTED_VALUE"""),"50-59 years")</f>
        <v>50-59 years</v>
      </c>
      <c r="G93" s="3" t="str">
        <f ca="1">IFERROR(__xludf.DUMMYFUNCTION("""COMPUTED_VALUE"""),"București")</f>
        <v>București</v>
      </c>
      <c r="H93" s="3"/>
      <c r="I93" s="3">
        <f ca="1">IFERROR(__xludf.DUMMYFUNCTION("""COMPUTED_VALUE"""),188)</f>
        <v>188</v>
      </c>
      <c r="J93" s="3" t="str">
        <f ca="1">IFERROR(__xludf.DUMMYFUNCTION("""COMPUTED_VALUE"""),"Neoplasm ovarian în stadiu terminal")</f>
        <v>Neoplasm ovarian în stadiu terminal</v>
      </c>
      <c r="K93" s="5">
        <f ca="1">IFERROR(__xludf.DUMMYFUNCTION("""COMPUTED_VALUE"""),43922)</f>
        <v>43922</v>
      </c>
      <c r="L93" s="5">
        <f ca="1">IFERROR(__xludf.DUMMYFUNCTION("""COMPUTED_VALUE"""),43920)</f>
        <v>43920</v>
      </c>
      <c r="M93" s="3" t="str">
        <f ca="1">IFERROR(__xludf.DUMMYFUNCTION("""COMPUTED_VALUE"""),"2")</f>
        <v>2</v>
      </c>
      <c r="N93" s="5">
        <f ca="1">IFERROR(__xludf.DUMMYFUNCTION("""COMPUTED_VALUE"""),0)</f>
        <v>0</v>
      </c>
      <c r="O93" s="5">
        <f ca="1">IFERROR(__xludf.DUMMYFUNCTION("""COMPUTED_VALUE"""),43920)</f>
        <v>43920</v>
      </c>
      <c r="P93" s="3" t="str">
        <f ca="1">IFERROR(__xludf.DUMMYFUNCTION("""COMPUTED_VALUE"""),"Necunoscut")</f>
        <v>Necunoscut</v>
      </c>
      <c r="Q93" s="3" t="str">
        <f ca="1">IFERROR(__xludf.DUMMYFUNCTION("""COMPUTED_VALUE"""),"0")</f>
        <v>0</v>
      </c>
      <c r="R93" s="3" t="str">
        <f ca="1">IFERROR(__xludf.DUMMYFUNCTION("""COMPUTED_VALUE"""),"Nu")</f>
        <v>Nu</v>
      </c>
      <c r="S93" s="3" t="str">
        <f ca="1">IFERROR(__xludf.DUMMYFUNCTION("""COMPUTED_VALUE"""),"3/29/2020")</f>
        <v>3/29/2020</v>
      </c>
      <c r="T93" s="3">
        <f ca="1">IFERROR(__xludf.DUMMYFUNCTION("""COMPUTED_VALUE"""),1)</f>
        <v>1</v>
      </c>
      <c r="U93" s="3" t="str">
        <f ca="1">IFERROR(__xludf.DUMMYFUNCTION("""COMPUTED_VALUE"""),"Da")</f>
        <v>Da</v>
      </c>
      <c r="V93" s="6" t="str">
        <f ca="1">IFERROR(__xludf.DUMMYFUNCTION("""COMPUTED_VALUE"""),"http://www.ms.ro/2020/04/01/decese-83-85/")</f>
        <v>http://www.ms.ro/2020/04/01/decese-83-85/</v>
      </c>
      <c r="W93" s="3" t="str">
        <f ca="1">IFERROR(__xludf.DUMMYFUNCTION("""COMPUTED_VALUE""")," ")</f>
        <v xml:space="preserve"> </v>
      </c>
      <c r="X93" s="3"/>
      <c r="Y93" s="3" t="str">
        <f ca="1">IFERROR(__xludf.DUMMYFUNCTION("""COMPUTED_VALUE""")," ")</f>
        <v xml:space="preserve"> </v>
      </c>
      <c r="Z93" s="3"/>
      <c r="AA93" s="3" t="str">
        <f ca="1">IFERROR(__xludf.DUMMYFUNCTION("""COMPUTED_VALUE""")," ")</f>
        <v xml:space="preserve"> </v>
      </c>
      <c r="AB93" s="3" t="str">
        <f ca="1">IFERROR(__xludf.DUMMYFUNCTION("""COMPUTED_VALUE"""),"Femeie, 54 ani, din București. Bolnava a decedat la 45 de minute după prezentare în UPU- SUU București (prezentare în 29.03.2020 ora 23:45 decedat în 30.03.2020 la 0:15). Confirmată cu COVID-19 în 30.03.2020. Bolnava a mai avut internări în SUUB în perioa"&amp;"da 03.03-10.03.2020 în Secția de Medicină Internă și în perioada 10-26.03.2020, în Sectia de Chirurgie toracică. Pacienta era cunoscută cu Neoplasm ovarian în stadiu terminal. Conform informațiilor primite de la SUUB în această perioadă pacienta nu a prez"&amp;"entat nicio patologie infecțioasă.")</f>
        <v>Femeie, 54 ani, din București. Bolnava a decedat la 45 de minute după prezentare în UPU- SUU București (prezentare în 29.03.2020 ora 23:45 decedat în 30.03.2020 la 0:15). Confirmată cu COVID-19 în 30.03.2020. Bolnava a mai avut internări în SUUB în perioada 03.03-10.03.2020 în Secția de Medicină Internă și în perioada 10-26.03.2020, în Sectia de Chirurgie toracică. Pacienta era cunoscută cu Neoplasm ovarian în stadiu terminal. Conform informațiilor primite de la SUUB în această perioadă pacienta nu a prezentat nicio patologie infecțioasă.</v>
      </c>
      <c r="AC93" s="3" t="str">
        <f ca="1">IFERROR(__xludf.DUMMYFUNCTION("""COMPUTED_VALUE"""),"Nespecificat")</f>
        <v>Nespecificat</v>
      </c>
      <c r="AD93" s="3" t="str">
        <f ca="1">IFERROR(__xludf.DUMMYFUNCTION("""COMPUTED_VALUE"""),"MS")</f>
        <v>MS</v>
      </c>
      <c r="AE93" s="3" t="str">
        <f ca="1">IFERROR(__xludf.DUMMYFUNCTION("""COMPUTED_VALUE"""),"Nespecificat")</f>
        <v>Nespecificat</v>
      </c>
      <c r="AF93" s="3" t="str">
        <f ca="1">IFERROR(__xludf.DUMMYFUNCTION("""COMPUTED_VALUE"""),"În cartierul unde locuiește este confirmat un alt caz COVID 19.
Ancheta epidemiologică este în curs.")</f>
        <v>În cartierul unde locuiește este confirmat un alt caz COVID 19.
Ancheta epidemiologică este în curs.</v>
      </c>
      <c r="AG93" s="3" t="str">
        <f ca="1">IFERROR(__xludf.DUMMYFUNCTION("""COMPUTED_VALUE"""),"Da")</f>
        <v>Da</v>
      </c>
      <c r="AH93" s="3" t="str">
        <f ca="1">IFERROR(__xludf.DUMMYFUNCTION("""COMPUTED_VALUE"""),"Nu")</f>
        <v>Nu</v>
      </c>
      <c r="AI93" s="3" t="str">
        <f ca="1">IFERROR(__xludf.DUMMYFUNCTION("""COMPUTED_VALUE"""),"Afecțiuni cardiovasculare")</f>
        <v>Afecțiuni cardiovasculare</v>
      </c>
      <c r="AJ93" s="7" t="str">
        <f ca="1">IFERROR(__xludf.DUMMYFUNCTION("""COMPUTED_VALUE"""),"Y")</f>
        <v>Y</v>
      </c>
      <c r="AK93" s="7" t="str">
        <f ca="1">IFERROR(__xludf.DUMMYFUNCTION("""COMPUTED_VALUE"""),"N")</f>
        <v>N</v>
      </c>
      <c r="AL93" s="7" t="str">
        <f ca="1">IFERROR(__xludf.DUMMYFUNCTION("""COMPUTED_VALUE"""),"N")</f>
        <v>N</v>
      </c>
      <c r="AM93" s="7" t="str">
        <f ca="1">IFERROR(__xludf.DUMMYFUNCTION("""COMPUTED_VALUE"""),"N")</f>
        <v>N</v>
      </c>
      <c r="AN93" s="7" t="str">
        <f ca="1">IFERROR(__xludf.DUMMYFUNCTION("""COMPUTED_VALUE"""),"N")</f>
        <v>N</v>
      </c>
      <c r="AO93" s="7" t="str">
        <f ca="1">IFERROR(__xludf.DUMMYFUNCTION("""COMPUTED_VALUE"""),"N")</f>
        <v>N</v>
      </c>
      <c r="AP93" s="7" t="str">
        <f ca="1">IFERROR(__xludf.DUMMYFUNCTION("""COMPUTED_VALUE"""),"N")</f>
        <v>N</v>
      </c>
      <c r="AQ93" s="7" t="str">
        <f ca="1">IFERROR(__xludf.DUMMYFUNCTION("""COMPUTED_VALUE"""),"N")</f>
        <v>N</v>
      </c>
      <c r="AR93" s="7" t="str">
        <f ca="1">IFERROR(__xludf.DUMMYFUNCTION("""COMPUTED_VALUE"""),"N")</f>
        <v>N</v>
      </c>
      <c r="AS93" s="7" t="str">
        <f ca="1">IFERROR(__xludf.DUMMYFUNCTION("""COMPUTED_VALUE"""),"N")</f>
        <v>N</v>
      </c>
      <c r="AT93" s="7" t="str">
        <f ca="1">IFERROR(__xludf.DUMMYFUNCTION("""COMPUTED_VALUE"""),"N")</f>
        <v>N</v>
      </c>
      <c r="AU93" s="3"/>
      <c r="AV93" s="3"/>
      <c r="AW93" s="3"/>
      <c r="AX93" s="3"/>
      <c r="AY93" s="3"/>
    </row>
    <row r="94" spans="1:51" ht="16.5" customHeight="1">
      <c r="A94" s="3">
        <f ca="1">IFERROR(__xludf.DUMMYFUNCTION("""COMPUTED_VALUE"""),1086)</f>
        <v>1086</v>
      </c>
      <c r="B94" s="3"/>
      <c r="C94" s="3">
        <f ca="1">IFERROR(__xludf.DUMMYFUNCTION("""COMPUTED_VALUE"""),79)</f>
        <v>79</v>
      </c>
      <c r="D94" s="3" t="str">
        <f ca="1">IFERROR(__xludf.DUMMYFUNCTION("""COMPUTED_VALUE"""),"Feminin")</f>
        <v>Feminin</v>
      </c>
      <c r="E94" s="4">
        <f ca="1">IFERROR(__xludf.DUMMYFUNCTION("""COMPUTED_VALUE"""),84)</f>
        <v>84</v>
      </c>
      <c r="F94" s="3" t="str">
        <f ca="1">IFERROR(__xludf.DUMMYFUNCTION("""COMPUTED_VALUE"""),"Over 80 years")</f>
        <v>Over 80 years</v>
      </c>
      <c r="G94" s="3" t="str">
        <f ca="1">IFERROR(__xludf.DUMMYFUNCTION("""COMPUTED_VALUE"""),"București")</f>
        <v>București</v>
      </c>
      <c r="H94" s="3"/>
      <c r="I94" s="3">
        <f ca="1">IFERROR(__xludf.DUMMYFUNCTION("""COMPUTED_VALUE"""),1184)</f>
        <v>1184</v>
      </c>
      <c r="J94" s="3" t="str">
        <f ca="1">IFERROR(__xludf.DUMMYFUNCTION("""COMPUTED_VALUE"""),"Fibrilatie atriala, pacemaker permanent, insuficienta cardiaca cronica.")</f>
        <v>Fibrilatie atriala, pacemaker permanent, insuficienta cardiaca cronica.</v>
      </c>
      <c r="K94" s="5">
        <f ca="1">IFERROR(__xludf.DUMMYFUNCTION("""COMPUTED_VALUE"""),43921)</f>
        <v>43921</v>
      </c>
      <c r="L94" s="5">
        <f ca="1">IFERROR(__xludf.DUMMYFUNCTION("""COMPUTED_VALUE"""),43917)</f>
        <v>43917</v>
      </c>
      <c r="M94" s="3" t="str">
        <f ca="1">IFERROR(__xludf.DUMMYFUNCTION("""COMPUTED_VALUE"""),"4")</f>
        <v>4</v>
      </c>
      <c r="N94" s="5">
        <f ca="1">IFERROR(__xludf.DUMMYFUNCTION("""COMPUTED_VALUE"""),43916)</f>
        <v>43916</v>
      </c>
      <c r="O94" s="5">
        <f ca="1">IFERROR(__xludf.DUMMYFUNCTION("""COMPUTED_VALUE"""),43917)</f>
        <v>43917</v>
      </c>
      <c r="P94" s="3" t="str">
        <f ca="1">IFERROR(__xludf.DUMMYFUNCTION("""COMPUTED_VALUE"""),"1")</f>
        <v>1</v>
      </c>
      <c r="Q94" s="3" t="str">
        <f ca="1">IFERROR(__xludf.DUMMYFUNCTION("""COMPUTED_VALUE"""),"0")</f>
        <v>0</v>
      </c>
      <c r="R94" s="3" t="str">
        <f ca="1">IFERROR(__xludf.DUMMYFUNCTION("""COMPUTED_VALUE"""),"Nu")</f>
        <v>Nu</v>
      </c>
      <c r="S94" s="3" t="str">
        <f ca="1">IFERROR(__xludf.DUMMYFUNCTION("""COMPUTED_VALUE"""),"3/26/2020")</f>
        <v>3/26/2020</v>
      </c>
      <c r="T94" s="3">
        <f ca="1">IFERROR(__xludf.DUMMYFUNCTION("""COMPUTED_VALUE"""),1)</f>
        <v>1</v>
      </c>
      <c r="U94" s="3" t="str">
        <f ca="1">IFERROR(__xludf.DUMMYFUNCTION("""COMPUTED_VALUE"""),"Da")</f>
        <v>Da</v>
      </c>
      <c r="V94" s="6" t="str">
        <f ca="1">IFERROR(__xludf.DUMMYFUNCTION("""COMPUTED_VALUE"""),"http://www.ms.ro/2020/03/31/deces-79/")</f>
        <v>http://www.ms.ro/2020/03/31/deces-79/</v>
      </c>
      <c r="W94" s="3" t="str">
        <f ca="1">IFERROR(__xludf.DUMMYFUNCTION("""COMPUTED_VALUE""")," ")</f>
        <v xml:space="preserve"> </v>
      </c>
      <c r="X94" s="3"/>
      <c r="Y94" s="3" t="str">
        <f ca="1">IFERROR(__xludf.DUMMYFUNCTION("""COMPUTED_VALUE""")," ")</f>
        <v xml:space="preserve"> </v>
      </c>
      <c r="Z94" s="3"/>
      <c r="AA94" s="3" t="str">
        <f ca="1">IFERROR(__xludf.DUMMYFUNCTION("""COMPUTED_VALUE""")," ")</f>
        <v xml:space="preserve"> </v>
      </c>
      <c r="AB94" s="3" t="str">
        <f ca="1">IFERROR(__xludf.DUMMYFUNCTION("""COMPUTED_VALUE"""),"Femeie, 84 ani, Mun. Bucuresti, prezentat in data de 26.03.2020 la camera de garda UPU a SUUB cu simptomatologie ce a incadrat aceasta pacienta in categoria suspect de infectie cu COVID-19. Pacienta a fost izolata si i s-au recoltat probe pentru COVID 19 "&amp;"in aceiasi data cu rezultat pozitiv in data de 27.03.2020. Decedata in 27.03.2020. Patologie asociata: fibrilatie atriala, pacemaker permanent, insuficienta cardiaca cronica.
**
Decesul de mai jos nu a fost raportat pana la aceasta data la INSP-CNSCBT.
I"&amp;"NSP-CNSCBT s-a autosesizat din informatiile aparute in presa despre acest deces si a solicitat DSP Bucuresti si conducerii SUUB informatii despre el si daca a fost sau nu raportat la DSP Mun. Bucuresti conform metodologiei de supraveghere a sindromului ac"&amp;"ut respirator determinat de noul coronavirus.
DSP Bucuresti nu ne-a raspuns la solicitare pana la aceasta ora.
Conform informatiilor primite de la SUUB decesul a fot raportat la DSP Bucuresti prin fax in data de 27.03.2020.
79. Caz 1263 – sex F, 84 ani"&amp;", Mun. Bucuresti, prezentat in data de 26.03.2020 la camera de garda UPU a SUUB cu simptomatologie ce a incadrat aceasta pacienta in categoria suspect de infectie cu COVID-19. Pacienta a fost izolata si i s-au recoltat probe pentru COVID 19 in aceiasi dat"&amp;"a cu rezultat pozitiv in data de 27.03.2020. Decedata in 27.03.2020. Patologie asociata: fibrilatie atriala, pacemaker permanent, insuficienta cardiaca cronica.")</f>
        <v>Femeie, 84 ani, Mun. Bucuresti, prezentat in data de 26.03.2020 la camera de garda UPU a SUUB cu simptomatologie ce a incadrat aceasta pacienta in categoria suspect de infectie cu COVID-19. Pacienta a fost izolata si i s-au recoltat probe pentru COVID 19 in aceiasi data cu rezultat pozitiv in data de 27.03.2020. Decedata in 27.03.2020. Patologie asociata: fibrilatie atriala, pacemaker permanent, insuficienta cardiaca cronica.
**
Decesul de mai jos nu a fost raportat pana la aceasta data la INSP-CNSCBT.
INSP-CNSCBT s-a autosesizat din informatiile aparute in presa despre acest deces si a solicitat DSP Bucuresti si conducerii SUUB informatii despre el si daca a fost sau nu raportat la DSP Mun. Bucuresti conform metodologiei de supraveghere a sindromului acut respirator determinat de noul coronavirus.
DSP Bucuresti nu ne-a raspuns la solicitare pana la aceasta ora.
Conform informatiilor primite de la SUUB decesul a fot raportat la DSP Bucuresti prin fax in data de 27.03.2020.
79. Caz 1263 – sex F, 84 ani, Mun. Bucuresti, prezentat in data de 26.03.2020 la camera de garda UPU a SUUB cu simptomatologie ce a incadrat aceasta pacienta in categoria suspect de infectie cu COVID-19. Pacienta a fost izolata si i s-au recoltat probe pentru COVID 19 in aceiasi data cu rezultat pozitiv in data de 27.03.2020. Decedata in 27.03.2020. Patologie asociata: fibrilatie atriala, pacemaker permanent, insuficienta cardiaca cronica.</v>
      </c>
      <c r="AC94" s="3" t="str">
        <f ca="1">IFERROR(__xludf.DUMMYFUNCTION("""COMPUTED_VALUE"""),"Simptomatologie suspect de infectie cu COVID-19")</f>
        <v>Simptomatologie suspect de infectie cu COVID-19</v>
      </c>
      <c r="AD94" s="3" t="str">
        <f ca="1">IFERROR(__xludf.DUMMYFUNCTION("""COMPUTED_VALUE"""),"MS")</f>
        <v>MS</v>
      </c>
      <c r="AE94" s="3" t="str">
        <f ca="1">IFERROR(__xludf.DUMMYFUNCTION("""COMPUTED_VALUE"""),"Nespecificat")</f>
        <v>Nespecificat</v>
      </c>
      <c r="AF94" s="3" t="str">
        <f ca="1">IFERROR(__xludf.DUMMYFUNCTION("""COMPUTED_VALUE"""),"Decesele sunt la pacienti internați în Secția medicală (decesele 73,75,76,77) si gastroenterologie (decesele 74 si 78) a SJU Suceava.
În acest moment nu detinem date despre patologia asociată.")</f>
        <v>Decesele sunt la pacienti internați în Secția medicală (decesele 73,75,76,77) si gastroenterologie (decesele 74 si 78) a SJU Suceava.
În acest moment nu detinem date despre patologia asociată.</v>
      </c>
      <c r="AG94" s="3" t="str">
        <f ca="1">IFERROR(__xludf.DUMMYFUNCTION("""COMPUTED_VALUE"""),"Nu")</f>
        <v>Nu</v>
      </c>
      <c r="AH94" s="3" t="str">
        <f ca="1">IFERROR(__xludf.DUMMYFUNCTION("""COMPUTED_VALUE"""),"Nu")</f>
        <v>Nu</v>
      </c>
      <c r="AI94" s="3" t="str">
        <f ca="1">IFERROR(__xludf.DUMMYFUNCTION("""COMPUTED_VALUE"""),"Afecțiuni cardiovasculare")</f>
        <v>Afecțiuni cardiovasculare</v>
      </c>
      <c r="AJ94" s="7" t="str">
        <f ca="1">IFERROR(__xludf.DUMMYFUNCTION("""COMPUTED_VALUE"""),"Y")</f>
        <v>Y</v>
      </c>
      <c r="AK94" s="7" t="str">
        <f ca="1">IFERROR(__xludf.DUMMYFUNCTION("""COMPUTED_VALUE"""),"N")</f>
        <v>N</v>
      </c>
      <c r="AL94" s="7" t="str">
        <f ca="1">IFERROR(__xludf.DUMMYFUNCTION("""COMPUTED_VALUE"""),"N")</f>
        <v>N</v>
      </c>
      <c r="AM94" s="7" t="str">
        <f ca="1">IFERROR(__xludf.DUMMYFUNCTION("""COMPUTED_VALUE"""),"N")</f>
        <v>N</v>
      </c>
      <c r="AN94" s="7" t="str">
        <f ca="1">IFERROR(__xludf.DUMMYFUNCTION("""COMPUTED_VALUE"""),"N")</f>
        <v>N</v>
      </c>
      <c r="AO94" s="7" t="str">
        <f ca="1">IFERROR(__xludf.DUMMYFUNCTION("""COMPUTED_VALUE"""),"N")</f>
        <v>N</v>
      </c>
      <c r="AP94" s="7" t="str">
        <f ca="1">IFERROR(__xludf.DUMMYFUNCTION("""COMPUTED_VALUE"""),"N")</f>
        <v>N</v>
      </c>
      <c r="AQ94" s="7" t="str">
        <f ca="1">IFERROR(__xludf.DUMMYFUNCTION("""COMPUTED_VALUE"""),"N")</f>
        <v>N</v>
      </c>
      <c r="AR94" s="7" t="str">
        <f ca="1">IFERROR(__xludf.DUMMYFUNCTION("""COMPUTED_VALUE"""),"N")</f>
        <v>N</v>
      </c>
      <c r="AS94" s="7" t="str">
        <f ca="1">IFERROR(__xludf.DUMMYFUNCTION("""COMPUTED_VALUE"""),"N")</f>
        <v>N</v>
      </c>
      <c r="AT94" s="7" t="str">
        <f ca="1">IFERROR(__xludf.DUMMYFUNCTION("""COMPUTED_VALUE"""),"N")</f>
        <v>N</v>
      </c>
      <c r="AU94" s="3"/>
      <c r="AV94" s="3"/>
      <c r="AW94" s="3"/>
      <c r="AX94" s="3"/>
      <c r="AY94" s="3"/>
    </row>
    <row r="95" spans="1:51" ht="16.5" customHeight="1">
      <c r="A95" s="3">
        <f ca="1">IFERROR(__xludf.DUMMYFUNCTION("""COMPUTED_VALUE"""),933)</f>
        <v>933</v>
      </c>
      <c r="B95" s="3"/>
      <c r="C95" s="3">
        <f ca="1">IFERROR(__xludf.DUMMYFUNCTION("""COMPUTED_VALUE"""),25)</f>
        <v>25</v>
      </c>
      <c r="D95" s="3" t="str">
        <f ca="1">IFERROR(__xludf.DUMMYFUNCTION("""COMPUTED_VALUE"""),"Masculin")</f>
        <v>Masculin</v>
      </c>
      <c r="E95" s="4">
        <f ca="1">IFERROR(__xludf.DUMMYFUNCTION("""COMPUTED_VALUE"""),81)</f>
        <v>81</v>
      </c>
      <c r="F95" s="3" t="str">
        <f ca="1">IFERROR(__xludf.DUMMYFUNCTION("""COMPUTED_VALUE"""),"Over 80 years")</f>
        <v>Over 80 years</v>
      </c>
      <c r="G95" s="3" t="str">
        <f ca="1">IFERROR(__xludf.DUMMYFUNCTION("""COMPUTED_VALUE"""),"București")</f>
        <v>București</v>
      </c>
      <c r="H95" s="3" t="str">
        <f ca="1">IFERROR(__xludf.DUMMYFUNCTION("""COMPUTED_VALUE"""),"Bucuresti")</f>
        <v>Bucuresti</v>
      </c>
      <c r="I95" s="3">
        <f ca="1">IFERROR(__xludf.DUMMYFUNCTION("""COMPUTED_VALUE"""),1083)</f>
        <v>1083</v>
      </c>
      <c r="J95" s="3" t="str">
        <f ca="1">IFERROR(__xludf.DUMMYFUNCTION("""COMPUTED_VALUE"""),"Nespecificat")</f>
        <v>Nespecificat</v>
      </c>
      <c r="K95" s="5">
        <f ca="1">IFERROR(__xludf.DUMMYFUNCTION("""COMPUTED_VALUE"""),43917)</f>
        <v>43917</v>
      </c>
      <c r="L95" s="5">
        <f ca="1">IFERROR(__xludf.DUMMYFUNCTION("""COMPUTED_VALUE"""),43917)</f>
        <v>43917</v>
      </c>
      <c r="M95" s="3" t="str">
        <f ca="1">IFERROR(__xludf.DUMMYFUNCTION("""COMPUTED_VALUE"""),"0")</f>
        <v>0</v>
      </c>
      <c r="N95" s="5">
        <f ca="1">IFERROR(__xludf.DUMMYFUNCTION("""COMPUTED_VALUE"""),0)</f>
        <v>0</v>
      </c>
      <c r="O95" s="5">
        <f ca="1">IFERROR(__xludf.DUMMYFUNCTION("""COMPUTED_VALUE"""),43916)</f>
        <v>43916</v>
      </c>
      <c r="P95" s="3" t="str">
        <f ca="1">IFERROR(__xludf.DUMMYFUNCTION("""COMPUTED_VALUE"""),"Necunoscut")</f>
        <v>Necunoscut</v>
      </c>
      <c r="Q95" s="3" t="str">
        <f ca="1">IFERROR(__xludf.DUMMYFUNCTION("""COMPUTED_VALUE"""),"1")</f>
        <v>1</v>
      </c>
      <c r="R95" s="3" t="str">
        <f ca="1">IFERROR(__xludf.DUMMYFUNCTION("""COMPUTED_VALUE"""),"Nu")</f>
        <v>Nu</v>
      </c>
      <c r="S95" s="3" t="str">
        <f ca="1">IFERROR(__xludf.DUMMYFUNCTION("""COMPUTED_VALUE"""),"3/26/2020")</f>
        <v>3/26/2020</v>
      </c>
      <c r="T95" s="3">
        <f ca="1">IFERROR(__xludf.DUMMYFUNCTION("""COMPUTED_VALUE"""),1)</f>
        <v>1</v>
      </c>
      <c r="U95" s="3" t="str">
        <f ca="1">IFERROR(__xludf.DUMMYFUNCTION("""COMPUTED_VALUE"""),"Da")</f>
        <v>Da</v>
      </c>
      <c r="V95" s="6" t="str">
        <f ca="1">IFERROR(__xludf.DUMMYFUNCTION("""COMPUTED_VALUE"""),"http://www.ms.ro/2020/03/27/al-25-lea-deces-al-unei-persoane-infectate-cu-noul-coronavirus/")</f>
        <v>http://www.ms.ro/2020/03/27/al-25-lea-deces-al-unei-persoane-infectate-cu-noul-coronavirus/</v>
      </c>
      <c r="W95" s="3" t="str">
        <f ca="1">IFERROR(__xludf.DUMMYFUNCTION("""COMPUTED_VALUE""")," ")</f>
        <v xml:space="preserve"> </v>
      </c>
      <c r="X95" s="3"/>
      <c r="Y95" s="3" t="str">
        <f ca="1">IFERROR(__xludf.DUMMYFUNCTION("""COMPUTED_VALUE""")," ")</f>
        <v xml:space="preserve"> </v>
      </c>
      <c r="Z95" s="3"/>
      <c r="AA95" s="3" t="str">
        <f ca="1">IFERROR(__xludf.DUMMYFUNCTION("""COMPUTED_VALUE""")," ")</f>
        <v xml:space="preserve"> </v>
      </c>
      <c r="AB95" s="3" t="str">
        <f ca="1">IFERROR(__xludf.DUMMYFUNCTION("""COMPUTED_VALUE"""),"Bărbat în vârstă de
 de 81 ani, din București, internat prin Unitatea de Primiri Urgențe a Spitalului SF IOAN în 26.03.2020, ulterior
 transferat la Institutul Național de Boli Infecțioase Matei Balș, acolo unde s- a înregistrat în data de 27.03.2020 dece"&amp;"sul în secția de ATI.
 Nu ne-au fost furnizate date legate de comorbiditati.")</f>
        <v>Bărbat în vârstă de
 de 81 ani, din București, internat prin Unitatea de Primiri Urgențe a Spitalului SF IOAN în 26.03.2020, ulterior
 transferat la Institutul Național de Boli Infecțioase Matei Balș, acolo unde s- a înregistrat în data de 27.03.2020 decesul în secția de ATI.
 Nu ne-au fost furnizate date legate de comorbiditati.</v>
      </c>
      <c r="AC95" s="3" t="str">
        <f ca="1">IFERROR(__xludf.DUMMYFUNCTION("""COMPUTED_VALUE"""),"Nespecificat")</f>
        <v>Nespecificat</v>
      </c>
      <c r="AD95" s="3" t="str">
        <f ca="1">IFERROR(__xludf.DUMMYFUNCTION("""COMPUTED_VALUE"""),"MS")</f>
        <v>MS</v>
      </c>
      <c r="AE95" s="3" t="str">
        <f ca="1">IFERROR(__xludf.DUMMYFUNCTION("""COMPUTED_VALUE"""),"Nespecificat")</f>
        <v>Nespecificat</v>
      </c>
      <c r="AF95" s="3" t="str">
        <f ca="1">IFERROR(__xludf.DUMMYFUNCTION("""COMPUTED_VALUE"""),"Nespecificat")</f>
        <v>Nespecificat</v>
      </c>
      <c r="AG95" s="3" t="str">
        <f ca="1">IFERROR(__xludf.DUMMYFUNCTION("""COMPUTED_VALUE"""),"Nu")</f>
        <v>Nu</v>
      </c>
      <c r="AH95" s="3" t="str">
        <f ca="1">IFERROR(__xludf.DUMMYFUNCTION("""COMPUTED_VALUE"""),"Nu")</f>
        <v>Nu</v>
      </c>
      <c r="AI95" s="3" t="str">
        <f ca="1">IFERROR(__xludf.DUMMYFUNCTION("""COMPUTED_VALUE"""),"Afecțiuni cardiovasculare")</f>
        <v>Afecțiuni cardiovasculare</v>
      </c>
      <c r="AJ95" s="7" t="str">
        <f ca="1">IFERROR(__xludf.DUMMYFUNCTION("""COMPUTED_VALUE"""),"Y")</f>
        <v>Y</v>
      </c>
      <c r="AK95" s="7" t="str">
        <f ca="1">IFERROR(__xludf.DUMMYFUNCTION("""COMPUTED_VALUE"""),"N")</f>
        <v>N</v>
      </c>
      <c r="AL95" s="7" t="str">
        <f ca="1">IFERROR(__xludf.DUMMYFUNCTION("""COMPUTED_VALUE"""),"N")</f>
        <v>N</v>
      </c>
      <c r="AM95" s="7" t="str">
        <f ca="1">IFERROR(__xludf.DUMMYFUNCTION("""COMPUTED_VALUE"""),"N")</f>
        <v>N</v>
      </c>
      <c r="AN95" s="7" t="str">
        <f ca="1">IFERROR(__xludf.DUMMYFUNCTION("""COMPUTED_VALUE"""),"N")</f>
        <v>N</v>
      </c>
      <c r="AO95" s="7" t="str">
        <f ca="1">IFERROR(__xludf.DUMMYFUNCTION("""COMPUTED_VALUE"""),"N")</f>
        <v>N</v>
      </c>
      <c r="AP95" s="7" t="str">
        <f ca="1">IFERROR(__xludf.DUMMYFUNCTION("""COMPUTED_VALUE"""),"N")</f>
        <v>N</v>
      </c>
      <c r="AQ95" s="7" t="str">
        <f ca="1">IFERROR(__xludf.DUMMYFUNCTION("""COMPUTED_VALUE"""),"N")</f>
        <v>N</v>
      </c>
      <c r="AR95" s="7" t="str">
        <f ca="1">IFERROR(__xludf.DUMMYFUNCTION("""COMPUTED_VALUE"""),"N")</f>
        <v>N</v>
      </c>
      <c r="AS95" s="7" t="str">
        <f ca="1">IFERROR(__xludf.DUMMYFUNCTION("""COMPUTED_VALUE"""),"N")</f>
        <v>N</v>
      </c>
      <c r="AT95" s="7" t="str">
        <f ca="1">IFERROR(__xludf.DUMMYFUNCTION("""COMPUTED_VALUE"""),"Y")</f>
        <v>Y</v>
      </c>
      <c r="AU95" s="3"/>
      <c r="AV95" s="3"/>
      <c r="AW95" s="3"/>
      <c r="AX95" s="3"/>
      <c r="AY95" s="3"/>
    </row>
    <row r="96" spans="1:51" ht="16.5" customHeight="1">
      <c r="A96" s="3">
        <f ca="1">IFERROR(__xludf.DUMMYFUNCTION("""COMPUTED_VALUE"""),357)</f>
        <v>357</v>
      </c>
      <c r="B96" s="3">
        <f ca="1">IFERROR(__xludf.DUMMYFUNCTION("""COMPUTED_VALUE"""),328)</f>
        <v>328</v>
      </c>
      <c r="C96" s="3">
        <f ca="1">IFERROR(__xludf.DUMMYFUNCTION("""COMPUTED_VALUE"""),7)</f>
        <v>7</v>
      </c>
      <c r="D96" s="3" t="str">
        <f ca="1">IFERROR(__xludf.DUMMYFUNCTION("""COMPUTED_VALUE"""),"Masculin")</f>
        <v>Masculin</v>
      </c>
      <c r="E96" s="4">
        <f ca="1">IFERROR(__xludf.DUMMYFUNCTION("""COMPUTED_VALUE"""),65)</f>
        <v>65</v>
      </c>
      <c r="F96" s="3" t="str">
        <f ca="1">IFERROR(__xludf.DUMMYFUNCTION("""COMPUTED_VALUE"""),"60-69 years")</f>
        <v>60-69 years</v>
      </c>
      <c r="G96" s="3" t="str">
        <f ca="1">IFERROR(__xludf.DUMMYFUNCTION("""COMPUTED_VALUE"""),"București")</f>
        <v>București</v>
      </c>
      <c r="H96" s="3" t="str">
        <f ca="1">IFERROR(__xludf.DUMMYFUNCTION("""COMPUTED_VALUE"""),"București")</f>
        <v>București</v>
      </c>
      <c r="I96" s="3">
        <f ca="1">IFERROR(__xludf.DUMMYFUNCTION("""COMPUTED_VALUE"""),477)</f>
        <v>477</v>
      </c>
      <c r="J96" s="3" t="str">
        <f ca="1">IFERROR(__xludf.DUMMYFUNCTION("""COMPUTED_VALUE"""),"Dializa")</f>
        <v>Dializa</v>
      </c>
      <c r="K96" s="5">
        <f ca="1">IFERROR(__xludf.DUMMYFUNCTION("""COMPUTED_VALUE"""),43913)</f>
        <v>43913</v>
      </c>
      <c r="L96" s="5">
        <f ca="1">IFERROR(__xludf.DUMMYFUNCTION("""COMPUTED_VALUE"""),43913)</f>
        <v>43913</v>
      </c>
      <c r="M96" s="3" t="str">
        <f ca="1">IFERROR(__xludf.DUMMYFUNCTION("""COMPUTED_VALUE"""),"0")</f>
        <v>0</v>
      </c>
      <c r="N96" s="5">
        <f ca="1">IFERROR(__xludf.DUMMYFUNCTION("""COMPUTED_VALUE"""),0)</f>
        <v>0</v>
      </c>
      <c r="O96" s="5">
        <f ca="1">IFERROR(__xludf.DUMMYFUNCTION("""COMPUTED_VALUE"""),43911)</f>
        <v>43911</v>
      </c>
      <c r="P96" s="3" t="str">
        <f ca="1">IFERROR(__xludf.DUMMYFUNCTION("""COMPUTED_VALUE"""),"Necunoscut")</f>
        <v>Necunoscut</v>
      </c>
      <c r="Q96" s="3" t="str">
        <f ca="1">IFERROR(__xludf.DUMMYFUNCTION("""COMPUTED_VALUE"""),"2")</f>
        <v>2</v>
      </c>
      <c r="R96" s="3" t="str">
        <f ca="1">IFERROR(__xludf.DUMMYFUNCTION("""COMPUTED_VALUE"""),"Nu")</f>
        <v>Nu</v>
      </c>
      <c r="S96" s="3" t="str">
        <f ca="1">IFERROR(__xludf.DUMMYFUNCTION("""COMPUTED_VALUE"""),"3/21/2020")</f>
        <v>3/21/2020</v>
      </c>
      <c r="T96" s="3">
        <f ca="1">IFERROR(__xludf.DUMMYFUNCTION("""COMPUTED_VALUE"""),2)</f>
        <v>2</v>
      </c>
      <c r="U96" s="3" t="str">
        <f ca="1">IFERROR(__xludf.DUMMYFUNCTION("""COMPUTED_VALUE"""),"Da")</f>
        <v>Da</v>
      </c>
      <c r="V96" s="6" t="str">
        <f ca="1">IFERROR(__xludf.DUMMYFUNCTION("""COMPUTED_VALUE"""),"http://www.ms.ro/2020/03/23/al-saptelea-deces-al-unui-pacient-infectat-cu-noul-coronavirus/")</f>
        <v>http://www.ms.ro/2020/03/23/al-saptelea-deces-al-unui-pacient-infectat-cu-noul-coronavirus/</v>
      </c>
      <c r="W96" s="3" t="str">
        <f ca="1">IFERROR(__xludf.DUMMYFUNCTION("""COMPUTED_VALUE""")," ")</f>
        <v xml:space="preserve"> </v>
      </c>
      <c r="X96" s="3"/>
      <c r="Y96" s="3" t="str">
        <f ca="1">IFERROR(__xludf.DUMMYFUNCTION("""COMPUTED_VALUE""")," ")</f>
        <v xml:space="preserve"> </v>
      </c>
      <c r="Z96" s="3"/>
      <c r="AA96" s="3" t="str">
        <f ca="1">IFERROR(__xludf.DUMMYFUNCTION("""COMPUTED_VALUE""")," ")</f>
        <v xml:space="preserve"> </v>
      </c>
      <c r="AB96" s="3" t="str">
        <f ca="1">IFERROR(__xludf.DUMMYFUNCTION("""COMPUTED_VALUE"""),"Bărbat în vârstă de 65 ani, internat la Spitalul Universitar București, confirmat pozitiv în data de
 21.03.2020. Pacientul necesita dializă și a fost contact de salon cu un alt pacient dializat,
 confirmat cu COVID 19 pe data de 20.03.2020 și care a fost"&amp;" transferat în Spitalul de Boli Infecțioase Victor Babeș unde a decedat.")</f>
        <v>Bărbat în vârstă de 65 ani, internat la Spitalul Universitar București, confirmat pozitiv în data de
 21.03.2020. Pacientul necesita dializă și a fost contact de salon cu un alt pacient dializat,
 confirmat cu COVID 19 pe data de 20.03.2020 și care a fost transferat în Spitalul de Boli Infecțioase Victor Babeș unde a decedat.</v>
      </c>
      <c r="AC96" s="3" t="str">
        <f ca="1">IFERROR(__xludf.DUMMYFUNCTION("""COMPUTED_VALUE"""),"Nespecificat")</f>
        <v>Nespecificat</v>
      </c>
      <c r="AD96" s="3" t="str">
        <f ca="1">IFERROR(__xludf.DUMMYFUNCTION("""COMPUTED_VALUE"""),"MS")</f>
        <v>MS</v>
      </c>
      <c r="AE96" s="3" t="str">
        <f ca="1">IFERROR(__xludf.DUMMYFUNCTION("""COMPUTED_VALUE"""),"Nespecificat")</f>
        <v>Nespecificat</v>
      </c>
      <c r="AF96" s="3" t="str">
        <f ca="1">IFERROR(__xludf.DUMMYFUNCTION("""COMPUTED_VALUE"""),"Caz centru privat dializă Diaverum-Sema Parc")</f>
        <v>Caz centru privat dializă Diaverum-Sema Parc</v>
      </c>
      <c r="AG96" s="3" t="str">
        <f ca="1">IFERROR(__xludf.DUMMYFUNCTION("""COMPUTED_VALUE"""),"Da")</f>
        <v>Da</v>
      </c>
      <c r="AH96" s="3" t="str">
        <f ca="1">IFERROR(__xludf.DUMMYFUNCTION("""COMPUTED_VALUE"""),"Nu")</f>
        <v>Nu</v>
      </c>
      <c r="AI96" s="3" t="str">
        <f ca="1">IFERROR(__xludf.DUMMYFUNCTION("""COMPUTED_VALUE"""),"Afecțiuni renale")</f>
        <v>Afecțiuni renale</v>
      </c>
      <c r="AJ96" s="7" t="str">
        <f ca="1">IFERROR(__xludf.DUMMYFUNCTION("""COMPUTED_VALUE"""),"N")</f>
        <v>N</v>
      </c>
      <c r="AK96" s="7" t="str">
        <f ca="1">IFERROR(__xludf.DUMMYFUNCTION("""COMPUTED_VALUE"""),"N")</f>
        <v>N</v>
      </c>
      <c r="AL96" s="7" t="str">
        <f ca="1">IFERROR(__xludf.DUMMYFUNCTION("""COMPUTED_VALUE"""),"Y")</f>
        <v>Y</v>
      </c>
      <c r="AM96" s="7" t="str">
        <f ca="1">IFERROR(__xludf.DUMMYFUNCTION("""COMPUTED_VALUE"""),"N")</f>
        <v>N</v>
      </c>
      <c r="AN96" s="7" t="str">
        <f ca="1">IFERROR(__xludf.DUMMYFUNCTION("""COMPUTED_VALUE"""),"N")</f>
        <v>N</v>
      </c>
      <c r="AO96" s="7" t="str">
        <f ca="1">IFERROR(__xludf.DUMMYFUNCTION("""COMPUTED_VALUE"""),"N")</f>
        <v>N</v>
      </c>
      <c r="AP96" s="7" t="str">
        <f ca="1">IFERROR(__xludf.DUMMYFUNCTION("""COMPUTED_VALUE"""),"N")</f>
        <v>N</v>
      </c>
      <c r="AQ96" s="7" t="str">
        <f ca="1">IFERROR(__xludf.DUMMYFUNCTION("""COMPUTED_VALUE"""),"N")</f>
        <v>N</v>
      </c>
      <c r="AR96" s="7" t="str">
        <f ca="1">IFERROR(__xludf.DUMMYFUNCTION("""COMPUTED_VALUE"""),"N")</f>
        <v>N</v>
      </c>
      <c r="AS96" s="7" t="str">
        <f ca="1">IFERROR(__xludf.DUMMYFUNCTION("""COMPUTED_VALUE"""),"N")</f>
        <v>N</v>
      </c>
      <c r="AT96" s="7" t="str">
        <f ca="1">IFERROR(__xludf.DUMMYFUNCTION("""COMPUTED_VALUE"""),"N")</f>
        <v>N</v>
      </c>
      <c r="AU96" s="3"/>
      <c r="AV96" s="3"/>
      <c r="AW96" s="3"/>
      <c r="AX96" s="3"/>
      <c r="AY96" s="3"/>
    </row>
    <row r="97" spans="1:51" ht="16.5" customHeight="1">
      <c r="A97" s="3">
        <f ca="1">IFERROR(__xludf.DUMMYFUNCTION("""COMPUTED_VALUE"""),328)</f>
        <v>328</v>
      </c>
      <c r="B97" s="3"/>
      <c r="C97" s="3">
        <f ca="1">IFERROR(__xludf.DUMMYFUNCTION("""COMPUTED_VALUE"""),2)</f>
        <v>2</v>
      </c>
      <c r="D97" s="3" t="str">
        <f ca="1">IFERROR(__xludf.DUMMYFUNCTION("""COMPUTED_VALUE"""),"Masculin")</f>
        <v>Masculin</v>
      </c>
      <c r="E97" s="4">
        <f ca="1">IFERROR(__xludf.DUMMYFUNCTION("""COMPUTED_VALUE"""),74)</f>
        <v>74</v>
      </c>
      <c r="F97" s="3" t="str">
        <f ca="1">IFERROR(__xludf.DUMMYFUNCTION("""COMPUTED_VALUE"""),"70-79 years")</f>
        <v>70-79 years</v>
      </c>
      <c r="G97" s="3" t="str">
        <f ca="1">IFERROR(__xludf.DUMMYFUNCTION("""COMPUTED_VALUE"""),"București")</f>
        <v>București</v>
      </c>
      <c r="H97" s="3" t="str">
        <f ca="1">IFERROR(__xludf.DUMMYFUNCTION("""COMPUTED_VALUE"""),"Bucuresti")</f>
        <v>Bucuresti</v>
      </c>
      <c r="I97" s="3">
        <f ca="1">IFERROR(__xludf.DUMMYFUNCTION("""COMPUTED_VALUE"""),830)</f>
        <v>830</v>
      </c>
      <c r="J97" s="3" t="str">
        <f ca="1">IFERROR(__xludf.DUMMYFUNCTION("""COMPUTED_VALUE"""),"Boală cronică preexistentă pentru care se afla în programul de dializă")</f>
        <v>Boală cronică preexistentă pentru care se afla în programul de dializă</v>
      </c>
      <c r="K97" s="5">
        <f ca="1">IFERROR(__xludf.DUMMYFUNCTION("""COMPUTED_VALUE"""),43912)</f>
        <v>43912</v>
      </c>
      <c r="L97" s="5">
        <f ca="1">IFERROR(__xludf.DUMMYFUNCTION("""COMPUTED_VALUE"""),43912)</f>
        <v>43912</v>
      </c>
      <c r="M97" s="3" t="str">
        <f ca="1">IFERROR(__xludf.DUMMYFUNCTION("""COMPUTED_VALUE"""),"0")</f>
        <v>0</v>
      </c>
      <c r="N97" s="5">
        <f ca="1">IFERROR(__xludf.DUMMYFUNCTION("""COMPUTED_VALUE"""),0)</f>
        <v>0</v>
      </c>
      <c r="O97" s="5">
        <f ca="1">IFERROR(__xludf.DUMMYFUNCTION("""COMPUTED_VALUE"""),43911)</f>
        <v>43911</v>
      </c>
      <c r="P97" s="3" t="str">
        <f ca="1">IFERROR(__xludf.DUMMYFUNCTION("""COMPUTED_VALUE"""),"Necunoscut")</f>
        <v>Necunoscut</v>
      </c>
      <c r="Q97" s="3" t="str">
        <f ca="1">IFERROR(__xludf.DUMMYFUNCTION("""COMPUTED_VALUE"""),"1")</f>
        <v>1</v>
      </c>
      <c r="R97" s="3" t="str">
        <f ca="1">IFERROR(__xludf.DUMMYFUNCTION("""COMPUTED_VALUE"""),"Nu")</f>
        <v>Nu</v>
      </c>
      <c r="S97" s="3" t="str">
        <f ca="1">IFERROR(__xludf.DUMMYFUNCTION("""COMPUTED_VALUE"""),"3/16/2020")</f>
        <v>3/16/2020</v>
      </c>
      <c r="T97" s="3">
        <f ca="1">IFERROR(__xludf.DUMMYFUNCTION("""COMPUTED_VALUE"""),6)</f>
        <v>6</v>
      </c>
      <c r="U97" s="3" t="str">
        <f ca="1">IFERROR(__xludf.DUMMYFUNCTION("""COMPUTED_VALUE"""),"Da")</f>
        <v>Da</v>
      </c>
      <c r="V97" s="6" t="str">
        <f ca="1">IFERROR(__xludf.DUMMYFUNCTION("""COMPUTED_VALUE"""),"http://www.ms.ro/2020/03/22/buletin-informativ-22-03-2020/")</f>
        <v>http://www.ms.ro/2020/03/22/buletin-informativ-22-03-2020/</v>
      </c>
      <c r="W97" s="3" t="str">
        <f ca="1">IFERROR(__xludf.DUMMYFUNCTION("""COMPUTED_VALUE""")," ")</f>
        <v xml:space="preserve"> </v>
      </c>
      <c r="X97" s="3"/>
      <c r="Y97" s="3" t="str">
        <f ca="1">IFERROR(__xludf.DUMMYFUNCTION("""COMPUTED_VALUE""")," ")</f>
        <v xml:space="preserve"> </v>
      </c>
      <c r="Z97" s="3"/>
      <c r="AA97" s="3" t="str">
        <f ca="1">IFERROR(__xludf.DUMMYFUNCTION("""COMPUTED_VALUE""")," ")</f>
        <v xml:space="preserve"> </v>
      </c>
      <c r="AB97" s="3" t="str">
        <f ca="1">IFERROR(__xludf.DUMMYFUNCTION("""COMPUTED_VALUE"""),"Al doilea pacient, în vârstă de 74 de ani era internat la Spitalul Clinic de Boli Infecţioase şi Tropicale Dr. Victor Babeş – Bucuresti, transferat de la Spitalul Universitar de Urgenţă Bucureşti, având o boală cronică preexistentă pentru care se afla în "&amp;"programul de dializă.
 ""Bărbat în vârstă de 74 de ani, era internat la Spitalul „Victor Babeş” din Capitală şi suferea de o boală cronică preexistentă pentru care se afla în programul de dializă. Acestuia nu i s-a făcut testul de coronavirus decât mult p"&amp;"rea târziu. ""
 Citeste mai mult: /adevarul.ro/news/societate/Inca-deces-persoane-confirmate-coronavirus-bilantul-urcat-26-morti-1_5e7e44045163ec42713d3179/index.html
Caz centru privat dializă Diaverum-Sema Parc;Posibil focar")</f>
        <v>Al doilea pacient, în vârstă de 74 de ani era internat la Spitalul Clinic de Boli Infecţioase şi Tropicale Dr. Victor Babeş – Bucuresti, transferat de la Spitalul Universitar de Urgenţă Bucureşti, având o boală cronică preexistentă pentru care se afla în programul de dializă.
 "Bărbat în vârstă de 74 de ani, era internat la Spitalul „Victor Babeş” din Capitală şi suferea de o boală cronică preexistentă pentru care se afla în programul de dializă. Acestuia nu i s-a făcut testul de coronavirus decât mult prea târziu. "
 Citeste mai mult: /adevarul.ro/news/societate/Inca-deces-persoane-confirmate-coronavirus-bilantul-urcat-26-morti-1_5e7e44045163ec42713d3179/index.html
Caz centru privat dializă Diaverum-Sema Parc;Posibil focar</v>
      </c>
      <c r="AC97" s="3" t="str">
        <f ca="1">IFERROR(__xludf.DUMMYFUNCTION("""COMPUTED_VALUE"""),"Nespecificat")</f>
        <v>Nespecificat</v>
      </c>
      <c r="AD97" s="3" t="str">
        <f ca="1">IFERROR(__xludf.DUMMYFUNCTION("""COMPUTED_VALUE"""),"MS")</f>
        <v>MS</v>
      </c>
      <c r="AE97" s="3" t="str">
        <f ca="1">IFERROR(__xludf.DUMMYFUNCTION("""COMPUTED_VALUE"""),"Revenit din Franta pe 5 martie 2020;Un medic care lucrează atât la centrul din Sema Parc, cât și la cel din Călărași, a anunțat vineri DSP Călărași că s-ar putea să fie infectat. Motivul era că un pacient cu care doctorul venise în contact fusese confirma"&amp;"t în aceeași zi ca fiind pozitiv. E vorba de pacientul de 74 de ani dus la Spitalul Universitar, ”decesul numărul 2” al României.  Cei de la DSP Călărași au venit la centrul de dializă vineri seara și au testat pacienții și personalul, au confirmat pentru"&amp;" Libertatea surse oficiale din DSP Călărași.  Pacienții s-au întors acasă după 1 noaptea. Rezultatele testelor au ieșit negative, atât pentru pacienții de la centrul din Călărași, cât și pentru medicul aflat în izolare la domiciliu. 
Citeşte întreaga ştir"&amp;"e: Cronica unor morți colective neglijate în rețeaua privată de dializă Diaverum. 8 decese, mai multe ca în focarul de la Țăndărei")</f>
        <v>Revenit din Franta pe 5 martie 2020;Un medic care lucrează atât la centrul din Sema Parc, cât și la cel din Călărași, a anunțat vineri DSP Călărași că s-ar putea să fie infectat. Motivul era că un pacient cu care doctorul venise în contact fusese confirmat în aceeași zi ca fiind pozitiv. E vorba de pacientul de 74 de ani dus la Spitalul Universitar, ”decesul numărul 2” al României.  Cei de la DSP Călărași au venit la centrul de dializă vineri seara și au testat pacienții și personalul, au confirmat pentru Libertatea surse oficiale din DSP Călărași.  Pacienții s-au întors acasă după 1 noaptea. Rezultatele testelor au ieșit negative, atât pentru pacienții de la centrul din Călărași, cât și pentru medicul aflat în izolare la domiciliu. 
Citeşte întreaga ştire: Cronica unor morți colective neglijate în rețeaua privată de dializă Diaverum. 8 decese, mai multe ca în focarul de la Țăndărei</v>
      </c>
      <c r="AF97" s="3" t="str">
        <f ca="1">IFERROR(__xludf.DUMMYFUNCTION("""COMPUTED_VALUE"""),"Caz centru privat dializă Diaverum-Sema Parc")</f>
        <v>Caz centru privat dializă Diaverum-Sema Parc</v>
      </c>
      <c r="AG97" s="3" t="str">
        <f ca="1">IFERROR(__xludf.DUMMYFUNCTION("""COMPUTED_VALUE"""),"Da")</f>
        <v>Da</v>
      </c>
      <c r="AH97" s="3" t="str">
        <f ca="1">IFERROR(__xludf.DUMMYFUNCTION("""COMPUTED_VALUE"""),"Nu")</f>
        <v>Nu</v>
      </c>
      <c r="AI97" s="3" t="str">
        <f ca="1">IFERROR(__xludf.DUMMYFUNCTION("""COMPUTED_VALUE"""),"Afecțiuni renale")</f>
        <v>Afecțiuni renale</v>
      </c>
      <c r="AJ97" s="7" t="str">
        <f ca="1">IFERROR(__xludf.DUMMYFUNCTION("""COMPUTED_VALUE"""),"N")</f>
        <v>N</v>
      </c>
      <c r="AK97" s="7" t="str">
        <f ca="1">IFERROR(__xludf.DUMMYFUNCTION("""COMPUTED_VALUE"""),"N")</f>
        <v>N</v>
      </c>
      <c r="AL97" s="7" t="str">
        <f ca="1">IFERROR(__xludf.DUMMYFUNCTION("""COMPUTED_VALUE"""),"Y")</f>
        <v>Y</v>
      </c>
      <c r="AM97" s="7" t="str">
        <f ca="1">IFERROR(__xludf.DUMMYFUNCTION("""COMPUTED_VALUE"""),"N")</f>
        <v>N</v>
      </c>
      <c r="AN97" s="7" t="str">
        <f ca="1">IFERROR(__xludf.DUMMYFUNCTION("""COMPUTED_VALUE"""),"N")</f>
        <v>N</v>
      </c>
      <c r="AO97" s="7" t="str">
        <f ca="1">IFERROR(__xludf.DUMMYFUNCTION("""COMPUTED_VALUE"""),"N")</f>
        <v>N</v>
      </c>
      <c r="AP97" s="7" t="str">
        <f ca="1">IFERROR(__xludf.DUMMYFUNCTION("""COMPUTED_VALUE"""),"N")</f>
        <v>N</v>
      </c>
      <c r="AQ97" s="7" t="str">
        <f ca="1">IFERROR(__xludf.DUMMYFUNCTION("""COMPUTED_VALUE"""),"N")</f>
        <v>N</v>
      </c>
      <c r="AR97" s="7" t="str">
        <f ca="1">IFERROR(__xludf.DUMMYFUNCTION("""COMPUTED_VALUE"""),"N")</f>
        <v>N</v>
      </c>
      <c r="AS97" s="7" t="str">
        <f ca="1">IFERROR(__xludf.DUMMYFUNCTION("""COMPUTED_VALUE"""),"N")</f>
        <v>N</v>
      </c>
      <c r="AT97" s="7" t="str">
        <f ca="1">IFERROR(__xludf.DUMMYFUNCTION("""COMPUTED_VALUE"""),"N")</f>
        <v>N</v>
      </c>
      <c r="AU97" s="3"/>
      <c r="AV97" s="3"/>
      <c r="AW97" s="3"/>
      <c r="AX97" s="3"/>
      <c r="AY97" s="3"/>
    </row>
    <row r="98" spans="1:51"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7"/>
      <c r="AK98" s="7"/>
      <c r="AL98" s="7"/>
      <c r="AM98" s="7"/>
      <c r="AN98" s="7"/>
      <c r="AO98" s="7"/>
      <c r="AP98" s="7"/>
      <c r="AQ98" s="7"/>
      <c r="AR98" s="7"/>
      <c r="AS98" s="7"/>
      <c r="AT98" s="7"/>
      <c r="AU98" s="3"/>
      <c r="AV98" s="3"/>
      <c r="AW98" s="3"/>
      <c r="AX98" s="3"/>
      <c r="AY98" s="3"/>
    </row>
    <row r="99" spans="1:51"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7"/>
      <c r="AK99" s="7"/>
      <c r="AL99" s="7"/>
      <c r="AM99" s="7"/>
      <c r="AN99" s="7"/>
      <c r="AO99" s="7"/>
      <c r="AP99" s="7"/>
      <c r="AQ99" s="7"/>
      <c r="AR99" s="7"/>
      <c r="AS99" s="7"/>
      <c r="AT99" s="7"/>
      <c r="AU99" s="3"/>
      <c r="AV99" s="3"/>
      <c r="AW99" s="3"/>
      <c r="AX99" s="3"/>
      <c r="AY99" s="3"/>
    </row>
    <row r="100" spans="1:51"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7"/>
      <c r="AK100" s="7"/>
      <c r="AL100" s="7"/>
      <c r="AM100" s="7"/>
      <c r="AN100" s="7"/>
      <c r="AO100" s="7"/>
      <c r="AP100" s="7"/>
      <c r="AQ100" s="7"/>
      <c r="AR100" s="7"/>
      <c r="AS100" s="7"/>
      <c r="AT100" s="7"/>
      <c r="AU100" s="3"/>
      <c r="AV100" s="3"/>
      <c r="AW100" s="3"/>
      <c r="AX100" s="3"/>
      <c r="AY100" s="3"/>
    </row>
    <row r="101" spans="1:5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7"/>
      <c r="AK101" s="7"/>
      <c r="AL101" s="7"/>
      <c r="AM101" s="7"/>
      <c r="AN101" s="7"/>
      <c r="AO101" s="7"/>
      <c r="AP101" s="7"/>
      <c r="AQ101" s="7"/>
      <c r="AR101" s="7"/>
      <c r="AS101" s="7"/>
      <c r="AT101" s="7"/>
      <c r="AU101" s="3"/>
      <c r="AV101" s="3"/>
      <c r="AW101" s="3"/>
      <c r="AX101" s="3"/>
      <c r="AY101" s="3"/>
    </row>
    <row r="102" spans="1:51"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7"/>
      <c r="AK102" s="7"/>
      <c r="AL102" s="7"/>
      <c r="AM102" s="7"/>
      <c r="AN102" s="7"/>
      <c r="AO102" s="7"/>
      <c r="AP102" s="7"/>
      <c r="AQ102" s="7"/>
      <c r="AR102" s="7"/>
      <c r="AS102" s="7"/>
      <c r="AT102" s="7"/>
      <c r="AU102" s="3"/>
      <c r="AV102" s="3"/>
      <c r="AW102" s="3"/>
      <c r="AX102" s="3"/>
      <c r="AY102" s="3"/>
    </row>
    <row r="103" spans="1:51"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7"/>
      <c r="AK103" s="7"/>
      <c r="AL103" s="7"/>
      <c r="AM103" s="7"/>
      <c r="AN103" s="7"/>
      <c r="AO103" s="7"/>
      <c r="AP103" s="7"/>
      <c r="AQ103" s="7"/>
      <c r="AR103" s="7"/>
      <c r="AS103" s="7"/>
      <c r="AT103" s="7"/>
      <c r="AU103" s="3"/>
      <c r="AV103" s="3"/>
      <c r="AW103" s="3"/>
      <c r="AX103" s="3"/>
      <c r="AY103" s="3"/>
    </row>
    <row r="104" spans="1:51"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7"/>
      <c r="AK104" s="7"/>
      <c r="AL104" s="7"/>
      <c r="AM104" s="7"/>
      <c r="AN104" s="7"/>
      <c r="AO104" s="7"/>
      <c r="AP104" s="7"/>
      <c r="AQ104" s="7"/>
      <c r="AR104" s="7"/>
      <c r="AS104" s="7"/>
      <c r="AT104" s="7"/>
      <c r="AU104" s="3"/>
      <c r="AV104" s="3"/>
      <c r="AW104" s="3"/>
      <c r="AX104" s="3"/>
      <c r="AY104" s="3"/>
    </row>
    <row r="105" spans="1:51"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7"/>
      <c r="AK105" s="7"/>
      <c r="AL105" s="7"/>
      <c r="AM105" s="7"/>
      <c r="AN105" s="7"/>
      <c r="AO105" s="7"/>
      <c r="AP105" s="7"/>
      <c r="AQ105" s="7"/>
      <c r="AR105" s="7"/>
      <c r="AS105" s="7"/>
      <c r="AT105" s="7"/>
      <c r="AU105" s="3"/>
      <c r="AV105" s="3"/>
      <c r="AW105" s="3"/>
      <c r="AX105" s="3"/>
      <c r="AY105" s="3"/>
    </row>
    <row r="106" spans="1:51"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7"/>
      <c r="AK106" s="7"/>
      <c r="AL106" s="7"/>
      <c r="AM106" s="7"/>
      <c r="AN106" s="7"/>
      <c r="AO106" s="7"/>
      <c r="AP106" s="7"/>
      <c r="AQ106" s="7"/>
      <c r="AR106" s="7"/>
      <c r="AS106" s="7"/>
      <c r="AT106" s="7"/>
      <c r="AU106" s="3"/>
      <c r="AV106" s="3"/>
      <c r="AW106" s="3"/>
      <c r="AX106" s="3"/>
      <c r="AY106" s="3"/>
    </row>
    <row r="107" spans="1:51"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7"/>
      <c r="AK107" s="7"/>
      <c r="AL107" s="7"/>
      <c r="AM107" s="7"/>
      <c r="AN107" s="7"/>
      <c r="AO107" s="7"/>
      <c r="AP107" s="7"/>
      <c r="AQ107" s="7"/>
      <c r="AR107" s="7"/>
      <c r="AS107" s="7"/>
      <c r="AT107" s="7"/>
      <c r="AU107" s="3"/>
      <c r="AV107" s="3"/>
      <c r="AW107" s="3"/>
      <c r="AX107" s="3"/>
      <c r="AY107" s="3"/>
    </row>
    <row r="108" spans="1:51"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7"/>
      <c r="AK108" s="7"/>
      <c r="AL108" s="7"/>
      <c r="AM108" s="7"/>
      <c r="AN108" s="7"/>
      <c r="AO108" s="7"/>
      <c r="AP108" s="7"/>
      <c r="AQ108" s="7"/>
      <c r="AR108" s="7"/>
      <c r="AS108" s="7"/>
      <c r="AT108" s="7"/>
      <c r="AU108" s="3"/>
      <c r="AV108" s="3"/>
      <c r="AW108" s="3"/>
      <c r="AX108" s="3"/>
      <c r="AY108" s="3"/>
    </row>
    <row r="109" spans="1:51"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7"/>
      <c r="AK109" s="7"/>
      <c r="AL109" s="7"/>
      <c r="AM109" s="7"/>
      <c r="AN109" s="7"/>
      <c r="AO109" s="7"/>
      <c r="AP109" s="7"/>
      <c r="AQ109" s="7"/>
      <c r="AR109" s="7"/>
      <c r="AS109" s="7"/>
      <c r="AT109" s="7"/>
      <c r="AU109" s="3"/>
      <c r="AV109" s="3"/>
      <c r="AW109" s="3"/>
      <c r="AX109" s="3"/>
      <c r="AY109" s="3"/>
    </row>
    <row r="110" spans="1:51"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7"/>
      <c r="AK110" s="7"/>
      <c r="AL110" s="7"/>
      <c r="AM110" s="7"/>
      <c r="AN110" s="7"/>
      <c r="AO110" s="7"/>
      <c r="AP110" s="7"/>
      <c r="AQ110" s="7"/>
      <c r="AR110" s="7"/>
      <c r="AS110" s="7"/>
      <c r="AT110" s="7"/>
      <c r="AU110" s="3"/>
      <c r="AV110" s="3"/>
      <c r="AW110" s="3"/>
      <c r="AX110" s="3"/>
      <c r="AY110" s="3"/>
    </row>
    <row r="111" spans="1:5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7"/>
      <c r="AK111" s="7"/>
      <c r="AL111" s="7"/>
      <c r="AM111" s="7"/>
      <c r="AN111" s="7"/>
      <c r="AO111" s="7"/>
      <c r="AP111" s="7"/>
      <c r="AQ111" s="7"/>
      <c r="AR111" s="7"/>
      <c r="AS111" s="7"/>
      <c r="AT111" s="7"/>
      <c r="AU111" s="3"/>
      <c r="AV111" s="3"/>
      <c r="AW111" s="3"/>
      <c r="AX111" s="3"/>
      <c r="AY111" s="3"/>
    </row>
    <row r="112" spans="1:51"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7"/>
      <c r="AK112" s="7"/>
      <c r="AL112" s="7"/>
      <c r="AM112" s="7"/>
      <c r="AN112" s="7"/>
      <c r="AO112" s="7"/>
      <c r="AP112" s="7"/>
      <c r="AQ112" s="7"/>
      <c r="AR112" s="7"/>
      <c r="AS112" s="7"/>
      <c r="AT112" s="7"/>
      <c r="AU112" s="3"/>
      <c r="AV112" s="3"/>
      <c r="AW112" s="3"/>
      <c r="AX112" s="3"/>
      <c r="AY112" s="3"/>
    </row>
    <row r="113" spans="1:51"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7"/>
      <c r="AK113" s="7"/>
      <c r="AL113" s="7"/>
      <c r="AM113" s="7"/>
      <c r="AN113" s="7"/>
      <c r="AO113" s="7"/>
      <c r="AP113" s="7"/>
      <c r="AQ113" s="7"/>
      <c r="AR113" s="7"/>
      <c r="AS113" s="7"/>
      <c r="AT113" s="7"/>
      <c r="AU113" s="3"/>
      <c r="AV113" s="3"/>
      <c r="AW113" s="3"/>
      <c r="AX113" s="3"/>
      <c r="AY113" s="3"/>
    </row>
    <row r="114" spans="1:51"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7"/>
      <c r="AK114" s="7"/>
      <c r="AL114" s="7"/>
      <c r="AM114" s="7"/>
      <c r="AN114" s="7"/>
      <c r="AO114" s="7"/>
      <c r="AP114" s="7"/>
      <c r="AQ114" s="7"/>
      <c r="AR114" s="7"/>
      <c r="AS114" s="7"/>
      <c r="AT114" s="7"/>
      <c r="AU114" s="3"/>
      <c r="AV114" s="3"/>
      <c r="AW114" s="3"/>
      <c r="AX114" s="3"/>
      <c r="AY114" s="3"/>
    </row>
    <row r="115" spans="1:51"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7"/>
      <c r="AK115" s="7"/>
      <c r="AL115" s="7"/>
      <c r="AM115" s="7"/>
      <c r="AN115" s="7"/>
      <c r="AO115" s="7"/>
      <c r="AP115" s="7"/>
      <c r="AQ115" s="7"/>
      <c r="AR115" s="7"/>
      <c r="AS115" s="7"/>
      <c r="AT115" s="7"/>
      <c r="AU115" s="3"/>
      <c r="AV115" s="3"/>
      <c r="AW115" s="3"/>
      <c r="AX115" s="3"/>
      <c r="AY115" s="3"/>
    </row>
    <row r="116" spans="1:51"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7"/>
      <c r="AK116" s="7"/>
      <c r="AL116" s="7"/>
      <c r="AM116" s="7"/>
      <c r="AN116" s="7"/>
      <c r="AO116" s="7"/>
      <c r="AP116" s="7"/>
      <c r="AQ116" s="7"/>
      <c r="AR116" s="7"/>
      <c r="AS116" s="7"/>
      <c r="AT116" s="7"/>
      <c r="AU116" s="3"/>
      <c r="AV116" s="3"/>
      <c r="AW116" s="3"/>
      <c r="AX116" s="3"/>
      <c r="AY116" s="3"/>
    </row>
    <row r="117" spans="1:51"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7"/>
      <c r="AK117" s="7"/>
      <c r="AL117" s="7"/>
      <c r="AM117" s="7"/>
      <c r="AN117" s="7"/>
      <c r="AO117" s="7"/>
      <c r="AP117" s="7"/>
      <c r="AQ117" s="7"/>
      <c r="AR117" s="7"/>
      <c r="AS117" s="7"/>
      <c r="AT117" s="7"/>
      <c r="AU117" s="3"/>
      <c r="AV117" s="3"/>
      <c r="AW117" s="3"/>
      <c r="AX117" s="3"/>
      <c r="AY117" s="3"/>
    </row>
    <row r="118" spans="1:51"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7"/>
      <c r="AK118" s="7"/>
      <c r="AL118" s="7"/>
      <c r="AM118" s="7"/>
      <c r="AN118" s="7"/>
      <c r="AO118" s="7"/>
      <c r="AP118" s="7"/>
      <c r="AQ118" s="7"/>
      <c r="AR118" s="7"/>
      <c r="AS118" s="7"/>
      <c r="AT118" s="7"/>
      <c r="AU118" s="3"/>
      <c r="AV118" s="3"/>
      <c r="AW118" s="3"/>
      <c r="AX118" s="3"/>
      <c r="AY118" s="3"/>
    </row>
    <row r="119" spans="1:51"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7"/>
      <c r="AK119" s="7"/>
      <c r="AL119" s="7"/>
      <c r="AM119" s="7"/>
      <c r="AN119" s="7"/>
      <c r="AO119" s="7"/>
      <c r="AP119" s="7"/>
      <c r="AQ119" s="7"/>
      <c r="AR119" s="7"/>
      <c r="AS119" s="7"/>
      <c r="AT119" s="7"/>
      <c r="AU119" s="3"/>
      <c r="AV119" s="3"/>
      <c r="AW119" s="3"/>
      <c r="AX119" s="3"/>
      <c r="AY119" s="3"/>
    </row>
    <row r="120" spans="1:51"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7"/>
      <c r="AK120" s="7"/>
      <c r="AL120" s="7"/>
      <c r="AM120" s="7"/>
      <c r="AN120" s="7"/>
      <c r="AO120" s="7"/>
      <c r="AP120" s="7"/>
      <c r="AQ120" s="7"/>
      <c r="AR120" s="7"/>
      <c r="AS120" s="7"/>
      <c r="AT120" s="7"/>
      <c r="AU120" s="3"/>
      <c r="AV120" s="3"/>
      <c r="AW120" s="3"/>
      <c r="AX120" s="3"/>
      <c r="AY120" s="3"/>
    </row>
    <row r="121" spans="1:5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7"/>
      <c r="AK121" s="7"/>
      <c r="AL121" s="7"/>
      <c r="AM121" s="7"/>
      <c r="AN121" s="7"/>
      <c r="AO121" s="7"/>
      <c r="AP121" s="7"/>
      <c r="AQ121" s="7"/>
      <c r="AR121" s="7"/>
      <c r="AS121" s="7"/>
      <c r="AT121" s="7"/>
      <c r="AU121" s="3"/>
      <c r="AV121" s="3"/>
      <c r="AW121" s="3"/>
      <c r="AX121" s="3"/>
      <c r="AY121" s="3"/>
    </row>
    <row r="122" spans="1:51"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7"/>
      <c r="AK122" s="7"/>
      <c r="AL122" s="7"/>
      <c r="AM122" s="7"/>
      <c r="AN122" s="7"/>
      <c r="AO122" s="7"/>
      <c r="AP122" s="7"/>
      <c r="AQ122" s="7"/>
      <c r="AR122" s="7"/>
      <c r="AS122" s="7"/>
      <c r="AT122" s="7"/>
      <c r="AU122" s="3"/>
      <c r="AV122" s="3"/>
      <c r="AW122" s="3"/>
      <c r="AX122" s="3"/>
      <c r="AY122" s="3"/>
    </row>
    <row r="123" spans="1:51"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7"/>
      <c r="AK123" s="7"/>
      <c r="AL123" s="7"/>
      <c r="AM123" s="7"/>
      <c r="AN123" s="7"/>
      <c r="AO123" s="7"/>
      <c r="AP123" s="7"/>
      <c r="AQ123" s="7"/>
      <c r="AR123" s="7"/>
      <c r="AS123" s="7"/>
      <c r="AT123" s="7"/>
      <c r="AU123" s="3"/>
      <c r="AV123" s="3"/>
      <c r="AW123" s="3"/>
      <c r="AX123" s="3"/>
      <c r="AY123" s="3"/>
    </row>
    <row r="124" spans="1:51"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7"/>
      <c r="AK124" s="7"/>
      <c r="AL124" s="7"/>
      <c r="AM124" s="7"/>
      <c r="AN124" s="7"/>
      <c r="AO124" s="7"/>
      <c r="AP124" s="7"/>
      <c r="AQ124" s="7"/>
      <c r="AR124" s="7"/>
      <c r="AS124" s="7"/>
      <c r="AT124" s="7"/>
      <c r="AU124" s="3"/>
      <c r="AV124" s="3"/>
      <c r="AW124" s="3"/>
      <c r="AX124" s="3"/>
      <c r="AY124" s="3"/>
    </row>
    <row r="125" spans="1:51"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7"/>
      <c r="AK125" s="7"/>
      <c r="AL125" s="7"/>
      <c r="AM125" s="7"/>
      <c r="AN125" s="7"/>
      <c r="AO125" s="7"/>
      <c r="AP125" s="7"/>
      <c r="AQ125" s="7"/>
      <c r="AR125" s="7"/>
      <c r="AS125" s="7"/>
      <c r="AT125" s="7"/>
      <c r="AU125" s="3"/>
      <c r="AV125" s="3"/>
      <c r="AW125" s="3"/>
      <c r="AX125" s="3"/>
      <c r="AY125" s="3"/>
    </row>
    <row r="126" spans="1:51"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7"/>
      <c r="AK126" s="7"/>
      <c r="AL126" s="7"/>
      <c r="AM126" s="7"/>
      <c r="AN126" s="7"/>
      <c r="AO126" s="7"/>
      <c r="AP126" s="7"/>
      <c r="AQ126" s="7"/>
      <c r="AR126" s="7"/>
      <c r="AS126" s="7"/>
      <c r="AT126" s="7"/>
      <c r="AU126" s="3"/>
      <c r="AV126" s="3"/>
      <c r="AW126" s="3"/>
      <c r="AX126" s="3"/>
      <c r="AY126" s="3"/>
    </row>
    <row r="127" spans="1:51"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7"/>
      <c r="AK127" s="7"/>
      <c r="AL127" s="7"/>
      <c r="AM127" s="7"/>
      <c r="AN127" s="7"/>
      <c r="AO127" s="7"/>
      <c r="AP127" s="7"/>
      <c r="AQ127" s="7"/>
      <c r="AR127" s="7"/>
      <c r="AS127" s="7"/>
      <c r="AT127" s="7"/>
      <c r="AU127" s="3"/>
      <c r="AV127" s="3"/>
      <c r="AW127" s="3"/>
      <c r="AX127" s="3"/>
      <c r="AY127" s="3"/>
    </row>
    <row r="128" spans="1:51"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7"/>
      <c r="AK128" s="7"/>
      <c r="AL128" s="7"/>
      <c r="AM128" s="7"/>
      <c r="AN128" s="7"/>
      <c r="AO128" s="7"/>
      <c r="AP128" s="7"/>
      <c r="AQ128" s="7"/>
      <c r="AR128" s="7"/>
      <c r="AS128" s="7"/>
      <c r="AT128" s="7"/>
      <c r="AU128" s="3"/>
      <c r="AV128" s="3"/>
      <c r="AW128" s="3"/>
      <c r="AX128" s="3"/>
      <c r="AY128" s="3"/>
    </row>
    <row r="129" spans="1:51"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7"/>
      <c r="AK129" s="7"/>
      <c r="AL129" s="7"/>
      <c r="AM129" s="7"/>
      <c r="AN129" s="7"/>
      <c r="AO129" s="7"/>
      <c r="AP129" s="7"/>
      <c r="AQ129" s="7"/>
      <c r="AR129" s="7"/>
      <c r="AS129" s="7"/>
      <c r="AT129" s="7"/>
      <c r="AU129" s="3"/>
      <c r="AV129" s="3"/>
      <c r="AW129" s="3"/>
      <c r="AX129" s="3"/>
      <c r="AY129" s="3"/>
    </row>
    <row r="130" spans="1:51"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7"/>
      <c r="AK130" s="7"/>
      <c r="AL130" s="7"/>
      <c r="AM130" s="7"/>
      <c r="AN130" s="7"/>
      <c r="AO130" s="7"/>
      <c r="AP130" s="7"/>
      <c r="AQ130" s="7"/>
      <c r="AR130" s="7"/>
      <c r="AS130" s="7"/>
      <c r="AT130" s="7"/>
      <c r="AU130" s="3"/>
      <c r="AV130" s="3"/>
      <c r="AW130" s="3"/>
      <c r="AX130" s="3"/>
      <c r="AY130" s="3"/>
    </row>
    <row r="131" spans="1:5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7"/>
      <c r="AK131" s="7"/>
      <c r="AL131" s="7"/>
      <c r="AM131" s="7"/>
      <c r="AN131" s="7"/>
      <c r="AO131" s="7"/>
      <c r="AP131" s="7"/>
      <c r="AQ131" s="7"/>
      <c r="AR131" s="7"/>
      <c r="AS131" s="7"/>
      <c r="AT131" s="7"/>
      <c r="AU131" s="3"/>
      <c r="AV131" s="3"/>
      <c r="AW131" s="3"/>
      <c r="AX131" s="3"/>
      <c r="AY131" s="3"/>
    </row>
    <row r="132" spans="1:51"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7"/>
      <c r="AK132" s="7"/>
      <c r="AL132" s="7"/>
      <c r="AM132" s="7"/>
      <c r="AN132" s="7"/>
      <c r="AO132" s="7"/>
      <c r="AP132" s="7"/>
      <c r="AQ132" s="7"/>
      <c r="AR132" s="7"/>
      <c r="AS132" s="7"/>
      <c r="AT132" s="7"/>
      <c r="AU132" s="3"/>
      <c r="AV132" s="3"/>
      <c r="AW132" s="3"/>
      <c r="AX132" s="3"/>
      <c r="AY132" s="3"/>
    </row>
    <row r="133" spans="1:51"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7"/>
      <c r="AK133" s="7"/>
      <c r="AL133" s="7"/>
      <c r="AM133" s="7"/>
      <c r="AN133" s="7"/>
      <c r="AO133" s="7"/>
      <c r="AP133" s="7"/>
      <c r="AQ133" s="7"/>
      <c r="AR133" s="7"/>
      <c r="AS133" s="7"/>
      <c r="AT133" s="7"/>
      <c r="AU133" s="3"/>
      <c r="AV133" s="3"/>
      <c r="AW133" s="3"/>
      <c r="AX133" s="3"/>
      <c r="AY133" s="3"/>
    </row>
    <row r="134" spans="1:51"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7"/>
      <c r="AK134" s="7"/>
      <c r="AL134" s="7"/>
      <c r="AM134" s="7"/>
      <c r="AN134" s="7"/>
      <c r="AO134" s="7"/>
      <c r="AP134" s="7"/>
      <c r="AQ134" s="7"/>
      <c r="AR134" s="7"/>
      <c r="AS134" s="7"/>
      <c r="AT134" s="7"/>
      <c r="AU134" s="3"/>
      <c r="AV134" s="3"/>
      <c r="AW134" s="3"/>
      <c r="AX134" s="3"/>
      <c r="AY134" s="3"/>
    </row>
    <row r="135" spans="1:51"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7"/>
      <c r="AK135" s="7"/>
      <c r="AL135" s="7"/>
      <c r="AM135" s="7"/>
      <c r="AN135" s="7"/>
      <c r="AO135" s="7"/>
      <c r="AP135" s="7"/>
      <c r="AQ135" s="7"/>
      <c r="AR135" s="7"/>
      <c r="AS135" s="7"/>
      <c r="AT135" s="7"/>
      <c r="AU135" s="3"/>
      <c r="AV135" s="3"/>
      <c r="AW135" s="3"/>
      <c r="AX135" s="3"/>
      <c r="AY135" s="3"/>
    </row>
    <row r="136" spans="1:51"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7"/>
      <c r="AK136" s="7"/>
      <c r="AL136" s="7"/>
      <c r="AM136" s="7"/>
      <c r="AN136" s="7"/>
      <c r="AO136" s="7"/>
      <c r="AP136" s="7"/>
      <c r="AQ136" s="7"/>
      <c r="AR136" s="7"/>
      <c r="AS136" s="7"/>
      <c r="AT136" s="7"/>
      <c r="AU136" s="3"/>
      <c r="AV136" s="3"/>
      <c r="AW136" s="3"/>
      <c r="AX136" s="3"/>
      <c r="AY136" s="3"/>
    </row>
    <row r="137" spans="1:51"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7"/>
      <c r="AK137" s="7"/>
      <c r="AL137" s="7"/>
      <c r="AM137" s="7"/>
      <c r="AN137" s="7"/>
      <c r="AO137" s="7"/>
      <c r="AP137" s="7"/>
      <c r="AQ137" s="7"/>
      <c r="AR137" s="7"/>
      <c r="AS137" s="7"/>
      <c r="AT137" s="7"/>
      <c r="AU137" s="3"/>
      <c r="AV137" s="3"/>
      <c r="AW137" s="3"/>
      <c r="AX137" s="3"/>
      <c r="AY137" s="3"/>
    </row>
    <row r="138" spans="1:51"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7"/>
      <c r="AK138" s="7"/>
      <c r="AL138" s="7"/>
      <c r="AM138" s="7"/>
      <c r="AN138" s="7"/>
      <c r="AO138" s="7"/>
      <c r="AP138" s="7"/>
      <c r="AQ138" s="7"/>
      <c r="AR138" s="7"/>
      <c r="AS138" s="7"/>
      <c r="AT138" s="7"/>
      <c r="AU138" s="3"/>
      <c r="AV138" s="3"/>
      <c r="AW138" s="3"/>
      <c r="AX138" s="3"/>
      <c r="AY138" s="3"/>
    </row>
    <row r="139" spans="1:51"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7"/>
      <c r="AK139" s="7"/>
      <c r="AL139" s="7"/>
      <c r="AM139" s="7"/>
      <c r="AN139" s="7"/>
      <c r="AO139" s="7"/>
      <c r="AP139" s="7"/>
      <c r="AQ139" s="7"/>
      <c r="AR139" s="7"/>
      <c r="AS139" s="7"/>
      <c r="AT139" s="7"/>
      <c r="AU139" s="3"/>
      <c r="AV139" s="3"/>
      <c r="AW139" s="3"/>
      <c r="AX139" s="3"/>
      <c r="AY139" s="3"/>
    </row>
    <row r="140" spans="1:51"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7"/>
      <c r="AK140" s="7"/>
      <c r="AL140" s="7"/>
      <c r="AM140" s="7"/>
      <c r="AN140" s="7"/>
      <c r="AO140" s="7"/>
      <c r="AP140" s="7"/>
      <c r="AQ140" s="7"/>
      <c r="AR140" s="7"/>
      <c r="AS140" s="7"/>
      <c r="AT140" s="7"/>
      <c r="AU140" s="3"/>
      <c r="AV140" s="3"/>
      <c r="AW140" s="3"/>
      <c r="AX140" s="3"/>
      <c r="AY140" s="3"/>
    </row>
    <row r="141" spans="1:5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7"/>
      <c r="AK141" s="7"/>
      <c r="AL141" s="7"/>
      <c r="AM141" s="7"/>
      <c r="AN141" s="7"/>
      <c r="AO141" s="7"/>
      <c r="AP141" s="7"/>
      <c r="AQ141" s="7"/>
      <c r="AR141" s="7"/>
      <c r="AS141" s="7"/>
      <c r="AT141" s="7"/>
      <c r="AU141" s="3"/>
      <c r="AV141" s="3"/>
      <c r="AW141" s="3"/>
      <c r="AX141" s="3"/>
      <c r="AY141" s="3"/>
    </row>
    <row r="142" spans="1:51"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7"/>
      <c r="AK142" s="7"/>
      <c r="AL142" s="7"/>
      <c r="AM142" s="7"/>
      <c r="AN142" s="7"/>
      <c r="AO142" s="7"/>
      <c r="AP142" s="7"/>
      <c r="AQ142" s="7"/>
      <c r="AR142" s="7"/>
      <c r="AS142" s="7"/>
      <c r="AT142" s="7"/>
      <c r="AU142" s="3"/>
      <c r="AV142" s="3"/>
      <c r="AW142" s="3"/>
      <c r="AX142" s="3"/>
      <c r="AY142" s="3"/>
    </row>
    <row r="143" spans="1:51"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7"/>
      <c r="AK143" s="7"/>
      <c r="AL143" s="7"/>
      <c r="AM143" s="7"/>
      <c r="AN143" s="7"/>
      <c r="AO143" s="7"/>
      <c r="AP143" s="7"/>
      <c r="AQ143" s="7"/>
      <c r="AR143" s="7"/>
      <c r="AS143" s="7"/>
      <c r="AT143" s="7"/>
      <c r="AU143" s="3"/>
      <c r="AV143" s="3"/>
      <c r="AW143" s="3"/>
      <c r="AX143" s="3"/>
      <c r="AY143" s="3"/>
    </row>
    <row r="144" spans="1:51"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7"/>
      <c r="AK144" s="7"/>
      <c r="AL144" s="7"/>
      <c r="AM144" s="7"/>
      <c r="AN144" s="7"/>
      <c r="AO144" s="7"/>
      <c r="AP144" s="7"/>
      <c r="AQ144" s="7"/>
      <c r="AR144" s="7"/>
      <c r="AS144" s="7"/>
      <c r="AT144" s="7"/>
      <c r="AU144" s="3"/>
      <c r="AV144" s="3"/>
      <c r="AW144" s="3"/>
      <c r="AX144" s="3"/>
      <c r="AY144" s="3"/>
    </row>
    <row r="145" spans="1:51"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7"/>
      <c r="AK145" s="7"/>
      <c r="AL145" s="7"/>
      <c r="AM145" s="7"/>
      <c r="AN145" s="7"/>
      <c r="AO145" s="7"/>
      <c r="AP145" s="7"/>
      <c r="AQ145" s="7"/>
      <c r="AR145" s="7"/>
      <c r="AS145" s="7"/>
      <c r="AT145" s="7"/>
      <c r="AU145" s="3"/>
      <c r="AV145" s="3"/>
      <c r="AW145" s="3"/>
      <c r="AX145" s="3"/>
      <c r="AY145" s="3"/>
    </row>
    <row r="146" spans="1:51"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7"/>
      <c r="AK146" s="7"/>
      <c r="AL146" s="7"/>
      <c r="AM146" s="7"/>
      <c r="AN146" s="7"/>
      <c r="AO146" s="7"/>
      <c r="AP146" s="7"/>
      <c r="AQ146" s="7"/>
      <c r="AR146" s="7"/>
      <c r="AS146" s="7"/>
      <c r="AT146" s="7"/>
      <c r="AU146" s="3"/>
      <c r="AV146" s="3"/>
      <c r="AW146" s="3"/>
      <c r="AX146" s="3"/>
      <c r="AY146" s="3"/>
    </row>
    <row r="147" spans="1:51"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7"/>
      <c r="AK147" s="7"/>
      <c r="AL147" s="7"/>
      <c r="AM147" s="7"/>
      <c r="AN147" s="7"/>
      <c r="AO147" s="7"/>
      <c r="AP147" s="7"/>
      <c r="AQ147" s="7"/>
      <c r="AR147" s="7"/>
      <c r="AS147" s="7"/>
      <c r="AT147" s="7"/>
      <c r="AU147" s="3"/>
      <c r="AV147" s="3"/>
      <c r="AW147" s="3"/>
      <c r="AX147" s="3"/>
      <c r="AY147" s="3"/>
    </row>
    <row r="148" spans="1:51"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7"/>
      <c r="AK148" s="7"/>
      <c r="AL148" s="7"/>
      <c r="AM148" s="7"/>
      <c r="AN148" s="7"/>
      <c r="AO148" s="7"/>
      <c r="AP148" s="7"/>
      <c r="AQ148" s="7"/>
      <c r="AR148" s="7"/>
      <c r="AS148" s="7"/>
      <c r="AT148" s="7"/>
      <c r="AU148" s="3"/>
      <c r="AV148" s="3"/>
      <c r="AW148" s="3"/>
      <c r="AX148" s="3"/>
      <c r="AY148" s="3"/>
    </row>
    <row r="149" spans="1:51"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7"/>
      <c r="AK149" s="7"/>
      <c r="AL149" s="7"/>
      <c r="AM149" s="7"/>
      <c r="AN149" s="7"/>
      <c r="AO149" s="7"/>
      <c r="AP149" s="7"/>
      <c r="AQ149" s="7"/>
      <c r="AR149" s="7"/>
      <c r="AS149" s="7"/>
      <c r="AT149" s="7"/>
      <c r="AU149" s="3"/>
      <c r="AV149" s="3"/>
      <c r="AW149" s="3"/>
      <c r="AX149" s="3"/>
      <c r="AY149" s="3"/>
    </row>
    <row r="150" spans="1:51"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7"/>
      <c r="AK150" s="7"/>
      <c r="AL150" s="7"/>
      <c r="AM150" s="7"/>
      <c r="AN150" s="7"/>
      <c r="AO150" s="7"/>
      <c r="AP150" s="7"/>
      <c r="AQ150" s="7"/>
      <c r="AR150" s="7"/>
      <c r="AS150" s="7"/>
      <c r="AT150" s="7"/>
      <c r="AU150" s="3"/>
      <c r="AV150" s="3"/>
      <c r="AW150" s="3"/>
      <c r="AX150" s="3"/>
      <c r="AY150" s="3"/>
    </row>
    <row r="151" spans="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7"/>
      <c r="AK151" s="7"/>
      <c r="AL151" s="7"/>
      <c r="AM151" s="7"/>
      <c r="AN151" s="7"/>
      <c r="AO151" s="7"/>
      <c r="AP151" s="7"/>
      <c r="AQ151" s="7"/>
      <c r="AR151" s="7"/>
      <c r="AS151" s="7"/>
      <c r="AT151" s="7"/>
      <c r="AU151" s="3"/>
      <c r="AV151" s="3"/>
      <c r="AW151" s="3"/>
      <c r="AX151" s="3"/>
      <c r="AY151" s="3"/>
    </row>
    <row r="152" spans="1:51"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7"/>
      <c r="AK152" s="7"/>
      <c r="AL152" s="7"/>
      <c r="AM152" s="7"/>
      <c r="AN152" s="7"/>
      <c r="AO152" s="7"/>
      <c r="AP152" s="7"/>
      <c r="AQ152" s="7"/>
      <c r="AR152" s="7"/>
      <c r="AS152" s="7"/>
      <c r="AT152" s="7"/>
      <c r="AU152" s="3"/>
      <c r="AV152" s="3"/>
      <c r="AW152" s="3"/>
      <c r="AX152" s="3"/>
      <c r="AY152" s="3"/>
    </row>
    <row r="153" spans="1:51"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7"/>
      <c r="AK153" s="7"/>
      <c r="AL153" s="7"/>
      <c r="AM153" s="7"/>
      <c r="AN153" s="7"/>
      <c r="AO153" s="7"/>
      <c r="AP153" s="7"/>
      <c r="AQ153" s="7"/>
      <c r="AR153" s="7"/>
      <c r="AS153" s="7"/>
      <c r="AT153" s="7"/>
      <c r="AU153" s="3"/>
      <c r="AV153" s="3"/>
      <c r="AW153" s="3"/>
      <c r="AX153" s="3"/>
      <c r="AY153" s="3"/>
    </row>
    <row r="154" spans="1:51"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7"/>
      <c r="AK154" s="7"/>
      <c r="AL154" s="7"/>
      <c r="AM154" s="7"/>
      <c r="AN154" s="7"/>
      <c r="AO154" s="7"/>
      <c r="AP154" s="7"/>
      <c r="AQ154" s="7"/>
      <c r="AR154" s="7"/>
      <c r="AS154" s="7"/>
      <c r="AT154" s="7"/>
      <c r="AU154" s="3"/>
      <c r="AV154" s="3"/>
      <c r="AW154" s="3"/>
      <c r="AX154" s="3"/>
      <c r="AY154" s="3"/>
    </row>
    <row r="155" spans="1:51"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7"/>
      <c r="AK155" s="7"/>
      <c r="AL155" s="7"/>
      <c r="AM155" s="7"/>
      <c r="AN155" s="7"/>
      <c r="AO155" s="7"/>
      <c r="AP155" s="7"/>
      <c r="AQ155" s="7"/>
      <c r="AR155" s="7"/>
      <c r="AS155" s="7"/>
      <c r="AT155" s="7"/>
      <c r="AU155" s="3"/>
      <c r="AV155" s="3"/>
      <c r="AW155" s="3"/>
      <c r="AX155" s="3"/>
      <c r="AY155" s="3"/>
    </row>
    <row r="156" spans="1:51"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7"/>
      <c r="AK156" s="7"/>
      <c r="AL156" s="7"/>
      <c r="AM156" s="7"/>
      <c r="AN156" s="7"/>
      <c r="AO156" s="7"/>
      <c r="AP156" s="7"/>
      <c r="AQ156" s="7"/>
      <c r="AR156" s="7"/>
      <c r="AS156" s="7"/>
      <c r="AT156" s="7"/>
      <c r="AU156" s="3"/>
      <c r="AV156" s="3"/>
      <c r="AW156" s="3"/>
      <c r="AX156" s="3"/>
      <c r="AY156" s="3"/>
    </row>
    <row r="157" spans="1:51"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7"/>
      <c r="AK157" s="7"/>
      <c r="AL157" s="7"/>
      <c r="AM157" s="7"/>
      <c r="AN157" s="7"/>
      <c r="AO157" s="7"/>
      <c r="AP157" s="7"/>
      <c r="AQ157" s="7"/>
      <c r="AR157" s="7"/>
      <c r="AS157" s="7"/>
      <c r="AT157" s="7"/>
      <c r="AU157" s="3"/>
      <c r="AV157" s="3"/>
      <c r="AW157" s="3"/>
      <c r="AX157" s="3"/>
      <c r="AY157" s="3"/>
    </row>
    <row r="158" spans="1:51"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7"/>
      <c r="AK158" s="7"/>
      <c r="AL158" s="7"/>
      <c r="AM158" s="7"/>
      <c r="AN158" s="7"/>
      <c r="AO158" s="7"/>
      <c r="AP158" s="7"/>
      <c r="AQ158" s="7"/>
      <c r="AR158" s="7"/>
      <c r="AS158" s="7"/>
      <c r="AT158" s="7"/>
      <c r="AU158" s="3"/>
      <c r="AV158" s="3"/>
      <c r="AW158" s="3"/>
      <c r="AX158" s="3"/>
      <c r="AY158" s="3"/>
    </row>
    <row r="159" spans="1:51"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7"/>
      <c r="AK159" s="7"/>
      <c r="AL159" s="7"/>
      <c r="AM159" s="7"/>
      <c r="AN159" s="7"/>
      <c r="AO159" s="7"/>
      <c r="AP159" s="7"/>
      <c r="AQ159" s="7"/>
      <c r="AR159" s="7"/>
      <c r="AS159" s="7"/>
      <c r="AT159" s="7"/>
      <c r="AU159" s="3"/>
      <c r="AV159" s="3"/>
      <c r="AW159" s="3"/>
      <c r="AX159" s="3"/>
      <c r="AY159" s="3"/>
    </row>
    <row r="160" spans="1:51"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7"/>
      <c r="AK160" s="7"/>
      <c r="AL160" s="7"/>
      <c r="AM160" s="7"/>
      <c r="AN160" s="7"/>
      <c r="AO160" s="7"/>
      <c r="AP160" s="7"/>
      <c r="AQ160" s="7"/>
      <c r="AR160" s="7"/>
      <c r="AS160" s="7"/>
      <c r="AT160" s="7"/>
      <c r="AU160" s="3"/>
      <c r="AV160" s="3"/>
      <c r="AW160" s="3"/>
      <c r="AX160" s="3"/>
      <c r="AY160" s="3"/>
    </row>
    <row r="161" spans="1:5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7"/>
      <c r="AK161" s="7"/>
      <c r="AL161" s="7"/>
      <c r="AM161" s="7"/>
      <c r="AN161" s="7"/>
      <c r="AO161" s="7"/>
      <c r="AP161" s="7"/>
      <c r="AQ161" s="7"/>
      <c r="AR161" s="7"/>
      <c r="AS161" s="7"/>
      <c r="AT161" s="7"/>
      <c r="AU161" s="3"/>
      <c r="AV161" s="3"/>
      <c r="AW161" s="3"/>
      <c r="AX161" s="3"/>
      <c r="AY161" s="3"/>
    </row>
    <row r="162" spans="1:51"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7"/>
      <c r="AK162" s="7"/>
      <c r="AL162" s="7"/>
      <c r="AM162" s="7"/>
      <c r="AN162" s="7"/>
      <c r="AO162" s="7"/>
      <c r="AP162" s="7"/>
      <c r="AQ162" s="7"/>
      <c r="AR162" s="7"/>
      <c r="AS162" s="7"/>
      <c r="AT162" s="7"/>
      <c r="AU162" s="3"/>
      <c r="AV162" s="3"/>
      <c r="AW162" s="3"/>
      <c r="AX162" s="3"/>
      <c r="AY162" s="3"/>
    </row>
    <row r="163" spans="1:51"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7"/>
      <c r="AK163" s="7"/>
      <c r="AL163" s="7"/>
      <c r="AM163" s="7"/>
      <c r="AN163" s="7"/>
      <c r="AO163" s="7"/>
      <c r="AP163" s="7"/>
      <c r="AQ163" s="7"/>
      <c r="AR163" s="7"/>
      <c r="AS163" s="7"/>
      <c r="AT163" s="7"/>
      <c r="AU163" s="3"/>
      <c r="AV163" s="3"/>
      <c r="AW163" s="3"/>
      <c r="AX163" s="3"/>
      <c r="AY163" s="3"/>
    </row>
    <row r="164" spans="1:51"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7"/>
      <c r="AK164" s="7"/>
      <c r="AL164" s="7"/>
      <c r="AM164" s="7"/>
      <c r="AN164" s="7"/>
      <c r="AO164" s="7"/>
      <c r="AP164" s="7"/>
      <c r="AQ164" s="7"/>
      <c r="AR164" s="7"/>
      <c r="AS164" s="7"/>
      <c r="AT164" s="7"/>
      <c r="AU164" s="3"/>
      <c r="AV164" s="3"/>
      <c r="AW164" s="3"/>
      <c r="AX164" s="3"/>
      <c r="AY164" s="3"/>
    </row>
    <row r="165" spans="1:51"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7"/>
      <c r="AK165" s="7"/>
      <c r="AL165" s="7"/>
      <c r="AM165" s="7"/>
      <c r="AN165" s="7"/>
      <c r="AO165" s="7"/>
      <c r="AP165" s="7"/>
      <c r="AQ165" s="7"/>
      <c r="AR165" s="7"/>
      <c r="AS165" s="7"/>
      <c r="AT165" s="7"/>
      <c r="AU165" s="3"/>
      <c r="AV165" s="3"/>
      <c r="AW165" s="3"/>
      <c r="AX165" s="3"/>
      <c r="AY165" s="3"/>
    </row>
    <row r="166" spans="1:51"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7"/>
      <c r="AK166" s="7"/>
      <c r="AL166" s="7"/>
      <c r="AM166" s="7"/>
      <c r="AN166" s="7"/>
      <c r="AO166" s="7"/>
      <c r="AP166" s="7"/>
      <c r="AQ166" s="7"/>
      <c r="AR166" s="7"/>
      <c r="AS166" s="7"/>
      <c r="AT166" s="7"/>
      <c r="AU166" s="3"/>
      <c r="AV166" s="3"/>
      <c r="AW166" s="3"/>
      <c r="AX166" s="3"/>
      <c r="AY166" s="3"/>
    </row>
    <row r="167" spans="1:51"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7"/>
      <c r="AK167" s="7"/>
      <c r="AL167" s="7"/>
      <c r="AM167" s="7"/>
      <c r="AN167" s="7"/>
      <c r="AO167" s="7"/>
      <c r="AP167" s="7"/>
      <c r="AQ167" s="7"/>
      <c r="AR167" s="7"/>
      <c r="AS167" s="7"/>
      <c r="AT167" s="7"/>
      <c r="AU167" s="3"/>
      <c r="AV167" s="3"/>
      <c r="AW167" s="3"/>
      <c r="AX167" s="3"/>
      <c r="AY167" s="3"/>
    </row>
    <row r="168" spans="1:51"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7"/>
      <c r="AK168" s="7"/>
      <c r="AL168" s="7"/>
      <c r="AM168" s="7"/>
      <c r="AN168" s="7"/>
      <c r="AO168" s="7"/>
      <c r="AP168" s="7"/>
      <c r="AQ168" s="7"/>
      <c r="AR168" s="7"/>
      <c r="AS168" s="7"/>
      <c r="AT168" s="7"/>
      <c r="AU168" s="3"/>
      <c r="AV168" s="3"/>
      <c r="AW168" s="3"/>
      <c r="AX168" s="3"/>
      <c r="AY168" s="3"/>
    </row>
    <row r="169" spans="1:51"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7"/>
      <c r="AK169" s="7"/>
      <c r="AL169" s="7"/>
      <c r="AM169" s="7"/>
      <c r="AN169" s="7"/>
      <c r="AO169" s="7"/>
      <c r="AP169" s="7"/>
      <c r="AQ169" s="7"/>
      <c r="AR169" s="7"/>
      <c r="AS169" s="7"/>
      <c r="AT169" s="7"/>
      <c r="AU169" s="3"/>
      <c r="AV169" s="3"/>
      <c r="AW169" s="3"/>
      <c r="AX169" s="3"/>
      <c r="AY169" s="3"/>
    </row>
    <row r="170" spans="1:51"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7"/>
      <c r="AK170" s="7"/>
      <c r="AL170" s="7"/>
      <c r="AM170" s="7"/>
      <c r="AN170" s="7"/>
      <c r="AO170" s="7"/>
      <c r="AP170" s="7"/>
      <c r="AQ170" s="7"/>
      <c r="AR170" s="7"/>
      <c r="AS170" s="7"/>
      <c r="AT170" s="7"/>
      <c r="AU170" s="3"/>
      <c r="AV170" s="3"/>
      <c r="AW170" s="3"/>
      <c r="AX170" s="3"/>
      <c r="AY170" s="3"/>
    </row>
    <row r="171" spans="1:5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7"/>
      <c r="AK171" s="7"/>
      <c r="AL171" s="7"/>
      <c r="AM171" s="7"/>
      <c r="AN171" s="7"/>
      <c r="AO171" s="7"/>
      <c r="AP171" s="7"/>
      <c r="AQ171" s="7"/>
      <c r="AR171" s="7"/>
      <c r="AS171" s="7"/>
      <c r="AT171" s="7"/>
      <c r="AU171" s="3"/>
      <c r="AV171" s="3"/>
      <c r="AW171" s="3"/>
      <c r="AX171" s="3"/>
      <c r="AY171" s="3"/>
    </row>
    <row r="172" spans="1:51"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7"/>
      <c r="AK172" s="7"/>
      <c r="AL172" s="7"/>
      <c r="AM172" s="7"/>
      <c r="AN172" s="7"/>
      <c r="AO172" s="7"/>
      <c r="AP172" s="7"/>
      <c r="AQ172" s="7"/>
      <c r="AR172" s="7"/>
      <c r="AS172" s="7"/>
      <c r="AT172" s="7"/>
      <c r="AU172" s="3"/>
      <c r="AV172" s="3"/>
      <c r="AW172" s="3"/>
      <c r="AX172" s="3"/>
      <c r="AY172" s="3"/>
    </row>
    <row r="173" spans="1:51"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7"/>
      <c r="AK173" s="7"/>
      <c r="AL173" s="7"/>
      <c r="AM173" s="7"/>
      <c r="AN173" s="7"/>
      <c r="AO173" s="7"/>
      <c r="AP173" s="7"/>
      <c r="AQ173" s="7"/>
      <c r="AR173" s="7"/>
      <c r="AS173" s="7"/>
      <c r="AT173" s="7"/>
      <c r="AU173" s="3"/>
      <c r="AV173" s="3"/>
      <c r="AW173" s="3"/>
      <c r="AX173" s="3"/>
      <c r="AY173" s="3"/>
    </row>
    <row r="174" spans="1:51"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7"/>
      <c r="AK174" s="7"/>
      <c r="AL174" s="7"/>
      <c r="AM174" s="7"/>
      <c r="AN174" s="7"/>
      <c r="AO174" s="7"/>
      <c r="AP174" s="7"/>
      <c r="AQ174" s="7"/>
      <c r="AR174" s="7"/>
      <c r="AS174" s="7"/>
      <c r="AT174" s="7"/>
      <c r="AU174" s="3"/>
      <c r="AV174" s="3"/>
      <c r="AW174" s="3"/>
      <c r="AX174" s="3"/>
      <c r="AY174" s="3"/>
    </row>
    <row r="175" spans="1:51"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7"/>
      <c r="AK175" s="7"/>
      <c r="AL175" s="7"/>
      <c r="AM175" s="7"/>
      <c r="AN175" s="7"/>
      <c r="AO175" s="7"/>
      <c r="AP175" s="7"/>
      <c r="AQ175" s="7"/>
      <c r="AR175" s="7"/>
      <c r="AS175" s="7"/>
      <c r="AT175" s="7"/>
      <c r="AU175" s="3"/>
      <c r="AV175" s="3"/>
      <c r="AW175" s="3"/>
      <c r="AX175" s="3"/>
      <c r="AY175" s="3"/>
    </row>
    <row r="176" spans="1:51"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7"/>
      <c r="AK176" s="7"/>
      <c r="AL176" s="7"/>
      <c r="AM176" s="7"/>
      <c r="AN176" s="7"/>
      <c r="AO176" s="7"/>
      <c r="AP176" s="7"/>
      <c r="AQ176" s="7"/>
      <c r="AR176" s="7"/>
      <c r="AS176" s="7"/>
      <c r="AT176" s="7"/>
      <c r="AU176" s="3"/>
      <c r="AV176" s="3"/>
      <c r="AW176" s="3"/>
      <c r="AX176" s="3"/>
      <c r="AY176" s="3"/>
    </row>
    <row r="177" spans="1:51"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7"/>
      <c r="AK177" s="7"/>
      <c r="AL177" s="7"/>
      <c r="AM177" s="7"/>
      <c r="AN177" s="7"/>
      <c r="AO177" s="7"/>
      <c r="AP177" s="7"/>
      <c r="AQ177" s="7"/>
      <c r="AR177" s="7"/>
      <c r="AS177" s="7"/>
      <c r="AT177" s="7"/>
      <c r="AU177" s="3"/>
      <c r="AV177" s="3"/>
      <c r="AW177" s="3"/>
      <c r="AX177" s="3"/>
      <c r="AY177" s="3"/>
    </row>
    <row r="178" spans="1:51"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7"/>
      <c r="AK178" s="7"/>
      <c r="AL178" s="7"/>
      <c r="AM178" s="7"/>
      <c r="AN178" s="7"/>
      <c r="AO178" s="7"/>
      <c r="AP178" s="7"/>
      <c r="AQ178" s="7"/>
      <c r="AR178" s="7"/>
      <c r="AS178" s="7"/>
      <c r="AT178" s="7"/>
      <c r="AU178" s="3"/>
      <c r="AV178" s="3"/>
      <c r="AW178" s="3"/>
      <c r="AX178" s="3"/>
      <c r="AY178" s="3"/>
    </row>
    <row r="179" spans="1:51"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7"/>
      <c r="AK179" s="7"/>
      <c r="AL179" s="7"/>
      <c r="AM179" s="7"/>
      <c r="AN179" s="7"/>
      <c r="AO179" s="7"/>
      <c r="AP179" s="7"/>
      <c r="AQ179" s="7"/>
      <c r="AR179" s="7"/>
      <c r="AS179" s="7"/>
      <c r="AT179" s="7"/>
      <c r="AU179" s="3"/>
      <c r="AV179" s="3"/>
      <c r="AW179" s="3"/>
      <c r="AX179" s="3"/>
      <c r="AY179" s="3"/>
    </row>
    <row r="180" spans="1:51"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7"/>
      <c r="AK180" s="7"/>
      <c r="AL180" s="7"/>
      <c r="AM180" s="7"/>
      <c r="AN180" s="7"/>
      <c r="AO180" s="7"/>
      <c r="AP180" s="7"/>
      <c r="AQ180" s="7"/>
      <c r="AR180" s="7"/>
      <c r="AS180" s="7"/>
      <c r="AT180" s="7"/>
      <c r="AU180" s="3"/>
      <c r="AV180" s="3"/>
      <c r="AW180" s="3"/>
      <c r="AX180" s="3"/>
      <c r="AY180" s="3"/>
    </row>
    <row r="181" spans="1:5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7"/>
      <c r="AK181" s="7"/>
      <c r="AL181" s="7"/>
      <c r="AM181" s="7"/>
      <c r="AN181" s="7"/>
      <c r="AO181" s="7"/>
      <c r="AP181" s="7"/>
      <c r="AQ181" s="7"/>
      <c r="AR181" s="7"/>
      <c r="AS181" s="7"/>
      <c r="AT181" s="7"/>
      <c r="AU181" s="3"/>
      <c r="AV181" s="3"/>
      <c r="AW181" s="3"/>
      <c r="AX181" s="3"/>
      <c r="AY181" s="3"/>
    </row>
    <row r="182" spans="1:51"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7"/>
      <c r="AK182" s="7"/>
      <c r="AL182" s="7"/>
      <c r="AM182" s="7"/>
      <c r="AN182" s="7"/>
      <c r="AO182" s="7"/>
      <c r="AP182" s="7"/>
      <c r="AQ182" s="7"/>
      <c r="AR182" s="7"/>
      <c r="AS182" s="7"/>
      <c r="AT182" s="7"/>
      <c r="AU182" s="3"/>
      <c r="AV182" s="3"/>
      <c r="AW182" s="3"/>
      <c r="AX182" s="3"/>
      <c r="AY182" s="3"/>
    </row>
    <row r="183" spans="1:51"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7"/>
      <c r="AK183" s="7"/>
      <c r="AL183" s="7"/>
      <c r="AM183" s="7"/>
      <c r="AN183" s="7"/>
      <c r="AO183" s="7"/>
      <c r="AP183" s="7"/>
      <c r="AQ183" s="7"/>
      <c r="AR183" s="7"/>
      <c r="AS183" s="7"/>
      <c r="AT183" s="7"/>
      <c r="AU183" s="3"/>
      <c r="AV183" s="3"/>
      <c r="AW183" s="3"/>
      <c r="AX183" s="3"/>
      <c r="AY183" s="3"/>
    </row>
    <row r="184" spans="1:51"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7"/>
      <c r="AK184" s="7"/>
      <c r="AL184" s="7"/>
      <c r="AM184" s="7"/>
      <c r="AN184" s="7"/>
      <c r="AO184" s="7"/>
      <c r="AP184" s="7"/>
      <c r="AQ184" s="7"/>
      <c r="AR184" s="7"/>
      <c r="AS184" s="7"/>
      <c r="AT184" s="7"/>
      <c r="AU184" s="3"/>
      <c r="AV184" s="3"/>
      <c r="AW184" s="3"/>
      <c r="AX184" s="3"/>
      <c r="AY184" s="3"/>
    </row>
    <row r="185" spans="1:51"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7"/>
      <c r="AK185" s="7"/>
      <c r="AL185" s="7"/>
      <c r="AM185" s="7"/>
      <c r="AN185" s="7"/>
      <c r="AO185" s="7"/>
      <c r="AP185" s="7"/>
      <c r="AQ185" s="7"/>
      <c r="AR185" s="7"/>
      <c r="AS185" s="7"/>
      <c r="AT185" s="7"/>
      <c r="AU185" s="3"/>
      <c r="AV185" s="3"/>
      <c r="AW185" s="3"/>
      <c r="AX185" s="3"/>
      <c r="AY185" s="3"/>
    </row>
    <row r="186" spans="1:51"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7"/>
      <c r="AK186" s="7"/>
      <c r="AL186" s="7"/>
      <c r="AM186" s="7"/>
      <c r="AN186" s="7"/>
      <c r="AO186" s="7"/>
      <c r="AP186" s="7"/>
      <c r="AQ186" s="7"/>
      <c r="AR186" s="7"/>
      <c r="AS186" s="7"/>
      <c r="AT186" s="7"/>
      <c r="AU186" s="3"/>
      <c r="AV186" s="3"/>
      <c r="AW186" s="3"/>
      <c r="AX186" s="3"/>
      <c r="AY186" s="3"/>
    </row>
    <row r="187" spans="1:51"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7"/>
      <c r="AK187" s="7"/>
      <c r="AL187" s="7"/>
      <c r="AM187" s="7"/>
      <c r="AN187" s="7"/>
      <c r="AO187" s="7"/>
      <c r="AP187" s="7"/>
      <c r="AQ187" s="7"/>
      <c r="AR187" s="7"/>
      <c r="AS187" s="7"/>
      <c r="AT187" s="7"/>
      <c r="AU187" s="3"/>
      <c r="AV187" s="3"/>
      <c r="AW187" s="3"/>
      <c r="AX187" s="3"/>
      <c r="AY187" s="3"/>
    </row>
    <row r="188" spans="1:51"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7"/>
      <c r="AK188" s="7"/>
      <c r="AL188" s="7"/>
      <c r="AM188" s="7"/>
      <c r="AN188" s="7"/>
      <c r="AO188" s="7"/>
      <c r="AP188" s="7"/>
      <c r="AQ188" s="7"/>
      <c r="AR188" s="7"/>
      <c r="AS188" s="7"/>
      <c r="AT188" s="7"/>
      <c r="AU188" s="3"/>
      <c r="AV188" s="3"/>
      <c r="AW188" s="3"/>
      <c r="AX188" s="3"/>
      <c r="AY188" s="3"/>
    </row>
    <row r="189" spans="1:51"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7"/>
      <c r="AK189" s="7"/>
      <c r="AL189" s="7"/>
      <c r="AM189" s="7"/>
      <c r="AN189" s="7"/>
      <c r="AO189" s="7"/>
      <c r="AP189" s="7"/>
      <c r="AQ189" s="7"/>
      <c r="AR189" s="7"/>
      <c r="AS189" s="7"/>
      <c r="AT189" s="7"/>
      <c r="AU189" s="3"/>
      <c r="AV189" s="3"/>
      <c r="AW189" s="3"/>
      <c r="AX189" s="3"/>
      <c r="AY189" s="3"/>
    </row>
    <row r="190" spans="1:51"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7"/>
      <c r="AK190" s="7"/>
      <c r="AL190" s="7"/>
      <c r="AM190" s="7"/>
      <c r="AN190" s="7"/>
      <c r="AO190" s="7"/>
      <c r="AP190" s="7"/>
      <c r="AQ190" s="7"/>
      <c r="AR190" s="7"/>
      <c r="AS190" s="7"/>
      <c r="AT190" s="7"/>
      <c r="AU190" s="3"/>
      <c r="AV190" s="3"/>
      <c r="AW190" s="3"/>
      <c r="AX190" s="3"/>
      <c r="AY190" s="3"/>
    </row>
    <row r="191" spans="1:5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7"/>
      <c r="AK191" s="7"/>
      <c r="AL191" s="7"/>
      <c r="AM191" s="7"/>
      <c r="AN191" s="7"/>
      <c r="AO191" s="7"/>
      <c r="AP191" s="7"/>
      <c r="AQ191" s="7"/>
      <c r="AR191" s="7"/>
      <c r="AS191" s="7"/>
      <c r="AT191" s="7"/>
      <c r="AU191" s="3"/>
      <c r="AV191" s="3"/>
      <c r="AW191" s="3"/>
      <c r="AX191" s="3"/>
      <c r="AY191" s="3"/>
    </row>
    <row r="192" spans="1:51"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7"/>
      <c r="AK192" s="7"/>
      <c r="AL192" s="7"/>
      <c r="AM192" s="7"/>
      <c r="AN192" s="7"/>
      <c r="AO192" s="7"/>
      <c r="AP192" s="7"/>
      <c r="AQ192" s="7"/>
      <c r="AR192" s="7"/>
      <c r="AS192" s="7"/>
      <c r="AT192" s="7"/>
      <c r="AU192" s="3"/>
      <c r="AV192" s="3"/>
      <c r="AW192" s="3"/>
      <c r="AX192" s="3"/>
      <c r="AY192" s="3"/>
    </row>
    <row r="193" spans="1:51"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7"/>
      <c r="AK193" s="7"/>
      <c r="AL193" s="7"/>
      <c r="AM193" s="7"/>
      <c r="AN193" s="7"/>
      <c r="AO193" s="7"/>
      <c r="AP193" s="7"/>
      <c r="AQ193" s="7"/>
      <c r="AR193" s="7"/>
      <c r="AS193" s="7"/>
      <c r="AT193" s="7"/>
      <c r="AU193" s="3"/>
      <c r="AV193" s="3"/>
      <c r="AW193" s="3"/>
      <c r="AX193" s="3"/>
      <c r="AY193" s="3"/>
    </row>
    <row r="194" spans="1:51"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7"/>
      <c r="AK194" s="7"/>
      <c r="AL194" s="7"/>
      <c r="AM194" s="7"/>
      <c r="AN194" s="7"/>
      <c r="AO194" s="7"/>
      <c r="AP194" s="7"/>
      <c r="AQ194" s="7"/>
      <c r="AR194" s="7"/>
      <c r="AS194" s="7"/>
      <c r="AT194" s="7"/>
      <c r="AU194" s="3"/>
      <c r="AV194" s="3"/>
      <c r="AW194" s="3"/>
      <c r="AX194" s="3"/>
      <c r="AY194" s="3"/>
    </row>
    <row r="195" spans="1:51"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7"/>
      <c r="AK195" s="7"/>
      <c r="AL195" s="7"/>
      <c r="AM195" s="7"/>
      <c r="AN195" s="7"/>
      <c r="AO195" s="7"/>
      <c r="AP195" s="7"/>
      <c r="AQ195" s="7"/>
      <c r="AR195" s="7"/>
      <c r="AS195" s="7"/>
      <c r="AT195" s="7"/>
      <c r="AU195" s="3"/>
      <c r="AV195" s="3"/>
      <c r="AW195" s="3"/>
      <c r="AX195" s="3"/>
      <c r="AY195" s="3"/>
    </row>
    <row r="196" spans="1:51"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7"/>
      <c r="AK196" s="7"/>
      <c r="AL196" s="7"/>
      <c r="AM196" s="7"/>
      <c r="AN196" s="7"/>
      <c r="AO196" s="7"/>
      <c r="AP196" s="7"/>
      <c r="AQ196" s="7"/>
      <c r="AR196" s="7"/>
      <c r="AS196" s="7"/>
      <c r="AT196" s="7"/>
      <c r="AU196" s="3"/>
      <c r="AV196" s="3"/>
      <c r="AW196" s="3"/>
      <c r="AX196" s="3"/>
      <c r="AY196" s="3"/>
    </row>
    <row r="197" spans="1:51"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7"/>
      <c r="AK197" s="7"/>
      <c r="AL197" s="7"/>
      <c r="AM197" s="7"/>
      <c r="AN197" s="7"/>
      <c r="AO197" s="7"/>
      <c r="AP197" s="7"/>
      <c r="AQ197" s="7"/>
      <c r="AR197" s="7"/>
      <c r="AS197" s="7"/>
      <c r="AT197" s="7"/>
      <c r="AU197" s="3"/>
      <c r="AV197" s="3"/>
      <c r="AW197" s="3"/>
      <c r="AX197" s="3"/>
      <c r="AY197" s="3"/>
    </row>
    <row r="198" spans="1:51"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7"/>
      <c r="AK198" s="7"/>
      <c r="AL198" s="7"/>
      <c r="AM198" s="7"/>
      <c r="AN198" s="7"/>
      <c r="AO198" s="7"/>
      <c r="AP198" s="7"/>
      <c r="AQ198" s="7"/>
      <c r="AR198" s="7"/>
      <c r="AS198" s="7"/>
      <c r="AT198" s="7"/>
      <c r="AU198" s="3"/>
      <c r="AV198" s="3"/>
      <c r="AW198" s="3"/>
      <c r="AX198" s="3"/>
      <c r="AY198" s="3"/>
    </row>
    <row r="199" spans="1:51"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7"/>
      <c r="AK199" s="7"/>
      <c r="AL199" s="7"/>
      <c r="AM199" s="7"/>
      <c r="AN199" s="7"/>
      <c r="AO199" s="7"/>
      <c r="AP199" s="7"/>
      <c r="AQ199" s="7"/>
      <c r="AR199" s="7"/>
      <c r="AS199" s="7"/>
      <c r="AT199" s="7"/>
      <c r="AU199" s="3"/>
      <c r="AV199" s="3"/>
      <c r="AW199" s="3"/>
      <c r="AX199" s="3"/>
      <c r="AY199" s="3"/>
    </row>
    <row r="200" spans="1:51"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7"/>
      <c r="AK200" s="7"/>
      <c r="AL200" s="7"/>
      <c r="AM200" s="7"/>
      <c r="AN200" s="7"/>
      <c r="AO200" s="7"/>
      <c r="AP200" s="7"/>
      <c r="AQ200" s="7"/>
      <c r="AR200" s="7"/>
      <c r="AS200" s="7"/>
      <c r="AT200" s="7"/>
      <c r="AU200" s="3"/>
      <c r="AV200" s="3"/>
      <c r="AW200" s="3"/>
      <c r="AX200" s="3"/>
      <c r="AY200" s="3"/>
    </row>
    <row r="201" spans="1:5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7"/>
      <c r="AK201" s="7"/>
      <c r="AL201" s="7"/>
      <c r="AM201" s="7"/>
      <c r="AN201" s="7"/>
      <c r="AO201" s="7"/>
      <c r="AP201" s="7"/>
      <c r="AQ201" s="7"/>
      <c r="AR201" s="7"/>
      <c r="AS201" s="7"/>
      <c r="AT201" s="7"/>
      <c r="AU201" s="3"/>
      <c r="AV201" s="3"/>
      <c r="AW201" s="3"/>
      <c r="AX201" s="3"/>
      <c r="AY201" s="3"/>
    </row>
    <row r="202" spans="1:51"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7"/>
      <c r="AK202" s="7"/>
      <c r="AL202" s="7"/>
      <c r="AM202" s="7"/>
      <c r="AN202" s="7"/>
      <c r="AO202" s="7"/>
      <c r="AP202" s="7"/>
      <c r="AQ202" s="7"/>
      <c r="AR202" s="7"/>
      <c r="AS202" s="7"/>
      <c r="AT202" s="7"/>
      <c r="AU202" s="3"/>
      <c r="AV202" s="3"/>
      <c r="AW202" s="3"/>
      <c r="AX202" s="3"/>
      <c r="AY202" s="3"/>
    </row>
    <row r="203" spans="1:51"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7"/>
      <c r="AK203" s="7"/>
      <c r="AL203" s="7"/>
      <c r="AM203" s="7"/>
      <c r="AN203" s="7"/>
      <c r="AO203" s="7"/>
      <c r="AP203" s="7"/>
      <c r="AQ203" s="7"/>
      <c r="AR203" s="7"/>
      <c r="AS203" s="7"/>
      <c r="AT203" s="7"/>
      <c r="AU203" s="3"/>
      <c r="AV203" s="3"/>
      <c r="AW203" s="3"/>
      <c r="AX203" s="3"/>
      <c r="AY203" s="3"/>
    </row>
    <row r="204" spans="1:51"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7"/>
      <c r="AK204" s="7"/>
      <c r="AL204" s="7"/>
      <c r="AM204" s="7"/>
      <c r="AN204" s="7"/>
      <c r="AO204" s="7"/>
      <c r="AP204" s="7"/>
      <c r="AQ204" s="7"/>
      <c r="AR204" s="7"/>
      <c r="AS204" s="7"/>
      <c r="AT204" s="7"/>
      <c r="AU204" s="3"/>
      <c r="AV204" s="3"/>
      <c r="AW204" s="3"/>
      <c r="AX204" s="3"/>
      <c r="AY204" s="3"/>
    </row>
    <row r="205" spans="1:51"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7"/>
      <c r="AK205" s="7"/>
      <c r="AL205" s="7"/>
      <c r="AM205" s="7"/>
      <c r="AN205" s="7"/>
      <c r="AO205" s="7"/>
      <c r="AP205" s="7"/>
      <c r="AQ205" s="7"/>
      <c r="AR205" s="7"/>
      <c r="AS205" s="7"/>
      <c r="AT205" s="7"/>
      <c r="AU205" s="3"/>
      <c r="AV205" s="3"/>
      <c r="AW205" s="3"/>
      <c r="AX205" s="3"/>
      <c r="AY205" s="3"/>
    </row>
    <row r="206" spans="1:51"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7"/>
      <c r="AK206" s="7"/>
      <c r="AL206" s="7"/>
      <c r="AM206" s="7"/>
      <c r="AN206" s="7"/>
      <c r="AO206" s="7"/>
      <c r="AP206" s="7"/>
      <c r="AQ206" s="7"/>
      <c r="AR206" s="7"/>
      <c r="AS206" s="7"/>
      <c r="AT206" s="7"/>
      <c r="AU206" s="3"/>
      <c r="AV206" s="3"/>
      <c r="AW206" s="3"/>
      <c r="AX206" s="3"/>
      <c r="AY206" s="3"/>
    </row>
    <row r="207" spans="1:51"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7"/>
      <c r="AK207" s="7"/>
      <c r="AL207" s="7"/>
      <c r="AM207" s="7"/>
      <c r="AN207" s="7"/>
      <c r="AO207" s="7"/>
      <c r="AP207" s="7"/>
      <c r="AQ207" s="7"/>
      <c r="AR207" s="7"/>
      <c r="AS207" s="7"/>
      <c r="AT207" s="7"/>
      <c r="AU207" s="3"/>
      <c r="AV207" s="3"/>
      <c r="AW207" s="3"/>
      <c r="AX207" s="3"/>
      <c r="AY207" s="3"/>
    </row>
    <row r="208" spans="1:51"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7"/>
      <c r="AK208" s="7"/>
      <c r="AL208" s="7"/>
      <c r="AM208" s="7"/>
      <c r="AN208" s="7"/>
      <c r="AO208" s="7"/>
      <c r="AP208" s="7"/>
      <c r="AQ208" s="7"/>
      <c r="AR208" s="7"/>
      <c r="AS208" s="7"/>
      <c r="AT208" s="7"/>
      <c r="AU208" s="3"/>
      <c r="AV208" s="3"/>
      <c r="AW208" s="3"/>
      <c r="AX208" s="3"/>
      <c r="AY208" s="3"/>
    </row>
    <row r="209" spans="1:51"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7"/>
      <c r="AK209" s="7"/>
      <c r="AL209" s="7"/>
      <c r="AM209" s="7"/>
      <c r="AN209" s="7"/>
      <c r="AO209" s="7"/>
      <c r="AP209" s="7"/>
      <c r="AQ209" s="7"/>
      <c r="AR209" s="7"/>
      <c r="AS209" s="7"/>
      <c r="AT209" s="7"/>
      <c r="AU209" s="3"/>
      <c r="AV209" s="3"/>
      <c r="AW209" s="3"/>
      <c r="AX209" s="3"/>
      <c r="AY209" s="3"/>
    </row>
    <row r="210" spans="1:51"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7"/>
      <c r="AK210" s="7"/>
      <c r="AL210" s="7"/>
      <c r="AM210" s="7"/>
      <c r="AN210" s="7"/>
      <c r="AO210" s="7"/>
      <c r="AP210" s="7"/>
      <c r="AQ210" s="7"/>
      <c r="AR210" s="7"/>
      <c r="AS210" s="7"/>
      <c r="AT210" s="7"/>
      <c r="AU210" s="3"/>
      <c r="AV210" s="3"/>
      <c r="AW210" s="3"/>
      <c r="AX210" s="3"/>
      <c r="AY210" s="3"/>
    </row>
    <row r="211" spans="1:5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7"/>
      <c r="AK211" s="7"/>
      <c r="AL211" s="7"/>
      <c r="AM211" s="7"/>
      <c r="AN211" s="7"/>
      <c r="AO211" s="7"/>
      <c r="AP211" s="7"/>
      <c r="AQ211" s="7"/>
      <c r="AR211" s="7"/>
      <c r="AS211" s="7"/>
      <c r="AT211" s="7"/>
      <c r="AU211" s="3"/>
      <c r="AV211" s="3"/>
      <c r="AW211" s="3"/>
      <c r="AX211" s="3"/>
      <c r="AY211" s="3"/>
    </row>
    <row r="212" spans="1:51"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7"/>
      <c r="AK212" s="7"/>
      <c r="AL212" s="7"/>
      <c r="AM212" s="7"/>
      <c r="AN212" s="7"/>
      <c r="AO212" s="7"/>
      <c r="AP212" s="7"/>
      <c r="AQ212" s="7"/>
      <c r="AR212" s="7"/>
      <c r="AS212" s="7"/>
      <c r="AT212" s="7"/>
      <c r="AU212" s="3"/>
      <c r="AV212" s="3"/>
      <c r="AW212" s="3"/>
      <c r="AX212" s="3"/>
      <c r="AY212" s="3"/>
    </row>
    <row r="213" spans="1:51"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7"/>
      <c r="AK213" s="7"/>
      <c r="AL213" s="7"/>
      <c r="AM213" s="7"/>
      <c r="AN213" s="7"/>
      <c r="AO213" s="7"/>
      <c r="AP213" s="7"/>
      <c r="AQ213" s="7"/>
      <c r="AR213" s="7"/>
      <c r="AS213" s="7"/>
      <c r="AT213" s="7"/>
      <c r="AU213" s="3"/>
      <c r="AV213" s="3"/>
      <c r="AW213" s="3"/>
      <c r="AX213" s="3"/>
      <c r="AY213" s="3"/>
    </row>
    <row r="214" spans="1:51"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7"/>
      <c r="AK214" s="7"/>
      <c r="AL214" s="7"/>
      <c r="AM214" s="7"/>
      <c r="AN214" s="7"/>
      <c r="AO214" s="7"/>
      <c r="AP214" s="7"/>
      <c r="AQ214" s="7"/>
      <c r="AR214" s="7"/>
      <c r="AS214" s="7"/>
      <c r="AT214" s="7"/>
      <c r="AU214" s="3"/>
      <c r="AV214" s="3"/>
      <c r="AW214" s="3"/>
      <c r="AX214" s="3"/>
      <c r="AY214" s="3"/>
    </row>
    <row r="215" spans="1:51"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7"/>
      <c r="AK215" s="7"/>
      <c r="AL215" s="7"/>
      <c r="AM215" s="7"/>
      <c r="AN215" s="7"/>
      <c r="AO215" s="7"/>
      <c r="AP215" s="7"/>
      <c r="AQ215" s="7"/>
      <c r="AR215" s="7"/>
      <c r="AS215" s="7"/>
      <c r="AT215" s="7"/>
      <c r="AU215" s="3"/>
      <c r="AV215" s="3"/>
      <c r="AW215" s="3"/>
      <c r="AX215" s="3"/>
      <c r="AY215" s="3"/>
    </row>
    <row r="216" spans="1:51"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7"/>
      <c r="AK216" s="7"/>
      <c r="AL216" s="7"/>
      <c r="AM216" s="7"/>
      <c r="AN216" s="7"/>
      <c r="AO216" s="7"/>
      <c r="AP216" s="7"/>
      <c r="AQ216" s="7"/>
      <c r="AR216" s="7"/>
      <c r="AS216" s="7"/>
      <c r="AT216" s="7"/>
      <c r="AU216" s="3"/>
      <c r="AV216" s="3"/>
      <c r="AW216" s="3"/>
      <c r="AX216" s="3"/>
      <c r="AY216" s="3"/>
    </row>
    <row r="217" spans="1:51"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7"/>
      <c r="AK217" s="7"/>
      <c r="AL217" s="7"/>
      <c r="AM217" s="7"/>
      <c r="AN217" s="7"/>
      <c r="AO217" s="7"/>
      <c r="AP217" s="7"/>
      <c r="AQ217" s="7"/>
      <c r="AR217" s="7"/>
      <c r="AS217" s="7"/>
      <c r="AT217" s="7"/>
      <c r="AU217" s="3"/>
      <c r="AV217" s="3"/>
      <c r="AW217" s="3"/>
      <c r="AX217" s="3"/>
      <c r="AY217" s="3"/>
    </row>
    <row r="218" spans="1:51"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7"/>
      <c r="AK218" s="7"/>
      <c r="AL218" s="7"/>
      <c r="AM218" s="7"/>
      <c r="AN218" s="7"/>
      <c r="AO218" s="7"/>
      <c r="AP218" s="7"/>
      <c r="AQ218" s="7"/>
      <c r="AR218" s="7"/>
      <c r="AS218" s="7"/>
      <c r="AT218" s="7"/>
      <c r="AU218" s="3"/>
      <c r="AV218" s="3"/>
      <c r="AW218" s="3"/>
      <c r="AX218" s="3"/>
      <c r="AY218" s="3"/>
    </row>
    <row r="219" spans="1:51"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7"/>
      <c r="AK219" s="7"/>
      <c r="AL219" s="7"/>
      <c r="AM219" s="7"/>
      <c r="AN219" s="7"/>
      <c r="AO219" s="7"/>
      <c r="AP219" s="7"/>
      <c r="AQ219" s="7"/>
      <c r="AR219" s="7"/>
      <c r="AS219" s="7"/>
      <c r="AT219" s="7"/>
      <c r="AU219" s="3"/>
      <c r="AV219" s="3"/>
      <c r="AW219" s="3"/>
      <c r="AX219" s="3"/>
      <c r="AY219" s="3"/>
    </row>
    <row r="220" spans="1:51"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7"/>
      <c r="AK220" s="7"/>
      <c r="AL220" s="7"/>
      <c r="AM220" s="7"/>
      <c r="AN220" s="7"/>
      <c r="AO220" s="7"/>
      <c r="AP220" s="7"/>
      <c r="AQ220" s="7"/>
      <c r="AR220" s="7"/>
      <c r="AS220" s="7"/>
      <c r="AT220" s="7"/>
      <c r="AU220" s="3"/>
      <c r="AV220" s="3"/>
      <c r="AW220" s="3"/>
      <c r="AX220" s="3"/>
      <c r="AY220" s="3"/>
    </row>
    <row r="221" spans="1:5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7"/>
      <c r="AK221" s="7"/>
      <c r="AL221" s="7"/>
      <c r="AM221" s="7"/>
      <c r="AN221" s="7"/>
      <c r="AO221" s="7"/>
      <c r="AP221" s="7"/>
      <c r="AQ221" s="7"/>
      <c r="AR221" s="7"/>
      <c r="AS221" s="7"/>
      <c r="AT221" s="7"/>
      <c r="AU221" s="3"/>
      <c r="AV221" s="3"/>
      <c r="AW221" s="3"/>
      <c r="AX221" s="3"/>
      <c r="AY221" s="3"/>
    </row>
    <row r="222" spans="1:51"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7"/>
      <c r="AK222" s="7"/>
      <c r="AL222" s="7"/>
      <c r="AM222" s="7"/>
      <c r="AN222" s="7"/>
      <c r="AO222" s="7"/>
      <c r="AP222" s="7"/>
      <c r="AQ222" s="7"/>
      <c r="AR222" s="7"/>
      <c r="AS222" s="7"/>
      <c r="AT222" s="7"/>
      <c r="AU222" s="3"/>
      <c r="AV222" s="3"/>
      <c r="AW222" s="3"/>
      <c r="AX222" s="3"/>
      <c r="AY222" s="3"/>
    </row>
    <row r="223" spans="1:51"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7"/>
      <c r="AK223" s="7"/>
      <c r="AL223" s="7"/>
      <c r="AM223" s="7"/>
      <c r="AN223" s="7"/>
      <c r="AO223" s="7"/>
      <c r="AP223" s="7"/>
      <c r="AQ223" s="7"/>
      <c r="AR223" s="7"/>
      <c r="AS223" s="7"/>
      <c r="AT223" s="7"/>
      <c r="AU223" s="3"/>
      <c r="AV223" s="3"/>
      <c r="AW223" s="3"/>
      <c r="AX223" s="3"/>
      <c r="AY223" s="3"/>
    </row>
    <row r="224" spans="1:51"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7"/>
      <c r="AK224" s="7"/>
      <c r="AL224" s="7"/>
      <c r="AM224" s="7"/>
      <c r="AN224" s="7"/>
      <c r="AO224" s="7"/>
      <c r="AP224" s="7"/>
      <c r="AQ224" s="7"/>
      <c r="AR224" s="7"/>
      <c r="AS224" s="7"/>
      <c r="AT224" s="7"/>
      <c r="AU224" s="3"/>
      <c r="AV224" s="3"/>
      <c r="AW224" s="3"/>
      <c r="AX224" s="3"/>
      <c r="AY224" s="3"/>
    </row>
    <row r="225" spans="1:51"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7"/>
      <c r="AK225" s="7"/>
      <c r="AL225" s="7"/>
      <c r="AM225" s="7"/>
      <c r="AN225" s="7"/>
      <c r="AO225" s="7"/>
      <c r="AP225" s="7"/>
      <c r="AQ225" s="7"/>
      <c r="AR225" s="7"/>
      <c r="AS225" s="7"/>
      <c r="AT225" s="7"/>
      <c r="AU225" s="3"/>
      <c r="AV225" s="3"/>
      <c r="AW225" s="3"/>
      <c r="AX225" s="3"/>
      <c r="AY225" s="3"/>
    </row>
    <row r="226" spans="1:51"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7"/>
      <c r="AK226" s="7"/>
      <c r="AL226" s="7"/>
      <c r="AM226" s="7"/>
      <c r="AN226" s="7"/>
      <c r="AO226" s="7"/>
      <c r="AP226" s="7"/>
      <c r="AQ226" s="7"/>
      <c r="AR226" s="7"/>
      <c r="AS226" s="7"/>
      <c r="AT226" s="7"/>
      <c r="AU226" s="3"/>
      <c r="AV226" s="3"/>
      <c r="AW226" s="3"/>
      <c r="AX226" s="3"/>
      <c r="AY226" s="3"/>
    </row>
    <row r="227" spans="1:51"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7"/>
      <c r="AK227" s="7"/>
      <c r="AL227" s="7"/>
      <c r="AM227" s="7"/>
      <c r="AN227" s="7"/>
      <c r="AO227" s="7"/>
      <c r="AP227" s="7"/>
      <c r="AQ227" s="7"/>
      <c r="AR227" s="7"/>
      <c r="AS227" s="7"/>
      <c r="AT227" s="7"/>
      <c r="AU227" s="3"/>
      <c r="AV227" s="3"/>
      <c r="AW227" s="3"/>
      <c r="AX227" s="3"/>
      <c r="AY227" s="3"/>
    </row>
    <row r="228" spans="1:51"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7"/>
      <c r="AK228" s="7"/>
      <c r="AL228" s="7"/>
      <c r="AM228" s="7"/>
      <c r="AN228" s="7"/>
      <c r="AO228" s="7"/>
      <c r="AP228" s="7"/>
      <c r="AQ228" s="7"/>
      <c r="AR228" s="7"/>
      <c r="AS228" s="7"/>
      <c r="AT228" s="7"/>
      <c r="AU228" s="3"/>
      <c r="AV228" s="3"/>
      <c r="AW228" s="3"/>
      <c r="AX228" s="3"/>
      <c r="AY228" s="3"/>
    </row>
    <row r="229" spans="1:51"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7"/>
      <c r="AK229" s="7"/>
      <c r="AL229" s="7"/>
      <c r="AM229" s="7"/>
      <c r="AN229" s="7"/>
      <c r="AO229" s="7"/>
      <c r="AP229" s="7"/>
      <c r="AQ229" s="7"/>
      <c r="AR229" s="7"/>
      <c r="AS229" s="7"/>
      <c r="AT229" s="7"/>
      <c r="AU229" s="3"/>
      <c r="AV229" s="3"/>
      <c r="AW229" s="3"/>
      <c r="AX229" s="3"/>
      <c r="AY229" s="3"/>
    </row>
    <row r="230" spans="1:51"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7"/>
      <c r="AK230" s="7"/>
      <c r="AL230" s="7"/>
      <c r="AM230" s="7"/>
      <c r="AN230" s="7"/>
      <c r="AO230" s="7"/>
      <c r="AP230" s="7"/>
      <c r="AQ230" s="7"/>
      <c r="AR230" s="7"/>
      <c r="AS230" s="7"/>
      <c r="AT230" s="7"/>
      <c r="AU230" s="3"/>
      <c r="AV230" s="3"/>
      <c r="AW230" s="3"/>
      <c r="AX230" s="3"/>
      <c r="AY230" s="3"/>
    </row>
    <row r="231" spans="1:5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7"/>
      <c r="AK231" s="7"/>
      <c r="AL231" s="7"/>
      <c r="AM231" s="7"/>
      <c r="AN231" s="7"/>
      <c r="AO231" s="7"/>
      <c r="AP231" s="7"/>
      <c r="AQ231" s="7"/>
      <c r="AR231" s="7"/>
      <c r="AS231" s="7"/>
      <c r="AT231" s="7"/>
      <c r="AU231" s="3"/>
      <c r="AV231" s="3"/>
      <c r="AW231" s="3"/>
      <c r="AX231" s="3"/>
      <c r="AY231" s="3"/>
    </row>
    <row r="232" spans="1:51"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7"/>
      <c r="AK232" s="7"/>
      <c r="AL232" s="7"/>
      <c r="AM232" s="7"/>
      <c r="AN232" s="7"/>
      <c r="AO232" s="7"/>
      <c r="AP232" s="7"/>
      <c r="AQ232" s="7"/>
      <c r="AR232" s="7"/>
      <c r="AS232" s="7"/>
      <c r="AT232" s="7"/>
      <c r="AU232" s="3"/>
      <c r="AV232" s="3"/>
      <c r="AW232" s="3"/>
      <c r="AX232" s="3"/>
      <c r="AY232" s="3"/>
    </row>
    <row r="233" spans="1:51"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7"/>
      <c r="AK233" s="7"/>
      <c r="AL233" s="7"/>
      <c r="AM233" s="7"/>
      <c r="AN233" s="7"/>
      <c r="AO233" s="7"/>
      <c r="AP233" s="7"/>
      <c r="AQ233" s="7"/>
      <c r="AR233" s="7"/>
      <c r="AS233" s="7"/>
      <c r="AT233" s="7"/>
      <c r="AU233" s="3"/>
      <c r="AV233" s="3"/>
      <c r="AW233" s="3"/>
      <c r="AX233" s="3"/>
      <c r="AY233" s="3"/>
    </row>
    <row r="234" spans="1:51"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7"/>
      <c r="AK234" s="7"/>
      <c r="AL234" s="7"/>
      <c r="AM234" s="7"/>
      <c r="AN234" s="7"/>
      <c r="AO234" s="7"/>
      <c r="AP234" s="7"/>
      <c r="AQ234" s="7"/>
      <c r="AR234" s="7"/>
      <c r="AS234" s="7"/>
      <c r="AT234" s="7"/>
      <c r="AU234" s="3"/>
      <c r="AV234" s="3"/>
      <c r="AW234" s="3"/>
      <c r="AX234" s="3"/>
      <c r="AY234" s="3"/>
    </row>
    <row r="235" spans="1:51"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7"/>
      <c r="AK235" s="7"/>
      <c r="AL235" s="7"/>
      <c r="AM235" s="7"/>
      <c r="AN235" s="7"/>
      <c r="AO235" s="7"/>
      <c r="AP235" s="7"/>
      <c r="AQ235" s="7"/>
      <c r="AR235" s="7"/>
      <c r="AS235" s="7"/>
      <c r="AT235" s="7"/>
      <c r="AU235" s="3"/>
      <c r="AV235" s="3"/>
      <c r="AW235" s="3"/>
      <c r="AX235" s="3"/>
      <c r="AY235" s="3"/>
    </row>
    <row r="236" spans="1:51"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7"/>
      <c r="AK236" s="7"/>
      <c r="AL236" s="7"/>
      <c r="AM236" s="7"/>
      <c r="AN236" s="7"/>
      <c r="AO236" s="7"/>
      <c r="AP236" s="7"/>
      <c r="AQ236" s="7"/>
      <c r="AR236" s="7"/>
      <c r="AS236" s="7"/>
      <c r="AT236" s="7"/>
      <c r="AU236" s="3"/>
      <c r="AV236" s="3"/>
      <c r="AW236" s="3"/>
      <c r="AX236" s="3"/>
      <c r="AY236" s="3"/>
    </row>
    <row r="237" spans="1:51"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7"/>
      <c r="AK237" s="7"/>
      <c r="AL237" s="7"/>
      <c r="AM237" s="7"/>
      <c r="AN237" s="7"/>
      <c r="AO237" s="7"/>
      <c r="AP237" s="7"/>
      <c r="AQ237" s="7"/>
      <c r="AR237" s="7"/>
      <c r="AS237" s="7"/>
      <c r="AT237" s="7"/>
      <c r="AU237" s="3"/>
      <c r="AV237" s="3"/>
      <c r="AW237" s="3"/>
      <c r="AX237" s="3"/>
      <c r="AY237" s="3"/>
    </row>
    <row r="238" spans="1:51"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7"/>
      <c r="AK238" s="7"/>
      <c r="AL238" s="7"/>
      <c r="AM238" s="7"/>
      <c r="AN238" s="7"/>
      <c r="AO238" s="7"/>
      <c r="AP238" s="7"/>
      <c r="AQ238" s="7"/>
      <c r="AR238" s="7"/>
      <c r="AS238" s="7"/>
      <c r="AT238" s="7"/>
      <c r="AU238" s="3"/>
      <c r="AV238" s="3"/>
      <c r="AW238" s="3"/>
      <c r="AX238" s="3"/>
      <c r="AY238" s="3"/>
    </row>
    <row r="239" spans="1:51"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7"/>
      <c r="AK239" s="7"/>
      <c r="AL239" s="7"/>
      <c r="AM239" s="7"/>
      <c r="AN239" s="7"/>
      <c r="AO239" s="7"/>
      <c r="AP239" s="7"/>
      <c r="AQ239" s="7"/>
      <c r="AR239" s="7"/>
      <c r="AS239" s="7"/>
      <c r="AT239" s="7"/>
      <c r="AU239" s="3"/>
      <c r="AV239" s="3"/>
      <c r="AW239" s="3"/>
      <c r="AX239" s="3"/>
      <c r="AY239" s="3"/>
    </row>
    <row r="240" spans="1:51"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7"/>
      <c r="AK240" s="7"/>
      <c r="AL240" s="7"/>
      <c r="AM240" s="7"/>
      <c r="AN240" s="7"/>
      <c r="AO240" s="7"/>
      <c r="AP240" s="7"/>
      <c r="AQ240" s="7"/>
      <c r="AR240" s="7"/>
      <c r="AS240" s="7"/>
      <c r="AT240" s="7"/>
      <c r="AU240" s="3"/>
      <c r="AV240" s="3"/>
      <c r="AW240" s="3"/>
      <c r="AX240" s="3"/>
      <c r="AY240" s="3"/>
    </row>
    <row r="241" spans="1:5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7"/>
      <c r="AK241" s="7"/>
      <c r="AL241" s="7"/>
      <c r="AM241" s="7"/>
      <c r="AN241" s="7"/>
      <c r="AO241" s="7"/>
      <c r="AP241" s="7"/>
      <c r="AQ241" s="7"/>
      <c r="AR241" s="7"/>
      <c r="AS241" s="7"/>
      <c r="AT241" s="7"/>
      <c r="AU241" s="3"/>
      <c r="AV241" s="3"/>
      <c r="AW241" s="3"/>
      <c r="AX241" s="3"/>
      <c r="AY241" s="3"/>
    </row>
    <row r="242" spans="1:51"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7"/>
      <c r="AK242" s="7"/>
      <c r="AL242" s="7"/>
      <c r="AM242" s="7"/>
      <c r="AN242" s="7"/>
      <c r="AO242" s="7"/>
      <c r="AP242" s="7"/>
      <c r="AQ242" s="7"/>
      <c r="AR242" s="7"/>
      <c r="AS242" s="7"/>
      <c r="AT242" s="7"/>
      <c r="AU242" s="3"/>
      <c r="AV242" s="3"/>
      <c r="AW242" s="3"/>
      <c r="AX242" s="3"/>
      <c r="AY242" s="3"/>
    </row>
    <row r="243" spans="1:51"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7"/>
      <c r="AK243" s="7"/>
      <c r="AL243" s="7"/>
      <c r="AM243" s="7"/>
      <c r="AN243" s="7"/>
      <c r="AO243" s="7"/>
      <c r="AP243" s="7"/>
      <c r="AQ243" s="7"/>
      <c r="AR243" s="7"/>
      <c r="AS243" s="7"/>
      <c r="AT243" s="7"/>
      <c r="AU243" s="3"/>
      <c r="AV243" s="3"/>
      <c r="AW243" s="3"/>
      <c r="AX243" s="3"/>
      <c r="AY243" s="3"/>
    </row>
    <row r="244" spans="1:51"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7"/>
      <c r="AK244" s="7"/>
      <c r="AL244" s="7"/>
      <c r="AM244" s="7"/>
      <c r="AN244" s="7"/>
      <c r="AO244" s="7"/>
      <c r="AP244" s="7"/>
      <c r="AQ244" s="7"/>
      <c r="AR244" s="7"/>
      <c r="AS244" s="7"/>
      <c r="AT244" s="7"/>
      <c r="AU244" s="3"/>
      <c r="AV244" s="3"/>
      <c r="AW244" s="3"/>
      <c r="AX244" s="3"/>
      <c r="AY244" s="3"/>
    </row>
    <row r="245" spans="1:51"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7"/>
      <c r="AK245" s="7"/>
      <c r="AL245" s="7"/>
      <c r="AM245" s="7"/>
      <c r="AN245" s="7"/>
      <c r="AO245" s="7"/>
      <c r="AP245" s="7"/>
      <c r="AQ245" s="7"/>
      <c r="AR245" s="7"/>
      <c r="AS245" s="7"/>
      <c r="AT245" s="7"/>
      <c r="AU245" s="3"/>
      <c r="AV245" s="3"/>
      <c r="AW245" s="3"/>
      <c r="AX245" s="3"/>
      <c r="AY245" s="3"/>
    </row>
    <row r="246" spans="1:51"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7"/>
      <c r="AK246" s="7"/>
      <c r="AL246" s="7"/>
      <c r="AM246" s="7"/>
      <c r="AN246" s="7"/>
      <c r="AO246" s="7"/>
      <c r="AP246" s="7"/>
      <c r="AQ246" s="7"/>
      <c r="AR246" s="7"/>
      <c r="AS246" s="7"/>
      <c r="AT246" s="7"/>
      <c r="AU246" s="3"/>
      <c r="AV246" s="3"/>
      <c r="AW246" s="3"/>
      <c r="AX246" s="3"/>
      <c r="AY246" s="3"/>
    </row>
    <row r="247" spans="1:51"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7"/>
      <c r="AK247" s="7"/>
      <c r="AL247" s="7"/>
      <c r="AM247" s="7"/>
      <c r="AN247" s="7"/>
      <c r="AO247" s="7"/>
      <c r="AP247" s="7"/>
      <c r="AQ247" s="7"/>
      <c r="AR247" s="7"/>
      <c r="AS247" s="7"/>
      <c r="AT247" s="7"/>
      <c r="AU247" s="3"/>
      <c r="AV247" s="3"/>
      <c r="AW247" s="3"/>
      <c r="AX247" s="3"/>
      <c r="AY247" s="3"/>
    </row>
    <row r="248" spans="1:51"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7"/>
      <c r="AK248" s="7"/>
      <c r="AL248" s="7"/>
      <c r="AM248" s="7"/>
      <c r="AN248" s="7"/>
      <c r="AO248" s="7"/>
      <c r="AP248" s="7"/>
      <c r="AQ248" s="7"/>
      <c r="AR248" s="7"/>
      <c r="AS248" s="7"/>
      <c r="AT248" s="7"/>
      <c r="AU248" s="3"/>
      <c r="AV248" s="3"/>
      <c r="AW248" s="3"/>
      <c r="AX248" s="3"/>
      <c r="AY248" s="3"/>
    </row>
    <row r="249" spans="1:51"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7"/>
      <c r="AK249" s="7"/>
      <c r="AL249" s="7"/>
      <c r="AM249" s="7"/>
      <c r="AN249" s="7"/>
      <c r="AO249" s="7"/>
      <c r="AP249" s="7"/>
      <c r="AQ249" s="7"/>
      <c r="AR249" s="7"/>
      <c r="AS249" s="7"/>
      <c r="AT249" s="7"/>
      <c r="AU249" s="3"/>
      <c r="AV249" s="3"/>
      <c r="AW249" s="3"/>
      <c r="AX249" s="3"/>
      <c r="AY249" s="3"/>
    </row>
    <row r="250" spans="1:51"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7"/>
      <c r="AK250" s="7"/>
      <c r="AL250" s="7"/>
      <c r="AM250" s="7"/>
      <c r="AN250" s="7"/>
      <c r="AO250" s="7"/>
      <c r="AP250" s="7"/>
      <c r="AQ250" s="7"/>
      <c r="AR250" s="7"/>
      <c r="AS250" s="7"/>
      <c r="AT250" s="7"/>
      <c r="AU250" s="3"/>
      <c r="AV250" s="3"/>
      <c r="AW250" s="3"/>
      <c r="AX250" s="3"/>
      <c r="AY250" s="3"/>
    </row>
    <row r="251" spans="1: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7"/>
      <c r="AK251" s="7"/>
      <c r="AL251" s="7"/>
      <c r="AM251" s="7"/>
      <c r="AN251" s="7"/>
      <c r="AO251" s="7"/>
      <c r="AP251" s="7"/>
      <c r="AQ251" s="7"/>
      <c r="AR251" s="7"/>
      <c r="AS251" s="7"/>
      <c r="AT251" s="7"/>
      <c r="AU251" s="3"/>
      <c r="AV251" s="3"/>
      <c r="AW251" s="3"/>
      <c r="AX251" s="3"/>
      <c r="AY251" s="3"/>
    </row>
    <row r="252" spans="1:51"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7"/>
      <c r="AK252" s="7"/>
      <c r="AL252" s="7"/>
      <c r="AM252" s="7"/>
      <c r="AN252" s="7"/>
      <c r="AO252" s="7"/>
      <c r="AP252" s="7"/>
      <c r="AQ252" s="7"/>
      <c r="AR252" s="7"/>
      <c r="AS252" s="7"/>
      <c r="AT252" s="7"/>
      <c r="AU252" s="3"/>
      <c r="AV252" s="3"/>
      <c r="AW252" s="3"/>
      <c r="AX252" s="3"/>
      <c r="AY252" s="3"/>
    </row>
    <row r="253" spans="1:51"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7"/>
      <c r="AK253" s="7"/>
      <c r="AL253" s="7"/>
      <c r="AM253" s="7"/>
      <c r="AN253" s="7"/>
      <c r="AO253" s="7"/>
      <c r="AP253" s="7"/>
      <c r="AQ253" s="7"/>
      <c r="AR253" s="7"/>
      <c r="AS253" s="7"/>
      <c r="AT253" s="7"/>
      <c r="AU253" s="3"/>
      <c r="AV253" s="3"/>
      <c r="AW253" s="3"/>
      <c r="AX253" s="3"/>
      <c r="AY253" s="3"/>
    </row>
    <row r="254" spans="1:51"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7"/>
      <c r="AK254" s="7"/>
      <c r="AL254" s="7"/>
      <c r="AM254" s="7"/>
      <c r="AN254" s="7"/>
      <c r="AO254" s="7"/>
      <c r="AP254" s="7"/>
      <c r="AQ254" s="7"/>
      <c r="AR254" s="7"/>
      <c r="AS254" s="7"/>
      <c r="AT254" s="7"/>
      <c r="AU254" s="3"/>
      <c r="AV254" s="3"/>
      <c r="AW254" s="3"/>
      <c r="AX254" s="3"/>
      <c r="AY254" s="3"/>
    </row>
    <row r="255" spans="1:51"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7"/>
      <c r="AK255" s="7"/>
      <c r="AL255" s="7"/>
      <c r="AM255" s="7"/>
      <c r="AN255" s="7"/>
      <c r="AO255" s="7"/>
      <c r="AP255" s="7"/>
      <c r="AQ255" s="7"/>
      <c r="AR255" s="7"/>
      <c r="AS255" s="7"/>
      <c r="AT255" s="7"/>
      <c r="AU255" s="3"/>
      <c r="AV255" s="3"/>
      <c r="AW255" s="3"/>
      <c r="AX255" s="3"/>
      <c r="AY255" s="3"/>
    </row>
    <row r="256" spans="1:51"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7"/>
      <c r="AK256" s="7"/>
      <c r="AL256" s="7"/>
      <c r="AM256" s="7"/>
      <c r="AN256" s="7"/>
      <c r="AO256" s="7"/>
      <c r="AP256" s="7"/>
      <c r="AQ256" s="7"/>
      <c r="AR256" s="7"/>
      <c r="AS256" s="7"/>
      <c r="AT256" s="7"/>
      <c r="AU256" s="3"/>
      <c r="AV256" s="3"/>
      <c r="AW256" s="3"/>
      <c r="AX256" s="3"/>
      <c r="AY256" s="3"/>
    </row>
    <row r="257" spans="1:51"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7"/>
      <c r="AK257" s="7"/>
      <c r="AL257" s="7"/>
      <c r="AM257" s="7"/>
      <c r="AN257" s="7"/>
      <c r="AO257" s="7"/>
      <c r="AP257" s="7"/>
      <c r="AQ257" s="7"/>
      <c r="AR257" s="7"/>
      <c r="AS257" s="7"/>
      <c r="AT257" s="7"/>
      <c r="AU257" s="3"/>
      <c r="AV257" s="3"/>
      <c r="AW257" s="3"/>
      <c r="AX257" s="3"/>
      <c r="AY257" s="3"/>
    </row>
    <row r="258" spans="1:51"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7"/>
      <c r="AK258" s="7"/>
      <c r="AL258" s="7"/>
      <c r="AM258" s="7"/>
      <c r="AN258" s="7"/>
      <c r="AO258" s="7"/>
      <c r="AP258" s="7"/>
      <c r="AQ258" s="7"/>
      <c r="AR258" s="7"/>
      <c r="AS258" s="7"/>
      <c r="AT258" s="7"/>
      <c r="AU258" s="3"/>
      <c r="AV258" s="3"/>
      <c r="AW258" s="3"/>
      <c r="AX258" s="3"/>
      <c r="AY258" s="3"/>
    </row>
    <row r="259" spans="1:51"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7"/>
      <c r="AK259" s="7"/>
      <c r="AL259" s="7"/>
      <c r="AM259" s="7"/>
      <c r="AN259" s="7"/>
      <c r="AO259" s="7"/>
      <c r="AP259" s="7"/>
      <c r="AQ259" s="7"/>
      <c r="AR259" s="7"/>
      <c r="AS259" s="7"/>
      <c r="AT259" s="7"/>
      <c r="AU259" s="3"/>
      <c r="AV259" s="3"/>
      <c r="AW259" s="3"/>
      <c r="AX259" s="3"/>
      <c r="AY259" s="3"/>
    </row>
    <row r="260" spans="1:51"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7"/>
      <c r="AK260" s="7"/>
      <c r="AL260" s="7"/>
      <c r="AM260" s="7"/>
      <c r="AN260" s="7"/>
      <c r="AO260" s="7"/>
      <c r="AP260" s="7"/>
      <c r="AQ260" s="7"/>
      <c r="AR260" s="7"/>
      <c r="AS260" s="7"/>
      <c r="AT260" s="7"/>
      <c r="AU260" s="3"/>
      <c r="AV260" s="3"/>
      <c r="AW260" s="3"/>
      <c r="AX260" s="3"/>
      <c r="AY260" s="3"/>
    </row>
    <row r="261" spans="1:5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7"/>
      <c r="AK261" s="7"/>
      <c r="AL261" s="7"/>
      <c r="AM261" s="7"/>
      <c r="AN261" s="7"/>
      <c r="AO261" s="7"/>
      <c r="AP261" s="7"/>
      <c r="AQ261" s="7"/>
      <c r="AR261" s="7"/>
      <c r="AS261" s="7"/>
      <c r="AT261" s="7"/>
      <c r="AU261" s="3"/>
      <c r="AV261" s="3"/>
      <c r="AW261" s="3"/>
      <c r="AX261" s="3"/>
      <c r="AY261" s="3"/>
    </row>
    <row r="262" spans="1:51"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7"/>
      <c r="AK262" s="7"/>
      <c r="AL262" s="7"/>
      <c r="AM262" s="7"/>
      <c r="AN262" s="7"/>
      <c r="AO262" s="7"/>
      <c r="AP262" s="7"/>
      <c r="AQ262" s="7"/>
      <c r="AR262" s="7"/>
      <c r="AS262" s="7"/>
      <c r="AT262" s="7"/>
      <c r="AU262" s="3"/>
      <c r="AV262" s="3"/>
      <c r="AW262" s="3"/>
      <c r="AX262" s="3"/>
      <c r="AY262" s="3"/>
    </row>
    <row r="263" spans="1:51"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7"/>
      <c r="AK263" s="7"/>
      <c r="AL263" s="7"/>
      <c r="AM263" s="7"/>
      <c r="AN263" s="7"/>
      <c r="AO263" s="7"/>
      <c r="AP263" s="7"/>
      <c r="AQ263" s="7"/>
      <c r="AR263" s="7"/>
      <c r="AS263" s="7"/>
      <c r="AT263" s="7"/>
      <c r="AU263" s="3"/>
      <c r="AV263" s="3"/>
      <c r="AW263" s="3"/>
      <c r="AX263" s="3"/>
      <c r="AY263" s="3"/>
    </row>
    <row r="264" spans="1:51"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7"/>
      <c r="AK264" s="7"/>
      <c r="AL264" s="7"/>
      <c r="AM264" s="7"/>
      <c r="AN264" s="7"/>
      <c r="AO264" s="7"/>
      <c r="AP264" s="7"/>
      <c r="AQ264" s="7"/>
      <c r="AR264" s="7"/>
      <c r="AS264" s="7"/>
      <c r="AT264" s="7"/>
      <c r="AU264" s="3"/>
      <c r="AV264" s="3"/>
      <c r="AW264" s="3"/>
      <c r="AX264" s="3"/>
      <c r="AY264" s="3"/>
    </row>
    <row r="265" spans="1:51"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7"/>
      <c r="AK265" s="7"/>
      <c r="AL265" s="7"/>
      <c r="AM265" s="7"/>
      <c r="AN265" s="7"/>
      <c r="AO265" s="7"/>
      <c r="AP265" s="7"/>
      <c r="AQ265" s="7"/>
      <c r="AR265" s="7"/>
      <c r="AS265" s="7"/>
      <c r="AT265" s="7"/>
      <c r="AU265" s="3"/>
      <c r="AV265" s="3"/>
      <c r="AW265" s="3"/>
      <c r="AX265" s="3"/>
      <c r="AY265" s="3"/>
    </row>
    <row r="266" spans="1:51"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7"/>
      <c r="AK266" s="7"/>
      <c r="AL266" s="7"/>
      <c r="AM266" s="7"/>
      <c r="AN266" s="7"/>
      <c r="AO266" s="7"/>
      <c r="AP266" s="7"/>
      <c r="AQ266" s="7"/>
      <c r="AR266" s="7"/>
      <c r="AS266" s="7"/>
      <c r="AT266" s="7"/>
      <c r="AU266" s="3"/>
      <c r="AV266" s="3"/>
      <c r="AW266" s="3"/>
      <c r="AX266" s="3"/>
      <c r="AY266" s="3"/>
    </row>
    <row r="267" spans="1:51"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7"/>
      <c r="AK267" s="7"/>
      <c r="AL267" s="7"/>
      <c r="AM267" s="7"/>
      <c r="AN267" s="7"/>
      <c r="AO267" s="7"/>
      <c r="AP267" s="7"/>
      <c r="AQ267" s="7"/>
      <c r="AR267" s="7"/>
      <c r="AS267" s="7"/>
      <c r="AT267" s="7"/>
      <c r="AU267" s="3"/>
      <c r="AV267" s="3"/>
      <c r="AW267" s="3"/>
      <c r="AX267" s="3"/>
      <c r="AY267" s="3"/>
    </row>
    <row r="268" spans="1:51"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7"/>
      <c r="AK268" s="7"/>
      <c r="AL268" s="7"/>
      <c r="AM268" s="7"/>
      <c r="AN268" s="7"/>
      <c r="AO268" s="7"/>
      <c r="AP268" s="7"/>
      <c r="AQ268" s="7"/>
      <c r="AR268" s="7"/>
      <c r="AS268" s="7"/>
      <c r="AT268" s="7"/>
      <c r="AU268" s="3"/>
      <c r="AV268" s="3"/>
      <c r="AW268" s="3"/>
      <c r="AX268" s="3"/>
      <c r="AY268" s="3"/>
    </row>
    <row r="269" spans="1:51"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7"/>
      <c r="AK269" s="7"/>
      <c r="AL269" s="7"/>
      <c r="AM269" s="7"/>
      <c r="AN269" s="7"/>
      <c r="AO269" s="7"/>
      <c r="AP269" s="7"/>
      <c r="AQ269" s="7"/>
      <c r="AR269" s="7"/>
      <c r="AS269" s="7"/>
      <c r="AT269" s="7"/>
      <c r="AU269" s="3"/>
      <c r="AV269" s="3"/>
      <c r="AW269" s="3"/>
      <c r="AX269" s="3"/>
      <c r="AY269" s="3"/>
    </row>
    <row r="270" spans="1:51"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7"/>
      <c r="AK270" s="7"/>
      <c r="AL270" s="7"/>
      <c r="AM270" s="7"/>
      <c r="AN270" s="7"/>
      <c r="AO270" s="7"/>
      <c r="AP270" s="7"/>
      <c r="AQ270" s="7"/>
      <c r="AR270" s="7"/>
      <c r="AS270" s="7"/>
      <c r="AT270" s="7"/>
      <c r="AU270" s="3"/>
      <c r="AV270" s="3"/>
      <c r="AW270" s="3"/>
      <c r="AX270" s="3"/>
      <c r="AY270" s="3"/>
    </row>
    <row r="271" spans="1:5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7"/>
      <c r="AK271" s="7"/>
      <c r="AL271" s="7"/>
      <c r="AM271" s="7"/>
      <c r="AN271" s="7"/>
      <c r="AO271" s="7"/>
      <c r="AP271" s="7"/>
      <c r="AQ271" s="7"/>
      <c r="AR271" s="7"/>
      <c r="AS271" s="7"/>
      <c r="AT271" s="7"/>
      <c r="AU271" s="3"/>
      <c r="AV271" s="3"/>
      <c r="AW271" s="3"/>
      <c r="AX271" s="3"/>
      <c r="AY271" s="3"/>
    </row>
    <row r="272" spans="1:51"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7"/>
      <c r="AK272" s="7"/>
      <c r="AL272" s="7"/>
      <c r="AM272" s="7"/>
      <c r="AN272" s="7"/>
      <c r="AO272" s="7"/>
      <c r="AP272" s="7"/>
      <c r="AQ272" s="7"/>
      <c r="AR272" s="7"/>
      <c r="AS272" s="7"/>
      <c r="AT272" s="7"/>
      <c r="AU272" s="3"/>
      <c r="AV272" s="3"/>
      <c r="AW272" s="3"/>
      <c r="AX272" s="3"/>
      <c r="AY272" s="3"/>
    </row>
    <row r="273" spans="1:51"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7"/>
      <c r="AK273" s="7"/>
      <c r="AL273" s="7"/>
      <c r="AM273" s="7"/>
      <c r="AN273" s="7"/>
      <c r="AO273" s="7"/>
      <c r="AP273" s="7"/>
      <c r="AQ273" s="7"/>
      <c r="AR273" s="7"/>
      <c r="AS273" s="7"/>
      <c r="AT273" s="7"/>
      <c r="AU273" s="3"/>
      <c r="AV273" s="3"/>
      <c r="AW273" s="3"/>
      <c r="AX273" s="3"/>
      <c r="AY273" s="3"/>
    </row>
    <row r="274" spans="1:51"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7"/>
      <c r="AK274" s="7"/>
      <c r="AL274" s="7"/>
      <c r="AM274" s="7"/>
      <c r="AN274" s="7"/>
      <c r="AO274" s="7"/>
      <c r="AP274" s="7"/>
      <c r="AQ274" s="7"/>
      <c r="AR274" s="7"/>
      <c r="AS274" s="7"/>
      <c r="AT274" s="7"/>
      <c r="AU274" s="3"/>
      <c r="AV274" s="3"/>
      <c r="AW274" s="3"/>
      <c r="AX274" s="3"/>
      <c r="AY274" s="3"/>
    </row>
    <row r="275" spans="1:51"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7"/>
      <c r="AK275" s="7"/>
      <c r="AL275" s="7"/>
      <c r="AM275" s="7"/>
      <c r="AN275" s="7"/>
      <c r="AO275" s="7"/>
      <c r="AP275" s="7"/>
      <c r="AQ275" s="7"/>
      <c r="AR275" s="7"/>
      <c r="AS275" s="7"/>
      <c r="AT275" s="7"/>
      <c r="AU275" s="3"/>
      <c r="AV275" s="3"/>
      <c r="AW275" s="3"/>
      <c r="AX275" s="3"/>
      <c r="AY275" s="3"/>
    </row>
    <row r="276" spans="1:51"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7"/>
      <c r="AK276" s="7"/>
      <c r="AL276" s="7"/>
      <c r="AM276" s="7"/>
      <c r="AN276" s="7"/>
      <c r="AO276" s="7"/>
      <c r="AP276" s="7"/>
      <c r="AQ276" s="7"/>
      <c r="AR276" s="7"/>
      <c r="AS276" s="7"/>
      <c r="AT276" s="7"/>
      <c r="AU276" s="3"/>
      <c r="AV276" s="3"/>
      <c r="AW276" s="3"/>
      <c r="AX276" s="3"/>
      <c r="AY276" s="3"/>
    </row>
    <row r="277" spans="1:51"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7"/>
      <c r="AK277" s="7"/>
      <c r="AL277" s="7"/>
      <c r="AM277" s="7"/>
      <c r="AN277" s="7"/>
      <c r="AO277" s="7"/>
      <c r="AP277" s="7"/>
      <c r="AQ277" s="7"/>
      <c r="AR277" s="7"/>
      <c r="AS277" s="7"/>
      <c r="AT277" s="7"/>
      <c r="AU277" s="3"/>
      <c r="AV277" s="3"/>
      <c r="AW277" s="3"/>
      <c r="AX277" s="3"/>
      <c r="AY277" s="3"/>
    </row>
    <row r="278" spans="1:51"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7"/>
      <c r="AK278" s="7"/>
      <c r="AL278" s="7"/>
      <c r="AM278" s="7"/>
      <c r="AN278" s="7"/>
      <c r="AO278" s="7"/>
      <c r="AP278" s="7"/>
      <c r="AQ278" s="7"/>
      <c r="AR278" s="7"/>
      <c r="AS278" s="7"/>
      <c r="AT278" s="7"/>
      <c r="AU278" s="3"/>
      <c r="AV278" s="3"/>
      <c r="AW278" s="3"/>
      <c r="AX278" s="3"/>
      <c r="AY278" s="3"/>
    </row>
    <row r="279" spans="1:51"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7"/>
      <c r="AK279" s="7"/>
      <c r="AL279" s="7"/>
      <c r="AM279" s="7"/>
      <c r="AN279" s="7"/>
      <c r="AO279" s="7"/>
      <c r="AP279" s="7"/>
      <c r="AQ279" s="7"/>
      <c r="AR279" s="7"/>
      <c r="AS279" s="7"/>
      <c r="AT279" s="7"/>
      <c r="AU279" s="3"/>
      <c r="AV279" s="3"/>
      <c r="AW279" s="3"/>
      <c r="AX279" s="3"/>
      <c r="AY279" s="3"/>
    </row>
    <row r="280" spans="1:51"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7"/>
      <c r="AK280" s="7"/>
      <c r="AL280" s="7"/>
      <c r="AM280" s="7"/>
      <c r="AN280" s="7"/>
      <c r="AO280" s="7"/>
      <c r="AP280" s="7"/>
      <c r="AQ280" s="7"/>
      <c r="AR280" s="7"/>
      <c r="AS280" s="7"/>
      <c r="AT280" s="7"/>
      <c r="AU280" s="3"/>
      <c r="AV280" s="3"/>
      <c r="AW280" s="3"/>
      <c r="AX280" s="3"/>
      <c r="AY280" s="3"/>
    </row>
    <row r="281" spans="1:5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7"/>
      <c r="AK281" s="7"/>
      <c r="AL281" s="7"/>
      <c r="AM281" s="7"/>
      <c r="AN281" s="7"/>
      <c r="AO281" s="7"/>
      <c r="AP281" s="7"/>
      <c r="AQ281" s="7"/>
      <c r="AR281" s="7"/>
      <c r="AS281" s="7"/>
      <c r="AT281" s="7"/>
      <c r="AU281" s="3"/>
      <c r="AV281" s="3"/>
      <c r="AW281" s="3"/>
      <c r="AX281" s="3"/>
      <c r="AY281" s="3"/>
    </row>
    <row r="282" spans="1:51"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7"/>
      <c r="AK282" s="7"/>
      <c r="AL282" s="7"/>
      <c r="AM282" s="7"/>
      <c r="AN282" s="7"/>
      <c r="AO282" s="7"/>
      <c r="AP282" s="7"/>
      <c r="AQ282" s="7"/>
      <c r="AR282" s="7"/>
      <c r="AS282" s="7"/>
      <c r="AT282" s="7"/>
      <c r="AU282" s="3"/>
      <c r="AV282" s="3"/>
      <c r="AW282" s="3"/>
      <c r="AX282" s="3"/>
      <c r="AY282" s="3"/>
    </row>
    <row r="283" spans="1:51"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7"/>
      <c r="AK283" s="7"/>
      <c r="AL283" s="7"/>
      <c r="AM283" s="7"/>
      <c r="AN283" s="7"/>
      <c r="AO283" s="7"/>
      <c r="AP283" s="7"/>
      <c r="AQ283" s="7"/>
      <c r="AR283" s="7"/>
      <c r="AS283" s="7"/>
      <c r="AT283" s="7"/>
      <c r="AU283" s="3"/>
      <c r="AV283" s="3"/>
      <c r="AW283" s="3"/>
      <c r="AX283" s="3"/>
      <c r="AY283" s="3"/>
    </row>
    <row r="284" spans="1:51"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7"/>
      <c r="AK284" s="7"/>
      <c r="AL284" s="7"/>
      <c r="AM284" s="7"/>
      <c r="AN284" s="7"/>
      <c r="AO284" s="7"/>
      <c r="AP284" s="7"/>
      <c r="AQ284" s="7"/>
      <c r="AR284" s="7"/>
      <c r="AS284" s="7"/>
      <c r="AT284" s="7"/>
      <c r="AU284" s="3"/>
      <c r="AV284" s="3"/>
      <c r="AW284" s="3"/>
      <c r="AX284" s="3"/>
      <c r="AY284" s="3"/>
    </row>
    <row r="285" spans="1:51"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7"/>
      <c r="AK285" s="7"/>
      <c r="AL285" s="7"/>
      <c r="AM285" s="7"/>
      <c r="AN285" s="7"/>
      <c r="AO285" s="7"/>
      <c r="AP285" s="7"/>
      <c r="AQ285" s="7"/>
      <c r="AR285" s="7"/>
      <c r="AS285" s="7"/>
      <c r="AT285" s="7"/>
      <c r="AU285" s="3"/>
      <c r="AV285" s="3"/>
      <c r="AW285" s="3"/>
      <c r="AX285" s="3"/>
      <c r="AY285" s="3"/>
    </row>
    <row r="286" spans="1:51"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7"/>
      <c r="AK286" s="7"/>
      <c r="AL286" s="7"/>
      <c r="AM286" s="7"/>
      <c r="AN286" s="7"/>
      <c r="AO286" s="7"/>
      <c r="AP286" s="7"/>
      <c r="AQ286" s="7"/>
      <c r="AR286" s="7"/>
      <c r="AS286" s="7"/>
      <c r="AT286" s="7"/>
      <c r="AU286" s="3"/>
      <c r="AV286" s="3"/>
      <c r="AW286" s="3"/>
      <c r="AX286" s="3"/>
      <c r="AY286" s="3"/>
    </row>
    <row r="287" spans="1:51"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7"/>
      <c r="AK287" s="7"/>
      <c r="AL287" s="7"/>
      <c r="AM287" s="7"/>
      <c r="AN287" s="7"/>
      <c r="AO287" s="7"/>
      <c r="AP287" s="7"/>
      <c r="AQ287" s="7"/>
      <c r="AR287" s="7"/>
      <c r="AS287" s="7"/>
      <c r="AT287" s="7"/>
      <c r="AU287" s="3"/>
      <c r="AV287" s="3"/>
      <c r="AW287" s="3"/>
      <c r="AX287" s="3"/>
      <c r="AY287" s="3"/>
    </row>
    <row r="288" spans="1:51"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7"/>
      <c r="AK288" s="7"/>
      <c r="AL288" s="7"/>
      <c r="AM288" s="7"/>
      <c r="AN288" s="7"/>
      <c r="AO288" s="7"/>
      <c r="AP288" s="7"/>
      <c r="AQ288" s="7"/>
      <c r="AR288" s="7"/>
      <c r="AS288" s="7"/>
      <c r="AT288" s="7"/>
      <c r="AU288" s="3"/>
      <c r="AV288" s="3"/>
      <c r="AW288" s="3"/>
      <c r="AX288" s="3"/>
      <c r="AY288" s="3"/>
    </row>
    <row r="289" spans="1:51"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7"/>
      <c r="AK289" s="7"/>
      <c r="AL289" s="7"/>
      <c r="AM289" s="7"/>
      <c r="AN289" s="7"/>
      <c r="AO289" s="7"/>
      <c r="AP289" s="7"/>
      <c r="AQ289" s="7"/>
      <c r="AR289" s="7"/>
      <c r="AS289" s="7"/>
      <c r="AT289" s="7"/>
      <c r="AU289" s="3"/>
      <c r="AV289" s="3"/>
      <c r="AW289" s="3"/>
      <c r="AX289" s="3"/>
      <c r="AY289" s="3"/>
    </row>
    <row r="290" spans="1:51"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7"/>
      <c r="AK290" s="7"/>
      <c r="AL290" s="7"/>
      <c r="AM290" s="7"/>
      <c r="AN290" s="7"/>
      <c r="AO290" s="7"/>
      <c r="AP290" s="7"/>
      <c r="AQ290" s="7"/>
      <c r="AR290" s="7"/>
      <c r="AS290" s="7"/>
      <c r="AT290" s="7"/>
      <c r="AU290" s="3"/>
      <c r="AV290" s="3"/>
      <c r="AW290" s="3"/>
      <c r="AX290" s="3"/>
      <c r="AY290" s="3"/>
    </row>
    <row r="291" spans="1:5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7"/>
      <c r="AK291" s="7"/>
      <c r="AL291" s="7"/>
      <c r="AM291" s="7"/>
      <c r="AN291" s="7"/>
      <c r="AO291" s="7"/>
      <c r="AP291" s="7"/>
      <c r="AQ291" s="7"/>
      <c r="AR291" s="7"/>
      <c r="AS291" s="7"/>
      <c r="AT291" s="7"/>
      <c r="AU291" s="3"/>
      <c r="AV291" s="3"/>
      <c r="AW291" s="3"/>
      <c r="AX291" s="3"/>
      <c r="AY291" s="3"/>
    </row>
    <row r="292" spans="1:51"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7"/>
      <c r="AK292" s="7"/>
      <c r="AL292" s="7"/>
      <c r="AM292" s="7"/>
      <c r="AN292" s="7"/>
      <c r="AO292" s="7"/>
      <c r="AP292" s="7"/>
      <c r="AQ292" s="7"/>
      <c r="AR292" s="7"/>
      <c r="AS292" s="7"/>
      <c r="AT292" s="7"/>
      <c r="AU292" s="3"/>
      <c r="AV292" s="3"/>
      <c r="AW292" s="3"/>
      <c r="AX292" s="3"/>
      <c r="AY292" s="3"/>
    </row>
    <row r="293" spans="1:51"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7"/>
      <c r="AK293" s="7"/>
      <c r="AL293" s="7"/>
      <c r="AM293" s="7"/>
      <c r="AN293" s="7"/>
      <c r="AO293" s="7"/>
      <c r="AP293" s="7"/>
      <c r="AQ293" s="7"/>
      <c r="AR293" s="7"/>
      <c r="AS293" s="7"/>
      <c r="AT293" s="7"/>
      <c r="AU293" s="3"/>
      <c r="AV293" s="3"/>
      <c r="AW293" s="3"/>
      <c r="AX293" s="3"/>
      <c r="AY293" s="3"/>
    </row>
    <row r="294" spans="1:51"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7"/>
      <c r="AK294" s="7"/>
      <c r="AL294" s="7"/>
      <c r="AM294" s="7"/>
      <c r="AN294" s="7"/>
      <c r="AO294" s="7"/>
      <c r="AP294" s="7"/>
      <c r="AQ294" s="7"/>
      <c r="AR294" s="7"/>
      <c r="AS294" s="7"/>
      <c r="AT294" s="7"/>
      <c r="AU294" s="3"/>
      <c r="AV294" s="3"/>
      <c r="AW294" s="3"/>
      <c r="AX294" s="3"/>
      <c r="AY294" s="3"/>
    </row>
    <row r="295" spans="1:51"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7"/>
      <c r="AK295" s="7"/>
      <c r="AL295" s="7"/>
      <c r="AM295" s="7"/>
      <c r="AN295" s="7"/>
      <c r="AO295" s="7"/>
      <c r="AP295" s="7"/>
      <c r="AQ295" s="7"/>
      <c r="AR295" s="7"/>
      <c r="AS295" s="7"/>
      <c r="AT295" s="7"/>
      <c r="AU295" s="3"/>
      <c r="AV295" s="3"/>
      <c r="AW295" s="3"/>
      <c r="AX295" s="3"/>
      <c r="AY295" s="3"/>
    </row>
    <row r="296" spans="1:51"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7"/>
      <c r="AK296" s="7"/>
      <c r="AL296" s="7"/>
      <c r="AM296" s="7"/>
      <c r="AN296" s="7"/>
      <c r="AO296" s="7"/>
      <c r="AP296" s="7"/>
      <c r="AQ296" s="7"/>
      <c r="AR296" s="7"/>
      <c r="AS296" s="7"/>
      <c r="AT296" s="7"/>
      <c r="AU296" s="3"/>
      <c r="AV296" s="3"/>
      <c r="AW296" s="3"/>
      <c r="AX296" s="3"/>
      <c r="AY296" s="3"/>
    </row>
    <row r="297" spans="1:51"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7"/>
      <c r="AK297" s="7"/>
      <c r="AL297" s="7"/>
      <c r="AM297" s="7"/>
      <c r="AN297" s="7"/>
      <c r="AO297" s="7"/>
      <c r="AP297" s="7"/>
      <c r="AQ297" s="7"/>
      <c r="AR297" s="7"/>
      <c r="AS297" s="7"/>
      <c r="AT297" s="7"/>
      <c r="AU297" s="3"/>
      <c r="AV297" s="3"/>
      <c r="AW297" s="3"/>
      <c r="AX297" s="3"/>
      <c r="AY297" s="3"/>
    </row>
    <row r="298" spans="1:51"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7"/>
      <c r="AK298" s="7"/>
      <c r="AL298" s="7"/>
      <c r="AM298" s="7"/>
      <c r="AN298" s="7"/>
      <c r="AO298" s="7"/>
      <c r="AP298" s="7"/>
      <c r="AQ298" s="7"/>
      <c r="AR298" s="7"/>
      <c r="AS298" s="7"/>
      <c r="AT298" s="7"/>
      <c r="AU298" s="3"/>
      <c r="AV298" s="3"/>
      <c r="AW298" s="3"/>
      <c r="AX298" s="3"/>
      <c r="AY298" s="3"/>
    </row>
    <row r="299" spans="1:51"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7"/>
      <c r="AK299" s="7"/>
      <c r="AL299" s="7"/>
      <c r="AM299" s="7"/>
      <c r="AN299" s="7"/>
      <c r="AO299" s="7"/>
      <c r="AP299" s="7"/>
      <c r="AQ299" s="7"/>
      <c r="AR299" s="7"/>
      <c r="AS299" s="7"/>
      <c r="AT299" s="7"/>
      <c r="AU299" s="3"/>
      <c r="AV299" s="3"/>
      <c r="AW299" s="3"/>
      <c r="AX299" s="3"/>
      <c r="AY299" s="3"/>
    </row>
    <row r="300" spans="1:51"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7"/>
      <c r="AK300" s="7"/>
      <c r="AL300" s="7"/>
      <c r="AM300" s="7"/>
      <c r="AN300" s="7"/>
      <c r="AO300" s="7"/>
      <c r="AP300" s="7"/>
      <c r="AQ300" s="7"/>
      <c r="AR300" s="7"/>
      <c r="AS300" s="7"/>
      <c r="AT300" s="7"/>
      <c r="AU300" s="3"/>
      <c r="AV300" s="3"/>
      <c r="AW300" s="3"/>
      <c r="AX300" s="3"/>
      <c r="AY300" s="3"/>
    </row>
    <row r="301" spans="1:5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7"/>
      <c r="AK301" s="7"/>
      <c r="AL301" s="7"/>
      <c r="AM301" s="7"/>
      <c r="AN301" s="7"/>
      <c r="AO301" s="7"/>
      <c r="AP301" s="7"/>
      <c r="AQ301" s="7"/>
      <c r="AR301" s="7"/>
      <c r="AS301" s="7"/>
      <c r="AT301" s="7"/>
      <c r="AU301" s="3"/>
      <c r="AV301" s="3"/>
      <c r="AW301" s="3"/>
      <c r="AX301" s="3"/>
      <c r="AY301" s="3"/>
    </row>
    <row r="302" spans="1:51"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7"/>
      <c r="AK302" s="7"/>
      <c r="AL302" s="7"/>
      <c r="AM302" s="7"/>
      <c r="AN302" s="7"/>
      <c r="AO302" s="7"/>
      <c r="AP302" s="7"/>
      <c r="AQ302" s="7"/>
      <c r="AR302" s="7"/>
      <c r="AS302" s="7"/>
      <c r="AT302" s="7"/>
      <c r="AU302" s="3"/>
      <c r="AV302" s="3"/>
      <c r="AW302" s="3"/>
      <c r="AX302" s="3"/>
      <c r="AY302" s="3"/>
    </row>
    <row r="303" spans="1:51"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7"/>
      <c r="AK303" s="7"/>
      <c r="AL303" s="7"/>
      <c r="AM303" s="7"/>
      <c r="AN303" s="7"/>
      <c r="AO303" s="7"/>
      <c r="AP303" s="7"/>
      <c r="AQ303" s="7"/>
      <c r="AR303" s="7"/>
      <c r="AS303" s="7"/>
      <c r="AT303" s="7"/>
      <c r="AU303" s="3"/>
      <c r="AV303" s="3"/>
      <c r="AW303" s="3"/>
      <c r="AX303" s="3"/>
      <c r="AY303" s="3"/>
    </row>
    <row r="304" spans="1:51"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7"/>
      <c r="AK304" s="7"/>
      <c r="AL304" s="7"/>
      <c r="AM304" s="7"/>
      <c r="AN304" s="7"/>
      <c r="AO304" s="7"/>
      <c r="AP304" s="7"/>
      <c r="AQ304" s="7"/>
      <c r="AR304" s="7"/>
      <c r="AS304" s="7"/>
      <c r="AT304" s="7"/>
      <c r="AU304" s="3"/>
      <c r="AV304" s="3"/>
      <c r="AW304" s="3"/>
      <c r="AX304" s="3"/>
      <c r="AY304" s="3"/>
    </row>
    <row r="305" spans="1:51"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7"/>
      <c r="AK305" s="7"/>
      <c r="AL305" s="7"/>
      <c r="AM305" s="7"/>
      <c r="AN305" s="7"/>
      <c r="AO305" s="7"/>
      <c r="AP305" s="7"/>
      <c r="AQ305" s="7"/>
      <c r="AR305" s="7"/>
      <c r="AS305" s="7"/>
      <c r="AT305" s="7"/>
      <c r="AU305" s="3"/>
      <c r="AV305" s="3"/>
      <c r="AW305" s="3"/>
      <c r="AX305" s="3"/>
      <c r="AY305" s="3"/>
    </row>
    <row r="306" spans="1:51"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7"/>
      <c r="AK306" s="7"/>
      <c r="AL306" s="7"/>
      <c r="AM306" s="7"/>
      <c r="AN306" s="7"/>
      <c r="AO306" s="7"/>
      <c r="AP306" s="7"/>
      <c r="AQ306" s="7"/>
      <c r="AR306" s="7"/>
      <c r="AS306" s="7"/>
      <c r="AT306" s="7"/>
      <c r="AU306" s="3"/>
      <c r="AV306" s="3"/>
      <c r="AW306" s="3"/>
      <c r="AX306" s="3"/>
      <c r="AY306" s="3"/>
    </row>
    <row r="307" spans="1:51"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7"/>
      <c r="AK307" s="7"/>
      <c r="AL307" s="7"/>
      <c r="AM307" s="7"/>
      <c r="AN307" s="7"/>
      <c r="AO307" s="7"/>
      <c r="AP307" s="7"/>
      <c r="AQ307" s="7"/>
      <c r="AR307" s="7"/>
      <c r="AS307" s="7"/>
      <c r="AT307" s="7"/>
      <c r="AU307" s="3"/>
      <c r="AV307" s="3"/>
      <c r="AW307" s="3"/>
      <c r="AX307" s="3"/>
      <c r="AY307" s="3"/>
    </row>
    <row r="308" spans="1:51"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7"/>
      <c r="AK308" s="7"/>
      <c r="AL308" s="7"/>
      <c r="AM308" s="7"/>
      <c r="AN308" s="7"/>
      <c r="AO308" s="7"/>
      <c r="AP308" s="7"/>
      <c r="AQ308" s="7"/>
      <c r="AR308" s="7"/>
      <c r="AS308" s="7"/>
      <c r="AT308" s="7"/>
      <c r="AU308" s="3"/>
      <c r="AV308" s="3"/>
      <c r="AW308" s="3"/>
      <c r="AX308" s="3"/>
      <c r="AY308" s="3"/>
    </row>
    <row r="309" spans="1:51"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7"/>
      <c r="AK309" s="7"/>
      <c r="AL309" s="7"/>
      <c r="AM309" s="7"/>
      <c r="AN309" s="7"/>
      <c r="AO309" s="7"/>
      <c r="AP309" s="7"/>
      <c r="AQ309" s="7"/>
      <c r="AR309" s="7"/>
      <c r="AS309" s="7"/>
      <c r="AT309" s="7"/>
      <c r="AU309" s="3"/>
      <c r="AV309" s="3"/>
      <c r="AW309" s="3"/>
      <c r="AX309" s="3"/>
      <c r="AY309" s="3"/>
    </row>
    <row r="310" spans="1:51"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7"/>
      <c r="AK310" s="7"/>
      <c r="AL310" s="7"/>
      <c r="AM310" s="7"/>
      <c r="AN310" s="7"/>
      <c r="AO310" s="7"/>
      <c r="AP310" s="7"/>
      <c r="AQ310" s="7"/>
      <c r="AR310" s="7"/>
      <c r="AS310" s="7"/>
      <c r="AT310" s="7"/>
      <c r="AU310" s="3"/>
      <c r="AV310" s="3"/>
      <c r="AW310" s="3"/>
      <c r="AX310" s="3"/>
      <c r="AY310" s="3"/>
    </row>
    <row r="311" spans="1:5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7"/>
      <c r="AK311" s="7"/>
      <c r="AL311" s="7"/>
      <c r="AM311" s="7"/>
      <c r="AN311" s="7"/>
      <c r="AO311" s="7"/>
      <c r="AP311" s="7"/>
      <c r="AQ311" s="7"/>
      <c r="AR311" s="7"/>
      <c r="AS311" s="7"/>
      <c r="AT311" s="7"/>
      <c r="AU311" s="3"/>
      <c r="AV311" s="3"/>
      <c r="AW311" s="3"/>
      <c r="AX311" s="3"/>
      <c r="AY311" s="3"/>
    </row>
    <row r="312" spans="1:51"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7"/>
      <c r="AK312" s="7"/>
      <c r="AL312" s="7"/>
      <c r="AM312" s="7"/>
      <c r="AN312" s="7"/>
      <c r="AO312" s="7"/>
      <c r="AP312" s="7"/>
      <c r="AQ312" s="7"/>
      <c r="AR312" s="7"/>
      <c r="AS312" s="7"/>
      <c r="AT312" s="7"/>
      <c r="AU312" s="3"/>
      <c r="AV312" s="3"/>
      <c r="AW312" s="3"/>
      <c r="AX312" s="3"/>
      <c r="AY312" s="3"/>
    </row>
    <row r="313" spans="1:51"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7"/>
      <c r="AK313" s="7"/>
      <c r="AL313" s="7"/>
      <c r="AM313" s="7"/>
      <c r="AN313" s="7"/>
      <c r="AO313" s="7"/>
      <c r="AP313" s="7"/>
      <c r="AQ313" s="7"/>
      <c r="AR313" s="7"/>
      <c r="AS313" s="7"/>
      <c r="AT313" s="7"/>
      <c r="AU313" s="3"/>
      <c r="AV313" s="3"/>
      <c r="AW313" s="3"/>
      <c r="AX313" s="3"/>
      <c r="AY313" s="3"/>
    </row>
    <row r="314" spans="1:51"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7"/>
      <c r="AK314" s="7"/>
      <c r="AL314" s="7"/>
      <c r="AM314" s="7"/>
      <c r="AN314" s="7"/>
      <c r="AO314" s="7"/>
      <c r="AP314" s="7"/>
      <c r="AQ314" s="7"/>
      <c r="AR314" s="7"/>
      <c r="AS314" s="7"/>
      <c r="AT314" s="7"/>
      <c r="AU314" s="3"/>
      <c r="AV314" s="3"/>
      <c r="AW314" s="3"/>
      <c r="AX314" s="3"/>
      <c r="AY314" s="3"/>
    </row>
    <row r="315" spans="1:51"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7"/>
      <c r="AK315" s="7"/>
      <c r="AL315" s="7"/>
      <c r="AM315" s="7"/>
      <c r="AN315" s="7"/>
      <c r="AO315" s="7"/>
      <c r="AP315" s="7"/>
      <c r="AQ315" s="7"/>
      <c r="AR315" s="7"/>
      <c r="AS315" s="7"/>
      <c r="AT315" s="7"/>
      <c r="AU315" s="3"/>
      <c r="AV315" s="3"/>
      <c r="AW315" s="3"/>
      <c r="AX315" s="3"/>
      <c r="AY315" s="3"/>
    </row>
    <row r="316" spans="1:51"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7"/>
      <c r="AK316" s="7"/>
      <c r="AL316" s="7"/>
      <c r="AM316" s="7"/>
      <c r="AN316" s="7"/>
      <c r="AO316" s="7"/>
      <c r="AP316" s="7"/>
      <c r="AQ316" s="7"/>
      <c r="AR316" s="7"/>
      <c r="AS316" s="7"/>
      <c r="AT316" s="7"/>
      <c r="AU316" s="3"/>
      <c r="AV316" s="3"/>
      <c r="AW316" s="3"/>
      <c r="AX316" s="3"/>
      <c r="AY316" s="3"/>
    </row>
    <row r="317" spans="1:51"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7"/>
      <c r="AK317" s="7"/>
      <c r="AL317" s="7"/>
      <c r="AM317" s="7"/>
      <c r="AN317" s="7"/>
      <c r="AO317" s="7"/>
      <c r="AP317" s="7"/>
      <c r="AQ317" s="7"/>
      <c r="AR317" s="7"/>
      <c r="AS317" s="7"/>
      <c r="AT317" s="7"/>
      <c r="AU317" s="3"/>
      <c r="AV317" s="3"/>
      <c r="AW317" s="3"/>
      <c r="AX317" s="3"/>
      <c r="AY317" s="3"/>
    </row>
    <row r="318" spans="1:51"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7"/>
      <c r="AK318" s="7"/>
      <c r="AL318" s="7"/>
      <c r="AM318" s="7"/>
      <c r="AN318" s="7"/>
      <c r="AO318" s="7"/>
      <c r="AP318" s="7"/>
      <c r="AQ318" s="7"/>
      <c r="AR318" s="7"/>
      <c r="AS318" s="7"/>
      <c r="AT318" s="7"/>
      <c r="AU318" s="3"/>
      <c r="AV318" s="3"/>
      <c r="AW318" s="3"/>
      <c r="AX318" s="3"/>
      <c r="AY318" s="3"/>
    </row>
    <row r="319" spans="1:51"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7"/>
      <c r="AK319" s="7"/>
      <c r="AL319" s="7"/>
      <c r="AM319" s="7"/>
      <c r="AN319" s="7"/>
      <c r="AO319" s="7"/>
      <c r="AP319" s="7"/>
      <c r="AQ319" s="7"/>
      <c r="AR319" s="7"/>
      <c r="AS319" s="7"/>
      <c r="AT319" s="7"/>
      <c r="AU319" s="3"/>
      <c r="AV319" s="3"/>
      <c r="AW319" s="3"/>
      <c r="AX319" s="3"/>
      <c r="AY319" s="3"/>
    </row>
    <row r="320" spans="1:51"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7"/>
      <c r="AK320" s="7"/>
      <c r="AL320" s="7"/>
      <c r="AM320" s="7"/>
      <c r="AN320" s="7"/>
      <c r="AO320" s="7"/>
      <c r="AP320" s="7"/>
      <c r="AQ320" s="7"/>
      <c r="AR320" s="7"/>
      <c r="AS320" s="7"/>
      <c r="AT320" s="7"/>
      <c r="AU320" s="3"/>
      <c r="AV320" s="3"/>
      <c r="AW320" s="3"/>
      <c r="AX320" s="3"/>
      <c r="AY320" s="3"/>
    </row>
    <row r="321" spans="1:5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7"/>
      <c r="AK321" s="7"/>
      <c r="AL321" s="7"/>
      <c r="AM321" s="7"/>
      <c r="AN321" s="7"/>
      <c r="AO321" s="7"/>
      <c r="AP321" s="7"/>
      <c r="AQ321" s="7"/>
      <c r="AR321" s="7"/>
      <c r="AS321" s="7"/>
      <c r="AT321" s="7"/>
      <c r="AU321" s="3"/>
      <c r="AV321" s="3"/>
      <c r="AW321" s="3"/>
      <c r="AX321" s="3"/>
      <c r="AY321" s="3"/>
    </row>
    <row r="322" spans="1:51"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7"/>
      <c r="AK322" s="7"/>
      <c r="AL322" s="7"/>
      <c r="AM322" s="7"/>
      <c r="AN322" s="7"/>
      <c r="AO322" s="7"/>
      <c r="AP322" s="7"/>
      <c r="AQ322" s="7"/>
      <c r="AR322" s="7"/>
      <c r="AS322" s="7"/>
      <c r="AT322" s="7"/>
      <c r="AU322" s="3"/>
      <c r="AV322" s="3"/>
      <c r="AW322" s="3"/>
      <c r="AX322" s="3"/>
      <c r="AY322" s="3"/>
    </row>
    <row r="323" spans="1:51"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7"/>
      <c r="AK323" s="7"/>
      <c r="AL323" s="7"/>
      <c r="AM323" s="7"/>
      <c r="AN323" s="7"/>
      <c r="AO323" s="7"/>
      <c r="AP323" s="7"/>
      <c r="AQ323" s="7"/>
      <c r="AR323" s="7"/>
      <c r="AS323" s="7"/>
      <c r="AT323" s="7"/>
      <c r="AU323" s="3"/>
      <c r="AV323" s="3"/>
      <c r="AW323" s="3"/>
      <c r="AX323" s="3"/>
      <c r="AY323" s="3"/>
    </row>
    <row r="324" spans="1:51"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7"/>
      <c r="AK324" s="7"/>
      <c r="AL324" s="7"/>
      <c r="AM324" s="7"/>
      <c r="AN324" s="7"/>
      <c r="AO324" s="7"/>
      <c r="AP324" s="7"/>
      <c r="AQ324" s="7"/>
      <c r="AR324" s="7"/>
      <c r="AS324" s="7"/>
      <c r="AT324" s="7"/>
      <c r="AU324" s="3"/>
      <c r="AV324" s="3"/>
      <c r="AW324" s="3"/>
      <c r="AX324" s="3"/>
      <c r="AY324" s="3"/>
    </row>
    <row r="325" spans="1:51"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7"/>
      <c r="AK325" s="7"/>
      <c r="AL325" s="7"/>
      <c r="AM325" s="7"/>
      <c r="AN325" s="7"/>
      <c r="AO325" s="7"/>
      <c r="AP325" s="7"/>
      <c r="AQ325" s="7"/>
      <c r="AR325" s="7"/>
      <c r="AS325" s="7"/>
      <c r="AT325" s="7"/>
      <c r="AU325" s="3"/>
      <c r="AV325" s="3"/>
      <c r="AW325" s="3"/>
      <c r="AX325" s="3"/>
      <c r="AY325" s="3"/>
    </row>
    <row r="326" spans="1:51"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7"/>
      <c r="AK326" s="7"/>
      <c r="AL326" s="7"/>
      <c r="AM326" s="7"/>
      <c r="AN326" s="7"/>
      <c r="AO326" s="7"/>
      <c r="AP326" s="7"/>
      <c r="AQ326" s="7"/>
      <c r="AR326" s="7"/>
      <c r="AS326" s="7"/>
      <c r="AT326" s="7"/>
      <c r="AU326" s="3"/>
      <c r="AV326" s="3"/>
      <c r="AW326" s="3"/>
      <c r="AX326" s="3"/>
      <c r="AY326" s="3"/>
    </row>
    <row r="327" spans="1:51"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7"/>
      <c r="AK327" s="7"/>
      <c r="AL327" s="7"/>
      <c r="AM327" s="7"/>
      <c r="AN327" s="7"/>
      <c r="AO327" s="7"/>
      <c r="AP327" s="7"/>
      <c r="AQ327" s="7"/>
      <c r="AR327" s="7"/>
      <c r="AS327" s="7"/>
      <c r="AT327" s="7"/>
      <c r="AU327" s="3"/>
      <c r="AV327" s="3"/>
      <c r="AW327" s="3"/>
      <c r="AX327" s="3"/>
      <c r="AY327" s="3"/>
    </row>
    <row r="328" spans="1:51"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7"/>
      <c r="AK328" s="7"/>
      <c r="AL328" s="7"/>
      <c r="AM328" s="7"/>
      <c r="AN328" s="7"/>
      <c r="AO328" s="7"/>
      <c r="AP328" s="7"/>
      <c r="AQ328" s="7"/>
      <c r="AR328" s="7"/>
      <c r="AS328" s="7"/>
      <c r="AT328" s="7"/>
      <c r="AU328" s="3"/>
      <c r="AV328" s="3"/>
      <c r="AW328" s="3"/>
      <c r="AX328" s="3"/>
      <c r="AY328" s="3"/>
    </row>
    <row r="329" spans="1:51"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7"/>
      <c r="AK329" s="7"/>
      <c r="AL329" s="7"/>
      <c r="AM329" s="7"/>
      <c r="AN329" s="7"/>
      <c r="AO329" s="7"/>
      <c r="AP329" s="7"/>
      <c r="AQ329" s="7"/>
      <c r="AR329" s="7"/>
      <c r="AS329" s="7"/>
      <c r="AT329" s="7"/>
      <c r="AU329" s="3"/>
      <c r="AV329" s="3"/>
      <c r="AW329" s="3"/>
      <c r="AX329" s="3"/>
      <c r="AY329" s="3"/>
    </row>
    <row r="330" spans="1:51"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7"/>
      <c r="AK330" s="7"/>
      <c r="AL330" s="7"/>
      <c r="AM330" s="7"/>
      <c r="AN330" s="7"/>
      <c r="AO330" s="7"/>
      <c r="AP330" s="7"/>
      <c r="AQ330" s="7"/>
      <c r="AR330" s="7"/>
      <c r="AS330" s="7"/>
      <c r="AT330" s="7"/>
      <c r="AU330" s="3"/>
      <c r="AV330" s="3"/>
      <c r="AW330" s="3"/>
      <c r="AX330" s="3"/>
      <c r="AY330" s="3"/>
    </row>
    <row r="331" spans="1:5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7"/>
      <c r="AK331" s="7"/>
      <c r="AL331" s="7"/>
      <c r="AM331" s="7"/>
      <c r="AN331" s="7"/>
      <c r="AO331" s="7"/>
      <c r="AP331" s="7"/>
      <c r="AQ331" s="7"/>
      <c r="AR331" s="7"/>
      <c r="AS331" s="7"/>
      <c r="AT331" s="7"/>
      <c r="AU331" s="3"/>
      <c r="AV331" s="3"/>
      <c r="AW331" s="3"/>
      <c r="AX331" s="3"/>
      <c r="AY331" s="3"/>
    </row>
    <row r="332" spans="1:51"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7"/>
      <c r="AK332" s="7"/>
      <c r="AL332" s="7"/>
      <c r="AM332" s="7"/>
      <c r="AN332" s="7"/>
      <c r="AO332" s="7"/>
      <c r="AP332" s="7"/>
      <c r="AQ332" s="7"/>
      <c r="AR332" s="7"/>
      <c r="AS332" s="7"/>
      <c r="AT332" s="7"/>
      <c r="AU332" s="3"/>
      <c r="AV332" s="3"/>
      <c r="AW332" s="3"/>
      <c r="AX332" s="3"/>
      <c r="AY332" s="3"/>
    </row>
    <row r="333" spans="1:51"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7"/>
      <c r="AK333" s="7"/>
      <c r="AL333" s="7"/>
      <c r="AM333" s="7"/>
      <c r="AN333" s="7"/>
      <c r="AO333" s="7"/>
      <c r="AP333" s="7"/>
      <c r="AQ333" s="7"/>
      <c r="AR333" s="7"/>
      <c r="AS333" s="7"/>
      <c r="AT333" s="7"/>
      <c r="AU333" s="3"/>
      <c r="AV333" s="3"/>
      <c r="AW333" s="3"/>
      <c r="AX333" s="3"/>
      <c r="AY333" s="3"/>
    </row>
    <row r="334" spans="1:51"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7"/>
      <c r="AK334" s="7"/>
      <c r="AL334" s="7"/>
      <c r="AM334" s="7"/>
      <c r="AN334" s="7"/>
      <c r="AO334" s="7"/>
      <c r="AP334" s="7"/>
      <c r="AQ334" s="7"/>
      <c r="AR334" s="7"/>
      <c r="AS334" s="7"/>
      <c r="AT334" s="7"/>
      <c r="AU334" s="3"/>
      <c r="AV334" s="3"/>
      <c r="AW334" s="3"/>
      <c r="AX334" s="3"/>
      <c r="AY334" s="3"/>
    </row>
    <row r="335" spans="1:51"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7"/>
      <c r="AK335" s="7"/>
      <c r="AL335" s="7"/>
      <c r="AM335" s="7"/>
      <c r="AN335" s="7"/>
      <c r="AO335" s="7"/>
      <c r="AP335" s="7"/>
      <c r="AQ335" s="7"/>
      <c r="AR335" s="7"/>
      <c r="AS335" s="7"/>
      <c r="AT335" s="7"/>
      <c r="AU335" s="3"/>
      <c r="AV335" s="3"/>
      <c r="AW335" s="3"/>
      <c r="AX335" s="3"/>
      <c r="AY335" s="3"/>
    </row>
    <row r="336" spans="1:51"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7"/>
      <c r="AK336" s="7"/>
      <c r="AL336" s="7"/>
      <c r="AM336" s="7"/>
      <c r="AN336" s="7"/>
      <c r="AO336" s="7"/>
      <c r="AP336" s="7"/>
      <c r="AQ336" s="7"/>
      <c r="AR336" s="7"/>
      <c r="AS336" s="7"/>
      <c r="AT336" s="7"/>
      <c r="AU336" s="3"/>
      <c r="AV336" s="3"/>
      <c r="AW336" s="3"/>
      <c r="AX336" s="3"/>
      <c r="AY336" s="3"/>
    </row>
    <row r="337" spans="1:51"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7"/>
      <c r="AK337" s="7"/>
      <c r="AL337" s="7"/>
      <c r="AM337" s="7"/>
      <c r="AN337" s="7"/>
      <c r="AO337" s="7"/>
      <c r="AP337" s="7"/>
      <c r="AQ337" s="7"/>
      <c r="AR337" s="7"/>
      <c r="AS337" s="7"/>
      <c r="AT337" s="7"/>
      <c r="AU337" s="3"/>
      <c r="AV337" s="3"/>
      <c r="AW337" s="3"/>
      <c r="AX337" s="3"/>
      <c r="AY337" s="3"/>
    </row>
    <row r="338" spans="1:51"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7"/>
      <c r="AK338" s="7"/>
      <c r="AL338" s="7"/>
      <c r="AM338" s="7"/>
      <c r="AN338" s="7"/>
      <c r="AO338" s="7"/>
      <c r="AP338" s="7"/>
      <c r="AQ338" s="7"/>
      <c r="AR338" s="7"/>
      <c r="AS338" s="7"/>
      <c r="AT338" s="7"/>
      <c r="AU338" s="3"/>
      <c r="AV338" s="3"/>
      <c r="AW338" s="3"/>
      <c r="AX338" s="3"/>
      <c r="AY338" s="3"/>
    </row>
    <row r="339" spans="1:51"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7"/>
      <c r="AK339" s="7"/>
      <c r="AL339" s="7"/>
      <c r="AM339" s="7"/>
      <c r="AN339" s="7"/>
      <c r="AO339" s="7"/>
      <c r="AP339" s="7"/>
      <c r="AQ339" s="7"/>
      <c r="AR339" s="7"/>
      <c r="AS339" s="7"/>
      <c r="AT339" s="7"/>
      <c r="AU339" s="3"/>
      <c r="AV339" s="3"/>
      <c r="AW339" s="3"/>
      <c r="AX339" s="3"/>
      <c r="AY339" s="3"/>
    </row>
    <row r="340" spans="1:51"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7"/>
      <c r="AK340" s="7"/>
      <c r="AL340" s="7"/>
      <c r="AM340" s="7"/>
      <c r="AN340" s="7"/>
      <c r="AO340" s="7"/>
      <c r="AP340" s="7"/>
      <c r="AQ340" s="7"/>
      <c r="AR340" s="7"/>
      <c r="AS340" s="7"/>
      <c r="AT340" s="7"/>
      <c r="AU340" s="3"/>
      <c r="AV340" s="3"/>
      <c r="AW340" s="3"/>
      <c r="AX340" s="3"/>
      <c r="AY340" s="3"/>
    </row>
    <row r="341" spans="1:5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7"/>
      <c r="AK341" s="7"/>
      <c r="AL341" s="7"/>
      <c r="AM341" s="7"/>
      <c r="AN341" s="7"/>
      <c r="AO341" s="7"/>
      <c r="AP341" s="7"/>
      <c r="AQ341" s="7"/>
      <c r="AR341" s="7"/>
      <c r="AS341" s="7"/>
      <c r="AT341" s="7"/>
      <c r="AU341" s="3"/>
      <c r="AV341" s="3"/>
      <c r="AW341" s="3"/>
      <c r="AX341" s="3"/>
      <c r="AY341" s="3"/>
    </row>
    <row r="342" spans="1:51"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7"/>
      <c r="AK342" s="7"/>
      <c r="AL342" s="7"/>
      <c r="AM342" s="7"/>
      <c r="AN342" s="7"/>
      <c r="AO342" s="7"/>
      <c r="AP342" s="7"/>
      <c r="AQ342" s="7"/>
      <c r="AR342" s="7"/>
      <c r="AS342" s="7"/>
      <c r="AT342" s="7"/>
      <c r="AU342" s="3"/>
      <c r="AV342" s="3"/>
      <c r="AW342" s="3"/>
      <c r="AX342" s="3"/>
      <c r="AY342" s="3"/>
    </row>
    <row r="343" spans="1:51"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7"/>
      <c r="AK343" s="7"/>
      <c r="AL343" s="7"/>
      <c r="AM343" s="7"/>
      <c r="AN343" s="7"/>
      <c r="AO343" s="7"/>
      <c r="AP343" s="7"/>
      <c r="AQ343" s="7"/>
      <c r="AR343" s="7"/>
      <c r="AS343" s="7"/>
      <c r="AT343" s="7"/>
      <c r="AU343" s="3"/>
      <c r="AV343" s="3"/>
      <c r="AW343" s="3"/>
      <c r="AX343" s="3"/>
      <c r="AY343" s="3"/>
    </row>
    <row r="344" spans="1:51"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7"/>
      <c r="AK344" s="7"/>
      <c r="AL344" s="7"/>
      <c r="AM344" s="7"/>
      <c r="AN344" s="7"/>
      <c r="AO344" s="7"/>
      <c r="AP344" s="7"/>
      <c r="AQ344" s="7"/>
      <c r="AR344" s="7"/>
      <c r="AS344" s="7"/>
      <c r="AT344" s="7"/>
      <c r="AU344" s="3"/>
      <c r="AV344" s="3"/>
      <c r="AW344" s="3"/>
      <c r="AX344" s="3"/>
      <c r="AY344" s="3"/>
    </row>
    <row r="345" spans="1:51"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7"/>
      <c r="AK345" s="7"/>
      <c r="AL345" s="7"/>
      <c r="AM345" s="7"/>
      <c r="AN345" s="7"/>
      <c r="AO345" s="7"/>
      <c r="AP345" s="7"/>
      <c r="AQ345" s="7"/>
      <c r="AR345" s="7"/>
      <c r="AS345" s="7"/>
      <c r="AT345" s="7"/>
      <c r="AU345" s="3"/>
      <c r="AV345" s="3"/>
      <c r="AW345" s="3"/>
      <c r="AX345" s="3"/>
      <c r="AY345" s="3"/>
    </row>
    <row r="346" spans="1:51"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7"/>
      <c r="AK346" s="7"/>
      <c r="AL346" s="7"/>
      <c r="AM346" s="7"/>
      <c r="AN346" s="7"/>
      <c r="AO346" s="7"/>
      <c r="AP346" s="7"/>
      <c r="AQ346" s="7"/>
      <c r="AR346" s="7"/>
      <c r="AS346" s="7"/>
      <c r="AT346" s="7"/>
      <c r="AU346" s="3"/>
      <c r="AV346" s="3"/>
      <c r="AW346" s="3"/>
      <c r="AX346" s="3"/>
      <c r="AY346" s="3"/>
    </row>
    <row r="347" spans="1:51"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7"/>
      <c r="AK347" s="7"/>
      <c r="AL347" s="7"/>
      <c r="AM347" s="7"/>
      <c r="AN347" s="7"/>
      <c r="AO347" s="7"/>
      <c r="AP347" s="7"/>
      <c r="AQ347" s="7"/>
      <c r="AR347" s="7"/>
      <c r="AS347" s="7"/>
      <c r="AT347" s="7"/>
      <c r="AU347" s="3"/>
      <c r="AV347" s="3"/>
      <c r="AW347" s="3"/>
      <c r="AX347" s="3"/>
      <c r="AY347" s="3"/>
    </row>
    <row r="348" spans="1:51"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7"/>
      <c r="AK348" s="7"/>
      <c r="AL348" s="7"/>
      <c r="AM348" s="7"/>
      <c r="AN348" s="7"/>
      <c r="AO348" s="7"/>
      <c r="AP348" s="7"/>
      <c r="AQ348" s="7"/>
      <c r="AR348" s="7"/>
      <c r="AS348" s="7"/>
      <c r="AT348" s="7"/>
      <c r="AU348" s="3"/>
      <c r="AV348" s="3"/>
      <c r="AW348" s="3"/>
      <c r="AX348" s="3"/>
      <c r="AY348" s="3"/>
    </row>
    <row r="349" spans="1:51"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7"/>
      <c r="AK349" s="7"/>
      <c r="AL349" s="7"/>
      <c r="AM349" s="7"/>
      <c r="AN349" s="7"/>
      <c r="AO349" s="7"/>
      <c r="AP349" s="7"/>
      <c r="AQ349" s="7"/>
      <c r="AR349" s="7"/>
      <c r="AS349" s="7"/>
      <c r="AT349" s="7"/>
      <c r="AU349" s="3"/>
      <c r="AV349" s="3"/>
      <c r="AW349" s="3"/>
      <c r="AX349" s="3"/>
      <c r="AY349" s="3"/>
    </row>
    <row r="350" spans="1:51"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7"/>
      <c r="AK350" s="7"/>
      <c r="AL350" s="7"/>
      <c r="AM350" s="7"/>
      <c r="AN350" s="7"/>
      <c r="AO350" s="7"/>
      <c r="AP350" s="7"/>
      <c r="AQ350" s="7"/>
      <c r="AR350" s="7"/>
      <c r="AS350" s="7"/>
      <c r="AT350" s="7"/>
      <c r="AU350" s="3"/>
      <c r="AV350" s="3"/>
      <c r="AW350" s="3"/>
      <c r="AX350" s="3"/>
      <c r="AY350" s="3"/>
    </row>
    <row r="351" spans="1: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7"/>
      <c r="AK351" s="7"/>
      <c r="AL351" s="7"/>
      <c r="AM351" s="7"/>
      <c r="AN351" s="7"/>
      <c r="AO351" s="7"/>
      <c r="AP351" s="7"/>
      <c r="AQ351" s="7"/>
      <c r="AR351" s="7"/>
      <c r="AS351" s="7"/>
      <c r="AT351" s="7"/>
      <c r="AU351" s="3"/>
      <c r="AV351" s="3"/>
      <c r="AW351" s="3"/>
      <c r="AX351" s="3"/>
      <c r="AY351" s="3"/>
    </row>
    <row r="352" spans="1:51"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7"/>
      <c r="AK352" s="7"/>
      <c r="AL352" s="7"/>
      <c r="AM352" s="7"/>
      <c r="AN352" s="7"/>
      <c r="AO352" s="7"/>
      <c r="AP352" s="7"/>
      <c r="AQ352" s="7"/>
      <c r="AR352" s="7"/>
      <c r="AS352" s="7"/>
      <c r="AT352" s="7"/>
      <c r="AU352" s="3"/>
      <c r="AV352" s="3"/>
      <c r="AW352" s="3"/>
      <c r="AX352" s="3"/>
      <c r="AY352" s="3"/>
    </row>
    <row r="353" spans="1:51"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7"/>
      <c r="AK353" s="7"/>
      <c r="AL353" s="7"/>
      <c r="AM353" s="7"/>
      <c r="AN353" s="7"/>
      <c r="AO353" s="7"/>
      <c r="AP353" s="7"/>
      <c r="AQ353" s="7"/>
      <c r="AR353" s="7"/>
      <c r="AS353" s="7"/>
      <c r="AT353" s="7"/>
      <c r="AU353" s="3"/>
      <c r="AV353" s="3"/>
      <c r="AW353" s="3"/>
      <c r="AX353" s="3"/>
      <c r="AY353" s="3"/>
    </row>
    <row r="354" spans="1:51"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7"/>
      <c r="AK354" s="7"/>
      <c r="AL354" s="7"/>
      <c r="AM354" s="7"/>
      <c r="AN354" s="7"/>
      <c r="AO354" s="7"/>
      <c r="AP354" s="7"/>
      <c r="AQ354" s="7"/>
      <c r="AR354" s="7"/>
      <c r="AS354" s="7"/>
      <c r="AT354" s="7"/>
      <c r="AU354" s="3"/>
      <c r="AV354" s="3"/>
      <c r="AW354" s="3"/>
      <c r="AX354" s="3"/>
      <c r="AY354" s="3"/>
    </row>
    <row r="355" spans="1:51"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7"/>
      <c r="AK355" s="7"/>
      <c r="AL355" s="7"/>
      <c r="AM355" s="7"/>
      <c r="AN355" s="7"/>
      <c r="AO355" s="7"/>
      <c r="AP355" s="7"/>
      <c r="AQ355" s="7"/>
      <c r="AR355" s="7"/>
      <c r="AS355" s="7"/>
      <c r="AT355" s="7"/>
      <c r="AU355" s="3"/>
      <c r="AV355" s="3"/>
      <c r="AW355" s="3"/>
      <c r="AX355" s="3"/>
      <c r="AY355" s="3"/>
    </row>
    <row r="356" spans="1:51"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7"/>
      <c r="AK356" s="7"/>
      <c r="AL356" s="7"/>
      <c r="AM356" s="7"/>
      <c r="AN356" s="7"/>
      <c r="AO356" s="7"/>
      <c r="AP356" s="7"/>
      <c r="AQ356" s="7"/>
      <c r="AR356" s="7"/>
      <c r="AS356" s="7"/>
      <c r="AT356" s="7"/>
      <c r="AU356" s="3"/>
      <c r="AV356" s="3"/>
      <c r="AW356" s="3"/>
      <c r="AX356" s="3"/>
      <c r="AY356" s="3"/>
    </row>
    <row r="357" spans="1:51"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7"/>
      <c r="AK357" s="7"/>
      <c r="AL357" s="7"/>
      <c r="AM357" s="7"/>
      <c r="AN357" s="7"/>
      <c r="AO357" s="7"/>
      <c r="AP357" s="7"/>
      <c r="AQ357" s="7"/>
      <c r="AR357" s="7"/>
      <c r="AS357" s="7"/>
      <c r="AT357" s="7"/>
      <c r="AU357" s="3"/>
      <c r="AV357" s="3"/>
      <c r="AW357" s="3"/>
      <c r="AX357" s="3"/>
      <c r="AY357" s="3"/>
    </row>
    <row r="358" spans="1:51"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7"/>
      <c r="AK358" s="7"/>
      <c r="AL358" s="7"/>
      <c r="AM358" s="7"/>
      <c r="AN358" s="7"/>
      <c r="AO358" s="7"/>
      <c r="AP358" s="7"/>
      <c r="AQ358" s="7"/>
      <c r="AR358" s="7"/>
      <c r="AS358" s="7"/>
      <c r="AT358" s="7"/>
      <c r="AU358" s="3"/>
      <c r="AV358" s="3"/>
      <c r="AW358" s="3"/>
      <c r="AX358" s="3"/>
      <c r="AY358" s="3"/>
    </row>
    <row r="359" spans="1:51"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7"/>
      <c r="AK359" s="7"/>
      <c r="AL359" s="7"/>
      <c r="AM359" s="7"/>
      <c r="AN359" s="7"/>
      <c r="AO359" s="7"/>
      <c r="AP359" s="7"/>
      <c r="AQ359" s="7"/>
      <c r="AR359" s="7"/>
      <c r="AS359" s="7"/>
      <c r="AT359" s="7"/>
      <c r="AU359" s="3"/>
      <c r="AV359" s="3"/>
      <c r="AW359" s="3"/>
      <c r="AX359" s="3"/>
      <c r="AY359" s="3"/>
    </row>
    <row r="360" spans="1:51"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7"/>
      <c r="AK360" s="7"/>
      <c r="AL360" s="7"/>
      <c r="AM360" s="7"/>
      <c r="AN360" s="7"/>
      <c r="AO360" s="7"/>
      <c r="AP360" s="7"/>
      <c r="AQ360" s="7"/>
      <c r="AR360" s="7"/>
      <c r="AS360" s="7"/>
      <c r="AT360" s="7"/>
      <c r="AU360" s="3"/>
      <c r="AV360" s="3"/>
      <c r="AW360" s="3"/>
      <c r="AX360" s="3"/>
      <c r="AY360" s="3"/>
    </row>
    <row r="361" spans="1:5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7"/>
      <c r="AK361" s="7"/>
      <c r="AL361" s="7"/>
      <c r="AM361" s="7"/>
      <c r="AN361" s="7"/>
      <c r="AO361" s="7"/>
      <c r="AP361" s="7"/>
      <c r="AQ361" s="7"/>
      <c r="AR361" s="7"/>
      <c r="AS361" s="7"/>
      <c r="AT361" s="7"/>
      <c r="AU361" s="3"/>
      <c r="AV361" s="3"/>
      <c r="AW361" s="3"/>
      <c r="AX361" s="3"/>
      <c r="AY361" s="3"/>
    </row>
    <row r="362" spans="1:51"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7"/>
      <c r="AK362" s="7"/>
      <c r="AL362" s="7"/>
      <c r="AM362" s="7"/>
      <c r="AN362" s="7"/>
      <c r="AO362" s="7"/>
      <c r="AP362" s="7"/>
      <c r="AQ362" s="7"/>
      <c r="AR362" s="7"/>
      <c r="AS362" s="7"/>
      <c r="AT362" s="7"/>
      <c r="AU362" s="3"/>
      <c r="AV362" s="3"/>
      <c r="AW362" s="3"/>
      <c r="AX362" s="3"/>
      <c r="AY362" s="3"/>
    </row>
    <row r="363" spans="1:51"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7"/>
      <c r="AK363" s="7"/>
      <c r="AL363" s="7"/>
      <c r="AM363" s="7"/>
      <c r="AN363" s="7"/>
      <c r="AO363" s="7"/>
      <c r="AP363" s="7"/>
      <c r="AQ363" s="7"/>
      <c r="AR363" s="7"/>
      <c r="AS363" s="7"/>
      <c r="AT363" s="7"/>
      <c r="AU363" s="3"/>
      <c r="AV363" s="3"/>
      <c r="AW363" s="3"/>
      <c r="AX363" s="3"/>
      <c r="AY363" s="3"/>
    </row>
    <row r="364" spans="1:51"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7"/>
      <c r="AK364" s="7"/>
      <c r="AL364" s="7"/>
      <c r="AM364" s="7"/>
      <c r="AN364" s="7"/>
      <c r="AO364" s="7"/>
      <c r="AP364" s="7"/>
      <c r="AQ364" s="7"/>
      <c r="AR364" s="7"/>
      <c r="AS364" s="7"/>
      <c r="AT364" s="7"/>
      <c r="AU364" s="3"/>
      <c r="AV364" s="3"/>
      <c r="AW364" s="3"/>
      <c r="AX364" s="3"/>
      <c r="AY364" s="3"/>
    </row>
    <row r="365" spans="1:51"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7"/>
      <c r="AK365" s="7"/>
      <c r="AL365" s="7"/>
      <c r="AM365" s="7"/>
      <c r="AN365" s="7"/>
      <c r="AO365" s="7"/>
      <c r="AP365" s="7"/>
      <c r="AQ365" s="7"/>
      <c r="AR365" s="7"/>
      <c r="AS365" s="7"/>
      <c r="AT365" s="7"/>
      <c r="AU365" s="3"/>
      <c r="AV365" s="3"/>
      <c r="AW365" s="3"/>
      <c r="AX365" s="3"/>
      <c r="AY365" s="3"/>
    </row>
    <row r="366" spans="1:51"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7"/>
      <c r="AK366" s="7"/>
      <c r="AL366" s="7"/>
      <c r="AM366" s="7"/>
      <c r="AN366" s="7"/>
      <c r="AO366" s="7"/>
      <c r="AP366" s="7"/>
      <c r="AQ366" s="7"/>
      <c r="AR366" s="7"/>
      <c r="AS366" s="7"/>
      <c r="AT366" s="7"/>
      <c r="AU366" s="3"/>
      <c r="AV366" s="3"/>
      <c r="AW366" s="3"/>
      <c r="AX366" s="3"/>
      <c r="AY366" s="3"/>
    </row>
    <row r="367" spans="1:51"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7"/>
      <c r="AK367" s="7"/>
      <c r="AL367" s="7"/>
      <c r="AM367" s="7"/>
      <c r="AN367" s="7"/>
      <c r="AO367" s="7"/>
      <c r="AP367" s="7"/>
      <c r="AQ367" s="7"/>
      <c r="AR367" s="7"/>
      <c r="AS367" s="7"/>
      <c r="AT367" s="7"/>
      <c r="AU367" s="3"/>
      <c r="AV367" s="3"/>
      <c r="AW367" s="3"/>
      <c r="AX367" s="3"/>
      <c r="AY367" s="3"/>
    </row>
    <row r="368" spans="1:51"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7"/>
      <c r="AK368" s="7"/>
      <c r="AL368" s="7"/>
      <c r="AM368" s="7"/>
      <c r="AN368" s="7"/>
      <c r="AO368" s="7"/>
      <c r="AP368" s="7"/>
      <c r="AQ368" s="7"/>
      <c r="AR368" s="7"/>
      <c r="AS368" s="7"/>
      <c r="AT368" s="7"/>
      <c r="AU368" s="3"/>
      <c r="AV368" s="3"/>
      <c r="AW368" s="3"/>
      <c r="AX368" s="3"/>
      <c r="AY368" s="3"/>
    </row>
    <row r="369" spans="1:51"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7"/>
      <c r="AK369" s="7"/>
      <c r="AL369" s="7"/>
      <c r="AM369" s="7"/>
      <c r="AN369" s="7"/>
      <c r="AO369" s="7"/>
      <c r="AP369" s="7"/>
      <c r="AQ369" s="7"/>
      <c r="AR369" s="7"/>
      <c r="AS369" s="7"/>
      <c r="AT369" s="7"/>
      <c r="AU369" s="3"/>
      <c r="AV369" s="3"/>
      <c r="AW369" s="3"/>
      <c r="AX369" s="3"/>
      <c r="AY369" s="3"/>
    </row>
    <row r="370" spans="1:51"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7"/>
      <c r="AK370" s="7"/>
      <c r="AL370" s="7"/>
      <c r="AM370" s="7"/>
      <c r="AN370" s="7"/>
      <c r="AO370" s="7"/>
      <c r="AP370" s="7"/>
      <c r="AQ370" s="7"/>
      <c r="AR370" s="7"/>
      <c r="AS370" s="7"/>
      <c r="AT370" s="7"/>
      <c r="AU370" s="3"/>
      <c r="AV370" s="3"/>
      <c r="AW370" s="3"/>
      <c r="AX370" s="3"/>
      <c r="AY370" s="3"/>
    </row>
    <row r="371" spans="1:5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7"/>
      <c r="AK371" s="7"/>
      <c r="AL371" s="7"/>
      <c r="AM371" s="7"/>
      <c r="AN371" s="7"/>
      <c r="AO371" s="7"/>
      <c r="AP371" s="7"/>
      <c r="AQ371" s="7"/>
      <c r="AR371" s="7"/>
      <c r="AS371" s="7"/>
      <c r="AT371" s="7"/>
      <c r="AU371" s="3"/>
      <c r="AV371" s="3"/>
      <c r="AW371" s="3"/>
      <c r="AX371" s="3"/>
      <c r="AY371" s="3"/>
    </row>
    <row r="372" spans="1:51"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7"/>
      <c r="AK372" s="7"/>
      <c r="AL372" s="7"/>
      <c r="AM372" s="7"/>
      <c r="AN372" s="7"/>
      <c r="AO372" s="7"/>
      <c r="AP372" s="7"/>
      <c r="AQ372" s="7"/>
      <c r="AR372" s="7"/>
      <c r="AS372" s="7"/>
      <c r="AT372" s="7"/>
      <c r="AU372" s="3"/>
      <c r="AV372" s="3"/>
      <c r="AW372" s="3"/>
      <c r="AX372" s="3"/>
      <c r="AY372" s="3"/>
    </row>
    <row r="373" spans="1:51"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7"/>
      <c r="AK373" s="7"/>
      <c r="AL373" s="7"/>
      <c r="AM373" s="7"/>
      <c r="AN373" s="7"/>
      <c r="AO373" s="7"/>
      <c r="AP373" s="7"/>
      <c r="AQ373" s="7"/>
      <c r="AR373" s="7"/>
      <c r="AS373" s="7"/>
      <c r="AT373" s="7"/>
      <c r="AU373" s="3"/>
      <c r="AV373" s="3"/>
      <c r="AW373" s="3"/>
      <c r="AX373" s="3"/>
      <c r="AY373" s="3"/>
    </row>
    <row r="374" spans="1:51"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7"/>
      <c r="AK374" s="7"/>
      <c r="AL374" s="7"/>
      <c r="AM374" s="7"/>
      <c r="AN374" s="7"/>
      <c r="AO374" s="7"/>
      <c r="AP374" s="7"/>
      <c r="AQ374" s="7"/>
      <c r="AR374" s="7"/>
      <c r="AS374" s="7"/>
      <c r="AT374" s="7"/>
      <c r="AU374" s="3"/>
      <c r="AV374" s="3"/>
      <c r="AW374" s="3"/>
      <c r="AX374" s="3"/>
      <c r="AY374" s="3"/>
    </row>
    <row r="375" spans="1:51"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7"/>
      <c r="AK375" s="7"/>
      <c r="AL375" s="7"/>
      <c r="AM375" s="7"/>
      <c r="AN375" s="7"/>
      <c r="AO375" s="7"/>
      <c r="AP375" s="7"/>
      <c r="AQ375" s="7"/>
      <c r="AR375" s="7"/>
      <c r="AS375" s="7"/>
      <c r="AT375" s="7"/>
      <c r="AU375" s="3"/>
      <c r="AV375" s="3"/>
      <c r="AW375" s="3"/>
      <c r="AX375" s="3"/>
      <c r="AY375" s="3"/>
    </row>
    <row r="376" spans="1:51"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7"/>
      <c r="AK376" s="7"/>
      <c r="AL376" s="7"/>
      <c r="AM376" s="7"/>
      <c r="AN376" s="7"/>
      <c r="AO376" s="7"/>
      <c r="AP376" s="7"/>
      <c r="AQ376" s="7"/>
      <c r="AR376" s="7"/>
      <c r="AS376" s="7"/>
      <c r="AT376" s="7"/>
      <c r="AU376" s="3"/>
      <c r="AV376" s="3"/>
      <c r="AW376" s="3"/>
      <c r="AX376" s="3"/>
      <c r="AY376" s="3"/>
    </row>
    <row r="377" spans="1:51"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7"/>
      <c r="AK377" s="7"/>
      <c r="AL377" s="7"/>
      <c r="AM377" s="7"/>
      <c r="AN377" s="7"/>
      <c r="AO377" s="7"/>
      <c r="AP377" s="7"/>
      <c r="AQ377" s="7"/>
      <c r="AR377" s="7"/>
      <c r="AS377" s="7"/>
      <c r="AT377" s="7"/>
      <c r="AU377" s="3"/>
      <c r="AV377" s="3"/>
      <c r="AW377" s="3"/>
      <c r="AX377" s="3"/>
      <c r="AY377" s="3"/>
    </row>
    <row r="378" spans="1:51"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7"/>
      <c r="AK378" s="7"/>
      <c r="AL378" s="7"/>
      <c r="AM378" s="7"/>
      <c r="AN378" s="7"/>
      <c r="AO378" s="7"/>
      <c r="AP378" s="7"/>
      <c r="AQ378" s="7"/>
      <c r="AR378" s="7"/>
      <c r="AS378" s="7"/>
      <c r="AT378" s="7"/>
      <c r="AU378" s="3"/>
      <c r="AV378" s="3"/>
      <c r="AW378" s="3"/>
      <c r="AX378" s="3"/>
      <c r="AY378" s="3"/>
    </row>
    <row r="379" spans="1:51"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7"/>
      <c r="AK379" s="7"/>
      <c r="AL379" s="7"/>
      <c r="AM379" s="7"/>
      <c r="AN379" s="7"/>
      <c r="AO379" s="7"/>
      <c r="AP379" s="7"/>
      <c r="AQ379" s="7"/>
      <c r="AR379" s="7"/>
      <c r="AS379" s="7"/>
      <c r="AT379" s="7"/>
      <c r="AU379" s="3"/>
      <c r="AV379" s="3"/>
      <c r="AW379" s="3"/>
      <c r="AX379" s="3"/>
      <c r="AY379" s="3"/>
    </row>
    <row r="380" spans="1:51"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7"/>
      <c r="AK380" s="7"/>
      <c r="AL380" s="7"/>
      <c r="AM380" s="7"/>
      <c r="AN380" s="7"/>
      <c r="AO380" s="7"/>
      <c r="AP380" s="7"/>
      <c r="AQ380" s="7"/>
      <c r="AR380" s="7"/>
      <c r="AS380" s="7"/>
      <c r="AT380" s="7"/>
      <c r="AU380" s="3"/>
      <c r="AV380" s="3"/>
      <c r="AW380" s="3"/>
      <c r="AX380" s="3"/>
      <c r="AY380" s="3"/>
    </row>
    <row r="381" spans="1:5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7"/>
      <c r="AK381" s="7"/>
      <c r="AL381" s="7"/>
      <c r="AM381" s="7"/>
      <c r="AN381" s="7"/>
      <c r="AO381" s="7"/>
      <c r="AP381" s="7"/>
      <c r="AQ381" s="7"/>
      <c r="AR381" s="7"/>
      <c r="AS381" s="7"/>
      <c r="AT381" s="7"/>
      <c r="AU381" s="3"/>
      <c r="AV381" s="3"/>
      <c r="AW381" s="3"/>
      <c r="AX381" s="3"/>
      <c r="AY381" s="3"/>
    </row>
    <row r="382" spans="1:51"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7"/>
      <c r="AK382" s="7"/>
      <c r="AL382" s="7"/>
      <c r="AM382" s="7"/>
      <c r="AN382" s="7"/>
      <c r="AO382" s="7"/>
      <c r="AP382" s="7"/>
      <c r="AQ382" s="7"/>
      <c r="AR382" s="7"/>
      <c r="AS382" s="7"/>
      <c r="AT382" s="7"/>
      <c r="AU382" s="3"/>
      <c r="AV382" s="3"/>
      <c r="AW382" s="3"/>
      <c r="AX382" s="3"/>
      <c r="AY382" s="3"/>
    </row>
    <row r="383" spans="1:51"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7"/>
      <c r="AK383" s="7"/>
      <c r="AL383" s="7"/>
      <c r="AM383" s="7"/>
      <c r="AN383" s="7"/>
      <c r="AO383" s="7"/>
      <c r="AP383" s="7"/>
      <c r="AQ383" s="7"/>
      <c r="AR383" s="7"/>
      <c r="AS383" s="7"/>
      <c r="AT383" s="7"/>
      <c r="AU383" s="3"/>
      <c r="AV383" s="3"/>
      <c r="AW383" s="3"/>
      <c r="AX383" s="3"/>
      <c r="AY383" s="3"/>
    </row>
    <row r="384" spans="1:51"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7"/>
      <c r="AK384" s="7"/>
      <c r="AL384" s="7"/>
      <c r="AM384" s="7"/>
      <c r="AN384" s="7"/>
      <c r="AO384" s="7"/>
      <c r="AP384" s="7"/>
      <c r="AQ384" s="7"/>
      <c r="AR384" s="7"/>
      <c r="AS384" s="7"/>
      <c r="AT384" s="7"/>
      <c r="AU384" s="3"/>
      <c r="AV384" s="3"/>
      <c r="AW384" s="3"/>
      <c r="AX384" s="3"/>
      <c r="AY384" s="3"/>
    </row>
    <row r="385" spans="1:51"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7"/>
      <c r="AK385" s="7"/>
      <c r="AL385" s="7"/>
      <c r="AM385" s="7"/>
      <c r="AN385" s="7"/>
      <c r="AO385" s="7"/>
      <c r="AP385" s="7"/>
      <c r="AQ385" s="7"/>
      <c r="AR385" s="7"/>
      <c r="AS385" s="7"/>
      <c r="AT385" s="7"/>
      <c r="AU385" s="3"/>
      <c r="AV385" s="3"/>
      <c r="AW385" s="3"/>
      <c r="AX385" s="3"/>
      <c r="AY385" s="3"/>
    </row>
    <row r="386" spans="1:51"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7"/>
      <c r="AK386" s="7"/>
      <c r="AL386" s="7"/>
      <c r="AM386" s="7"/>
      <c r="AN386" s="7"/>
      <c r="AO386" s="7"/>
      <c r="AP386" s="7"/>
      <c r="AQ386" s="7"/>
      <c r="AR386" s="7"/>
      <c r="AS386" s="7"/>
      <c r="AT386" s="7"/>
      <c r="AU386" s="3"/>
      <c r="AV386" s="3"/>
      <c r="AW386" s="3"/>
      <c r="AX386" s="3"/>
      <c r="AY386" s="3"/>
    </row>
    <row r="387" spans="1:51"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7"/>
      <c r="AK387" s="7"/>
      <c r="AL387" s="7"/>
      <c r="AM387" s="7"/>
      <c r="AN387" s="7"/>
      <c r="AO387" s="7"/>
      <c r="AP387" s="7"/>
      <c r="AQ387" s="7"/>
      <c r="AR387" s="7"/>
      <c r="AS387" s="7"/>
      <c r="AT387" s="7"/>
      <c r="AU387" s="3"/>
      <c r="AV387" s="3"/>
      <c r="AW387" s="3"/>
      <c r="AX387" s="3"/>
      <c r="AY387" s="3"/>
    </row>
    <row r="388" spans="1:51"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7"/>
      <c r="AK388" s="7"/>
      <c r="AL388" s="7"/>
      <c r="AM388" s="7"/>
      <c r="AN388" s="7"/>
      <c r="AO388" s="7"/>
      <c r="AP388" s="7"/>
      <c r="AQ388" s="7"/>
      <c r="AR388" s="7"/>
      <c r="AS388" s="7"/>
      <c r="AT388" s="7"/>
      <c r="AU388" s="3"/>
      <c r="AV388" s="3"/>
      <c r="AW388" s="3"/>
      <c r="AX388" s="3"/>
      <c r="AY388" s="3"/>
    </row>
    <row r="389" spans="1:51"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7"/>
      <c r="AK389" s="7"/>
      <c r="AL389" s="7"/>
      <c r="AM389" s="7"/>
      <c r="AN389" s="7"/>
      <c r="AO389" s="7"/>
      <c r="AP389" s="7"/>
      <c r="AQ389" s="7"/>
      <c r="AR389" s="7"/>
      <c r="AS389" s="7"/>
      <c r="AT389" s="7"/>
      <c r="AU389" s="3"/>
      <c r="AV389" s="3"/>
      <c r="AW389" s="3"/>
      <c r="AX389" s="3"/>
      <c r="AY389" s="3"/>
    </row>
    <row r="390" spans="1:51"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7"/>
      <c r="AK390" s="7"/>
      <c r="AL390" s="7"/>
      <c r="AM390" s="7"/>
      <c r="AN390" s="7"/>
      <c r="AO390" s="7"/>
      <c r="AP390" s="7"/>
      <c r="AQ390" s="7"/>
      <c r="AR390" s="7"/>
      <c r="AS390" s="7"/>
      <c r="AT390" s="7"/>
      <c r="AU390" s="3"/>
      <c r="AV390" s="3"/>
      <c r="AW390" s="3"/>
      <c r="AX390" s="3"/>
      <c r="AY390" s="3"/>
    </row>
    <row r="391" spans="1:5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7"/>
      <c r="AK391" s="7"/>
      <c r="AL391" s="7"/>
      <c r="AM391" s="7"/>
      <c r="AN391" s="7"/>
      <c r="AO391" s="7"/>
      <c r="AP391" s="7"/>
      <c r="AQ391" s="7"/>
      <c r="AR391" s="7"/>
      <c r="AS391" s="7"/>
      <c r="AT391" s="7"/>
      <c r="AU391" s="3"/>
      <c r="AV391" s="3"/>
      <c r="AW391" s="3"/>
      <c r="AX391" s="3"/>
      <c r="AY391" s="3"/>
    </row>
    <row r="392" spans="1:51"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7"/>
      <c r="AK392" s="7"/>
      <c r="AL392" s="7"/>
      <c r="AM392" s="7"/>
      <c r="AN392" s="7"/>
      <c r="AO392" s="7"/>
      <c r="AP392" s="7"/>
      <c r="AQ392" s="7"/>
      <c r="AR392" s="7"/>
      <c r="AS392" s="7"/>
      <c r="AT392" s="7"/>
      <c r="AU392" s="3"/>
      <c r="AV392" s="3"/>
      <c r="AW392" s="3"/>
      <c r="AX392" s="3"/>
      <c r="AY392" s="3"/>
    </row>
    <row r="393" spans="1:51"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7"/>
      <c r="AK393" s="7"/>
      <c r="AL393" s="7"/>
      <c r="AM393" s="7"/>
      <c r="AN393" s="7"/>
      <c r="AO393" s="7"/>
      <c r="AP393" s="7"/>
      <c r="AQ393" s="7"/>
      <c r="AR393" s="7"/>
      <c r="AS393" s="7"/>
      <c r="AT393" s="7"/>
      <c r="AU393" s="3"/>
      <c r="AV393" s="3"/>
      <c r="AW393" s="3"/>
      <c r="AX393" s="3"/>
      <c r="AY393" s="3"/>
    </row>
    <row r="394" spans="1:51"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7"/>
      <c r="AK394" s="7"/>
      <c r="AL394" s="7"/>
      <c r="AM394" s="7"/>
      <c r="AN394" s="7"/>
      <c r="AO394" s="7"/>
      <c r="AP394" s="7"/>
      <c r="AQ394" s="7"/>
      <c r="AR394" s="7"/>
      <c r="AS394" s="7"/>
      <c r="AT394" s="7"/>
      <c r="AU394" s="3"/>
      <c r="AV394" s="3"/>
      <c r="AW394" s="3"/>
      <c r="AX394" s="3"/>
      <c r="AY394" s="3"/>
    </row>
    <row r="395" spans="1:51"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7"/>
      <c r="AK395" s="7"/>
      <c r="AL395" s="7"/>
      <c r="AM395" s="7"/>
      <c r="AN395" s="7"/>
      <c r="AO395" s="7"/>
      <c r="AP395" s="7"/>
      <c r="AQ395" s="7"/>
      <c r="AR395" s="7"/>
      <c r="AS395" s="7"/>
      <c r="AT395" s="7"/>
      <c r="AU395" s="3"/>
      <c r="AV395" s="3"/>
      <c r="AW395" s="3"/>
      <c r="AX395" s="3"/>
      <c r="AY395" s="3"/>
    </row>
    <row r="396" spans="1:51"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7"/>
      <c r="AK396" s="7"/>
      <c r="AL396" s="7"/>
      <c r="AM396" s="7"/>
      <c r="AN396" s="7"/>
      <c r="AO396" s="7"/>
      <c r="AP396" s="7"/>
      <c r="AQ396" s="7"/>
      <c r="AR396" s="7"/>
      <c r="AS396" s="7"/>
      <c r="AT396" s="7"/>
      <c r="AU396" s="3"/>
      <c r="AV396" s="3"/>
      <c r="AW396" s="3"/>
      <c r="AX396" s="3"/>
      <c r="AY396" s="3"/>
    </row>
    <row r="397" spans="1:51"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7"/>
      <c r="AK397" s="7"/>
      <c r="AL397" s="7"/>
      <c r="AM397" s="7"/>
      <c r="AN397" s="7"/>
      <c r="AO397" s="7"/>
      <c r="AP397" s="7"/>
      <c r="AQ397" s="7"/>
      <c r="AR397" s="7"/>
      <c r="AS397" s="7"/>
      <c r="AT397" s="7"/>
      <c r="AU397" s="3"/>
      <c r="AV397" s="3"/>
      <c r="AW397" s="3"/>
      <c r="AX397" s="3"/>
      <c r="AY397" s="3"/>
    </row>
    <row r="398" spans="1:51"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7"/>
      <c r="AK398" s="7"/>
      <c r="AL398" s="7"/>
      <c r="AM398" s="7"/>
      <c r="AN398" s="7"/>
      <c r="AO398" s="7"/>
      <c r="AP398" s="7"/>
      <c r="AQ398" s="7"/>
      <c r="AR398" s="7"/>
      <c r="AS398" s="7"/>
      <c r="AT398" s="7"/>
      <c r="AU398" s="3"/>
      <c r="AV398" s="3"/>
      <c r="AW398" s="3"/>
      <c r="AX398" s="3"/>
      <c r="AY398" s="3"/>
    </row>
    <row r="399" spans="1:51"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7"/>
      <c r="AK399" s="7"/>
      <c r="AL399" s="7"/>
      <c r="AM399" s="7"/>
      <c r="AN399" s="7"/>
      <c r="AO399" s="7"/>
      <c r="AP399" s="7"/>
      <c r="AQ399" s="7"/>
      <c r="AR399" s="7"/>
      <c r="AS399" s="7"/>
      <c r="AT399" s="7"/>
      <c r="AU399" s="3"/>
      <c r="AV399" s="3"/>
      <c r="AW399" s="3"/>
      <c r="AX399" s="3"/>
      <c r="AY399" s="3"/>
    </row>
    <row r="400" spans="1:51"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7"/>
      <c r="AK400" s="7"/>
      <c r="AL400" s="7"/>
      <c r="AM400" s="7"/>
      <c r="AN400" s="7"/>
      <c r="AO400" s="7"/>
      <c r="AP400" s="7"/>
      <c r="AQ400" s="7"/>
      <c r="AR400" s="7"/>
      <c r="AS400" s="7"/>
      <c r="AT400" s="7"/>
      <c r="AU400" s="3"/>
      <c r="AV400" s="3"/>
      <c r="AW400" s="3"/>
      <c r="AX400" s="3"/>
      <c r="AY400" s="3"/>
    </row>
    <row r="401" spans="1:5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7"/>
      <c r="AK401" s="7"/>
      <c r="AL401" s="7"/>
      <c r="AM401" s="7"/>
      <c r="AN401" s="7"/>
      <c r="AO401" s="7"/>
      <c r="AP401" s="7"/>
      <c r="AQ401" s="7"/>
      <c r="AR401" s="7"/>
      <c r="AS401" s="7"/>
      <c r="AT401" s="7"/>
      <c r="AU401" s="3"/>
      <c r="AV401" s="3"/>
      <c r="AW401" s="3"/>
      <c r="AX401" s="3"/>
      <c r="AY401" s="3"/>
    </row>
    <row r="402" spans="1:51"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7"/>
      <c r="AK402" s="7"/>
      <c r="AL402" s="7"/>
      <c r="AM402" s="7"/>
      <c r="AN402" s="7"/>
      <c r="AO402" s="7"/>
      <c r="AP402" s="7"/>
      <c r="AQ402" s="7"/>
      <c r="AR402" s="7"/>
      <c r="AS402" s="7"/>
      <c r="AT402" s="7"/>
      <c r="AU402" s="3"/>
      <c r="AV402" s="3"/>
      <c r="AW402" s="3"/>
      <c r="AX402" s="3"/>
      <c r="AY402" s="3"/>
    </row>
    <row r="403" spans="1:51"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7"/>
      <c r="AK403" s="7"/>
      <c r="AL403" s="7"/>
      <c r="AM403" s="7"/>
      <c r="AN403" s="7"/>
      <c r="AO403" s="7"/>
      <c r="AP403" s="7"/>
      <c r="AQ403" s="7"/>
      <c r="AR403" s="7"/>
      <c r="AS403" s="7"/>
      <c r="AT403" s="7"/>
      <c r="AU403" s="3"/>
      <c r="AV403" s="3"/>
      <c r="AW403" s="3"/>
      <c r="AX403" s="3"/>
      <c r="AY403" s="3"/>
    </row>
    <row r="404" spans="1:51"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7"/>
      <c r="AK404" s="7"/>
      <c r="AL404" s="7"/>
      <c r="AM404" s="7"/>
      <c r="AN404" s="7"/>
      <c r="AO404" s="7"/>
      <c r="AP404" s="7"/>
      <c r="AQ404" s="7"/>
      <c r="AR404" s="7"/>
      <c r="AS404" s="7"/>
      <c r="AT404" s="7"/>
      <c r="AU404" s="3"/>
      <c r="AV404" s="3"/>
      <c r="AW404" s="3"/>
      <c r="AX404" s="3"/>
      <c r="AY404" s="3"/>
    </row>
    <row r="405" spans="1:51"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7"/>
      <c r="AK405" s="7"/>
      <c r="AL405" s="7"/>
      <c r="AM405" s="7"/>
      <c r="AN405" s="7"/>
      <c r="AO405" s="7"/>
      <c r="AP405" s="7"/>
      <c r="AQ405" s="7"/>
      <c r="AR405" s="7"/>
      <c r="AS405" s="7"/>
      <c r="AT405" s="7"/>
      <c r="AU405" s="3"/>
      <c r="AV405" s="3"/>
      <c r="AW405" s="3"/>
      <c r="AX405" s="3"/>
      <c r="AY405" s="3"/>
    </row>
    <row r="406" spans="1:51"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7"/>
      <c r="AK406" s="7"/>
      <c r="AL406" s="7"/>
      <c r="AM406" s="7"/>
      <c r="AN406" s="7"/>
      <c r="AO406" s="7"/>
      <c r="AP406" s="7"/>
      <c r="AQ406" s="7"/>
      <c r="AR406" s="7"/>
      <c r="AS406" s="7"/>
      <c r="AT406" s="7"/>
      <c r="AU406" s="3"/>
      <c r="AV406" s="3"/>
      <c r="AW406" s="3"/>
      <c r="AX406" s="3"/>
      <c r="AY406" s="3"/>
    </row>
    <row r="407" spans="1:51"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7"/>
      <c r="AK407" s="7"/>
      <c r="AL407" s="7"/>
      <c r="AM407" s="7"/>
      <c r="AN407" s="7"/>
      <c r="AO407" s="7"/>
      <c r="AP407" s="7"/>
      <c r="AQ407" s="7"/>
      <c r="AR407" s="7"/>
      <c r="AS407" s="7"/>
      <c r="AT407" s="7"/>
      <c r="AU407" s="3"/>
      <c r="AV407" s="3"/>
      <c r="AW407" s="3"/>
      <c r="AX407" s="3"/>
      <c r="AY407" s="3"/>
    </row>
    <row r="408" spans="1:51"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7"/>
      <c r="AK408" s="7"/>
      <c r="AL408" s="7"/>
      <c r="AM408" s="7"/>
      <c r="AN408" s="7"/>
      <c r="AO408" s="7"/>
      <c r="AP408" s="7"/>
      <c r="AQ408" s="7"/>
      <c r="AR408" s="7"/>
      <c r="AS408" s="7"/>
      <c r="AT408" s="7"/>
      <c r="AU408" s="3"/>
      <c r="AV408" s="3"/>
      <c r="AW408" s="3"/>
      <c r="AX408" s="3"/>
      <c r="AY408" s="3"/>
    </row>
    <row r="409" spans="1:51"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7"/>
      <c r="AK409" s="7"/>
      <c r="AL409" s="7"/>
      <c r="AM409" s="7"/>
      <c r="AN409" s="7"/>
      <c r="AO409" s="7"/>
      <c r="AP409" s="7"/>
      <c r="AQ409" s="7"/>
      <c r="AR409" s="7"/>
      <c r="AS409" s="7"/>
      <c r="AT409" s="7"/>
      <c r="AU409" s="3"/>
      <c r="AV409" s="3"/>
      <c r="AW409" s="3"/>
      <c r="AX409" s="3"/>
      <c r="AY409" s="3"/>
    </row>
    <row r="410" spans="1:51"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7"/>
      <c r="AK410" s="7"/>
      <c r="AL410" s="7"/>
      <c r="AM410" s="7"/>
      <c r="AN410" s="7"/>
      <c r="AO410" s="7"/>
      <c r="AP410" s="7"/>
      <c r="AQ410" s="7"/>
      <c r="AR410" s="7"/>
      <c r="AS410" s="7"/>
      <c r="AT410" s="7"/>
      <c r="AU410" s="3"/>
      <c r="AV410" s="3"/>
      <c r="AW410" s="3"/>
      <c r="AX410" s="3"/>
      <c r="AY410" s="3"/>
    </row>
    <row r="411" spans="1:5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7"/>
      <c r="AK411" s="7"/>
      <c r="AL411" s="7"/>
      <c r="AM411" s="7"/>
      <c r="AN411" s="7"/>
      <c r="AO411" s="7"/>
      <c r="AP411" s="7"/>
      <c r="AQ411" s="7"/>
      <c r="AR411" s="7"/>
      <c r="AS411" s="7"/>
      <c r="AT411" s="7"/>
      <c r="AU411" s="3"/>
      <c r="AV411" s="3"/>
      <c r="AW411" s="3"/>
      <c r="AX411" s="3"/>
      <c r="AY411" s="3"/>
    </row>
    <row r="412" spans="1:51"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7"/>
      <c r="AK412" s="7"/>
      <c r="AL412" s="7"/>
      <c r="AM412" s="7"/>
      <c r="AN412" s="7"/>
      <c r="AO412" s="7"/>
      <c r="AP412" s="7"/>
      <c r="AQ412" s="7"/>
      <c r="AR412" s="7"/>
      <c r="AS412" s="7"/>
      <c r="AT412" s="7"/>
      <c r="AU412" s="3"/>
      <c r="AV412" s="3"/>
      <c r="AW412" s="3"/>
      <c r="AX412" s="3"/>
      <c r="AY412" s="3"/>
    </row>
    <row r="413" spans="1:51"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7"/>
      <c r="AK413" s="7"/>
      <c r="AL413" s="7"/>
      <c r="AM413" s="7"/>
      <c r="AN413" s="7"/>
      <c r="AO413" s="7"/>
      <c r="AP413" s="7"/>
      <c r="AQ413" s="7"/>
      <c r="AR413" s="7"/>
      <c r="AS413" s="7"/>
      <c r="AT413" s="7"/>
      <c r="AU413" s="3"/>
      <c r="AV413" s="3"/>
      <c r="AW413" s="3"/>
      <c r="AX413" s="3"/>
      <c r="AY413" s="3"/>
    </row>
    <row r="414" spans="1:51"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7"/>
      <c r="AK414" s="7"/>
      <c r="AL414" s="7"/>
      <c r="AM414" s="7"/>
      <c r="AN414" s="7"/>
      <c r="AO414" s="7"/>
      <c r="AP414" s="7"/>
      <c r="AQ414" s="7"/>
      <c r="AR414" s="7"/>
      <c r="AS414" s="7"/>
      <c r="AT414" s="7"/>
      <c r="AU414" s="3"/>
      <c r="AV414" s="3"/>
      <c r="AW414" s="3"/>
      <c r="AX414" s="3"/>
      <c r="AY414" s="3"/>
    </row>
    <row r="415" spans="1:51"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7"/>
      <c r="AK415" s="7"/>
      <c r="AL415" s="7"/>
      <c r="AM415" s="7"/>
      <c r="AN415" s="7"/>
      <c r="AO415" s="7"/>
      <c r="AP415" s="7"/>
      <c r="AQ415" s="7"/>
      <c r="AR415" s="7"/>
      <c r="AS415" s="7"/>
      <c r="AT415" s="7"/>
      <c r="AU415" s="3"/>
      <c r="AV415" s="3"/>
      <c r="AW415" s="3"/>
      <c r="AX415" s="3"/>
      <c r="AY415" s="3"/>
    </row>
    <row r="416" spans="1:51"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7"/>
      <c r="AK416" s="7"/>
      <c r="AL416" s="7"/>
      <c r="AM416" s="7"/>
      <c r="AN416" s="7"/>
      <c r="AO416" s="7"/>
      <c r="AP416" s="7"/>
      <c r="AQ416" s="7"/>
      <c r="AR416" s="7"/>
      <c r="AS416" s="7"/>
      <c r="AT416" s="7"/>
      <c r="AU416" s="3"/>
      <c r="AV416" s="3"/>
      <c r="AW416" s="3"/>
      <c r="AX416" s="3"/>
      <c r="AY416" s="3"/>
    </row>
    <row r="417" spans="1:51"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7"/>
      <c r="AK417" s="7"/>
      <c r="AL417" s="7"/>
      <c r="AM417" s="7"/>
      <c r="AN417" s="7"/>
      <c r="AO417" s="7"/>
      <c r="AP417" s="7"/>
      <c r="AQ417" s="7"/>
      <c r="AR417" s="7"/>
      <c r="AS417" s="7"/>
      <c r="AT417" s="7"/>
      <c r="AU417" s="3"/>
      <c r="AV417" s="3"/>
      <c r="AW417" s="3"/>
      <c r="AX417" s="3"/>
      <c r="AY417" s="3"/>
    </row>
    <row r="418" spans="1:51"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7"/>
      <c r="AK418" s="7"/>
      <c r="AL418" s="7"/>
      <c r="AM418" s="7"/>
      <c r="AN418" s="7"/>
      <c r="AO418" s="7"/>
      <c r="AP418" s="7"/>
      <c r="AQ418" s="7"/>
      <c r="AR418" s="7"/>
      <c r="AS418" s="7"/>
      <c r="AT418" s="7"/>
      <c r="AU418" s="3"/>
      <c r="AV418" s="3"/>
      <c r="AW418" s="3"/>
      <c r="AX418" s="3"/>
      <c r="AY418" s="3"/>
    </row>
    <row r="419" spans="1:51"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7"/>
      <c r="AK419" s="7"/>
      <c r="AL419" s="7"/>
      <c r="AM419" s="7"/>
      <c r="AN419" s="7"/>
      <c r="AO419" s="7"/>
      <c r="AP419" s="7"/>
      <c r="AQ419" s="7"/>
      <c r="AR419" s="7"/>
      <c r="AS419" s="7"/>
      <c r="AT419" s="7"/>
      <c r="AU419" s="3"/>
      <c r="AV419" s="3"/>
      <c r="AW419" s="3"/>
      <c r="AX419" s="3"/>
      <c r="AY419" s="3"/>
    </row>
    <row r="420" spans="1:51"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7"/>
      <c r="AK420" s="7"/>
      <c r="AL420" s="7"/>
      <c r="AM420" s="7"/>
      <c r="AN420" s="7"/>
      <c r="AO420" s="7"/>
      <c r="AP420" s="7"/>
      <c r="AQ420" s="7"/>
      <c r="AR420" s="7"/>
      <c r="AS420" s="7"/>
      <c r="AT420" s="7"/>
      <c r="AU420" s="3"/>
      <c r="AV420" s="3"/>
      <c r="AW420" s="3"/>
      <c r="AX420" s="3"/>
      <c r="AY420" s="3"/>
    </row>
    <row r="421" spans="1:5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7"/>
      <c r="AK421" s="7"/>
      <c r="AL421" s="7"/>
      <c r="AM421" s="7"/>
      <c r="AN421" s="7"/>
      <c r="AO421" s="7"/>
      <c r="AP421" s="7"/>
      <c r="AQ421" s="7"/>
      <c r="AR421" s="7"/>
      <c r="AS421" s="7"/>
      <c r="AT421" s="7"/>
      <c r="AU421" s="3"/>
      <c r="AV421" s="3"/>
      <c r="AW421" s="3"/>
      <c r="AX421" s="3"/>
      <c r="AY421" s="3"/>
    </row>
    <row r="422" spans="1:51"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7"/>
      <c r="AK422" s="7"/>
      <c r="AL422" s="7"/>
      <c r="AM422" s="7"/>
      <c r="AN422" s="7"/>
      <c r="AO422" s="7"/>
      <c r="AP422" s="7"/>
      <c r="AQ422" s="7"/>
      <c r="AR422" s="7"/>
      <c r="AS422" s="7"/>
      <c r="AT422" s="7"/>
      <c r="AU422" s="3"/>
      <c r="AV422" s="3"/>
      <c r="AW422" s="3"/>
      <c r="AX422" s="3"/>
      <c r="AY422" s="3"/>
    </row>
    <row r="423" spans="1:51"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7"/>
      <c r="AK423" s="7"/>
      <c r="AL423" s="7"/>
      <c r="AM423" s="7"/>
      <c r="AN423" s="7"/>
      <c r="AO423" s="7"/>
      <c r="AP423" s="7"/>
      <c r="AQ423" s="7"/>
      <c r="AR423" s="7"/>
      <c r="AS423" s="7"/>
      <c r="AT423" s="7"/>
      <c r="AU423" s="3"/>
      <c r="AV423" s="3"/>
      <c r="AW423" s="3"/>
      <c r="AX423" s="3"/>
      <c r="AY423" s="3"/>
    </row>
    <row r="424" spans="1:51"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7"/>
      <c r="AK424" s="7"/>
      <c r="AL424" s="7"/>
      <c r="AM424" s="7"/>
      <c r="AN424" s="7"/>
      <c r="AO424" s="7"/>
      <c r="AP424" s="7"/>
      <c r="AQ424" s="7"/>
      <c r="AR424" s="7"/>
      <c r="AS424" s="7"/>
      <c r="AT424" s="7"/>
      <c r="AU424" s="3"/>
      <c r="AV424" s="3"/>
      <c r="AW424" s="3"/>
      <c r="AX424" s="3"/>
      <c r="AY424" s="3"/>
    </row>
    <row r="425" spans="1:51"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7"/>
      <c r="AK425" s="7"/>
      <c r="AL425" s="7"/>
      <c r="AM425" s="7"/>
      <c r="AN425" s="7"/>
      <c r="AO425" s="7"/>
      <c r="AP425" s="7"/>
      <c r="AQ425" s="7"/>
      <c r="AR425" s="7"/>
      <c r="AS425" s="7"/>
      <c r="AT425" s="7"/>
      <c r="AU425" s="3"/>
      <c r="AV425" s="3"/>
      <c r="AW425" s="3"/>
      <c r="AX425" s="3"/>
      <c r="AY425" s="3"/>
    </row>
    <row r="426" spans="1:51"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7"/>
      <c r="AK426" s="7"/>
      <c r="AL426" s="7"/>
      <c r="AM426" s="7"/>
      <c r="AN426" s="7"/>
      <c r="AO426" s="7"/>
      <c r="AP426" s="7"/>
      <c r="AQ426" s="7"/>
      <c r="AR426" s="7"/>
      <c r="AS426" s="7"/>
      <c r="AT426" s="7"/>
      <c r="AU426" s="3"/>
      <c r="AV426" s="3"/>
      <c r="AW426" s="3"/>
      <c r="AX426" s="3"/>
      <c r="AY426" s="3"/>
    </row>
    <row r="427" spans="1:51"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7"/>
      <c r="AK427" s="7"/>
      <c r="AL427" s="7"/>
      <c r="AM427" s="7"/>
      <c r="AN427" s="7"/>
      <c r="AO427" s="7"/>
      <c r="AP427" s="7"/>
      <c r="AQ427" s="7"/>
      <c r="AR427" s="7"/>
      <c r="AS427" s="7"/>
      <c r="AT427" s="7"/>
      <c r="AU427" s="3"/>
      <c r="AV427" s="3"/>
      <c r="AW427" s="3"/>
      <c r="AX427" s="3"/>
      <c r="AY427" s="3"/>
    </row>
    <row r="428" spans="1:51"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7"/>
      <c r="AK428" s="7"/>
      <c r="AL428" s="7"/>
      <c r="AM428" s="7"/>
      <c r="AN428" s="7"/>
      <c r="AO428" s="7"/>
      <c r="AP428" s="7"/>
      <c r="AQ428" s="7"/>
      <c r="AR428" s="7"/>
      <c r="AS428" s="7"/>
      <c r="AT428" s="7"/>
      <c r="AU428" s="3"/>
      <c r="AV428" s="3"/>
      <c r="AW428" s="3"/>
      <c r="AX428" s="3"/>
      <c r="AY428" s="3"/>
    </row>
    <row r="429" spans="1:51"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7"/>
      <c r="AK429" s="7"/>
      <c r="AL429" s="7"/>
      <c r="AM429" s="7"/>
      <c r="AN429" s="7"/>
      <c r="AO429" s="7"/>
      <c r="AP429" s="7"/>
      <c r="AQ429" s="7"/>
      <c r="AR429" s="7"/>
      <c r="AS429" s="7"/>
      <c r="AT429" s="7"/>
      <c r="AU429" s="3"/>
      <c r="AV429" s="3"/>
      <c r="AW429" s="3"/>
      <c r="AX429" s="3"/>
      <c r="AY429" s="3"/>
    </row>
    <row r="430" spans="1:51"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7"/>
      <c r="AK430" s="7"/>
      <c r="AL430" s="7"/>
      <c r="AM430" s="7"/>
      <c r="AN430" s="7"/>
      <c r="AO430" s="7"/>
      <c r="AP430" s="7"/>
      <c r="AQ430" s="7"/>
      <c r="AR430" s="7"/>
      <c r="AS430" s="7"/>
      <c r="AT430" s="7"/>
      <c r="AU430" s="3"/>
      <c r="AV430" s="3"/>
      <c r="AW430" s="3"/>
      <c r="AX430" s="3"/>
      <c r="AY430" s="3"/>
    </row>
    <row r="431" spans="1:5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7"/>
      <c r="AK431" s="7"/>
      <c r="AL431" s="7"/>
      <c r="AM431" s="7"/>
      <c r="AN431" s="7"/>
      <c r="AO431" s="7"/>
      <c r="AP431" s="7"/>
      <c r="AQ431" s="7"/>
      <c r="AR431" s="7"/>
      <c r="AS431" s="7"/>
      <c r="AT431" s="7"/>
      <c r="AU431" s="3"/>
      <c r="AV431" s="3"/>
      <c r="AW431" s="3"/>
      <c r="AX431" s="3"/>
      <c r="AY431" s="3"/>
    </row>
    <row r="432" spans="1:51"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7"/>
      <c r="AK432" s="7"/>
      <c r="AL432" s="7"/>
      <c r="AM432" s="7"/>
      <c r="AN432" s="7"/>
      <c r="AO432" s="7"/>
      <c r="AP432" s="7"/>
      <c r="AQ432" s="7"/>
      <c r="AR432" s="7"/>
      <c r="AS432" s="7"/>
      <c r="AT432" s="7"/>
      <c r="AU432" s="3"/>
      <c r="AV432" s="3"/>
      <c r="AW432" s="3"/>
      <c r="AX432" s="3"/>
      <c r="AY432" s="3"/>
    </row>
    <row r="433" spans="1:51"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7"/>
      <c r="AK433" s="7"/>
      <c r="AL433" s="7"/>
      <c r="AM433" s="7"/>
      <c r="AN433" s="7"/>
      <c r="AO433" s="7"/>
      <c r="AP433" s="7"/>
      <c r="AQ433" s="7"/>
      <c r="AR433" s="7"/>
      <c r="AS433" s="7"/>
      <c r="AT433" s="7"/>
      <c r="AU433" s="3"/>
      <c r="AV433" s="3"/>
      <c r="AW433" s="3"/>
      <c r="AX433" s="3"/>
      <c r="AY433" s="3"/>
    </row>
    <row r="434" spans="1:51"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7"/>
      <c r="AK434" s="7"/>
      <c r="AL434" s="7"/>
      <c r="AM434" s="7"/>
      <c r="AN434" s="7"/>
      <c r="AO434" s="7"/>
      <c r="AP434" s="7"/>
      <c r="AQ434" s="7"/>
      <c r="AR434" s="7"/>
      <c r="AS434" s="7"/>
      <c r="AT434" s="7"/>
      <c r="AU434" s="3"/>
      <c r="AV434" s="3"/>
      <c r="AW434" s="3"/>
      <c r="AX434" s="3"/>
      <c r="AY434" s="3"/>
    </row>
    <row r="435" spans="1:51"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7"/>
      <c r="AK435" s="7"/>
      <c r="AL435" s="7"/>
      <c r="AM435" s="7"/>
      <c r="AN435" s="7"/>
      <c r="AO435" s="7"/>
      <c r="AP435" s="7"/>
      <c r="AQ435" s="7"/>
      <c r="AR435" s="7"/>
      <c r="AS435" s="7"/>
      <c r="AT435" s="7"/>
      <c r="AU435" s="3"/>
      <c r="AV435" s="3"/>
      <c r="AW435" s="3"/>
      <c r="AX435" s="3"/>
      <c r="AY435" s="3"/>
    </row>
    <row r="436" spans="1:51"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7"/>
      <c r="AK436" s="7"/>
      <c r="AL436" s="7"/>
      <c r="AM436" s="7"/>
      <c r="AN436" s="7"/>
      <c r="AO436" s="7"/>
      <c r="AP436" s="7"/>
      <c r="AQ436" s="7"/>
      <c r="AR436" s="7"/>
      <c r="AS436" s="7"/>
      <c r="AT436" s="7"/>
      <c r="AU436" s="3"/>
      <c r="AV436" s="3"/>
      <c r="AW436" s="3"/>
      <c r="AX436" s="3"/>
      <c r="AY436" s="3"/>
    </row>
    <row r="437" spans="1:51"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7"/>
      <c r="AK437" s="7"/>
      <c r="AL437" s="7"/>
      <c r="AM437" s="7"/>
      <c r="AN437" s="7"/>
      <c r="AO437" s="7"/>
      <c r="AP437" s="7"/>
      <c r="AQ437" s="7"/>
      <c r="AR437" s="7"/>
      <c r="AS437" s="7"/>
      <c r="AT437" s="7"/>
      <c r="AU437" s="3"/>
      <c r="AV437" s="3"/>
      <c r="AW437" s="3"/>
      <c r="AX437" s="3"/>
      <c r="AY437" s="3"/>
    </row>
    <row r="438" spans="1:51"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7"/>
      <c r="AK438" s="7"/>
      <c r="AL438" s="7"/>
      <c r="AM438" s="7"/>
      <c r="AN438" s="7"/>
      <c r="AO438" s="7"/>
      <c r="AP438" s="7"/>
      <c r="AQ438" s="7"/>
      <c r="AR438" s="7"/>
      <c r="AS438" s="7"/>
      <c r="AT438" s="7"/>
      <c r="AU438" s="3"/>
      <c r="AV438" s="3"/>
      <c r="AW438" s="3"/>
      <c r="AX438" s="3"/>
      <c r="AY438" s="3"/>
    </row>
    <row r="439" spans="1:51"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7"/>
      <c r="AK439" s="7"/>
      <c r="AL439" s="7"/>
      <c r="AM439" s="7"/>
      <c r="AN439" s="7"/>
      <c r="AO439" s="7"/>
      <c r="AP439" s="7"/>
      <c r="AQ439" s="7"/>
      <c r="AR439" s="7"/>
      <c r="AS439" s="7"/>
      <c r="AT439" s="7"/>
      <c r="AU439" s="3"/>
      <c r="AV439" s="3"/>
      <c r="AW439" s="3"/>
      <c r="AX439" s="3"/>
      <c r="AY439" s="3"/>
    </row>
    <row r="440" spans="1:51"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7"/>
      <c r="AK440" s="7"/>
      <c r="AL440" s="7"/>
      <c r="AM440" s="7"/>
      <c r="AN440" s="7"/>
      <c r="AO440" s="7"/>
      <c r="AP440" s="7"/>
      <c r="AQ440" s="7"/>
      <c r="AR440" s="7"/>
      <c r="AS440" s="7"/>
      <c r="AT440" s="7"/>
      <c r="AU440" s="3"/>
      <c r="AV440" s="3"/>
      <c r="AW440" s="3"/>
      <c r="AX440" s="3"/>
      <c r="AY440" s="3"/>
    </row>
    <row r="441" spans="1:5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7"/>
      <c r="AK441" s="7"/>
      <c r="AL441" s="7"/>
      <c r="AM441" s="7"/>
      <c r="AN441" s="7"/>
      <c r="AO441" s="7"/>
      <c r="AP441" s="7"/>
      <c r="AQ441" s="7"/>
      <c r="AR441" s="7"/>
      <c r="AS441" s="7"/>
      <c r="AT441" s="7"/>
      <c r="AU441" s="3"/>
      <c r="AV441" s="3"/>
      <c r="AW441" s="3"/>
      <c r="AX441" s="3"/>
      <c r="AY441" s="3"/>
    </row>
    <row r="442" spans="1:51"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7"/>
      <c r="AK442" s="7"/>
      <c r="AL442" s="7"/>
      <c r="AM442" s="7"/>
      <c r="AN442" s="7"/>
      <c r="AO442" s="7"/>
      <c r="AP442" s="7"/>
      <c r="AQ442" s="7"/>
      <c r="AR442" s="7"/>
      <c r="AS442" s="7"/>
      <c r="AT442" s="7"/>
      <c r="AU442" s="3"/>
      <c r="AV442" s="3"/>
      <c r="AW442" s="3"/>
      <c r="AX442" s="3"/>
      <c r="AY442" s="3"/>
    </row>
    <row r="443" spans="1:51"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7"/>
      <c r="AK443" s="7"/>
      <c r="AL443" s="7"/>
      <c r="AM443" s="7"/>
      <c r="AN443" s="7"/>
      <c r="AO443" s="7"/>
      <c r="AP443" s="7"/>
      <c r="AQ443" s="7"/>
      <c r="AR443" s="7"/>
      <c r="AS443" s="7"/>
      <c r="AT443" s="7"/>
      <c r="AU443" s="3"/>
      <c r="AV443" s="3"/>
      <c r="AW443" s="3"/>
      <c r="AX443" s="3"/>
      <c r="AY443" s="3"/>
    </row>
    <row r="444" spans="1:51"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7"/>
      <c r="AK444" s="7"/>
      <c r="AL444" s="7"/>
      <c r="AM444" s="7"/>
      <c r="AN444" s="7"/>
      <c r="AO444" s="7"/>
      <c r="AP444" s="7"/>
      <c r="AQ444" s="7"/>
      <c r="AR444" s="7"/>
      <c r="AS444" s="7"/>
      <c r="AT444" s="7"/>
      <c r="AU444" s="3"/>
      <c r="AV444" s="3"/>
      <c r="AW444" s="3"/>
      <c r="AX444" s="3"/>
      <c r="AY444" s="3"/>
    </row>
    <row r="445" spans="1:51"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7"/>
      <c r="AK445" s="7"/>
      <c r="AL445" s="7"/>
      <c r="AM445" s="7"/>
      <c r="AN445" s="7"/>
      <c r="AO445" s="7"/>
      <c r="AP445" s="7"/>
      <c r="AQ445" s="7"/>
      <c r="AR445" s="7"/>
      <c r="AS445" s="7"/>
      <c r="AT445" s="7"/>
      <c r="AU445" s="3"/>
      <c r="AV445" s="3"/>
      <c r="AW445" s="3"/>
      <c r="AX445" s="3"/>
      <c r="AY445" s="3"/>
    </row>
    <row r="446" spans="1:51"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7"/>
      <c r="AK446" s="7"/>
      <c r="AL446" s="7"/>
      <c r="AM446" s="7"/>
      <c r="AN446" s="7"/>
      <c r="AO446" s="7"/>
      <c r="AP446" s="7"/>
      <c r="AQ446" s="7"/>
      <c r="AR446" s="7"/>
      <c r="AS446" s="7"/>
      <c r="AT446" s="7"/>
      <c r="AU446" s="3"/>
      <c r="AV446" s="3"/>
      <c r="AW446" s="3"/>
      <c r="AX446" s="3"/>
      <c r="AY446" s="3"/>
    </row>
    <row r="447" spans="1:51"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7"/>
      <c r="AK447" s="7"/>
      <c r="AL447" s="7"/>
      <c r="AM447" s="7"/>
      <c r="AN447" s="7"/>
      <c r="AO447" s="7"/>
      <c r="AP447" s="7"/>
      <c r="AQ447" s="7"/>
      <c r="AR447" s="7"/>
      <c r="AS447" s="7"/>
      <c r="AT447" s="7"/>
      <c r="AU447" s="3"/>
      <c r="AV447" s="3"/>
      <c r="AW447" s="3"/>
      <c r="AX447" s="3"/>
      <c r="AY447" s="3"/>
    </row>
    <row r="448" spans="1:51"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7"/>
      <c r="AK448" s="7"/>
      <c r="AL448" s="7"/>
      <c r="AM448" s="7"/>
      <c r="AN448" s="7"/>
      <c r="AO448" s="7"/>
      <c r="AP448" s="7"/>
      <c r="AQ448" s="7"/>
      <c r="AR448" s="7"/>
      <c r="AS448" s="7"/>
      <c r="AT448" s="7"/>
      <c r="AU448" s="3"/>
      <c r="AV448" s="3"/>
      <c r="AW448" s="3"/>
      <c r="AX448" s="3"/>
      <c r="AY448" s="3"/>
    </row>
    <row r="449" spans="1:51"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7"/>
      <c r="AK449" s="7"/>
      <c r="AL449" s="7"/>
      <c r="AM449" s="7"/>
      <c r="AN449" s="7"/>
      <c r="AO449" s="7"/>
      <c r="AP449" s="7"/>
      <c r="AQ449" s="7"/>
      <c r="AR449" s="7"/>
      <c r="AS449" s="7"/>
      <c r="AT449" s="7"/>
      <c r="AU449" s="3"/>
      <c r="AV449" s="3"/>
      <c r="AW449" s="3"/>
      <c r="AX449" s="3"/>
      <c r="AY449" s="3"/>
    </row>
    <row r="450" spans="1:51"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7"/>
      <c r="AK450" s="7"/>
      <c r="AL450" s="7"/>
      <c r="AM450" s="7"/>
      <c r="AN450" s="7"/>
      <c r="AO450" s="7"/>
      <c r="AP450" s="7"/>
      <c r="AQ450" s="7"/>
      <c r="AR450" s="7"/>
      <c r="AS450" s="7"/>
      <c r="AT450" s="7"/>
      <c r="AU450" s="3"/>
      <c r="AV450" s="3"/>
      <c r="AW450" s="3"/>
      <c r="AX450" s="3"/>
      <c r="AY450" s="3"/>
    </row>
    <row r="451" spans="1: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7"/>
      <c r="AK451" s="7"/>
      <c r="AL451" s="7"/>
      <c r="AM451" s="7"/>
      <c r="AN451" s="7"/>
      <c r="AO451" s="7"/>
      <c r="AP451" s="7"/>
      <c r="AQ451" s="7"/>
      <c r="AR451" s="7"/>
      <c r="AS451" s="7"/>
      <c r="AT451" s="7"/>
      <c r="AU451" s="3"/>
      <c r="AV451" s="3"/>
      <c r="AW451" s="3"/>
      <c r="AX451" s="3"/>
      <c r="AY451" s="3"/>
    </row>
    <row r="452" spans="1:51"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7"/>
      <c r="AK452" s="7"/>
      <c r="AL452" s="7"/>
      <c r="AM452" s="7"/>
      <c r="AN452" s="7"/>
      <c r="AO452" s="7"/>
      <c r="AP452" s="7"/>
      <c r="AQ452" s="7"/>
      <c r="AR452" s="7"/>
      <c r="AS452" s="7"/>
      <c r="AT452" s="7"/>
      <c r="AU452" s="3"/>
      <c r="AV452" s="3"/>
      <c r="AW452" s="3"/>
      <c r="AX452" s="3"/>
      <c r="AY452" s="3"/>
    </row>
    <row r="453" spans="1:51"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7"/>
      <c r="AK453" s="7"/>
      <c r="AL453" s="7"/>
      <c r="AM453" s="7"/>
      <c r="AN453" s="7"/>
      <c r="AO453" s="7"/>
      <c r="AP453" s="7"/>
      <c r="AQ453" s="7"/>
      <c r="AR453" s="7"/>
      <c r="AS453" s="7"/>
      <c r="AT453" s="7"/>
      <c r="AU453" s="3"/>
      <c r="AV453" s="3"/>
      <c r="AW453" s="3"/>
      <c r="AX453" s="3"/>
      <c r="AY453" s="3"/>
    </row>
    <row r="454" spans="1:51"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7"/>
      <c r="AK454" s="7"/>
      <c r="AL454" s="7"/>
      <c r="AM454" s="7"/>
      <c r="AN454" s="7"/>
      <c r="AO454" s="7"/>
      <c r="AP454" s="7"/>
      <c r="AQ454" s="7"/>
      <c r="AR454" s="7"/>
      <c r="AS454" s="7"/>
      <c r="AT454" s="7"/>
      <c r="AU454" s="3"/>
      <c r="AV454" s="3"/>
      <c r="AW454" s="3"/>
      <c r="AX454" s="3"/>
      <c r="AY454" s="3"/>
    </row>
    <row r="455" spans="1:51"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7"/>
      <c r="AK455" s="7"/>
      <c r="AL455" s="7"/>
      <c r="AM455" s="7"/>
      <c r="AN455" s="7"/>
      <c r="AO455" s="7"/>
      <c r="AP455" s="7"/>
      <c r="AQ455" s="7"/>
      <c r="AR455" s="7"/>
      <c r="AS455" s="7"/>
      <c r="AT455" s="7"/>
      <c r="AU455" s="3"/>
      <c r="AV455" s="3"/>
      <c r="AW455" s="3"/>
      <c r="AX455" s="3"/>
      <c r="AY455" s="3"/>
    </row>
    <row r="456" spans="1:51"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7"/>
      <c r="AK456" s="7"/>
      <c r="AL456" s="7"/>
      <c r="AM456" s="7"/>
      <c r="AN456" s="7"/>
      <c r="AO456" s="7"/>
      <c r="AP456" s="7"/>
      <c r="AQ456" s="7"/>
      <c r="AR456" s="7"/>
      <c r="AS456" s="7"/>
      <c r="AT456" s="7"/>
      <c r="AU456" s="3"/>
      <c r="AV456" s="3"/>
      <c r="AW456" s="3"/>
      <c r="AX456" s="3"/>
      <c r="AY456" s="3"/>
    </row>
    <row r="457" spans="1:51"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7"/>
      <c r="AK457" s="7"/>
      <c r="AL457" s="7"/>
      <c r="AM457" s="7"/>
      <c r="AN457" s="7"/>
      <c r="AO457" s="7"/>
      <c r="AP457" s="7"/>
      <c r="AQ457" s="7"/>
      <c r="AR457" s="7"/>
      <c r="AS457" s="7"/>
      <c r="AT457" s="7"/>
      <c r="AU457" s="3"/>
      <c r="AV457" s="3"/>
      <c r="AW457" s="3"/>
      <c r="AX457" s="3"/>
      <c r="AY457" s="3"/>
    </row>
    <row r="458" spans="1:51"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7"/>
      <c r="AK458" s="7"/>
      <c r="AL458" s="7"/>
      <c r="AM458" s="7"/>
      <c r="AN458" s="7"/>
      <c r="AO458" s="7"/>
      <c r="AP458" s="7"/>
      <c r="AQ458" s="7"/>
      <c r="AR458" s="7"/>
      <c r="AS458" s="7"/>
      <c r="AT458" s="7"/>
      <c r="AU458" s="3"/>
      <c r="AV458" s="3"/>
      <c r="AW458" s="3"/>
      <c r="AX458" s="3"/>
      <c r="AY458" s="3"/>
    </row>
    <row r="459" spans="1:51"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7"/>
      <c r="AK459" s="7"/>
      <c r="AL459" s="7"/>
      <c r="AM459" s="7"/>
      <c r="AN459" s="7"/>
      <c r="AO459" s="7"/>
      <c r="AP459" s="7"/>
      <c r="AQ459" s="7"/>
      <c r="AR459" s="7"/>
      <c r="AS459" s="7"/>
      <c r="AT459" s="7"/>
      <c r="AU459" s="3"/>
      <c r="AV459" s="3"/>
      <c r="AW459" s="3"/>
      <c r="AX459" s="3"/>
      <c r="AY459" s="3"/>
    </row>
    <row r="460" spans="1:51"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7"/>
      <c r="AK460" s="7"/>
      <c r="AL460" s="7"/>
      <c r="AM460" s="7"/>
      <c r="AN460" s="7"/>
      <c r="AO460" s="7"/>
      <c r="AP460" s="7"/>
      <c r="AQ460" s="7"/>
      <c r="AR460" s="7"/>
      <c r="AS460" s="7"/>
      <c r="AT460" s="7"/>
      <c r="AU460" s="3"/>
      <c r="AV460" s="3"/>
      <c r="AW460" s="3"/>
      <c r="AX460" s="3"/>
      <c r="AY460" s="3"/>
    </row>
    <row r="461" spans="1:5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7"/>
      <c r="AK461" s="7"/>
      <c r="AL461" s="7"/>
      <c r="AM461" s="7"/>
      <c r="AN461" s="7"/>
      <c r="AO461" s="7"/>
      <c r="AP461" s="7"/>
      <c r="AQ461" s="7"/>
      <c r="AR461" s="7"/>
      <c r="AS461" s="7"/>
      <c r="AT461" s="7"/>
      <c r="AU461" s="3"/>
      <c r="AV461" s="3"/>
      <c r="AW461" s="3"/>
      <c r="AX461" s="3"/>
      <c r="AY461" s="3"/>
    </row>
    <row r="462" spans="1:51"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7"/>
      <c r="AK462" s="7"/>
      <c r="AL462" s="7"/>
      <c r="AM462" s="7"/>
      <c r="AN462" s="7"/>
      <c r="AO462" s="7"/>
      <c r="AP462" s="7"/>
      <c r="AQ462" s="7"/>
      <c r="AR462" s="7"/>
      <c r="AS462" s="7"/>
      <c r="AT462" s="7"/>
      <c r="AU462" s="3"/>
      <c r="AV462" s="3"/>
      <c r="AW462" s="3"/>
      <c r="AX462" s="3"/>
      <c r="AY462" s="3"/>
    </row>
    <row r="463" spans="1:51"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7"/>
      <c r="AK463" s="7"/>
      <c r="AL463" s="7"/>
      <c r="AM463" s="7"/>
      <c r="AN463" s="7"/>
      <c r="AO463" s="7"/>
      <c r="AP463" s="7"/>
      <c r="AQ463" s="7"/>
      <c r="AR463" s="7"/>
      <c r="AS463" s="7"/>
      <c r="AT463" s="7"/>
      <c r="AU463" s="3"/>
      <c r="AV463" s="3"/>
      <c r="AW463" s="3"/>
      <c r="AX463" s="3"/>
      <c r="AY463" s="3"/>
    </row>
    <row r="464" spans="1:51"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7"/>
      <c r="AK464" s="7"/>
      <c r="AL464" s="7"/>
      <c r="AM464" s="7"/>
      <c r="AN464" s="7"/>
      <c r="AO464" s="7"/>
      <c r="AP464" s="7"/>
      <c r="AQ464" s="7"/>
      <c r="AR464" s="7"/>
      <c r="AS464" s="7"/>
      <c r="AT464" s="7"/>
      <c r="AU464" s="3"/>
      <c r="AV464" s="3"/>
      <c r="AW464" s="3"/>
      <c r="AX464" s="3"/>
      <c r="AY464" s="3"/>
    </row>
    <row r="465" spans="1:51"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7"/>
      <c r="AK465" s="7"/>
      <c r="AL465" s="7"/>
      <c r="AM465" s="7"/>
      <c r="AN465" s="7"/>
      <c r="AO465" s="7"/>
      <c r="AP465" s="7"/>
      <c r="AQ465" s="7"/>
      <c r="AR465" s="7"/>
      <c r="AS465" s="7"/>
      <c r="AT465" s="7"/>
      <c r="AU465" s="3"/>
      <c r="AV465" s="3"/>
      <c r="AW465" s="3"/>
      <c r="AX465" s="3"/>
      <c r="AY465" s="3"/>
    </row>
    <row r="466" spans="1:51"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7"/>
      <c r="AK466" s="7"/>
      <c r="AL466" s="7"/>
      <c r="AM466" s="7"/>
      <c r="AN466" s="7"/>
      <c r="AO466" s="7"/>
      <c r="AP466" s="7"/>
      <c r="AQ466" s="7"/>
      <c r="AR466" s="7"/>
      <c r="AS466" s="7"/>
      <c r="AT466" s="7"/>
      <c r="AU466" s="3"/>
      <c r="AV466" s="3"/>
      <c r="AW466" s="3"/>
      <c r="AX466" s="3"/>
      <c r="AY466" s="3"/>
    </row>
    <row r="467" spans="1:51"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7"/>
      <c r="AK467" s="7"/>
      <c r="AL467" s="7"/>
      <c r="AM467" s="7"/>
      <c r="AN467" s="7"/>
      <c r="AO467" s="7"/>
      <c r="AP467" s="7"/>
      <c r="AQ467" s="7"/>
      <c r="AR467" s="7"/>
      <c r="AS467" s="7"/>
      <c r="AT467" s="7"/>
      <c r="AU467" s="3"/>
      <c r="AV467" s="3"/>
      <c r="AW467" s="3"/>
      <c r="AX467" s="3"/>
      <c r="AY467" s="3"/>
    </row>
    <row r="468" spans="1:51"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7"/>
      <c r="AK468" s="7"/>
      <c r="AL468" s="7"/>
      <c r="AM468" s="7"/>
      <c r="AN468" s="7"/>
      <c r="AO468" s="7"/>
      <c r="AP468" s="7"/>
      <c r="AQ468" s="7"/>
      <c r="AR468" s="7"/>
      <c r="AS468" s="7"/>
      <c r="AT468" s="7"/>
      <c r="AU468" s="3"/>
      <c r="AV468" s="3"/>
      <c r="AW468" s="3"/>
      <c r="AX468" s="3"/>
      <c r="AY468" s="3"/>
    </row>
    <row r="469" spans="1:51"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7"/>
      <c r="AK469" s="7"/>
      <c r="AL469" s="7"/>
      <c r="AM469" s="7"/>
      <c r="AN469" s="7"/>
      <c r="AO469" s="7"/>
      <c r="AP469" s="7"/>
      <c r="AQ469" s="7"/>
      <c r="AR469" s="7"/>
      <c r="AS469" s="7"/>
      <c r="AT469" s="7"/>
      <c r="AU469" s="3"/>
      <c r="AV469" s="3"/>
      <c r="AW469" s="3"/>
      <c r="AX469" s="3"/>
      <c r="AY469" s="3"/>
    </row>
    <row r="470" spans="1:51"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7"/>
      <c r="AK470" s="7"/>
      <c r="AL470" s="7"/>
      <c r="AM470" s="7"/>
      <c r="AN470" s="7"/>
      <c r="AO470" s="7"/>
      <c r="AP470" s="7"/>
      <c r="AQ470" s="7"/>
      <c r="AR470" s="7"/>
      <c r="AS470" s="7"/>
      <c r="AT470" s="7"/>
      <c r="AU470" s="3"/>
      <c r="AV470" s="3"/>
      <c r="AW470" s="3"/>
      <c r="AX470" s="3"/>
      <c r="AY470" s="3"/>
    </row>
    <row r="471" spans="1:5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7"/>
      <c r="AK471" s="7"/>
      <c r="AL471" s="7"/>
      <c r="AM471" s="7"/>
      <c r="AN471" s="7"/>
      <c r="AO471" s="7"/>
      <c r="AP471" s="7"/>
      <c r="AQ471" s="7"/>
      <c r="AR471" s="7"/>
      <c r="AS471" s="7"/>
      <c r="AT471" s="7"/>
      <c r="AU471" s="3"/>
      <c r="AV471" s="3"/>
      <c r="AW471" s="3"/>
      <c r="AX471" s="3"/>
      <c r="AY471" s="3"/>
    </row>
    <row r="472" spans="1:51"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7"/>
      <c r="AK472" s="7"/>
      <c r="AL472" s="7"/>
      <c r="AM472" s="7"/>
      <c r="AN472" s="7"/>
      <c r="AO472" s="7"/>
      <c r="AP472" s="7"/>
      <c r="AQ472" s="7"/>
      <c r="AR472" s="7"/>
      <c r="AS472" s="7"/>
      <c r="AT472" s="7"/>
      <c r="AU472" s="3"/>
      <c r="AV472" s="3"/>
      <c r="AW472" s="3"/>
      <c r="AX472" s="3"/>
      <c r="AY472" s="3"/>
    </row>
    <row r="473" spans="1:51"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7"/>
      <c r="AK473" s="7"/>
      <c r="AL473" s="7"/>
      <c r="AM473" s="7"/>
      <c r="AN473" s="7"/>
      <c r="AO473" s="7"/>
      <c r="AP473" s="7"/>
      <c r="AQ473" s="7"/>
      <c r="AR473" s="7"/>
      <c r="AS473" s="7"/>
      <c r="AT473" s="7"/>
      <c r="AU473" s="3"/>
      <c r="AV473" s="3"/>
      <c r="AW473" s="3"/>
      <c r="AX473" s="3"/>
      <c r="AY473" s="3"/>
    </row>
    <row r="474" spans="1:51"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7"/>
      <c r="AK474" s="7"/>
      <c r="AL474" s="7"/>
      <c r="AM474" s="7"/>
      <c r="AN474" s="7"/>
      <c r="AO474" s="7"/>
      <c r="AP474" s="7"/>
      <c r="AQ474" s="7"/>
      <c r="AR474" s="7"/>
      <c r="AS474" s="7"/>
      <c r="AT474" s="7"/>
      <c r="AU474" s="3"/>
      <c r="AV474" s="3"/>
      <c r="AW474" s="3"/>
      <c r="AX474" s="3"/>
      <c r="AY474" s="3"/>
    </row>
    <row r="475" spans="1:51"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7"/>
      <c r="AK475" s="7"/>
      <c r="AL475" s="7"/>
      <c r="AM475" s="7"/>
      <c r="AN475" s="7"/>
      <c r="AO475" s="7"/>
      <c r="AP475" s="7"/>
      <c r="AQ475" s="7"/>
      <c r="AR475" s="7"/>
      <c r="AS475" s="7"/>
      <c r="AT475" s="7"/>
      <c r="AU475" s="3"/>
      <c r="AV475" s="3"/>
      <c r="AW475" s="3"/>
      <c r="AX475" s="3"/>
      <c r="AY475" s="3"/>
    </row>
    <row r="476" spans="1:51"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7"/>
      <c r="AK476" s="7"/>
      <c r="AL476" s="7"/>
      <c r="AM476" s="7"/>
      <c r="AN476" s="7"/>
      <c r="AO476" s="7"/>
      <c r="AP476" s="7"/>
      <c r="AQ476" s="7"/>
      <c r="AR476" s="7"/>
      <c r="AS476" s="7"/>
      <c r="AT476" s="7"/>
      <c r="AU476" s="3"/>
      <c r="AV476" s="3"/>
      <c r="AW476" s="3"/>
      <c r="AX476" s="3"/>
      <c r="AY476" s="3"/>
    </row>
    <row r="477" spans="1:51"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7"/>
      <c r="AK477" s="7"/>
      <c r="AL477" s="7"/>
      <c r="AM477" s="7"/>
      <c r="AN477" s="7"/>
      <c r="AO477" s="7"/>
      <c r="AP477" s="7"/>
      <c r="AQ477" s="7"/>
      <c r="AR477" s="7"/>
      <c r="AS477" s="7"/>
      <c r="AT477" s="7"/>
      <c r="AU477" s="3"/>
      <c r="AV477" s="3"/>
      <c r="AW477" s="3"/>
      <c r="AX477" s="3"/>
      <c r="AY477" s="3"/>
    </row>
    <row r="478" spans="1:51"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7"/>
      <c r="AK478" s="7"/>
      <c r="AL478" s="7"/>
      <c r="AM478" s="7"/>
      <c r="AN478" s="7"/>
      <c r="AO478" s="7"/>
      <c r="AP478" s="7"/>
      <c r="AQ478" s="7"/>
      <c r="AR478" s="7"/>
      <c r="AS478" s="7"/>
      <c r="AT478" s="7"/>
      <c r="AU478" s="3"/>
      <c r="AV478" s="3"/>
      <c r="AW478" s="3"/>
      <c r="AX478" s="3"/>
      <c r="AY478" s="3"/>
    </row>
    <row r="479" spans="1:51"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7"/>
      <c r="AK479" s="7"/>
      <c r="AL479" s="7"/>
      <c r="AM479" s="7"/>
      <c r="AN479" s="7"/>
      <c r="AO479" s="7"/>
      <c r="AP479" s="7"/>
      <c r="AQ479" s="7"/>
      <c r="AR479" s="7"/>
      <c r="AS479" s="7"/>
      <c r="AT479" s="7"/>
      <c r="AU479" s="3"/>
      <c r="AV479" s="3"/>
      <c r="AW479" s="3"/>
      <c r="AX479" s="3"/>
      <c r="AY479" s="3"/>
    </row>
    <row r="480" spans="1:51"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7"/>
      <c r="AK480" s="7"/>
      <c r="AL480" s="7"/>
      <c r="AM480" s="7"/>
      <c r="AN480" s="7"/>
      <c r="AO480" s="7"/>
      <c r="AP480" s="7"/>
      <c r="AQ480" s="7"/>
      <c r="AR480" s="7"/>
      <c r="AS480" s="7"/>
      <c r="AT480" s="7"/>
      <c r="AU480" s="3"/>
      <c r="AV480" s="3"/>
      <c r="AW480" s="3"/>
      <c r="AX480" s="3"/>
      <c r="AY480" s="3"/>
    </row>
    <row r="481" spans="1:5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7"/>
      <c r="AK481" s="7"/>
      <c r="AL481" s="7"/>
      <c r="AM481" s="7"/>
      <c r="AN481" s="7"/>
      <c r="AO481" s="7"/>
      <c r="AP481" s="7"/>
      <c r="AQ481" s="7"/>
      <c r="AR481" s="7"/>
      <c r="AS481" s="7"/>
      <c r="AT481" s="7"/>
      <c r="AU481" s="3"/>
      <c r="AV481" s="3"/>
      <c r="AW481" s="3"/>
      <c r="AX481" s="3"/>
      <c r="AY481" s="3"/>
    </row>
    <row r="482" spans="1:51"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7"/>
      <c r="AK482" s="7"/>
      <c r="AL482" s="7"/>
      <c r="AM482" s="7"/>
      <c r="AN482" s="7"/>
      <c r="AO482" s="7"/>
      <c r="AP482" s="7"/>
      <c r="AQ482" s="7"/>
      <c r="AR482" s="7"/>
      <c r="AS482" s="7"/>
      <c r="AT482" s="7"/>
      <c r="AU482" s="3"/>
      <c r="AV482" s="3"/>
      <c r="AW482" s="3"/>
      <c r="AX482" s="3"/>
      <c r="AY482" s="3"/>
    </row>
    <row r="483" spans="1:51"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7"/>
      <c r="AK483" s="7"/>
      <c r="AL483" s="7"/>
      <c r="AM483" s="7"/>
      <c r="AN483" s="7"/>
      <c r="AO483" s="7"/>
      <c r="AP483" s="7"/>
      <c r="AQ483" s="7"/>
      <c r="AR483" s="7"/>
      <c r="AS483" s="7"/>
      <c r="AT483" s="7"/>
      <c r="AU483" s="3"/>
      <c r="AV483" s="3"/>
      <c r="AW483" s="3"/>
      <c r="AX483" s="3"/>
      <c r="AY483" s="3"/>
    </row>
    <row r="484" spans="1:51"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7"/>
      <c r="AK484" s="7"/>
      <c r="AL484" s="7"/>
      <c r="AM484" s="7"/>
      <c r="AN484" s="7"/>
      <c r="AO484" s="7"/>
      <c r="AP484" s="7"/>
      <c r="AQ484" s="7"/>
      <c r="AR484" s="7"/>
      <c r="AS484" s="7"/>
      <c r="AT484" s="7"/>
      <c r="AU484" s="3"/>
      <c r="AV484" s="3"/>
      <c r="AW484" s="3"/>
      <c r="AX484" s="3"/>
      <c r="AY484" s="3"/>
    </row>
    <row r="485" spans="1:51"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7"/>
      <c r="AK485" s="7"/>
      <c r="AL485" s="7"/>
      <c r="AM485" s="7"/>
      <c r="AN485" s="7"/>
      <c r="AO485" s="7"/>
      <c r="AP485" s="7"/>
      <c r="AQ485" s="7"/>
      <c r="AR485" s="7"/>
      <c r="AS485" s="7"/>
      <c r="AT485" s="7"/>
      <c r="AU485" s="3"/>
      <c r="AV485" s="3"/>
      <c r="AW485" s="3"/>
      <c r="AX485" s="3"/>
      <c r="AY485" s="3"/>
    </row>
    <row r="486" spans="1:51"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7"/>
      <c r="AK486" s="7"/>
      <c r="AL486" s="7"/>
      <c r="AM486" s="7"/>
      <c r="AN486" s="7"/>
      <c r="AO486" s="7"/>
      <c r="AP486" s="7"/>
      <c r="AQ486" s="7"/>
      <c r="AR486" s="7"/>
      <c r="AS486" s="7"/>
      <c r="AT486" s="7"/>
      <c r="AU486" s="3"/>
      <c r="AV486" s="3"/>
      <c r="AW486" s="3"/>
      <c r="AX486" s="3"/>
      <c r="AY486" s="3"/>
    </row>
    <row r="487" spans="1:51"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7"/>
      <c r="AK487" s="7"/>
      <c r="AL487" s="7"/>
      <c r="AM487" s="7"/>
      <c r="AN487" s="7"/>
      <c r="AO487" s="7"/>
      <c r="AP487" s="7"/>
      <c r="AQ487" s="7"/>
      <c r="AR487" s="7"/>
      <c r="AS487" s="7"/>
      <c r="AT487" s="7"/>
      <c r="AU487" s="3"/>
      <c r="AV487" s="3"/>
      <c r="AW487" s="3"/>
      <c r="AX487" s="3"/>
      <c r="AY487" s="3"/>
    </row>
    <row r="488" spans="1:51"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7"/>
      <c r="AK488" s="7"/>
      <c r="AL488" s="7"/>
      <c r="AM488" s="7"/>
      <c r="AN488" s="7"/>
      <c r="AO488" s="7"/>
      <c r="AP488" s="7"/>
      <c r="AQ488" s="7"/>
      <c r="AR488" s="7"/>
      <c r="AS488" s="7"/>
      <c r="AT488" s="7"/>
      <c r="AU488" s="3"/>
      <c r="AV488" s="3"/>
      <c r="AW488" s="3"/>
      <c r="AX488" s="3"/>
      <c r="AY488" s="3"/>
    </row>
    <row r="489" spans="1:51"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7"/>
      <c r="AK489" s="7"/>
      <c r="AL489" s="7"/>
      <c r="AM489" s="7"/>
      <c r="AN489" s="7"/>
      <c r="AO489" s="7"/>
      <c r="AP489" s="7"/>
      <c r="AQ489" s="7"/>
      <c r="AR489" s="7"/>
      <c r="AS489" s="7"/>
      <c r="AT489" s="7"/>
      <c r="AU489" s="3"/>
      <c r="AV489" s="3"/>
      <c r="AW489" s="3"/>
      <c r="AX489" s="3"/>
      <c r="AY489" s="3"/>
    </row>
    <row r="490" spans="1:51"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7"/>
      <c r="AK490" s="7"/>
      <c r="AL490" s="7"/>
      <c r="AM490" s="7"/>
      <c r="AN490" s="7"/>
      <c r="AO490" s="7"/>
      <c r="AP490" s="7"/>
      <c r="AQ490" s="7"/>
      <c r="AR490" s="7"/>
      <c r="AS490" s="7"/>
      <c r="AT490" s="7"/>
      <c r="AU490" s="3"/>
      <c r="AV490" s="3"/>
      <c r="AW490" s="3"/>
      <c r="AX490" s="3"/>
      <c r="AY490" s="3"/>
    </row>
    <row r="491" spans="1:5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7"/>
      <c r="AK491" s="7"/>
      <c r="AL491" s="7"/>
      <c r="AM491" s="7"/>
      <c r="AN491" s="7"/>
      <c r="AO491" s="7"/>
      <c r="AP491" s="7"/>
      <c r="AQ491" s="7"/>
      <c r="AR491" s="7"/>
      <c r="AS491" s="7"/>
      <c r="AT491" s="7"/>
      <c r="AU491" s="3"/>
      <c r="AV491" s="3"/>
      <c r="AW491" s="3"/>
      <c r="AX491" s="3"/>
      <c r="AY491" s="3"/>
    </row>
    <row r="492" spans="1:51"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7"/>
      <c r="AK492" s="7"/>
      <c r="AL492" s="7"/>
      <c r="AM492" s="7"/>
      <c r="AN492" s="7"/>
      <c r="AO492" s="7"/>
      <c r="AP492" s="7"/>
      <c r="AQ492" s="7"/>
      <c r="AR492" s="7"/>
      <c r="AS492" s="7"/>
      <c r="AT492" s="7"/>
      <c r="AU492" s="3"/>
      <c r="AV492" s="3"/>
      <c r="AW492" s="3"/>
      <c r="AX492" s="3"/>
      <c r="AY492" s="3"/>
    </row>
    <row r="493" spans="1:51"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7"/>
      <c r="AK493" s="7"/>
      <c r="AL493" s="7"/>
      <c r="AM493" s="7"/>
      <c r="AN493" s="7"/>
      <c r="AO493" s="7"/>
      <c r="AP493" s="7"/>
      <c r="AQ493" s="7"/>
      <c r="AR493" s="7"/>
      <c r="AS493" s="7"/>
      <c r="AT493" s="7"/>
      <c r="AU493" s="3"/>
      <c r="AV493" s="3"/>
      <c r="AW493" s="3"/>
      <c r="AX493" s="3"/>
      <c r="AY493" s="3"/>
    </row>
    <row r="494" spans="1:51"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7"/>
      <c r="AK494" s="7"/>
      <c r="AL494" s="7"/>
      <c r="AM494" s="7"/>
      <c r="AN494" s="7"/>
      <c r="AO494" s="7"/>
      <c r="AP494" s="7"/>
      <c r="AQ494" s="7"/>
      <c r="AR494" s="7"/>
      <c r="AS494" s="7"/>
      <c r="AT494" s="7"/>
      <c r="AU494" s="3"/>
      <c r="AV494" s="3"/>
      <c r="AW494" s="3"/>
      <c r="AX494" s="3"/>
      <c r="AY494" s="3"/>
    </row>
    <row r="495" spans="1:51"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7"/>
      <c r="AK495" s="7"/>
      <c r="AL495" s="7"/>
      <c r="AM495" s="7"/>
      <c r="AN495" s="7"/>
      <c r="AO495" s="7"/>
      <c r="AP495" s="7"/>
      <c r="AQ495" s="7"/>
      <c r="AR495" s="7"/>
      <c r="AS495" s="7"/>
      <c r="AT495" s="7"/>
      <c r="AU495" s="3"/>
      <c r="AV495" s="3"/>
      <c r="AW495" s="3"/>
      <c r="AX495" s="3"/>
      <c r="AY495" s="3"/>
    </row>
    <row r="496" spans="1:51"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7"/>
      <c r="AK496" s="7"/>
      <c r="AL496" s="7"/>
      <c r="AM496" s="7"/>
      <c r="AN496" s="7"/>
      <c r="AO496" s="7"/>
      <c r="AP496" s="7"/>
      <c r="AQ496" s="7"/>
      <c r="AR496" s="7"/>
      <c r="AS496" s="7"/>
      <c r="AT496" s="7"/>
      <c r="AU496" s="3"/>
      <c r="AV496" s="3"/>
      <c r="AW496" s="3"/>
      <c r="AX496" s="3"/>
      <c r="AY496" s="3"/>
    </row>
    <row r="497" spans="1:51"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7"/>
      <c r="AK497" s="7"/>
      <c r="AL497" s="7"/>
      <c r="AM497" s="7"/>
      <c r="AN497" s="7"/>
      <c r="AO497" s="7"/>
      <c r="AP497" s="7"/>
      <c r="AQ497" s="7"/>
      <c r="AR497" s="7"/>
      <c r="AS497" s="7"/>
      <c r="AT497" s="7"/>
      <c r="AU497" s="3"/>
      <c r="AV497" s="3"/>
      <c r="AW497" s="3"/>
      <c r="AX497" s="3"/>
      <c r="AY497" s="3"/>
    </row>
    <row r="498" spans="1:51"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7"/>
      <c r="AK498" s="7"/>
      <c r="AL498" s="7"/>
      <c r="AM498" s="7"/>
      <c r="AN498" s="7"/>
      <c r="AO498" s="7"/>
      <c r="AP498" s="7"/>
      <c r="AQ498" s="7"/>
      <c r="AR498" s="7"/>
      <c r="AS498" s="7"/>
      <c r="AT498" s="7"/>
      <c r="AU498" s="3"/>
      <c r="AV498" s="3"/>
      <c r="AW498" s="3"/>
      <c r="AX498" s="3"/>
      <c r="AY498" s="3"/>
    </row>
    <row r="499" spans="1:51"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7"/>
      <c r="AK499" s="7"/>
      <c r="AL499" s="7"/>
      <c r="AM499" s="7"/>
      <c r="AN499" s="7"/>
      <c r="AO499" s="7"/>
      <c r="AP499" s="7"/>
      <c r="AQ499" s="7"/>
      <c r="AR499" s="7"/>
      <c r="AS499" s="7"/>
      <c r="AT499" s="7"/>
      <c r="AU499" s="3"/>
      <c r="AV499" s="3"/>
      <c r="AW499" s="3"/>
      <c r="AX499" s="3"/>
      <c r="AY499" s="3"/>
    </row>
    <row r="500" spans="1:51"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7"/>
      <c r="AK500" s="7"/>
      <c r="AL500" s="7"/>
      <c r="AM500" s="7"/>
      <c r="AN500" s="7"/>
      <c r="AO500" s="7"/>
      <c r="AP500" s="7"/>
      <c r="AQ500" s="7"/>
      <c r="AR500" s="7"/>
      <c r="AS500" s="7"/>
      <c r="AT500" s="7"/>
      <c r="AU500" s="3"/>
      <c r="AV500" s="3"/>
      <c r="AW500" s="3"/>
      <c r="AX500" s="3"/>
      <c r="AY500" s="3"/>
    </row>
    <row r="501" spans="1:5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7"/>
      <c r="AK501" s="7"/>
      <c r="AL501" s="7"/>
      <c r="AM501" s="7"/>
      <c r="AN501" s="7"/>
      <c r="AO501" s="7"/>
      <c r="AP501" s="7"/>
      <c r="AQ501" s="7"/>
      <c r="AR501" s="7"/>
      <c r="AS501" s="7"/>
      <c r="AT501" s="7"/>
      <c r="AU501" s="3"/>
      <c r="AV501" s="3"/>
      <c r="AW501" s="3"/>
      <c r="AX501" s="3"/>
      <c r="AY501" s="3"/>
    </row>
    <row r="502" spans="1:51"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7"/>
      <c r="AK502" s="7"/>
      <c r="AL502" s="7"/>
      <c r="AM502" s="7"/>
      <c r="AN502" s="7"/>
      <c r="AO502" s="7"/>
      <c r="AP502" s="7"/>
      <c r="AQ502" s="7"/>
      <c r="AR502" s="7"/>
      <c r="AS502" s="7"/>
      <c r="AT502" s="7"/>
      <c r="AU502" s="3"/>
      <c r="AV502" s="3"/>
      <c r="AW502" s="3"/>
      <c r="AX502" s="3"/>
      <c r="AY502" s="3"/>
    </row>
    <row r="503" spans="1:51"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7"/>
      <c r="AK503" s="7"/>
      <c r="AL503" s="7"/>
      <c r="AM503" s="7"/>
      <c r="AN503" s="7"/>
      <c r="AO503" s="7"/>
      <c r="AP503" s="7"/>
      <c r="AQ503" s="7"/>
      <c r="AR503" s="7"/>
      <c r="AS503" s="7"/>
      <c r="AT503" s="7"/>
      <c r="AU503" s="3"/>
      <c r="AV503" s="3"/>
      <c r="AW503" s="3"/>
      <c r="AX503" s="3"/>
      <c r="AY503" s="3"/>
    </row>
    <row r="504" spans="1:51"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7"/>
      <c r="AK504" s="7"/>
      <c r="AL504" s="7"/>
      <c r="AM504" s="7"/>
      <c r="AN504" s="7"/>
      <c r="AO504" s="7"/>
      <c r="AP504" s="7"/>
      <c r="AQ504" s="7"/>
      <c r="AR504" s="7"/>
      <c r="AS504" s="7"/>
      <c r="AT504" s="7"/>
      <c r="AU504" s="3"/>
      <c r="AV504" s="3"/>
      <c r="AW504" s="3"/>
      <c r="AX504" s="3"/>
      <c r="AY504" s="3"/>
    </row>
    <row r="505" spans="1:51"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7"/>
      <c r="AK505" s="7"/>
      <c r="AL505" s="7"/>
      <c r="AM505" s="7"/>
      <c r="AN505" s="7"/>
      <c r="AO505" s="7"/>
      <c r="AP505" s="7"/>
      <c r="AQ505" s="7"/>
      <c r="AR505" s="7"/>
      <c r="AS505" s="7"/>
      <c r="AT505" s="7"/>
      <c r="AU505" s="3"/>
      <c r="AV505" s="3"/>
      <c r="AW505" s="3"/>
      <c r="AX505" s="3"/>
      <c r="AY505" s="3"/>
    </row>
    <row r="506" spans="1:51"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7"/>
      <c r="AK506" s="7"/>
      <c r="AL506" s="7"/>
      <c r="AM506" s="7"/>
      <c r="AN506" s="7"/>
      <c r="AO506" s="7"/>
      <c r="AP506" s="7"/>
      <c r="AQ506" s="7"/>
      <c r="AR506" s="7"/>
      <c r="AS506" s="7"/>
      <c r="AT506" s="7"/>
      <c r="AU506" s="3"/>
      <c r="AV506" s="3"/>
      <c r="AW506" s="3"/>
      <c r="AX506" s="3"/>
      <c r="AY506" s="3"/>
    </row>
    <row r="507" spans="1:51"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7"/>
      <c r="AK507" s="7"/>
      <c r="AL507" s="7"/>
      <c r="AM507" s="7"/>
      <c r="AN507" s="7"/>
      <c r="AO507" s="7"/>
      <c r="AP507" s="7"/>
      <c r="AQ507" s="7"/>
      <c r="AR507" s="7"/>
      <c r="AS507" s="7"/>
      <c r="AT507" s="7"/>
      <c r="AU507" s="3"/>
      <c r="AV507" s="3"/>
      <c r="AW507" s="3"/>
      <c r="AX507" s="3"/>
      <c r="AY507" s="3"/>
    </row>
    <row r="508" spans="1:51"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7"/>
      <c r="AK508" s="7"/>
      <c r="AL508" s="7"/>
      <c r="AM508" s="7"/>
      <c r="AN508" s="7"/>
      <c r="AO508" s="7"/>
      <c r="AP508" s="7"/>
      <c r="AQ508" s="7"/>
      <c r="AR508" s="7"/>
      <c r="AS508" s="7"/>
      <c r="AT508" s="7"/>
      <c r="AU508" s="3"/>
      <c r="AV508" s="3"/>
      <c r="AW508" s="3"/>
      <c r="AX508" s="3"/>
      <c r="AY508" s="3"/>
    </row>
    <row r="509" spans="1:51"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7"/>
      <c r="AK509" s="7"/>
      <c r="AL509" s="7"/>
      <c r="AM509" s="7"/>
      <c r="AN509" s="7"/>
      <c r="AO509" s="7"/>
      <c r="AP509" s="7"/>
      <c r="AQ509" s="7"/>
      <c r="AR509" s="7"/>
      <c r="AS509" s="7"/>
      <c r="AT509" s="7"/>
      <c r="AU509" s="3"/>
      <c r="AV509" s="3"/>
      <c r="AW509" s="3"/>
      <c r="AX509" s="3"/>
      <c r="AY509" s="3"/>
    </row>
    <row r="510" spans="1:51"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7"/>
      <c r="AK510" s="7"/>
      <c r="AL510" s="7"/>
      <c r="AM510" s="7"/>
      <c r="AN510" s="7"/>
      <c r="AO510" s="7"/>
      <c r="AP510" s="7"/>
      <c r="AQ510" s="7"/>
      <c r="AR510" s="7"/>
      <c r="AS510" s="7"/>
      <c r="AT510" s="7"/>
      <c r="AU510" s="3"/>
      <c r="AV510" s="3"/>
      <c r="AW510" s="3"/>
      <c r="AX510" s="3"/>
      <c r="AY510" s="3"/>
    </row>
    <row r="511" spans="1:5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7"/>
      <c r="AK511" s="7"/>
      <c r="AL511" s="7"/>
      <c r="AM511" s="7"/>
      <c r="AN511" s="7"/>
      <c r="AO511" s="7"/>
      <c r="AP511" s="7"/>
      <c r="AQ511" s="7"/>
      <c r="AR511" s="7"/>
      <c r="AS511" s="7"/>
      <c r="AT511" s="7"/>
      <c r="AU511" s="3"/>
      <c r="AV511" s="3"/>
      <c r="AW511" s="3"/>
      <c r="AX511" s="3"/>
      <c r="AY511" s="3"/>
    </row>
    <row r="512" spans="1:51"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7"/>
      <c r="AK512" s="7"/>
      <c r="AL512" s="7"/>
      <c r="AM512" s="7"/>
      <c r="AN512" s="7"/>
      <c r="AO512" s="7"/>
      <c r="AP512" s="7"/>
      <c r="AQ512" s="7"/>
      <c r="AR512" s="7"/>
      <c r="AS512" s="7"/>
      <c r="AT512" s="7"/>
      <c r="AU512" s="3"/>
      <c r="AV512" s="3"/>
      <c r="AW512" s="3"/>
      <c r="AX512" s="3"/>
      <c r="AY512" s="3"/>
    </row>
    <row r="513" spans="1:51"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7"/>
      <c r="AK513" s="7"/>
      <c r="AL513" s="7"/>
      <c r="AM513" s="7"/>
      <c r="AN513" s="7"/>
      <c r="AO513" s="7"/>
      <c r="AP513" s="7"/>
      <c r="AQ513" s="7"/>
      <c r="AR513" s="7"/>
      <c r="AS513" s="7"/>
      <c r="AT513" s="7"/>
      <c r="AU513" s="3"/>
      <c r="AV513" s="3"/>
      <c r="AW513" s="3"/>
      <c r="AX513" s="3"/>
      <c r="AY513" s="3"/>
    </row>
    <row r="514" spans="1:51"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7"/>
      <c r="AK514" s="7"/>
      <c r="AL514" s="7"/>
      <c r="AM514" s="7"/>
      <c r="AN514" s="7"/>
      <c r="AO514" s="7"/>
      <c r="AP514" s="7"/>
      <c r="AQ514" s="7"/>
      <c r="AR514" s="7"/>
      <c r="AS514" s="7"/>
      <c r="AT514" s="7"/>
      <c r="AU514" s="3"/>
      <c r="AV514" s="3"/>
      <c r="AW514" s="3"/>
      <c r="AX514" s="3"/>
      <c r="AY514" s="3"/>
    </row>
    <row r="515" spans="1:51"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7"/>
      <c r="AK515" s="7"/>
      <c r="AL515" s="7"/>
      <c r="AM515" s="7"/>
      <c r="AN515" s="7"/>
      <c r="AO515" s="7"/>
      <c r="AP515" s="7"/>
      <c r="AQ515" s="7"/>
      <c r="AR515" s="7"/>
      <c r="AS515" s="7"/>
      <c r="AT515" s="7"/>
      <c r="AU515" s="3"/>
      <c r="AV515" s="3"/>
      <c r="AW515" s="3"/>
      <c r="AX515" s="3"/>
      <c r="AY515" s="3"/>
    </row>
    <row r="516" spans="1:51"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7"/>
      <c r="AK516" s="7"/>
      <c r="AL516" s="7"/>
      <c r="AM516" s="7"/>
      <c r="AN516" s="7"/>
      <c r="AO516" s="7"/>
      <c r="AP516" s="7"/>
      <c r="AQ516" s="7"/>
      <c r="AR516" s="7"/>
      <c r="AS516" s="7"/>
      <c r="AT516" s="7"/>
      <c r="AU516" s="3"/>
      <c r="AV516" s="3"/>
      <c r="AW516" s="3"/>
      <c r="AX516" s="3"/>
      <c r="AY516" s="3"/>
    </row>
    <row r="517" spans="1:51"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7"/>
      <c r="AK517" s="7"/>
      <c r="AL517" s="7"/>
      <c r="AM517" s="7"/>
      <c r="AN517" s="7"/>
      <c r="AO517" s="7"/>
      <c r="AP517" s="7"/>
      <c r="AQ517" s="7"/>
      <c r="AR517" s="7"/>
      <c r="AS517" s="7"/>
      <c r="AT517" s="7"/>
      <c r="AU517" s="3"/>
      <c r="AV517" s="3"/>
      <c r="AW517" s="3"/>
      <c r="AX517" s="3"/>
      <c r="AY517" s="3"/>
    </row>
    <row r="518" spans="1:51"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7"/>
      <c r="AK518" s="7"/>
      <c r="AL518" s="7"/>
      <c r="AM518" s="7"/>
      <c r="AN518" s="7"/>
      <c r="AO518" s="7"/>
      <c r="AP518" s="7"/>
      <c r="AQ518" s="7"/>
      <c r="AR518" s="7"/>
      <c r="AS518" s="7"/>
      <c r="AT518" s="7"/>
      <c r="AU518" s="3"/>
      <c r="AV518" s="3"/>
      <c r="AW518" s="3"/>
      <c r="AX518" s="3"/>
      <c r="AY518" s="3"/>
    </row>
    <row r="519" spans="1:51"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7"/>
      <c r="AK519" s="7"/>
      <c r="AL519" s="7"/>
      <c r="AM519" s="7"/>
      <c r="AN519" s="7"/>
      <c r="AO519" s="7"/>
      <c r="AP519" s="7"/>
      <c r="AQ519" s="7"/>
      <c r="AR519" s="7"/>
      <c r="AS519" s="7"/>
      <c r="AT519" s="7"/>
      <c r="AU519" s="3"/>
      <c r="AV519" s="3"/>
      <c r="AW519" s="3"/>
      <c r="AX519" s="3"/>
      <c r="AY519" s="3"/>
    </row>
    <row r="520" spans="1:51"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7"/>
      <c r="AK520" s="7"/>
      <c r="AL520" s="7"/>
      <c r="AM520" s="7"/>
      <c r="AN520" s="7"/>
      <c r="AO520" s="7"/>
      <c r="AP520" s="7"/>
      <c r="AQ520" s="7"/>
      <c r="AR520" s="7"/>
      <c r="AS520" s="7"/>
      <c r="AT520" s="7"/>
      <c r="AU520" s="3"/>
      <c r="AV520" s="3"/>
      <c r="AW520" s="3"/>
      <c r="AX520" s="3"/>
      <c r="AY520" s="3"/>
    </row>
    <row r="521" spans="1:5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7"/>
      <c r="AK521" s="7"/>
      <c r="AL521" s="7"/>
      <c r="AM521" s="7"/>
      <c r="AN521" s="7"/>
      <c r="AO521" s="7"/>
      <c r="AP521" s="7"/>
      <c r="AQ521" s="7"/>
      <c r="AR521" s="7"/>
      <c r="AS521" s="7"/>
      <c r="AT521" s="7"/>
      <c r="AU521" s="3"/>
      <c r="AV521" s="3"/>
      <c r="AW521" s="3"/>
      <c r="AX521" s="3"/>
      <c r="AY521" s="3"/>
    </row>
    <row r="522" spans="1:51"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7"/>
      <c r="AK522" s="7"/>
      <c r="AL522" s="7"/>
      <c r="AM522" s="7"/>
      <c r="AN522" s="7"/>
      <c r="AO522" s="7"/>
      <c r="AP522" s="7"/>
      <c r="AQ522" s="7"/>
      <c r="AR522" s="7"/>
      <c r="AS522" s="7"/>
      <c r="AT522" s="7"/>
      <c r="AU522" s="3"/>
      <c r="AV522" s="3"/>
      <c r="AW522" s="3"/>
      <c r="AX522" s="3"/>
      <c r="AY522" s="3"/>
    </row>
    <row r="523" spans="1:51"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7"/>
      <c r="AK523" s="7"/>
      <c r="AL523" s="7"/>
      <c r="AM523" s="7"/>
      <c r="AN523" s="7"/>
      <c r="AO523" s="7"/>
      <c r="AP523" s="7"/>
      <c r="AQ523" s="7"/>
      <c r="AR523" s="7"/>
      <c r="AS523" s="7"/>
      <c r="AT523" s="7"/>
      <c r="AU523" s="3"/>
      <c r="AV523" s="3"/>
      <c r="AW523" s="3"/>
      <c r="AX523" s="3"/>
      <c r="AY523" s="3"/>
    </row>
    <row r="524" spans="1:51"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7"/>
      <c r="AK524" s="7"/>
      <c r="AL524" s="7"/>
      <c r="AM524" s="7"/>
      <c r="AN524" s="7"/>
      <c r="AO524" s="7"/>
      <c r="AP524" s="7"/>
      <c r="AQ524" s="7"/>
      <c r="AR524" s="7"/>
      <c r="AS524" s="7"/>
      <c r="AT524" s="7"/>
      <c r="AU524" s="3"/>
      <c r="AV524" s="3"/>
      <c r="AW524" s="3"/>
      <c r="AX524" s="3"/>
      <c r="AY524" s="3"/>
    </row>
    <row r="525" spans="1:51"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7"/>
      <c r="AK525" s="7"/>
      <c r="AL525" s="7"/>
      <c r="AM525" s="7"/>
      <c r="AN525" s="7"/>
      <c r="AO525" s="7"/>
      <c r="AP525" s="7"/>
      <c r="AQ525" s="7"/>
      <c r="AR525" s="7"/>
      <c r="AS525" s="7"/>
      <c r="AT525" s="7"/>
      <c r="AU525" s="3"/>
      <c r="AV525" s="3"/>
      <c r="AW525" s="3"/>
      <c r="AX525" s="3"/>
      <c r="AY525" s="3"/>
    </row>
    <row r="526" spans="1:51"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7"/>
      <c r="AK526" s="7"/>
      <c r="AL526" s="7"/>
      <c r="AM526" s="7"/>
      <c r="AN526" s="7"/>
      <c r="AO526" s="7"/>
      <c r="AP526" s="7"/>
      <c r="AQ526" s="7"/>
      <c r="AR526" s="7"/>
      <c r="AS526" s="7"/>
      <c r="AT526" s="7"/>
      <c r="AU526" s="3"/>
      <c r="AV526" s="3"/>
      <c r="AW526" s="3"/>
      <c r="AX526" s="3"/>
      <c r="AY526" s="3"/>
    </row>
    <row r="527" spans="1:51"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7"/>
      <c r="AK527" s="7"/>
      <c r="AL527" s="7"/>
      <c r="AM527" s="7"/>
      <c r="AN527" s="7"/>
      <c r="AO527" s="7"/>
      <c r="AP527" s="7"/>
      <c r="AQ527" s="7"/>
      <c r="AR527" s="7"/>
      <c r="AS527" s="7"/>
      <c r="AT527" s="7"/>
      <c r="AU527" s="3"/>
      <c r="AV527" s="3"/>
      <c r="AW527" s="3"/>
      <c r="AX527" s="3"/>
      <c r="AY527" s="3"/>
    </row>
    <row r="528" spans="1:51"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7"/>
      <c r="AK528" s="7"/>
      <c r="AL528" s="7"/>
      <c r="AM528" s="7"/>
      <c r="AN528" s="7"/>
      <c r="AO528" s="7"/>
      <c r="AP528" s="7"/>
      <c r="AQ528" s="7"/>
      <c r="AR528" s="7"/>
      <c r="AS528" s="7"/>
      <c r="AT528" s="7"/>
      <c r="AU528" s="3"/>
      <c r="AV528" s="3"/>
      <c r="AW528" s="3"/>
      <c r="AX528" s="3"/>
      <c r="AY528" s="3"/>
    </row>
    <row r="529" spans="1:51"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7"/>
      <c r="AK529" s="7"/>
      <c r="AL529" s="7"/>
      <c r="AM529" s="7"/>
      <c r="AN529" s="7"/>
      <c r="AO529" s="7"/>
      <c r="AP529" s="7"/>
      <c r="AQ529" s="7"/>
      <c r="AR529" s="7"/>
      <c r="AS529" s="7"/>
      <c r="AT529" s="7"/>
      <c r="AU529" s="3"/>
      <c r="AV529" s="3"/>
      <c r="AW529" s="3"/>
      <c r="AX529" s="3"/>
      <c r="AY529" s="3"/>
    </row>
    <row r="530" spans="1:51"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7"/>
      <c r="AK530" s="7"/>
      <c r="AL530" s="7"/>
      <c r="AM530" s="7"/>
      <c r="AN530" s="7"/>
      <c r="AO530" s="7"/>
      <c r="AP530" s="7"/>
      <c r="AQ530" s="7"/>
      <c r="AR530" s="7"/>
      <c r="AS530" s="7"/>
      <c r="AT530" s="7"/>
      <c r="AU530" s="3"/>
      <c r="AV530" s="3"/>
      <c r="AW530" s="3"/>
      <c r="AX530" s="3"/>
      <c r="AY530" s="3"/>
    </row>
    <row r="531" spans="1:5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7"/>
      <c r="AK531" s="7"/>
      <c r="AL531" s="7"/>
      <c r="AM531" s="7"/>
      <c r="AN531" s="7"/>
      <c r="AO531" s="7"/>
      <c r="AP531" s="7"/>
      <c r="AQ531" s="7"/>
      <c r="AR531" s="7"/>
      <c r="AS531" s="7"/>
      <c r="AT531" s="7"/>
      <c r="AU531" s="3"/>
      <c r="AV531" s="3"/>
      <c r="AW531" s="3"/>
      <c r="AX531" s="3"/>
      <c r="AY531" s="3"/>
    </row>
    <row r="532" spans="1:51"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7"/>
      <c r="AK532" s="7"/>
      <c r="AL532" s="7"/>
      <c r="AM532" s="7"/>
      <c r="AN532" s="7"/>
      <c r="AO532" s="7"/>
      <c r="AP532" s="7"/>
      <c r="AQ532" s="7"/>
      <c r="AR532" s="7"/>
      <c r="AS532" s="7"/>
      <c r="AT532" s="7"/>
      <c r="AU532" s="3"/>
      <c r="AV532" s="3"/>
      <c r="AW532" s="3"/>
      <c r="AX532" s="3"/>
      <c r="AY532" s="3"/>
    </row>
    <row r="533" spans="1:51"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7"/>
      <c r="AK533" s="7"/>
      <c r="AL533" s="7"/>
      <c r="AM533" s="7"/>
      <c r="AN533" s="7"/>
      <c r="AO533" s="7"/>
      <c r="AP533" s="7"/>
      <c r="AQ533" s="7"/>
      <c r="AR533" s="7"/>
      <c r="AS533" s="7"/>
      <c r="AT533" s="7"/>
      <c r="AU533" s="3"/>
      <c r="AV533" s="3"/>
      <c r="AW533" s="3"/>
      <c r="AX533" s="3"/>
      <c r="AY533" s="3"/>
    </row>
    <row r="534" spans="1:51"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7"/>
      <c r="AK534" s="7"/>
      <c r="AL534" s="7"/>
      <c r="AM534" s="7"/>
      <c r="AN534" s="7"/>
      <c r="AO534" s="7"/>
      <c r="AP534" s="7"/>
      <c r="AQ534" s="7"/>
      <c r="AR534" s="7"/>
      <c r="AS534" s="7"/>
      <c r="AT534" s="7"/>
      <c r="AU534" s="3"/>
      <c r="AV534" s="3"/>
      <c r="AW534" s="3"/>
      <c r="AX534" s="3"/>
      <c r="AY534" s="3"/>
    </row>
    <row r="535" spans="1:51"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7"/>
      <c r="AK535" s="7"/>
      <c r="AL535" s="7"/>
      <c r="AM535" s="7"/>
      <c r="AN535" s="7"/>
      <c r="AO535" s="7"/>
      <c r="AP535" s="7"/>
      <c r="AQ535" s="7"/>
      <c r="AR535" s="7"/>
      <c r="AS535" s="7"/>
      <c r="AT535" s="7"/>
      <c r="AU535" s="3"/>
      <c r="AV535" s="3"/>
      <c r="AW535" s="3"/>
      <c r="AX535" s="3"/>
      <c r="AY535" s="3"/>
    </row>
    <row r="536" spans="1:51"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7"/>
      <c r="AK536" s="7"/>
      <c r="AL536" s="7"/>
      <c r="AM536" s="7"/>
      <c r="AN536" s="7"/>
      <c r="AO536" s="7"/>
      <c r="AP536" s="7"/>
      <c r="AQ536" s="7"/>
      <c r="AR536" s="7"/>
      <c r="AS536" s="7"/>
      <c r="AT536" s="7"/>
      <c r="AU536" s="3"/>
      <c r="AV536" s="3"/>
      <c r="AW536" s="3"/>
      <c r="AX536" s="3"/>
      <c r="AY536" s="3"/>
    </row>
    <row r="537" spans="1:51"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7"/>
      <c r="AK537" s="7"/>
      <c r="AL537" s="7"/>
      <c r="AM537" s="7"/>
      <c r="AN537" s="7"/>
      <c r="AO537" s="7"/>
      <c r="AP537" s="7"/>
      <c r="AQ537" s="7"/>
      <c r="AR537" s="7"/>
      <c r="AS537" s="7"/>
      <c r="AT537" s="7"/>
      <c r="AU537" s="3"/>
      <c r="AV537" s="3"/>
      <c r="AW537" s="3"/>
      <c r="AX537" s="3"/>
      <c r="AY537" s="3"/>
    </row>
    <row r="538" spans="1:51"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7"/>
      <c r="AK538" s="7"/>
      <c r="AL538" s="7"/>
      <c r="AM538" s="7"/>
      <c r="AN538" s="7"/>
      <c r="AO538" s="7"/>
      <c r="AP538" s="7"/>
      <c r="AQ538" s="7"/>
      <c r="AR538" s="7"/>
      <c r="AS538" s="7"/>
      <c r="AT538" s="7"/>
      <c r="AU538" s="3"/>
      <c r="AV538" s="3"/>
      <c r="AW538" s="3"/>
      <c r="AX538" s="3"/>
      <c r="AY538" s="3"/>
    </row>
    <row r="539" spans="1:51"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7"/>
      <c r="AK539" s="7"/>
      <c r="AL539" s="7"/>
      <c r="AM539" s="7"/>
      <c r="AN539" s="7"/>
      <c r="AO539" s="7"/>
      <c r="AP539" s="7"/>
      <c r="AQ539" s="7"/>
      <c r="AR539" s="7"/>
      <c r="AS539" s="7"/>
      <c r="AT539" s="7"/>
      <c r="AU539" s="3"/>
      <c r="AV539" s="3"/>
      <c r="AW539" s="3"/>
      <c r="AX539" s="3"/>
      <c r="AY539" s="3"/>
    </row>
    <row r="540" spans="1:51"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7"/>
      <c r="AK540" s="7"/>
      <c r="AL540" s="7"/>
      <c r="AM540" s="7"/>
      <c r="AN540" s="7"/>
      <c r="AO540" s="7"/>
      <c r="AP540" s="7"/>
      <c r="AQ540" s="7"/>
      <c r="AR540" s="7"/>
      <c r="AS540" s="7"/>
      <c r="AT540" s="7"/>
      <c r="AU540" s="3"/>
      <c r="AV540" s="3"/>
      <c r="AW540" s="3"/>
      <c r="AX540" s="3"/>
      <c r="AY540" s="3"/>
    </row>
    <row r="541" spans="1:5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7"/>
      <c r="AK541" s="7"/>
      <c r="AL541" s="7"/>
      <c r="AM541" s="7"/>
      <c r="AN541" s="7"/>
      <c r="AO541" s="7"/>
      <c r="AP541" s="7"/>
      <c r="AQ541" s="7"/>
      <c r="AR541" s="7"/>
      <c r="AS541" s="7"/>
      <c r="AT541" s="7"/>
      <c r="AU541" s="3"/>
      <c r="AV541" s="3"/>
      <c r="AW541" s="3"/>
      <c r="AX541" s="3"/>
      <c r="AY541" s="3"/>
    </row>
    <row r="542" spans="1:51"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7"/>
      <c r="AK542" s="7"/>
      <c r="AL542" s="7"/>
      <c r="AM542" s="7"/>
      <c r="AN542" s="7"/>
      <c r="AO542" s="7"/>
      <c r="AP542" s="7"/>
      <c r="AQ542" s="7"/>
      <c r="AR542" s="7"/>
      <c r="AS542" s="7"/>
      <c r="AT542" s="7"/>
      <c r="AU542" s="3"/>
      <c r="AV542" s="3"/>
      <c r="AW542" s="3"/>
      <c r="AX542" s="3"/>
      <c r="AY542" s="3"/>
    </row>
    <row r="543" spans="1:51"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7"/>
      <c r="AK543" s="7"/>
      <c r="AL543" s="7"/>
      <c r="AM543" s="7"/>
      <c r="AN543" s="7"/>
      <c r="AO543" s="7"/>
      <c r="AP543" s="7"/>
      <c r="AQ543" s="7"/>
      <c r="AR543" s="7"/>
      <c r="AS543" s="7"/>
      <c r="AT543" s="7"/>
      <c r="AU543" s="3"/>
      <c r="AV543" s="3"/>
      <c r="AW543" s="3"/>
      <c r="AX543" s="3"/>
      <c r="AY543" s="3"/>
    </row>
    <row r="544" spans="1:51"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7"/>
      <c r="AK544" s="7"/>
      <c r="AL544" s="7"/>
      <c r="AM544" s="7"/>
      <c r="AN544" s="7"/>
      <c r="AO544" s="7"/>
      <c r="AP544" s="7"/>
      <c r="AQ544" s="7"/>
      <c r="AR544" s="7"/>
      <c r="AS544" s="7"/>
      <c r="AT544" s="7"/>
      <c r="AU544" s="3"/>
      <c r="AV544" s="3"/>
      <c r="AW544" s="3"/>
      <c r="AX544" s="3"/>
      <c r="AY544" s="3"/>
    </row>
    <row r="545" spans="1:51"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7"/>
      <c r="AK545" s="7"/>
      <c r="AL545" s="7"/>
      <c r="AM545" s="7"/>
      <c r="AN545" s="7"/>
      <c r="AO545" s="7"/>
      <c r="AP545" s="7"/>
      <c r="AQ545" s="7"/>
      <c r="AR545" s="7"/>
      <c r="AS545" s="7"/>
      <c r="AT545" s="7"/>
      <c r="AU545" s="3"/>
      <c r="AV545" s="3"/>
      <c r="AW545" s="3"/>
      <c r="AX545" s="3"/>
      <c r="AY545" s="3"/>
    </row>
    <row r="546" spans="1:51"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7"/>
      <c r="AK546" s="7"/>
      <c r="AL546" s="7"/>
      <c r="AM546" s="7"/>
      <c r="AN546" s="7"/>
      <c r="AO546" s="7"/>
      <c r="AP546" s="7"/>
      <c r="AQ546" s="7"/>
      <c r="AR546" s="7"/>
      <c r="AS546" s="7"/>
      <c r="AT546" s="7"/>
      <c r="AU546" s="3"/>
      <c r="AV546" s="3"/>
      <c r="AW546" s="3"/>
      <c r="AX546" s="3"/>
      <c r="AY546" s="3"/>
    </row>
    <row r="547" spans="1:51"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7"/>
      <c r="AK547" s="7"/>
      <c r="AL547" s="7"/>
      <c r="AM547" s="7"/>
      <c r="AN547" s="7"/>
      <c r="AO547" s="7"/>
      <c r="AP547" s="7"/>
      <c r="AQ547" s="7"/>
      <c r="AR547" s="7"/>
      <c r="AS547" s="7"/>
      <c r="AT547" s="7"/>
      <c r="AU547" s="3"/>
      <c r="AV547" s="3"/>
      <c r="AW547" s="3"/>
      <c r="AX547" s="3"/>
      <c r="AY547" s="3"/>
    </row>
    <row r="548" spans="1:51"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7"/>
      <c r="AK548" s="7"/>
      <c r="AL548" s="7"/>
      <c r="AM548" s="7"/>
      <c r="AN548" s="7"/>
      <c r="AO548" s="7"/>
      <c r="AP548" s="7"/>
      <c r="AQ548" s="7"/>
      <c r="AR548" s="7"/>
      <c r="AS548" s="7"/>
      <c r="AT548" s="7"/>
      <c r="AU548" s="3"/>
      <c r="AV548" s="3"/>
      <c r="AW548" s="3"/>
      <c r="AX548" s="3"/>
      <c r="AY548" s="3"/>
    </row>
    <row r="549" spans="1:51"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7"/>
      <c r="AK549" s="7"/>
      <c r="AL549" s="7"/>
      <c r="AM549" s="7"/>
      <c r="AN549" s="7"/>
      <c r="AO549" s="7"/>
      <c r="AP549" s="7"/>
      <c r="AQ549" s="7"/>
      <c r="AR549" s="7"/>
      <c r="AS549" s="7"/>
      <c r="AT549" s="7"/>
      <c r="AU549" s="3"/>
      <c r="AV549" s="3"/>
      <c r="AW549" s="3"/>
      <c r="AX549" s="3"/>
      <c r="AY549" s="3"/>
    </row>
    <row r="550" spans="1:51"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7"/>
      <c r="AK550" s="7"/>
      <c r="AL550" s="7"/>
      <c r="AM550" s="7"/>
      <c r="AN550" s="7"/>
      <c r="AO550" s="7"/>
      <c r="AP550" s="7"/>
      <c r="AQ550" s="7"/>
      <c r="AR550" s="7"/>
      <c r="AS550" s="7"/>
      <c r="AT550" s="7"/>
      <c r="AU550" s="3"/>
      <c r="AV550" s="3"/>
      <c r="AW550" s="3"/>
      <c r="AX550" s="3"/>
      <c r="AY550" s="3"/>
    </row>
    <row r="551" spans="1: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7"/>
      <c r="AK551" s="7"/>
      <c r="AL551" s="7"/>
      <c r="AM551" s="7"/>
      <c r="AN551" s="7"/>
      <c r="AO551" s="7"/>
      <c r="AP551" s="7"/>
      <c r="AQ551" s="7"/>
      <c r="AR551" s="7"/>
      <c r="AS551" s="7"/>
      <c r="AT551" s="7"/>
      <c r="AU551" s="3"/>
      <c r="AV551" s="3"/>
      <c r="AW551" s="3"/>
      <c r="AX551" s="3"/>
      <c r="AY551" s="3"/>
    </row>
    <row r="552" spans="1:51"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7"/>
      <c r="AK552" s="7"/>
      <c r="AL552" s="7"/>
      <c r="AM552" s="7"/>
      <c r="AN552" s="7"/>
      <c r="AO552" s="7"/>
      <c r="AP552" s="7"/>
      <c r="AQ552" s="7"/>
      <c r="AR552" s="7"/>
      <c r="AS552" s="7"/>
      <c r="AT552" s="7"/>
      <c r="AU552" s="3"/>
      <c r="AV552" s="3"/>
      <c r="AW552" s="3"/>
      <c r="AX552" s="3"/>
      <c r="AY552" s="3"/>
    </row>
    <row r="553" spans="1:51"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7"/>
      <c r="AK553" s="7"/>
      <c r="AL553" s="7"/>
      <c r="AM553" s="7"/>
      <c r="AN553" s="7"/>
      <c r="AO553" s="7"/>
      <c r="AP553" s="7"/>
      <c r="AQ553" s="7"/>
      <c r="AR553" s="7"/>
      <c r="AS553" s="7"/>
      <c r="AT553" s="7"/>
      <c r="AU553" s="3"/>
      <c r="AV553" s="3"/>
      <c r="AW553" s="3"/>
      <c r="AX553" s="3"/>
      <c r="AY553" s="3"/>
    </row>
    <row r="554" spans="1:51"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7"/>
      <c r="AK554" s="7"/>
      <c r="AL554" s="7"/>
      <c r="AM554" s="7"/>
      <c r="AN554" s="7"/>
      <c r="AO554" s="7"/>
      <c r="AP554" s="7"/>
      <c r="AQ554" s="7"/>
      <c r="AR554" s="7"/>
      <c r="AS554" s="7"/>
      <c r="AT554" s="7"/>
      <c r="AU554" s="3"/>
      <c r="AV554" s="3"/>
      <c r="AW554" s="3"/>
      <c r="AX554" s="3"/>
      <c r="AY554" s="3"/>
    </row>
    <row r="555" spans="1:51"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7"/>
      <c r="AK555" s="7"/>
      <c r="AL555" s="7"/>
      <c r="AM555" s="7"/>
      <c r="AN555" s="7"/>
      <c r="AO555" s="7"/>
      <c r="AP555" s="7"/>
      <c r="AQ555" s="7"/>
      <c r="AR555" s="7"/>
      <c r="AS555" s="7"/>
      <c r="AT555" s="7"/>
      <c r="AU555" s="3"/>
      <c r="AV555" s="3"/>
      <c r="AW555" s="3"/>
      <c r="AX555" s="3"/>
      <c r="AY555" s="3"/>
    </row>
    <row r="556" spans="1:51"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7"/>
      <c r="AK556" s="7"/>
      <c r="AL556" s="7"/>
      <c r="AM556" s="7"/>
      <c r="AN556" s="7"/>
      <c r="AO556" s="7"/>
      <c r="AP556" s="7"/>
      <c r="AQ556" s="7"/>
      <c r="AR556" s="7"/>
      <c r="AS556" s="7"/>
      <c r="AT556" s="7"/>
      <c r="AU556" s="3"/>
      <c r="AV556" s="3"/>
      <c r="AW556" s="3"/>
      <c r="AX556" s="3"/>
      <c r="AY556" s="3"/>
    </row>
    <row r="557" spans="1:51"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7"/>
      <c r="AK557" s="7"/>
      <c r="AL557" s="7"/>
      <c r="AM557" s="7"/>
      <c r="AN557" s="7"/>
      <c r="AO557" s="7"/>
      <c r="AP557" s="7"/>
      <c r="AQ557" s="7"/>
      <c r="AR557" s="7"/>
      <c r="AS557" s="7"/>
      <c r="AT557" s="7"/>
      <c r="AU557" s="3"/>
      <c r="AV557" s="3"/>
      <c r="AW557" s="3"/>
      <c r="AX557" s="3"/>
      <c r="AY557" s="3"/>
    </row>
    <row r="558" spans="1:51"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7"/>
      <c r="AK558" s="7"/>
      <c r="AL558" s="7"/>
      <c r="AM558" s="7"/>
      <c r="AN558" s="7"/>
      <c r="AO558" s="7"/>
      <c r="AP558" s="7"/>
      <c r="AQ558" s="7"/>
      <c r="AR558" s="7"/>
      <c r="AS558" s="7"/>
      <c r="AT558" s="7"/>
      <c r="AU558" s="3"/>
      <c r="AV558" s="3"/>
      <c r="AW558" s="3"/>
      <c r="AX558" s="3"/>
      <c r="AY558" s="3"/>
    </row>
    <row r="559" spans="1:51"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7"/>
      <c r="AK559" s="7"/>
      <c r="AL559" s="7"/>
      <c r="AM559" s="7"/>
      <c r="AN559" s="7"/>
      <c r="AO559" s="7"/>
      <c r="AP559" s="7"/>
      <c r="AQ559" s="7"/>
      <c r="AR559" s="7"/>
      <c r="AS559" s="7"/>
      <c r="AT559" s="7"/>
      <c r="AU559" s="3"/>
      <c r="AV559" s="3"/>
      <c r="AW559" s="3"/>
      <c r="AX559" s="3"/>
      <c r="AY559" s="3"/>
    </row>
    <row r="560" spans="1:51"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7"/>
      <c r="AK560" s="7"/>
      <c r="AL560" s="7"/>
      <c r="AM560" s="7"/>
      <c r="AN560" s="7"/>
      <c r="AO560" s="7"/>
      <c r="AP560" s="7"/>
      <c r="AQ560" s="7"/>
      <c r="AR560" s="7"/>
      <c r="AS560" s="7"/>
      <c r="AT560" s="7"/>
      <c r="AU560" s="3"/>
      <c r="AV560" s="3"/>
      <c r="AW560" s="3"/>
      <c r="AX560" s="3"/>
      <c r="AY560" s="3"/>
    </row>
    <row r="561" spans="1:5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7"/>
      <c r="AK561" s="7"/>
      <c r="AL561" s="7"/>
      <c r="AM561" s="7"/>
      <c r="AN561" s="7"/>
      <c r="AO561" s="7"/>
      <c r="AP561" s="7"/>
      <c r="AQ561" s="7"/>
      <c r="AR561" s="7"/>
      <c r="AS561" s="7"/>
      <c r="AT561" s="7"/>
      <c r="AU561" s="3"/>
      <c r="AV561" s="3"/>
      <c r="AW561" s="3"/>
      <c r="AX561" s="3"/>
      <c r="AY561" s="3"/>
    </row>
    <row r="562" spans="1:51"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7"/>
      <c r="AK562" s="7"/>
      <c r="AL562" s="7"/>
      <c r="AM562" s="7"/>
      <c r="AN562" s="7"/>
      <c r="AO562" s="7"/>
      <c r="AP562" s="7"/>
      <c r="AQ562" s="7"/>
      <c r="AR562" s="7"/>
      <c r="AS562" s="7"/>
      <c r="AT562" s="7"/>
      <c r="AU562" s="3"/>
      <c r="AV562" s="3"/>
      <c r="AW562" s="3"/>
      <c r="AX562" s="3"/>
      <c r="AY562" s="3"/>
    </row>
    <row r="563" spans="1:51"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7"/>
      <c r="AK563" s="7"/>
      <c r="AL563" s="7"/>
      <c r="AM563" s="7"/>
      <c r="AN563" s="7"/>
      <c r="AO563" s="7"/>
      <c r="AP563" s="7"/>
      <c r="AQ563" s="7"/>
      <c r="AR563" s="7"/>
      <c r="AS563" s="7"/>
      <c r="AT563" s="7"/>
      <c r="AU563" s="3"/>
      <c r="AV563" s="3"/>
      <c r="AW563" s="3"/>
      <c r="AX563" s="3"/>
      <c r="AY563" s="3"/>
    </row>
    <row r="564" spans="1:51"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7"/>
      <c r="AK564" s="7"/>
      <c r="AL564" s="7"/>
      <c r="AM564" s="7"/>
      <c r="AN564" s="7"/>
      <c r="AO564" s="7"/>
      <c r="AP564" s="7"/>
      <c r="AQ564" s="7"/>
      <c r="AR564" s="7"/>
      <c r="AS564" s="7"/>
      <c r="AT564" s="7"/>
      <c r="AU564" s="3"/>
      <c r="AV564" s="3"/>
      <c r="AW564" s="3"/>
      <c r="AX564" s="3"/>
      <c r="AY564" s="3"/>
    </row>
    <row r="565" spans="1:51"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7"/>
      <c r="AK565" s="7"/>
      <c r="AL565" s="7"/>
      <c r="AM565" s="7"/>
      <c r="AN565" s="7"/>
      <c r="AO565" s="7"/>
      <c r="AP565" s="7"/>
      <c r="AQ565" s="7"/>
      <c r="AR565" s="7"/>
      <c r="AS565" s="7"/>
      <c r="AT565" s="7"/>
      <c r="AU565" s="3"/>
      <c r="AV565" s="3"/>
      <c r="AW565" s="3"/>
      <c r="AX565" s="3"/>
      <c r="AY565" s="3"/>
    </row>
    <row r="566" spans="1:51"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7"/>
      <c r="AK566" s="7"/>
      <c r="AL566" s="7"/>
      <c r="AM566" s="7"/>
      <c r="AN566" s="7"/>
      <c r="AO566" s="7"/>
      <c r="AP566" s="7"/>
      <c r="AQ566" s="7"/>
      <c r="AR566" s="7"/>
      <c r="AS566" s="7"/>
      <c r="AT566" s="7"/>
      <c r="AU566" s="3"/>
      <c r="AV566" s="3"/>
      <c r="AW566" s="3"/>
      <c r="AX566" s="3"/>
      <c r="AY566" s="3"/>
    </row>
    <row r="567" spans="1:51"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7"/>
      <c r="AK567" s="7"/>
      <c r="AL567" s="7"/>
      <c r="AM567" s="7"/>
      <c r="AN567" s="7"/>
      <c r="AO567" s="7"/>
      <c r="AP567" s="7"/>
      <c r="AQ567" s="7"/>
      <c r="AR567" s="7"/>
      <c r="AS567" s="7"/>
      <c r="AT567" s="7"/>
      <c r="AU567" s="3"/>
      <c r="AV567" s="3"/>
      <c r="AW567" s="3"/>
      <c r="AX567" s="3"/>
      <c r="AY567" s="3"/>
    </row>
    <row r="568" spans="1:51"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7"/>
      <c r="AK568" s="7"/>
      <c r="AL568" s="7"/>
      <c r="AM568" s="7"/>
      <c r="AN568" s="7"/>
      <c r="AO568" s="7"/>
      <c r="AP568" s="7"/>
      <c r="AQ568" s="7"/>
      <c r="AR568" s="7"/>
      <c r="AS568" s="7"/>
      <c r="AT568" s="7"/>
      <c r="AU568" s="3"/>
      <c r="AV568" s="3"/>
      <c r="AW568" s="3"/>
      <c r="AX568" s="3"/>
      <c r="AY568" s="3"/>
    </row>
    <row r="569" spans="1:51"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7"/>
      <c r="AK569" s="7"/>
      <c r="AL569" s="7"/>
      <c r="AM569" s="7"/>
      <c r="AN569" s="7"/>
      <c r="AO569" s="7"/>
      <c r="AP569" s="7"/>
      <c r="AQ569" s="7"/>
      <c r="AR569" s="7"/>
      <c r="AS569" s="7"/>
      <c r="AT569" s="7"/>
      <c r="AU569" s="3"/>
      <c r="AV569" s="3"/>
      <c r="AW569" s="3"/>
      <c r="AX569" s="3"/>
      <c r="AY569" s="3"/>
    </row>
    <row r="570" spans="1:51"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7"/>
      <c r="AK570" s="7"/>
      <c r="AL570" s="7"/>
      <c r="AM570" s="7"/>
      <c r="AN570" s="7"/>
      <c r="AO570" s="7"/>
      <c r="AP570" s="7"/>
      <c r="AQ570" s="7"/>
      <c r="AR570" s="7"/>
      <c r="AS570" s="7"/>
      <c r="AT570" s="7"/>
      <c r="AU570" s="3"/>
      <c r="AV570" s="3"/>
      <c r="AW570" s="3"/>
      <c r="AX570" s="3"/>
      <c r="AY570" s="3"/>
    </row>
    <row r="571" spans="1:5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7"/>
      <c r="AK571" s="7"/>
      <c r="AL571" s="7"/>
      <c r="AM571" s="7"/>
      <c r="AN571" s="7"/>
      <c r="AO571" s="7"/>
      <c r="AP571" s="7"/>
      <c r="AQ571" s="7"/>
      <c r="AR571" s="7"/>
      <c r="AS571" s="7"/>
      <c r="AT571" s="7"/>
      <c r="AU571" s="3"/>
      <c r="AV571" s="3"/>
      <c r="AW571" s="3"/>
      <c r="AX571" s="3"/>
      <c r="AY571" s="3"/>
    </row>
    <row r="572" spans="1:51"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7"/>
      <c r="AK572" s="7"/>
      <c r="AL572" s="7"/>
      <c r="AM572" s="7"/>
      <c r="AN572" s="7"/>
      <c r="AO572" s="7"/>
      <c r="AP572" s="7"/>
      <c r="AQ572" s="7"/>
      <c r="AR572" s="7"/>
      <c r="AS572" s="7"/>
      <c r="AT572" s="7"/>
      <c r="AU572" s="3"/>
      <c r="AV572" s="3"/>
      <c r="AW572" s="3"/>
      <c r="AX572" s="3"/>
      <c r="AY572" s="3"/>
    </row>
    <row r="573" spans="1:51"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7"/>
      <c r="AK573" s="7"/>
      <c r="AL573" s="7"/>
      <c r="AM573" s="7"/>
      <c r="AN573" s="7"/>
      <c r="AO573" s="7"/>
      <c r="AP573" s="7"/>
      <c r="AQ573" s="7"/>
      <c r="AR573" s="7"/>
      <c r="AS573" s="7"/>
      <c r="AT573" s="7"/>
      <c r="AU573" s="3"/>
      <c r="AV573" s="3"/>
      <c r="AW573" s="3"/>
      <c r="AX573" s="3"/>
      <c r="AY573" s="3"/>
    </row>
    <row r="574" spans="1:51"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7"/>
      <c r="AK574" s="7"/>
      <c r="AL574" s="7"/>
      <c r="AM574" s="7"/>
      <c r="AN574" s="7"/>
      <c r="AO574" s="7"/>
      <c r="AP574" s="7"/>
      <c r="AQ574" s="7"/>
      <c r="AR574" s="7"/>
      <c r="AS574" s="7"/>
      <c r="AT574" s="7"/>
      <c r="AU574" s="3"/>
      <c r="AV574" s="3"/>
      <c r="AW574" s="3"/>
      <c r="AX574" s="3"/>
      <c r="AY574" s="3"/>
    </row>
    <row r="575" spans="1:51"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7"/>
      <c r="AK575" s="7"/>
      <c r="AL575" s="7"/>
      <c r="AM575" s="7"/>
      <c r="AN575" s="7"/>
      <c r="AO575" s="7"/>
      <c r="AP575" s="7"/>
      <c r="AQ575" s="7"/>
      <c r="AR575" s="7"/>
      <c r="AS575" s="7"/>
      <c r="AT575" s="7"/>
      <c r="AU575" s="3"/>
      <c r="AV575" s="3"/>
      <c r="AW575" s="3"/>
      <c r="AX575" s="3"/>
      <c r="AY575" s="3"/>
    </row>
    <row r="576" spans="1:51"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7"/>
      <c r="AK576" s="7"/>
      <c r="AL576" s="7"/>
      <c r="AM576" s="7"/>
      <c r="AN576" s="7"/>
      <c r="AO576" s="7"/>
      <c r="AP576" s="7"/>
      <c r="AQ576" s="7"/>
      <c r="AR576" s="7"/>
      <c r="AS576" s="7"/>
      <c r="AT576" s="7"/>
      <c r="AU576" s="3"/>
      <c r="AV576" s="3"/>
      <c r="AW576" s="3"/>
      <c r="AX576" s="3"/>
      <c r="AY576" s="3"/>
    </row>
    <row r="577" spans="1:51"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7"/>
      <c r="AK577" s="7"/>
      <c r="AL577" s="7"/>
      <c r="AM577" s="7"/>
      <c r="AN577" s="7"/>
      <c r="AO577" s="7"/>
      <c r="AP577" s="7"/>
      <c r="AQ577" s="7"/>
      <c r="AR577" s="7"/>
      <c r="AS577" s="7"/>
      <c r="AT577" s="7"/>
      <c r="AU577" s="3"/>
      <c r="AV577" s="3"/>
      <c r="AW577" s="3"/>
      <c r="AX577" s="3"/>
      <c r="AY577" s="3"/>
    </row>
    <row r="578" spans="1:51"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7"/>
      <c r="AK578" s="7"/>
      <c r="AL578" s="7"/>
      <c r="AM578" s="7"/>
      <c r="AN578" s="7"/>
      <c r="AO578" s="7"/>
      <c r="AP578" s="7"/>
      <c r="AQ578" s="7"/>
      <c r="AR578" s="7"/>
      <c r="AS578" s="7"/>
      <c r="AT578" s="7"/>
      <c r="AU578" s="3"/>
      <c r="AV578" s="3"/>
      <c r="AW578" s="3"/>
      <c r="AX578" s="3"/>
      <c r="AY578" s="3"/>
    </row>
    <row r="579" spans="1:51"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7"/>
      <c r="AK579" s="7"/>
      <c r="AL579" s="7"/>
      <c r="AM579" s="7"/>
      <c r="AN579" s="7"/>
      <c r="AO579" s="7"/>
      <c r="AP579" s="7"/>
      <c r="AQ579" s="7"/>
      <c r="AR579" s="7"/>
      <c r="AS579" s="7"/>
      <c r="AT579" s="7"/>
      <c r="AU579" s="3"/>
      <c r="AV579" s="3"/>
      <c r="AW579" s="3"/>
      <c r="AX579" s="3"/>
      <c r="AY579" s="3"/>
    </row>
    <row r="580" spans="1:51"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7"/>
      <c r="AK580" s="7"/>
      <c r="AL580" s="7"/>
      <c r="AM580" s="7"/>
      <c r="AN580" s="7"/>
      <c r="AO580" s="7"/>
      <c r="AP580" s="7"/>
      <c r="AQ580" s="7"/>
      <c r="AR580" s="7"/>
      <c r="AS580" s="7"/>
      <c r="AT580" s="7"/>
      <c r="AU580" s="3"/>
      <c r="AV580" s="3"/>
      <c r="AW580" s="3"/>
      <c r="AX580" s="3"/>
      <c r="AY580" s="3"/>
    </row>
    <row r="581" spans="1:5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7"/>
      <c r="AK581" s="7"/>
      <c r="AL581" s="7"/>
      <c r="AM581" s="7"/>
      <c r="AN581" s="7"/>
      <c r="AO581" s="7"/>
      <c r="AP581" s="7"/>
      <c r="AQ581" s="7"/>
      <c r="AR581" s="7"/>
      <c r="AS581" s="7"/>
      <c r="AT581" s="7"/>
      <c r="AU581" s="3"/>
      <c r="AV581" s="3"/>
      <c r="AW581" s="3"/>
      <c r="AX581" s="3"/>
      <c r="AY581" s="3"/>
    </row>
    <row r="582" spans="1:51"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7"/>
      <c r="AK582" s="7"/>
      <c r="AL582" s="7"/>
      <c r="AM582" s="7"/>
      <c r="AN582" s="7"/>
      <c r="AO582" s="7"/>
      <c r="AP582" s="7"/>
      <c r="AQ582" s="7"/>
      <c r="AR582" s="7"/>
      <c r="AS582" s="7"/>
      <c r="AT582" s="7"/>
      <c r="AU582" s="3"/>
      <c r="AV582" s="3"/>
      <c r="AW582" s="3"/>
      <c r="AX582" s="3"/>
      <c r="AY582" s="3"/>
    </row>
    <row r="583" spans="1:51"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7"/>
      <c r="AK583" s="7"/>
      <c r="AL583" s="7"/>
      <c r="AM583" s="7"/>
      <c r="AN583" s="7"/>
      <c r="AO583" s="7"/>
      <c r="AP583" s="7"/>
      <c r="AQ583" s="7"/>
      <c r="AR583" s="7"/>
      <c r="AS583" s="7"/>
      <c r="AT583" s="7"/>
      <c r="AU583" s="3"/>
      <c r="AV583" s="3"/>
      <c r="AW583" s="3"/>
      <c r="AX583" s="3"/>
      <c r="AY583" s="3"/>
    </row>
    <row r="584" spans="1:51"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7"/>
      <c r="AK584" s="7"/>
      <c r="AL584" s="7"/>
      <c r="AM584" s="7"/>
      <c r="AN584" s="7"/>
      <c r="AO584" s="7"/>
      <c r="AP584" s="7"/>
      <c r="AQ584" s="7"/>
      <c r="AR584" s="7"/>
      <c r="AS584" s="7"/>
      <c r="AT584" s="7"/>
      <c r="AU584" s="3"/>
      <c r="AV584" s="3"/>
      <c r="AW584" s="3"/>
      <c r="AX584" s="3"/>
      <c r="AY584" s="3"/>
    </row>
    <row r="585" spans="1:51"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7"/>
      <c r="AK585" s="7"/>
      <c r="AL585" s="7"/>
      <c r="AM585" s="7"/>
      <c r="AN585" s="7"/>
      <c r="AO585" s="7"/>
      <c r="AP585" s="7"/>
      <c r="AQ585" s="7"/>
      <c r="AR585" s="7"/>
      <c r="AS585" s="7"/>
      <c r="AT585" s="7"/>
      <c r="AU585" s="3"/>
      <c r="AV585" s="3"/>
      <c r="AW585" s="3"/>
      <c r="AX585" s="3"/>
      <c r="AY585" s="3"/>
    </row>
    <row r="586" spans="1:51"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7"/>
      <c r="AK586" s="7"/>
      <c r="AL586" s="7"/>
      <c r="AM586" s="7"/>
      <c r="AN586" s="7"/>
      <c r="AO586" s="7"/>
      <c r="AP586" s="7"/>
      <c r="AQ586" s="7"/>
      <c r="AR586" s="7"/>
      <c r="AS586" s="7"/>
      <c r="AT586" s="7"/>
      <c r="AU586" s="3"/>
      <c r="AV586" s="3"/>
      <c r="AW586" s="3"/>
      <c r="AX586" s="3"/>
      <c r="AY586" s="3"/>
    </row>
    <row r="587" spans="1:51"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7"/>
      <c r="AK587" s="7"/>
      <c r="AL587" s="7"/>
      <c r="AM587" s="7"/>
      <c r="AN587" s="7"/>
      <c r="AO587" s="7"/>
      <c r="AP587" s="7"/>
      <c r="AQ587" s="7"/>
      <c r="AR587" s="7"/>
      <c r="AS587" s="7"/>
      <c r="AT587" s="7"/>
      <c r="AU587" s="3"/>
      <c r="AV587" s="3"/>
      <c r="AW587" s="3"/>
      <c r="AX587" s="3"/>
      <c r="AY587" s="3"/>
    </row>
    <row r="588" spans="1:51"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7"/>
      <c r="AK588" s="7"/>
      <c r="AL588" s="7"/>
      <c r="AM588" s="7"/>
      <c r="AN588" s="7"/>
      <c r="AO588" s="7"/>
      <c r="AP588" s="7"/>
      <c r="AQ588" s="7"/>
      <c r="AR588" s="7"/>
      <c r="AS588" s="7"/>
      <c r="AT588" s="7"/>
      <c r="AU588" s="3"/>
      <c r="AV588" s="3"/>
      <c r="AW588" s="3"/>
      <c r="AX588" s="3"/>
      <c r="AY588" s="3"/>
    </row>
    <row r="589" spans="1:51"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7"/>
      <c r="AK589" s="7"/>
      <c r="AL589" s="7"/>
      <c r="AM589" s="7"/>
      <c r="AN589" s="7"/>
      <c r="AO589" s="7"/>
      <c r="AP589" s="7"/>
      <c r="AQ589" s="7"/>
      <c r="AR589" s="7"/>
      <c r="AS589" s="7"/>
      <c r="AT589" s="7"/>
      <c r="AU589" s="3"/>
      <c r="AV589" s="3"/>
      <c r="AW589" s="3"/>
      <c r="AX589" s="3"/>
      <c r="AY589" s="3"/>
    </row>
    <row r="590" spans="1:51"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7"/>
      <c r="AK590" s="7"/>
      <c r="AL590" s="7"/>
      <c r="AM590" s="7"/>
      <c r="AN590" s="7"/>
      <c r="AO590" s="7"/>
      <c r="AP590" s="7"/>
      <c r="AQ590" s="7"/>
      <c r="AR590" s="7"/>
      <c r="AS590" s="7"/>
      <c r="AT590" s="7"/>
      <c r="AU590" s="3"/>
      <c r="AV590" s="3"/>
      <c r="AW590" s="3"/>
      <c r="AX590" s="3"/>
      <c r="AY590" s="3"/>
    </row>
    <row r="591" spans="1:5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7"/>
      <c r="AK591" s="7"/>
      <c r="AL591" s="7"/>
      <c r="AM591" s="7"/>
      <c r="AN591" s="7"/>
      <c r="AO591" s="7"/>
      <c r="AP591" s="7"/>
      <c r="AQ591" s="7"/>
      <c r="AR591" s="7"/>
      <c r="AS591" s="7"/>
      <c r="AT591" s="7"/>
      <c r="AU591" s="3"/>
      <c r="AV591" s="3"/>
      <c r="AW591" s="3"/>
      <c r="AX591" s="3"/>
      <c r="AY591" s="3"/>
    </row>
    <row r="592" spans="1:51"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7"/>
      <c r="AK592" s="7"/>
      <c r="AL592" s="7"/>
      <c r="AM592" s="7"/>
      <c r="AN592" s="7"/>
      <c r="AO592" s="7"/>
      <c r="AP592" s="7"/>
      <c r="AQ592" s="7"/>
      <c r="AR592" s="7"/>
      <c r="AS592" s="7"/>
      <c r="AT592" s="7"/>
      <c r="AU592" s="3"/>
      <c r="AV592" s="3"/>
      <c r="AW592" s="3"/>
      <c r="AX592" s="3"/>
      <c r="AY592" s="3"/>
    </row>
    <row r="593" spans="1:51"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7"/>
      <c r="AK593" s="7"/>
      <c r="AL593" s="7"/>
      <c r="AM593" s="7"/>
      <c r="AN593" s="7"/>
      <c r="AO593" s="7"/>
      <c r="AP593" s="7"/>
      <c r="AQ593" s="7"/>
      <c r="AR593" s="7"/>
      <c r="AS593" s="7"/>
      <c r="AT593" s="7"/>
      <c r="AU593" s="3"/>
      <c r="AV593" s="3"/>
      <c r="AW593" s="3"/>
      <c r="AX593" s="3"/>
      <c r="AY593" s="3"/>
    </row>
    <row r="594" spans="1:51"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7"/>
      <c r="AK594" s="7"/>
      <c r="AL594" s="7"/>
      <c r="AM594" s="7"/>
      <c r="AN594" s="7"/>
      <c r="AO594" s="7"/>
      <c r="AP594" s="7"/>
      <c r="AQ594" s="7"/>
      <c r="AR594" s="7"/>
      <c r="AS594" s="7"/>
      <c r="AT594" s="7"/>
      <c r="AU594" s="3"/>
      <c r="AV594" s="3"/>
      <c r="AW594" s="3"/>
      <c r="AX594" s="3"/>
      <c r="AY594" s="3"/>
    </row>
    <row r="595" spans="1:51"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7"/>
      <c r="AK595" s="7"/>
      <c r="AL595" s="7"/>
      <c r="AM595" s="7"/>
      <c r="AN595" s="7"/>
      <c r="AO595" s="7"/>
      <c r="AP595" s="7"/>
      <c r="AQ595" s="7"/>
      <c r="AR595" s="7"/>
      <c r="AS595" s="7"/>
      <c r="AT595" s="7"/>
      <c r="AU595" s="3"/>
      <c r="AV595" s="3"/>
      <c r="AW595" s="3"/>
      <c r="AX595" s="3"/>
      <c r="AY595" s="3"/>
    </row>
    <row r="596" spans="1:51"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7"/>
      <c r="AK596" s="7"/>
      <c r="AL596" s="7"/>
      <c r="AM596" s="7"/>
      <c r="AN596" s="7"/>
      <c r="AO596" s="7"/>
      <c r="AP596" s="7"/>
      <c r="AQ596" s="7"/>
      <c r="AR596" s="7"/>
      <c r="AS596" s="7"/>
      <c r="AT596" s="7"/>
      <c r="AU596" s="3"/>
      <c r="AV596" s="3"/>
      <c r="AW596" s="3"/>
      <c r="AX596" s="3"/>
      <c r="AY596" s="3"/>
    </row>
    <row r="597" spans="1:51"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7"/>
      <c r="AK597" s="7"/>
      <c r="AL597" s="7"/>
      <c r="AM597" s="7"/>
      <c r="AN597" s="7"/>
      <c r="AO597" s="7"/>
      <c r="AP597" s="7"/>
      <c r="AQ597" s="7"/>
      <c r="AR597" s="7"/>
      <c r="AS597" s="7"/>
      <c r="AT597" s="7"/>
      <c r="AU597" s="3"/>
      <c r="AV597" s="3"/>
      <c r="AW597" s="3"/>
      <c r="AX597" s="3"/>
      <c r="AY597" s="3"/>
    </row>
    <row r="598" spans="1:51"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7"/>
      <c r="AK598" s="7"/>
      <c r="AL598" s="7"/>
      <c r="AM598" s="7"/>
      <c r="AN598" s="7"/>
      <c r="AO598" s="7"/>
      <c r="AP598" s="7"/>
      <c r="AQ598" s="7"/>
      <c r="AR598" s="7"/>
      <c r="AS598" s="7"/>
      <c r="AT598" s="7"/>
      <c r="AU598" s="3"/>
      <c r="AV598" s="3"/>
      <c r="AW598" s="3"/>
      <c r="AX598" s="3"/>
      <c r="AY598" s="3"/>
    </row>
    <row r="599" spans="1:51"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7"/>
      <c r="AK599" s="7"/>
      <c r="AL599" s="7"/>
      <c r="AM599" s="7"/>
      <c r="AN599" s="7"/>
      <c r="AO599" s="7"/>
      <c r="AP599" s="7"/>
      <c r="AQ599" s="7"/>
      <c r="AR599" s="7"/>
      <c r="AS599" s="7"/>
      <c r="AT599" s="7"/>
      <c r="AU599" s="3"/>
      <c r="AV599" s="3"/>
      <c r="AW599" s="3"/>
      <c r="AX599" s="3"/>
      <c r="AY599" s="3"/>
    </row>
    <row r="600" spans="1:51"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7"/>
      <c r="AK600" s="7"/>
      <c r="AL600" s="7"/>
      <c r="AM600" s="7"/>
      <c r="AN600" s="7"/>
      <c r="AO600" s="7"/>
      <c r="AP600" s="7"/>
      <c r="AQ600" s="7"/>
      <c r="AR600" s="7"/>
      <c r="AS600" s="7"/>
      <c r="AT600" s="7"/>
      <c r="AU600" s="3"/>
      <c r="AV600" s="3"/>
      <c r="AW600" s="3"/>
      <c r="AX600" s="3"/>
      <c r="AY600" s="3"/>
    </row>
    <row r="601" spans="1:5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7"/>
      <c r="AK601" s="7"/>
      <c r="AL601" s="7"/>
      <c r="AM601" s="7"/>
      <c r="AN601" s="7"/>
      <c r="AO601" s="7"/>
      <c r="AP601" s="7"/>
      <c r="AQ601" s="7"/>
      <c r="AR601" s="7"/>
      <c r="AS601" s="7"/>
      <c r="AT601" s="7"/>
      <c r="AU601" s="3"/>
      <c r="AV601" s="3"/>
      <c r="AW601" s="3"/>
      <c r="AX601" s="3"/>
      <c r="AY601" s="3"/>
    </row>
    <row r="602" spans="1:51"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7"/>
      <c r="AK602" s="7"/>
      <c r="AL602" s="7"/>
      <c r="AM602" s="7"/>
      <c r="AN602" s="7"/>
      <c r="AO602" s="7"/>
      <c r="AP602" s="7"/>
      <c r="AQ602" s="7"/>
      <c r="AR602" s="7"/>
      <c r="AS602" s="7"/>
      <c r="AT602" s="7"/>
      <c r="AU602" s="3"/>
      <c r="AV602" s="3"/>
      <c r="AW602" s="3"/>
      <c r="AX602" s="3"/>
      <c r="AY602" s="3"/>
    </row>
    <row r="603" spans="1:51"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7"/>
      <c r="AK603" s="7"/>
      <c r="AL603" s="7"/>
      <c r="AM603" s="7"/>
      <c r="AN603" s="7"/>
      <c r="AO603" s="7"/>
      <c r="AP603" s="7"/>
      <c r="AQ603" s="7"/>
      <c r="AR603" s="7"/>
      <c r="AS603" s="7"/>
      <c r="AT603" s="7"/>
      <c r="AU603" s="3"/>
      <c r="AV603" s="3"/>
      <c r="AW603" s="3"/>
      <c r="AX603" s="3"/>
      <c r="AY603" s="3"/>
    </row>
    <row r="604" spans="1:51"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7"/>
      <c r="AK604" s="7"/>
      <c r="AL604" s="7"/>
      <c r="AM604" s="7"/>
      <c r="AN604" s="7"/>
      <c r="AO604" s="7"/>
      <c r="AP604" s="7"/>
      <c r="AQ604" s="7"/>
      <c r="AR604" s="7"/>
      <c r="AS604" s="7"/>
      <c r="AT604" s="7"/>
      <c r="AU604" s="3"/>
      <c r="AV604" s="3"/>
      <c r="AW604" s="3"/>
      <c r="AX604" s="3"/>
      <c r="AY604" s="3"/>
    </row>
    <row r="605" spans="1:51"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7"/>
      <c r="AK605" s="7"/>
      <c r="AL605" s="7"/>
      <c r="AM605" s="7"/>
      <c r="AN605" s="7"/>
      <c r="AO605" s="7"/>
      <c r="AP605" s="7"/>
      <c r="AQ605" s="7"/>
      <c r="AR605" s="7"/>
      <c r="AS605" s="7"/>
      <c r="AT605" s="7"/>
      <c r="AU605" s="3"/>
      <c r="AV605" s="3"/>
      <c r="AW605" s="3"/>
      <c r="AX605" s="3"/>
      <c r="AY605" s="3"/>
    </row>
    <row r="606" spans="1:51"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7"/>
      <c r="AK606" s="7"/>
      <c r="AL606" s="7"/>
      <c r="AM606" s="7"/>
      <c r="AN606" s="7"/>
      <c r="AO606" s="7"/>
      <c r="AP606" s="7"/>
      <c r="AQ606" s="7"/>
      <c r="AR606" s="7"/>
      <c r="AS606" s="7"/>
      <c r="AT606" s="7"/>
      <c r="AU606" s="3"/>
      <c r="AV606" s="3"/>
      <c r="AW606" s="3"/>
      <c r="AX606" s="3"/>
      <c r="AY606" s="3"/>
    </row>
    <row r="607" spans="1:51"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7"/>
      <c r="AK607" s="7"/>
      <c r="AL607" s="7"/>
      <c r="AM607" s="7"/>
      <c r="AN607" s="7"/>
      <c r="AO607" s="7"/>
      <c r="AP607" s="7"/>
      <c r="AQ607" s="7"/>
      <c r="AR607" s="7"/>
      <c r="AS607" s="7"/>
      <c r="AT607" s="7"/>
      <c r="AU607" s="3"/>
      <c r="AV607" s="3"/>
      <c r="AW607" s="3"/>
      <c r="AX607" s="3"/>
      <c r="AY607" s="3"/>
    </row>
    <row r="608" spans="1:51"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7"/>
      <c r="AK608" s="7"/>
      <c r="AL608" s="7"/>
      <c r="AM608" s="7"/>
      <c r="AN608" s="7"/>
      <c r="AO608" s="7"/>
      <c r="AP608" s="7"/>
      <c r="AQ608" s="7"/>
      <c r="AR608" s="7"/>
      <c r="AS608" s="7"/>
      <c r="AT608" s="7"/>
      <c r="AU608" s="3"/>
      <c r="AV608" s="3"/>
      <c r="AW608" s="3"/>
      <c r="AX608" s="3"/>
      <c r="AY608" s="3"/>
    </row>
    <row r="609" spans="1:51"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7"/>
      <c r="AK609" s="7"/>
      <c r="AL609" s="7"/>
      <c r="AM609" s="7"/>
      <c r="AN609" s="7"/>
      <c r="AO609" s="7"/>
      <c r="AP609" s="7"/>
      <c r="AQ609" s="7"/>
      <c r="AR609" s="7"/>
      <c r="AS609" s="7"/>
      <c r="AT609" s="7"/>
      <c r="AU609" s="3"/>
      <c r="AV609" s="3"/>
      <c r="AW609" s="3"/>
      <c r="AX609" s="3"/>
      <c r="AY609" s="3"/>
    </row>
    <row r="610" spans="1:51"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7"/>
      <c r="AK610" s="7"/>
      <c r="AL610" s="7"/>
      <c r="AM610" s="7"/>
      <c r="AN610" s="7"/>
      <c r="AO610" s="7"/>
      <c r="AP610" s="7"/>
      <c r="AQ610" s="7"/>
      <c r="AR610" s="7"/>
      <c r="AS610" s="7"/>
      <c r="AT610" s="7"/>
      <c r="AU610" s="3"/>
      <c r="AV610" s="3"/>
      <c r="AW610" s="3"/>
      <c r="AX610" s="3"/>
      <c r="AY610" s="3"/>
    </row>
    <row r="611" spans="1:5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7"/>
      <c r="AK611" s="7"/>
      <c r="AL611" s="7"/>
      <c r="AM611" s="7"/>
      <c r="AN611" s="7"/>
      <c r="AO611" s="7"/>
      <c r="AP611" s="7"/>
      <c r="AQ611" s="7"/>
      <c r="AR611" s="7"/>
      <c r="AS611" s="7"/>
      <c r="AT611" s="7"/>
      <c r="AU611" s="3"/>
      <c r="AV611" s="3"/>
      <c r="AW611" s="3"/>
      <c r="AX611" s="3"/>
      <c r="AY611" s="3"/>
    </row>
    <row r="612" spans="1:51"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7"/>
      <c r="AK612" s="7"/>
      <c r="AL612" s="7"/>
      <c r="AM612" s="7"/>
      <c r="AN612" s="7"/>
      <c r="AO612" s="7"/>
      <c r="AP612" s="7"/>
      <c r="AQ612" s="7"/>
      <c r="AR612" s="7"/>
      <c r="AS612" s="7"/>
      <c r="AT612" s="7"/>
      <c r="AU612" s="3"/>
      <c r="AV612" s="3"/>
      <c r="AW612" s="3"/>
      <c r="AX612" s="3"/>
      <c r="AY612" s="3"/>
    </row>
    <row r="613" spans="1:51"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7"/>
      <c r="AK613" s="7"/>
      <c r="AL613" s="7"/>
      <c r="AM613" s="7"/>
      <c r="AN613" s="7"/>
      <c r="AO613" s="7"/>
      <c r="AP613" s="7"/>
      <c r="AQ613" s="7"/>
      <c r="AR613" s="7"/>
      <c r="AS613" s="7"/>
      <c r="AT613" s="7"/>
      <c r="AU613" s="3"/>
      <c r="AV613" s="3"/>
      <c r="AW613" s="3"/>
      <c r="AX613" s="3"/>
      <c r="AY613" s="3"/>
    </row>
    <row r="614" spans="1:51"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7"/>
      <c r="AK614" s="7"/>
      <c r="AL614" s="7"/>
      <c r="AM614" s="7"/>
      <c r="AN614" s="7"/>
      <c r="AO614" s="7"/>
      <c r="AP614" s="7"/>
      <c r="AQ614" s="7"/>
      <c r="AR614" s="7"/>
      <c r="AS614" s="7"/>
      <c r="AT614" s="7"/>
      <c r="AU614" s="3"/>
      <c r="AV614" s="3"/>
      <c r="AW614" s="3"/>
      <c r="AX614" s="3"/>
      <c r="AY614" s="3"/>
    </row>
    <row r="615" spans="1:51"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7"/>
      <c r="AK615" s="7"/>
      <c r="AL615" s="7"/>
      <c r="AM615" s="7"/>
      <c r="AN615" s="7"/>
      <c r="AO615" s="7"/>
      <c r="AP615" s="7"/>
      <c r="AQ615" s="7"/>
      <c r="AR615" s="7"/>
      <c r="AS615" s="7"/>
      <c r="AT615" s="7"/>
      <c r="AU615" s="3"/>
      <c r="AV615" s="3"/>
      <c r="AW615" s="3"/>
      <c r="AX615" s="3"/>
      <c r="AY615" s="3"/>
    </row>
    <row r="616" spans="1:51"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7"/>
      <c r="AK616" s="7"/>
      <c r="AL616" s="7"/>
      <c r="AM616" s="7"/>
      <c r="AN616" s="7"/>
      <c r="AO616" s="7"/>
      <c r="AP616" s="7"/>
      <c r="AQ616" s="7"/>
      <c r="AR616" s="7"/>
      <c r="AS616" s="7"/>
      <c r="AT616" s="7"/>
      <c r="AU616" s="3"/>
      <c r="AV616" s="3"/>
      <c r="AW616" s="3"/>
      <c r="AX616" s="3"/>
      <c r="AY616" s="3"/>
    </row>
    <row r="617" spans="1:51"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7"/>
      <c r="AK617" s="7"/>
      <c r="AL617" s="7"/>
      <c r="AM617" s="7"/>
      <c r="AN617" s="7"/>
      <c r="AO617" s="7"/>
      <c r="AP617" s="7"/>
      <c r="AQ617" s="7"/>
      <c r="AR617" s="7"/>
      <c r="AS617" s="7"/>
      <c r="AT617" s="7"/>
      <c r="AU617" s="3"/>
      <c r="AV617" s="3"/>
      <c r="AW617" s="3"/>
      <c r="AX617" s="3"/>
      <c r="AY617" s="3"/>
    </row>
    <row r="618" spans="1:51"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7"/>
      <c r="AK618" s="7"/>
      <c r="AL618" s="7"/>
      <c r="AM618" s="7"/>
      <c r="AN618" s="7"/>
      <c r="AO618" s="7"/>
      <c r="AP618" s="7"/>
      <c r="AQ618" s="7"/>
      <c r="AR618" s="7"/>
      <c r="AS618" s="7"/>
      <c r="AT618" s="7"/>
      <c r="AU618" s="3"/>
      <c r="AV618" s="3"/>
      <c r="AW618" s="3"/>
      <c r="AX618" s="3"/>
      <c r="AY618" s="3"/>
    </row>
    <row r="619" spans="1:51"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7"/>
      <c r="AK619" s="7"/>
      <c r="AL619" s="7"/>
      <c r="AM619" s="7"/>
      <c r="AN619" s="7"/>
      <c r="AO619" s="7"/>
      <c r="AP619" s="7"/>
      <c r="AQ619" s="7"/>
      <c r="AR619" s="7"/>
      <c r="AS619" s="7"/>
      <c r="AT619" s="7"/>
      <c r="AU619" s="3"/>
      <c r="AV619" s="3"/>
      <c r="AW619" s="3"/>
      <c r="AX619" s="3"/>
      <c r="AY619" s="3"/>
    </row>
    <row r="620" spans="1:51"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7"/>
      <c r="AK620" s="7"/>
      <c r="AL620" s="7"/>
      <c r="AM620" s="7"/>
      <c r="AN620" s="7"/>
      <c r="AO620" s="7"/>
      <c r="AP620" s="7"/>
      <c r="AQ620" s="7"/>
      <c r="AR620" s="7"/>
      <c r="AS620" s="7"/>
      <c r="AT620" s="7"/>
      <c r="AU620" s="3"/>
      <c r="AV620" s="3"/>
      <c r="AW620" s="3"/>
      <c r="AX620" s="3"/>
      <c r="AY620" s="3"/>
    </row>
    <row r="621" spans="1:5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7"/>
      <c r="AK621" s="7"/>
      <c r="AL621" s="7"/>
      <c r="AM621" s="7"/>
      <c r="AN621" s="7"/>
      <c r="AO621" s="7"/>
      <c r="AP621" s="7"/>
      <c r="AQ621" s="7"/>
      <c r="AR621" s="7"/>
      <c r="AS621" s="7"/>
      <c r="AT621" s="7"/>
      <c r="AU621" s="3"/>
      <c r="AV621" s="3"/>
      <c r="AW621" s="3"/>
      <c r="AX621" s="3"/>
      <c r="AY621" s="3"/>
    </row>
    <row r="622" spans="1:51"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7"/>
      <c r="AK622" s="7"/>
      <c r="AL622" s="7"/>
      <c r="AM622" s="7"/>
      <c r="AN622" s="7"/>
      <c r="AO622" s="7"/>
      <c r="AP622" s="7"/>
      <c r="AQ622" s="7"/>
      <c r="AR622" s="7"/>
      <c r="AS622" s="7"/>
      <c r="AT622" s="7"/>
      <c r="AU622" s="3"/>
      <c r="AV622" s="3"/>
      <c r="AW622" s="3"/>
      <c r="AX622" s="3"/>
      <c r="AY622" s="3"/>
    </row>
    <row r="623" spans="1:51"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7"/>
      <c r="AK623" s="7"/>
      <c r="AL623" s="7"/>
      <c r="AM623" s="7"/>
      <c r="AN623" s="7"/>
      <c r="AO623" s="7"/>
      <c r="AP623" s="7"/>
      <c r="AQ623" s="7"/>
      <c r="AR623" s="7"/>
      <c r="AS623" s="7"/>
      <c r="AT623" s="7"/>
      <c r="AU623" s="3"/>
      <c r="AV623" s="3"/>
      <c r="AW623" s="3"/>
      <c r="AX623" s="3"/>
      <c r="AY623" s="3"/>
    </row>
    <row r="624" spans="1:51"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7"/>
      <c r="AK624" s="7"/>
      <c r="AL624" s="7"/>
      <c r="AM624" s="7"/>
      <c r="AN624" s="7"/>
      <c r="AO624" s="7"/>
      <c r="AP624" s="7"/>
      <c r="AQ624" s="7"/>
      <c r="AR624" s="7"/>
      <c r="AS624" s="7"/>
      <c r="AT624" s="7"/>
      <c r="AU624" s="3"/>
      <c r="AV624" s="3"/>
      <c r="AW624" s="3"/>
      <c r="AX624" s="3"/>
      <c r="AY624" s="3"/>
    </row>
    <row r="625" spans="1:51"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7"/>
      <c r="AK625" s="7"/>
      <c r="AL625" s="7"/>
      <c r="AM625" s="7"/>
      <c r="AN625" s="7"/>
      <c r="AO625" s="7"/>
      <c r="AP625" s="7"/>
      <c r="AQ625" s="7"/>
      <c r="AR625" s="7"/>
      <c r="AS625" s="7"/>
      <c r="AT625" s="7"/>
      <c r="AU625" s="3"/>
      <c r="AV625" s="3"/>
      <c r="AW625" s="3"/>
      <c r="AX625" s="3"/>
      <c r="AY625" s="3"/>
    </row>
    <row r="626" spans="1:51"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7"/>
      <c r="AK626" s="7"/>
      <c r="AL626" s="7"/>
      <c r="AM626" s="7"/>
      <c r="AN626" s="7"/>
      <c r="AO626" s="7"/>
      <c r="AP626" s="7"/>
      <c r="AQ626" s="7"/>
      <c r="AR626" s="7"/>
      <c r="AS626" s="7"/>
      <c r="AT626" s="7"/>
      <c r="AU626" s="3"/>
      <c r="AV626" s="3"/>
      <c r="AW626" s="3"/>
      <c r="AX626" s="3"/>
      <c r="AY626" s="3"/>
    </row>
    <row r="627" spans="1:51"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7"/>
      <c r="AK627" s="7"/>
      <c r="AL627" s="7"/>
      <c r="AM627" s="7"/>
      <c r="AN627" s="7"/>
      <c r="AO627" s="7"/>
      <c r="AP627" s="7"/>
      <c r="AQ627" s="7"/>
      <c r="AR627" s="7"/>
      <c r="AS627" s="7"/>
      <c r="AT627" s="7"/>
      <c r="AU627" s="3"/>
      <c r="AV627" s="3"/>
      <c r="AW627" s="3"/>
      <c r="AX627" s="3"/>
      <c r="AY627" s="3"/>
    </row>
    <row r="628" spans="1:51"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7"/>
      <c r="AK628" s="7"/>
      <c r="AL628" s="7"/>
      <c r="AM628" s="7"/>
      <c r="AN628" s="7"/>
      <c r="AO628" s="7"/>
      <c r="AP628" s="7"/>
      <c r="AQ628" s="7"/>
      <c r="AR628" s="7"/>
      <c r="AS628" s="7"/>
      <c r="AT628" s="7"/>
      <c r="AU628" s="3"/>
      <c r="AV628" s="3"/>
      <c r="AW628" s="3"/>
      <c r="AX628" s="3"/>
      <c r="AY628" s="3"/>
    </row>
    <row r="629" spans="1:51"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7"/>
      <c r="AK629" s="7"/>
      <c r="AL629" s="7"/>
      <c r="AM629" s="7"/>
      <c r="AN629" s="7"/>
      <c r="AO629" s="7"/>
      <c r="AP629" s="7"/>
      <c r="AQ629" s="7"/>
      <c r="AR629" s="7"/>
      <c r="AS629" s="7"/>
      <c r="AT629" s="7"/>
      <c r="AU629" s="3"/>
      <c r="AV629" s="3"/>
      <c r="AW629" s="3"/>
      <c r="AX629" s="3"/>
      <c r="AY629" s="3"/>
    </row>
    <row r="630" spans="1:51"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7"/>
      <c r="AK630" s="7"/>
      <c r="AL630" s="7"/>
      <c r="AM630" s="7"/>
      <c r="AN630" s="7"/>
      <c r="AO630" s="7"/>
      <c r="AP630" s="7"/>
      <c r="AQ630" s="7"/>
      <c r="AR630" s="7"/>
      <c r="AS630" s="7"/>
      <c r="AT630" s="7"/>
      <c r="AU630" s="3"/>
      <c r="AV630" s="3"/>
      <c r="AW630" s="3"/>
      <c r="AX630" s="3"/>
      <c r="AY630" s="3"/>
    </row>
    <row r="631" spans="1:5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7"/>
      <c r="AK631" s="7"/>
      <c r="AL631" s="7"/>
      <c r="AM631" s="7"/>
      <c r="AN631" s="7"/>
      <c r="AO631" s="7"/>
      <c r="AP631" s="7"/>
      <c r="AQ631" s="7"/>
      <c r="AR631" s="7"/>
      <c r="AS631" s="7"/>
      <c r="AT631" s="7"/>
      <c r="AU631" s="3"/>
      <c r="AV631" s="3"/>
      <c r="AW631" s="3"/>
      <c r="AX631" s="3"/>
      <c r="AY631" s="3"/>
    </row>
    <row r="632" spans="1:51"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7"/>
      <c r="AK632" s="7"/>
      <c r="AL632" s="7"/>
      <c r="AM632" s="7"/>
      <c r="AN632" s="7"/>
      <c r="AO632" s="7"/>
      <c r="AP632" s="7"/>
      <c r="AQ632" s="7"/>
      <c r="AR632" s="7"/>
      <c r="AS632" s="7"/>
      <c r="AT632" s="7"/>
      <c r="AU632" s="3"/>
      <c r="AV632" s="3"/>
      <c r="AW632" s="3"/>
      <c r="AX632" s="3"/>
      <c r="AY632" s="3"/>
    </row>
    <row r="633" spans="1:51"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7"/>
      <c r="AK633" s="7"/>
      <c r="AL633" s="7"/>
      <c r="AM633" s="7"/>
      <c r="AN633" s="7"/>
      <c r="AO633" s="7"/>
      <c r="AP633" s="7"/>
      <c r="AQ633" s="7"/>
      <c r="AR633" s="7"/>
      <c r="AS633" s="7"/>
      <c r="AT633" s="7"/>
      <c r="AU633" s="3"/>
      <c r="AV633" s="3"/>
      <c r="AW633" s="3"/>
      <c r="AX633" s="3"/>
      <c r="AY633" s="3"/>
    </row>
    <row r="634" spans="1:51"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7"/>
      <c r="AK634" s="7"/>
      <c r="AL634" s="7"/>
      <c r="AM634" s="7"/>
      <c r="AN634" s="7"/>
      <c r="AO634" s="7"/>
      <c r="AP634" s="7"/>
      <c r="AQ634" s="7"/>
      <c r="AR634" s="7"/>
      <c r="AS634" s="7"/>
      <c r="AT634" s="7"/>
      <c r="AU634" s="3"/>
      <c r="AV634" s="3"/>
      <c r="AW634" s="3"/>
      <c r="AX634" s="3"/>
      <c r="AY634" s="3"/>
    </row>
    <row r="635" spans="1:51"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7"/>
      <c r="AK635" s="7"/>
      <c r="AL635" s="7"/>
      <c r="AM635" s="7"/>
      <c r="AN635" s="7"/>
      <c r="AO635" s="7"/>
      <c r="AP635" s="7"/>
      <c r="AQ635" s="7"/>
      <c r="AR635" s="7"/>
      <c r="AS635" s="7"/>
      <c r="AT635" s="7"/>
      <c r="AU635" s="3"/>
      <c r="AV635" s="3"/>
      <c r="AW635" s="3"/>
      <c r="AX635" s="3"/>
      <c r="AY635" s="3"/>
    </row>
    <row r="636" spans="1:51"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7"/>
      <c r="AK636" s="7"/>
      <c r="AL636" s="7"/>
      <c r="AM636" s="7"/>
      <c r="AN636" s="7"/>
      <c r="AO636" s="7"/>
      <c r="AP636" s="7"/>
      <c r="AQ636" s="7"/>
      <c r="AR636" s="7"/>
      <c r="AS636" s="7"/>
      <c r="AT636" s="7"/>
      <c r="AU636" s="3"/>
      <c r="AV636" s="3"/>
      <c r="AW636" s="3"/>
      <c r="AX636" s="3"/>
      <c r="AY636" s="3"/>
    </row>
    <row r="637" spans="1:51"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7"/>
      <c r="AK637" s="7"/>
      <c r="AL637" s="7"/>
      <c r="AM637" s="7"/>
      <c r="AN637" s="7"/>
      <c r="AO637" s="7"/>
      <c r="AP637" s="7"/>
      <c r="AQ637" s="7"/>
      <c r="AR637" s="7"/>
      <c r="AS637" s="7"/>
      <c r="AT637" s="7"/>
      <c r="AU637" s="3"/>
      <c r="AV637" s="3"/>
      <c r="AW637" s="3"/>
      <c r="AX637" s="3"/>
      <c r="AY637" s="3"/>
    </row>
    <row r="638" spans="1:51"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7"/>
      <c r="AK638" s="7"/>
      <c r="AL638" s="7"/>
      <c r="AM638" s="7"/>
      <c r="AN638" s="7"/>
      <c r="AO638" s="7"/>
      <c r="AP638" s="7"/>
      <c r="AQ638" s="7"/>
      <c r="AR638" s="7"/>
      <c r="AS638" s="7"/>
      <c r="AT638" s="7"/>
      <c r="AU638" s="3"/>
      <c r="AV638" s="3"/>
      <c r="AW638" s="3"/>
      <c r="AX638" s="3"/>
      <c r="AY638" s="3"/>
    </row>
    <row r="639" spans="1:51"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7"/>
      <c r="AK639" s="7"/>
      <c r="AL639" s="7"/>
      <c r="AM639" s="7"/>
      <c r="AN639" s="7"/>
      <c r="AO639" s="7"/>
      <c r="AP639" s="7"/>
      <c r="AQ639" s="7"/>
      <c r="AR639" s="7"/>
      <c r="AS639" s="7"/>
      <c r="AT639" s="7"/>
      <c r="AU639" s="3"/>
      <c r="AV639" s="3"/>
      <c r="AW639" s="3"/>
      <c r="AX639" s="3"/>
      <c r="AY639" s="3"/>
    </row>
    <row r="640" spans="1:51"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7"/>
      <c r="AK640" s="7"/>
      <c r="AL640" s="7"/>
      <c r="AM640" s="7"/>
      <c r="AN640" s="7"/>
      <c r="AO640" s="7"/>
      <c r="AP640" s="7"/>
      <c r="AQ640" s="7"/>
      <c r="AR640" s="7"/>
      <c r="AS640" s="7"/>
      <c r="AT640" s="7"/>
      <c r="AU640" s="3"/>
      <c r="AV640" s="3"/>
      <c r="AW640" s="3"/>
      <c r="AX640" s="3"/>
      <c r="AY640" s="3"/>
    </row>
    <row r="641" spans="1:5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7"/>
      <c r="AK641" s="7"/>
      <c r="AL641" s="7"/>
      <c r="AM641" s="7"/>
      <c r="AN641" s="7"/>
      <c r="AO641" s="7"/>
      <c r="AP641" s="7"/>
      <c r="AQ641" s="7"/>
      <c r="AR641" s="7"/>
      <c r="AS641" s="7"/>
      <c r="AT641" s="7"/>
      <c r="AU641" s="3"/>
      <c r="AV641" s="3"/>
      <c r="AW641" s="3"/>
      <c r="AX641" s="3"/>
      <c r="AY641" s="3"/>
    </row>
    <row r="642" spans="1:51"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7"/>
      <c r="AK642" s="7"/>
      <c r="AL642" s="7"/>
      <c r="AM642" s="7"/>
      <c r="AN642" s="7"/>
      <c r="AO642" s="7"/>
      <c r="AP642" s="7"/>
      <c r="AQ642" s="7"/>
      <c r="AR642" s="7"/>
      <c r="AS642" s="7"/>
      <c r="AT642" s="7"/>
      <c r="AU642" s="3"/>
      <c r="AV642" s="3"/>
      <c r="AW642" s="3"/>
      <c r="AX642" s="3"/>
      <c r="AY642" s="3"/>
    </row>
    <row r="643" spans="1:51"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7"/>
      <c r="AK643" s="7"/>
      <c r="AL643" s="7"/>
      <c r="AM643" s="7"/>
      <c r="AN643" s="7"/>
      <c r="AO643" s="7"/>
      <c r="AP643" s="7"/>
      <c r="AQ643" s="7"/>
      <c r="AR643" s="7"/>
      <c r="AS643" s="7"/>
      <c r="AT643" s="7"/>
      <c r="AU643" s="3"/>
      <c r="AV643" s="3"/>
      <c r="AW643" s="3"/>
      <c r="AX643" s="3"/>
      <c r="AY643" s="3"/>
    </row>
    <row r="644" spans="1:51"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7"/>
      <c r="AK644" s="7"/>
      <c r="AL644" s="7"/>
      <c r="AM644" s="7"/>
      <c r="AN644" s="7"/>
      <c r="AO644" s="7"/>
      <c r="AP644" s="7"/>
      <c r="AQ644" s="7"/>
      <c r="AR644" s="7"/>
      <c r="AS644" s="7"/>
      <c r="AT644" s="7"/>
      <c r="AU644" s="3"/>
      <c r="AV644" s="3"/>
      <c r="AW644" s="3"/>
      <c r="AX644" s="3"/>
      <c r="AY644" s="3"/>
    </row>
    <row r="645" spans="1:51"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7"/>
      <c r="AK645" s="7"/>
      <c r="AL645" s="7"/>
      <c r="AM645" s="7"/>
      <c r="AN645" s="7"/>
      <c r="AO645" s="7"/>
      <c r="AP645" s="7"/>
      <c r="AQ645" s="7"/>
      <c r="AR645" s="7"/>
      <c r="AS645" s="7"/>
      <c r="AT645" s="7"/>
      <c r="AU645" s="3"/>
      <c r="AV645" s="3"/>
      <c r="AW645" s="3"/>
      <c r="AX645" s="3"/>
      <c r="AY645" s="3"/>
    </row>
    <row r="646" spans="1:51"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7"/>
      <c r="AK646" s="7"/>
      <c r="AL646" s="7"/>
      <c r="AM646" s="7"/>
      <c r="AN646" s="7"/>
      <c r="AO646" s="7"/>
      <c r="AP646" s="7"/>
      <c r="AQ646" s="7"/>
      <c r="AR646" s="7"/>
      <c r="AS646" s="7"/>
      <c r="AT646" s="7"/>
      <c r="AU646" s="3"/>
      <c r="AV646" s="3"/>
      <c r="AW646" s="3"/>
      <c r="AX646" s="3"/>
      <c r="AY646" s="3"/>
    </row>
    <row r="647" spans="1:51"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7"/>
      <c r="AK647" s="7"/>
      <c r="AL647" s="7"/>
      <c r="AM647" s="7"/>
      <c r="AN647" s="7"/>
      <c r="AO647" s="7"/>
      <c r="AP647" s="7"/>
      <c r="AQ647" s="7"/>
      <c r="AR647" s="7"/>
      <c r="AS647" s="7"/>
      <c r="AT647" s="7"/>
      <c r="AU647" s="3"/>
      <c r="AV647" s="3"/>
      <c r="AW647" s="3"/>
      <c r="AX647" s="3"/>
      <c r="AY647" s="3"/>
    </row>
    <row r="648" spans="1:51"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7"/>
      <c r="AK648" s="7"/>
      <c r="AL648" s="7"/>
      <c r="AM648" s="7"/>
      <c r="AN648" s="7"/>
      <c r="AO648" s="7"/>
      <c r="AP648" s="7"/>
      <c r="AQ648" s="7"/>
      <c r="AR648" s="7"/>
      <c r="AS648" s="7"/>
      <c r="AT648" s="7"/>
      <c r="AU648" s="3"/>
      <c r="AV648" s="3"/>
      <c r="AW648" s="3"/>
      <c r="AX648" s="3"/>
      <c r="AY648" s="3"/>
    </row>
    <row r="649" spans="1:51"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7"/>
      <c r="AK649" s="7"/>
      <c r="AL649" s="7"/>
      <c r="AM649" s="7"/>
      <c r="AN649" s="7"/>
      <c r="AO649" s="7"/>
      <c r="AP649" s="7"/>
      <c r="AQ649" s="7"/>
      <c r="AR649" s="7"/>
      <c r="AS649" s="7"/>
      <c r="AT649" s="7"/>
      <c r="AU649" s="3"/>
      <c r="AV649" s="3"/>
      <c r="AW649" s="3"/>
      <c r="AX649" s="3"/>
      <c r="AY649" s="3"/>
    </row>
    <row r="650" spans="1:51"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7"/>
      <c r="AK650" s="7"/>
      <c r="AL650" s="7"/>
      <c r="AM650" s="7"/>
      <c r="AN650" s="7"/>
      <c r="AO650" s="7"/>
      <c r="AP650" s="7"/>
      <c r="AQ650" s="7"/>
      <c r="AR650" s="7"/>
      <c r="AS650" s="7"/>
      <c r="AT650" s="7"/>
      <c r="AU650" s="3"/>
      <c r="AV650" s="3"/>
      <c r="AW650" s="3"/>
      <c r="AX650" s="3"/>
      <c r="AY650" s="3"/>
    </row>
    <row r="651" spans="1: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7"/>
      <c r="AK651" s="7"/>
      <c r="AL651" s="7"/>
      <c r="AM651" s="7"/>
      <c r="AN651" s="7"/>
      <c r="AO651" s="7"/>
      <c r="AP651" s="7"/>
      <c r="AQ651" s="7"/>
      <c r="AR651" s="7"/>
      <c r="AS651" s="7"/>
      <c r="AT651" s="7"/>
      <c r="AU651" s="3"/>
      <c r="AV651" s="3"/>
      <c r="AW651" s="3"/>
      <c r="AX651" s="3"/>
      <c r="AY651" s="3"/>
    </row>
    <row r="652" spans="1:51"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7"/>
      <c r="AK652" s="7"/>
      <c r="AL652" s="7"/>
      <c r="AM652" s="7"/>
      <c r="AN652" s="7"/>
      <c r="AO652" s="7"/>
      <c r="AP652" s="7"/>
      <c r="AQ652" s="7"/>
      <c r="AR652" s="7"/>
      <c r="AS652" s="7"/>
      <c r="AT652" s="7"/>
      <c r="AU652" s="3"/>
      <c r="AV652" s="3"/>
      <c r="AW652" s="3"/>
      <c r="AX652" s="3"/>
      <c r="AY652" s="3"/>
    </row>
    <row r="653" spans="1:51"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7"/>
      <c r="AK653" s="7"/>
      <c r="AL653" s="7"/>
      <c r="AM653" s="7"/>
      <c r="AN653" s="7"/>
      <c r="AO653" s="7"/>
      <c r="AP653" s="7"/>
      <c r="AQ653" s="7"/>
      <c r="AR653" s="7"/>
      <c r="AS653" s="7"/>
      <c r="AT653" s="7"/>
      <c r="AU653" s="3"/>
      <c r="AV653" s="3"/>
      <c r="AW653" s="3"/>
      <c r="AX653" s="3"/>
      <c r="AY653" s="3"/>
    </row>
    <row r="654" spans="1:51"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7"/>
      <c r="AK654" s="7"/>
      <c r="AL654" s="7"/>
      <c r="AM654" s="7"/>
      <c r="AN654" s="7"/>
      <c r="AO654" s="7"/>
      <c r="AP654" s="7"/>
      <c r="AQ654" s="7"/>
      <c r="AR654" s="7"/>
      <c r="AS654" s="7"/>
      <c r="AT654" s="7"/>
      <c r="AU654" s="3"/>
      <c r="AV654" s="3"/>
      <c r="AW654" s="3"/>
      <c r="AX654" s="3"/>
      <c r="AY654" s="3"/>
    </row>
    <row r="655" spans="1:51"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7"/>
      <c r="AK655" s="7"/>
      <c r="AL655" s="7"/>
      <c r="AM655" s="7"/>
      <c r="AN655" s="7"/>
      <c r="AO655" s="7"/>
      <c r="AP655" s="7"/>
      <c r="AQ655" s="7"/>
      <c r="AR655" s="7"/>
      <c r="AS655" s="7"/>
      <c r="AT655" s="7"/>
      <c r="AU655" s="3"/>
      <c r="AV655" s="3"/>
      <c r="AW655" s="3"/>
      <c r="AX655" s="3"/>
      <c r="AY655" s="3"/>
    </row>
    <row r="656" spans="1:51"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7"/>
      <c r="AK656" s="7"/>
      <c r="AL656" s="7"/>
      <c r="AM656" s="7"/>
      <c r="AN656" s="7"/>
      <c r="AO656" s="7"/>
      <c r="AP656" s="7"/>
      <c r="AQ656" s="7"/>
      <c r="AR656" s="7"/>
      <c r="AS656" s="7"/>
      <c r="AT656" s="7"/>
      <c r="AU656" s="3"/>
      <c r="AV656" s="3"/>
      <c r="AW656" s="3"/>
      <c r="AX656" s="3"/>
      <c r="AY656" s="3"/>
    </row>
    <row r="657" spans="1:51"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7"/>
      <c r="AK657" s="7"/>
      <c r="AL657" s="7"/>
      <c r="AM657" s="7"/>
      <c r="AN657" s="7"/>
      <c r="AO657" s="7"/>
      <c r="AP657" s="7"/>
      <c r="AQ657" s="7"/>
      <c r="AR657" s="7"/>
      <c r="AS657" s="7"/>
      <c r="AT657" s="7"/>
      <c r="AU657" s="3"/>
      <c r="AV657" s="3"/>
      <c r="AW657" s="3"/>
      <c r="AX657" s="3"/>
      <c r="AY657" s="3"/>
    </row>
    <row r="658" spans="1:51"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7"/>
      <c r="AK658" s="7"/>
      <c r="AL658" s="7"/>
      <c r="AM658" s="7"/>
      <c r="AN658" s="7"/>
      <c r="AO658" s="7"/>
      <c r="AP658" s="7"/>
      <c r="AQ658" s="7"/>
      <c r="AR658" s="7"/>
      <c r="AS658" s="7"/>
      <c r="AT658" s="7"/>
      <c r="AU658" s="3"/>
      <c r="AV658" s="3"/>
      <c r="AW658" s="3"/>
      <c r="AX658" s="3"/>
      <c r="AY658" s="3"/>
    </row>
    <row r="659" spans="1:51"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7"/>
      <c r="AK659" s="7"/>
      <c r="AL659" s="7"/>
      <c r="AM659" s="7"/>
      <c r="AN659" s="7"/>
      <c r="AO659" s="7"/>
      <c r="AP659" s="7"/>
      <c r="AQ659" s="7"/>
      <c r="AR659" s="7"/>
      <c r="AS659" s="7"/>
      <c r="AT659" s="7"/>
      <c r="AU659" s="3"/>
      <c r="AV659" s="3"/>
      <c r="AW659" s="3"/>
      <c r="AX659" s="3"/>
      <c r="AY659" s="3"/>
    </row>
    <row r="660" spans="1:51"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7"/>
      <c r="AK660" s="7"/>
      <c r="AL660" s="7"/>
      <c r="AM660" s="7"/>
      <c r="AN660" s="7"/>
      <c r="AO660" s="7"/>
      <c r="AP660" s="7"/>
      <c r="AQ660" s="7"/>
      <c r="AR660" s="7"/>
      <c r="AS660" s="7"/>
      <c r="AT660" s="7"/>
      <c r="AU660" s="3"/>
      <c r="AV660" s="3"/>
      <c r="AW660" s="3"/>
      <c r="AX660" s="3"/>
      <c r="AY660" s="3"/>
    </row>
    <row r="661" spans="1:5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7"/>
      <c r="AK661" s="7"/>
      <c r="AL661" s="7"/>
      <c r="AM661" s="7"/>
      <c r="AN661" s="7"/>
      <c r="AO661" s="7"/>
      <c r="AP661" s="7"/>
      <c r="AQ661" s="7"/>
      <c r="AR661" s="7"/>
      <c r="AS661" s="7"/>
      <c r="AT661" s="7"/>
      <c r="AU661" s="3"/>
      <c r="AV661" s="3"/>
      <c r="AW661" s="3"/>
      <c r="AX661" s="3"/>
      <c r="AY661" s="3"/>
    </row>
    <row r="662" spans="1:51"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7"/>
      <c r="AK662" s="7"/>
      <c r="AL662" s="7"/>
      <c r="AM662" s="7"/>
      <c r="AN662" s="7"/>
      <c r="AO662" s="7"/>
      <c r="AP662" s="7"/>
      <c r="AQ662" s="7"/>
      <c r="AR662" s="7"/>
      <c r="AS662" s="7"/>
      <c r="AT662" s="7"/>
      <c r="AU662" s="3"/>
      <c r="AV662" s="3"/>
      <c r="AW662" s="3"/>
      <c r="AX662" s="3"/>
      <c r="AY662" s="3"/>
    </row>
    <row r="663" spans="1:51"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7"/>
      <c r="AK663" s="7"/>
      <c r="AL663" s="7"/>
      <c r="AM663" s="7"/>
      <c r="AN663" s="7"/>
      <c r="AO663" s="7"/>
      <c r="AP663" s="7"/>
      <c r="AQ663" s="7"/>
      <c r="AR663" s="7"/>
      <c r="AS663" s="7"/>
      <c r="AT663" s="7"/>
      <c r="AU663" s="3"/>
      <c r="AV663" s="3"/>
      <c r="AW663" s="3"/>
      <c r="AX663" s="3"/>
      <c r="AY663" s="3"/>
    </row>
    <row r="664" spans="1:51"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7"/>
      <c r="AK664" s="7"/>
      <c r="AL664" s="7"/>
      <c r="AM664" s="7"/>
      <c r="AN664" s="7"/>
      <c r="AO664" s="7"/>
      <c r="AP664" s="7"/>
      <c r="AQ664" s="7"/>
      <c r="AR664" s="7"/>
      <c r="AS664" s="7"/>
      <c r="AT664" s="7"/>
      <c r="AU664" s="3"/>
      <c r="AV664" s="3"/>
      <c r="AW664" s="3"/>
      <c r="AX664" s="3"/>
      <c r="AY664" s="3"/>
    </row>
    <row r="665" spans="1:51"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7"/>
      <c r="AK665" s="7"/>
      <c r="AL665" s="7"/>
      <c r="AM665" s="7"/>
      <c r="AN665" s="7"/>
      <c r="AO665" s="7"/>
      <c r="AP665" s="7"/>
      <c r="AQ665" s="7"/>
      <c r="AR665" s="7"/>
      <c r="AS665" s="7"/>
      <c r="AT665" s="7"/>
      <c r="AU665" s="3"/>
      <c r="AV665" s="3"/>
      <c r="AW665" s="3"/>
      <c r="AX665" s="3"/>
      <c r="AY665" s="3"/>
    </row>
    <row r="666" spans="1:51"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7"/>
      <c r="AK666" s="7"/>
      <c r="AL666" s="7"/>
      <c r="AM666" s="7"/>
      <c r="AN666" s="7"/>
      <c r="AO666" s="7"/>
      <c r="AP666" s="7"/>
      <c r="AQ666" s="7"/>
      <c r="AR666" s="7"/>
      <c r="AS666" s="7"/>
      <c r="AT666" s="7"/>
      <c r="AU666" s="3"/>
      <c r="AV666" s="3"/>
      <c r="AW666" s="3"/>
      <c r="AX666" s="3"/>
      <c r="AY666" s="3"/>
    </row>
    <row r="667" spans="1:51"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7"/>
      <c r="AK667" s="7"/>
      <c r="AL667" s="7"/>
      <c r="AM667" s="7"/>
      <c r="AN667" s="7"/>
      <c r="AO667" s="7"/>
      <c r="AP667" s="7"/>
      <c r="AQ667" s="7"/>
      <c r="AR667" s="7"/>
      <c r="AS667" s="7"/>
      <c r="AT667" s="7"/>
      <c r="AU667" s="3"/>
      <c r="AV667" s="3"/>
      <c r="AW667" s="3"/>
      <c r="AX667" s="3"/>
      <c r="AY667" s="3"/>
    </row>
    <row r="668" spans="1:51"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7"/>
      <c r="AK668" s="7"/>
      <c r="AL668" s="7"/>
      <c r="AM668" s="7"/>
      <c r="AN668" s="7"/>
      <c r="AO668" s="7"/>
      <c r="AP668" s="7"/>
      <c r="AQ668" s="7"/>
      <c r="AR668" s="7"/>
      <c r="AS668" s="7"/>
      <c r="AT668" s="7"/>
      <c r="AU668" s="3"/>
      <c r="AV668" s="3"/>
      <c r="AW668" s="3"/>
      <c r="AX668" s="3"/>
      <c r="AY668" s="3"/>
    </row>
    <row r="669" spans="1:51"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7"/>
      <c r="AK669" s="7"/>
      <c r="AL669" s="7"/>
      <c r="AM669" s="7"/>
      <c r="AN669" s="7"/>
      <c r="AO669" s="7"/>
      <c r="AP669" s="7"/>
      <c r="AQ669" s="7"/>
      <c r="AR669" s="7"/>
      <c r="AS669" s="7"/>
      <c r="AT669" s="7"/>
      <c r="AU669" s="3"/>
      <c r="AV669" s="3"/>
      <c r="AW669" s="3"/>
      <c r="AX669" s="3"/>
      <c r="AY669" s="3"/>
    </row>
    <row r="670" spans="1:51"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7"/>
      <c r="AK670" s="7"/>
      <c r="AL670" s="7"/>
      <c r="AM670" s="7"/>
      <c r="AN670" s="7"/>
      <c r="AO670" s="7"/>
      <c r="AP670" s="7"/>
      <c r="AQ670" s="7"/>
      <c r="AR670" s="7"/>
      <c r="AS670" s="7"/>
      <c r="AT670" s="7"/>
      <c r="AU670" s="3"/>
      <c r="AV670" s="3"/>
      <c r="AW670" s="3"/>
      <c r="AX670" s="3"/>
      <c r="AY670" s="3"/>
    </row>
    <row r="671" spans="1:5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7"/>
      <c r="AK671" s="7"/>
      <c r="AL671" s="7"/>
      <c r="AM671" s="7"/>
      <c r="AN671" s="7"/>
      <c r="AO671" s="7"/>
      <c r="AP671" s="7"/>
      <c r="AQ671" s="7"/>
      <c r="AR671" s="7"/>
      <c r="AS671" s="7"/>
      <c r="AT671" s="7"/>
      <c r="AU671" s="3"/>
      <c r="AV671" s="3"/>
      <c r="AW671" s="3"/>
      <c r="AX671" s="3"/>
      <c r="AY671" s="3"/>
    </row>
    <row r="672" spans="1:51"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7"/>
      <c r="AK672" s="7"/>
      <c r="AL672" s="7"/>
      <c r="AM672" s="7"/>
      <c r="AN672" s="7"/>
      <c r="AO672" s="7"/>
      <c r="AP672" s="7"/>
      <c r="AQ672" s="7"/>
      <c r="AR672" s="7"/>
      <c r="AS672" s="7"/>
      <c r="AT672" s="7"/>
      <c r="AU672" s="3"/>
      <c r="AV672" s="3"/>
      <c r="AW672" s="3"/>
      <c r="AX672" s="3"/>
      <c r="AY672" s="3"/>
    </row>
    <row r="673" spans="1:51"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7"/>
      <c r="AK673" s="7"/>
      <c r="AL673" s="7"/>
      <c r="AM673" s="7"/>
      <c r="AN673" s="7"/>
      <c r="AO673" s="7"/>
      <c r="AP673" s="7"/>
      <c r="AQ673" s="7"/>
      <c r="AR673" s="7"/>
      <c r="AS673" s="7"/>
      <c r="AT673" s="7"/>
      <c r="AU673" s="3"/>
      <c r="AV673" s="3"/>
      <c r="AW673" s="3"/>
      <c r="AX673" s="3"/>
      <c r="AY673" s="3"/>
    </row>
    <row r="674" spans="1:51"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7"/>
      <c r="AK674" s="7"/>
      <c r="AL674" s="7"/>
      <c r="AM674" s="7"/>
      <c r="AN674" s="7"/>
      <c r="AO674" s="7"/>
      <c r="AP674" s="7"/>
      <c r="AQ674" s="7"/>
      <c r="AR674" s="7"/>
      <c r="AS674" s="7"/>
      <c r="AT674" s="7"/>
      <c r="AU674" s="3"/>
      <c r="AV674" s="3"/>
      <c r="AW674" s="3"/>
      <c r="AX674" s="3"/>
      <c r="AY674" s="3"/>
    </row>
    <row r="675" spans="1:51"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7"/>
      <c r="AK675" s="7"/>
      <c r="AL675" s="7"/>
      <c r="AM675" s="7"/>
      <c r="AN675" s="7"/>
      <c r="AO675" s="7"/>
      <c r="AP675" s="7"/>
      <c r="AQ675" s="7"/>
      <c r="AR675" s="7"/>
      <c r="AS675" s="7"/>
      <c r="AT675" s="7"/>
      <c r="AU675" s="3"/>
      <c r="AV675" s="3"/>
      <c r="AW675" s="3"/>
      <c r="AX675" s="3"/>
      <c r="AY675" s="3"/>
    </row>
    <row r="676" spans="1:51"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7"/>
      <c r="AK676" s="7"/>
      <c r="AL676" s="7"/>
      <c r="AM676" s="7"/>
      <c r="AN676" s="7"/>
      <c r="AO676" s="7"/>
      <c r="AP676" s="7"/>
      <c r="AQ676" s="7"/>
      <c r="AR676" s="7"/>
      <c r="AS676" s="7"/>
      <c r="AT676" s="7"/>
      <c r="AU676" s="3"/>
      <c r="AV676" s="3"/>
      <c r="AW676" s="3"/>
      <c r="AX676" s="3"/>
      <c r="AY676" s="3"/>
    </row>
    <row r="677" spans="1:51"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7"/>
      <c r="AK677" s="7"/>
      <c r="AL677" s="7"/>
      <c r="AM677" s="7"/>
      <c r="AN677" s="7"/>
      <c r="AO677" s="7"/>
      <c r="AP677" s="7"/>
      <c r="AQ677" s="7"/>
      <c r="AR677" s="7"/>
      <c r="AS677" s="7"/>
      <c r="AT677" s="7"/>
      <c r="AU677" s="3"/>
      <c r="AV677" s="3"/>
      <c r="AW677" s="3"/>
      <c r="AX677" s="3"/>
      <c r="AY677" s="3"/>
    </row>
    <row r="678" spans="1:51"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7"/>
      <c r="AK678" s="7"/>
      <c r="AL678" s="7"/>
      <c r="AM678" s="7"/>
      <c r="AN678" s="7"/>
      <c r="AO678" s="7"/>
      <c r="AP678" s="7"/>
      <c r="AQ678" s="7"/>
      <c r="AR678" s="7"/>
      <c r="AS678" s="7"/>
      <c r="AT678" s="7"/>
      <c r="AU678" s="3"/>
      <c r="AV678" s="3"/>
      <c r="AW678" s="3"/>
      <c r="AX678" s="3"/>
      <c r="AY678" s="3"/>
    </row>
    <row r="679" spans="1:51"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7"/>
      <c r="AK679" s="7"/>
      <c r="AL679" s="7"/>
      <c r="AM679" s="7"/>
      <c r="AN679" s="7"/>
      <c r="AO679" s="7"/>
      <c r="AP679" s="7"/>
      <c r="AQ679" s="7"/>
      <c r="AR679" s="7"/>
      <c r="AS679" s="7"/>
      <c r="AT679" s="7"/>
      <c r="AU679" s="3"/>
      <c r="AV679" s="3"/>
      <c r="AW679" s="3"/>
      <c r="AX679" s="3"/>
      <c r="AY679" s="3"/>
    </row>
    <row r="680" spans="1:51"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7"/>
      <c r="AK680" s="7"/>
      <c r="AL680" s="7"/>
      <c r="AM680" s="7"/>
      <c r="AN680" s="7"/>
      <c r="AO680" s="7"/>
      <c r="AP680" s="7"/>
      <c r="AQ680" s="7"/>
      <c r="AR680" s="7"/>
      <c r="AS680" s="7"/>
      <c r="AT680" s="7"/>
      <c r="AU680" s="3"/>
      <c r="AV680" s="3"/>
      <c r="AW680" s="3"/>
      <c r="AX680" s="3"/>
      <c r="AY680" s="3"/>
    </row>
    <row r="681" spans="1:5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7"/>
      <c r="AK681" s="7"/>
      <c r="AL681" s="7"/>
      <c r="AM681" s="7"/>
      <c r="AN681" s="7"/>
      <c r="AO681" s="7"/>
      <c r="AP681" s="7"/>
      <c r="AQ681" s="7"/>
      <c r="AR681" s="7"/>
      <c r="AS681" s="7"/>
      <c r="AT681" s="7"/>
      <c r="AU681" s="3"/>
      <c r="AV681" s="3"/>
      <c r="AW681" s="3"/>
      <c r="AX681" s="3"/>
      <c r="AY681" s="3"/>
    </row>
    <row r="682" spans="1:51"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7"/>
      <c r="AK682" s="7"/>
      <c r="AL682" s="7"/>
      <c r="AM682" s="7"/>
      <c r="AN682" s="7"/>
      <c r="AO682" s="7"/>
      <c r="AP682" s="7"/>
      <c r="AQ682" s="7"/>
      <c r="AR682" s="7"/>
      <c r="AS682" s="7"/>
      <c r="AT682" s="7"/>
      <c r="AU682" s="3"/>
      <c r="AV682" s="3"/>
      <c r="AW682" s="3"/>
      <c r="AX682" s="3"/>
      <c r="AY682" s="3"/>
    </row>
    <row r="683" spans="1:51"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7"/>
      <c r="AK683" s="7"/>
      <c r="AL683" s="7"/>
      <c r="AM683" s="7"/>
      <c r="AN683" s="7"/>
      <c r="AO683" s="7"/>
      <c r="AP683" s="7"/>
      <c r="AQ683" s="7"/>
      <c r="AR683" s="7"/>
      <c r="AS683" s="7"/>
      <c r="AT683" s="7"/>
      <c r="AU683" s="3"/>
      <c r="AV683" s="3"/>
      <c r="AW683" s="3"/>
      <c r="AX683" s="3"/>
      <c r="AY683" s="3"/>
    </row>
    <row r="684" spans="1:51"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7"/>
      <c r="AK684" s="7"/>
      <c r="AL684" s="7"/>
      <c r="AM684" s="7"/>
      <c r="AN684" s="7"/>
      <c r="AO684" s="7"/>
      <c r="AP684" s="7"/>
      <c r="AQ684" s="7"/>
      <c r="AR684" s="7"/>
      <c r="AS684" s="7"/>
      <c r="AT684" s="7"/>
      <c r="AU684" s="3"/>
      <c r="AV684" s="3"/>
      <c r="AW684" s="3"/>
      <c r="AX684" s="3"/>
      <c r="AY684" s="3"/>
    </row>
    <row r="685" spans="1:51"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7"/>
      <c r="AK685" s="7"/>
      <c r="AL685" s="7"/>
      <c r="AM685" s="7"/>
      <c r="AN685" s="7"/>
      <c r="AO685" s="7"/>
      <c r="AP685" s="7"/>
      <c r="AQ685" s="7"/>
      <c r="AR685" s="7"/>
      <c r="AS685" s="7"/>
      <c r="AT685" s="7"/>
      <c r="AU685" s="3"/>
      <c r="AV685" s="3"/>
      <c r="AW685" s="3"/>
      <c r="AX685" s="3"/>
      <c r="AY685" s="3"/>
    </row>
    <row r="686" spans="1:51"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7"/>
      <c r="AK686" s="7"/>
      <c r="AL686" s="7"/>
      <c r="AM686" s="7"/>
      <c r="AN686" s="7"/>
      <c r="AO686" s="7"/>
      <c r="AP686" s="7"/>
      <c r="AQ686" s="7"/>
      <c r="AR686" s="7"/>
      <c r="AS686" s="7"/>
      <c r="AT686" s="7"/>
      <c r="AU686" s="3"/>
      <c r="AV686" s="3"/>
      <c r="AW686" s="3"/>
      <c r="AX686" s="3"/>
      <c r="AY686" s="3"/>
    </row>
    <row r="687" spans="1:51"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7"/>
      <c r="AK687" s="7"/>
      <c r="AL687" s="7"/>
      <c r="AM687" s="7"/>
      <c r="AN687" s="7"/>
      <c r="AO687" s="7"/>
      <c r="AP687" s="7"/>
      <c r="AQ687" s="7"/>
      <c r="AR687" s="7"/>
      <c r="AS687" s="7"/>
      <c r="AT687" s="7"/>
      <c r="AU687" s="3"/>
      <c r="AV687" s="3"/>
      <c r="AW687" s="3"/>
      <c r="AX687" s="3"/>
      <c r="AY687" s="3"/>
    </row>
    <row r="688" spans="1:51"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7"/>
      <c r="AK688" s="7"/>
      <c r="AL688" s="7"/>
      <c r="AM688" s="7"/>
      <c r="AN688" s="7"/>
      <c r="AO688" s="7"/>
      <c r="AP688" s="7"/>
      <c r="AQ688" s="7"/>
      <c r="AR688" s="7"/>
      <c r="AS688" s="7"/>
      <c r="AT688" s="7"/>
      <c r="AU688" s="3"/>
      <c r="AV688" s="3"/>
      <c r="AW688" s="3"/>
      <c r="AX688" s="3"/>
      <c r="AY688" s="3"/>
    </row>
    <row r="689" spans="1:51"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7"/>
      <c r="AK689" s="7"/>
      <c r="AL689" s="7"/>
      <c r="AM689" s="7"/>
      <c r="AN689" s="7"/>
      <c r="AO689" s="7"/>
      <c r="AP689" s="7"/>
      <c r="AQ689" s="7"/>
      <c r="AR689" s="7"/>
      <c r="AS689" s="7"/>
      <c r="AT689" s="7"/>
      <c r="AU689" s="3"/>
      <c r="AV689" s="3"/>
      <c r="AW689" s="3"/>
      <c r="AX689" s="3"/>
      <c r="AY689" s="3"/>
    </row>
    <row r="690" spans="1:51"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7"/>
      <c r="AK690" s="7"/>
      <c r="AL690" s="7"/>
      <c r="AM690" s="7"/>
      <c r="AN690" s="7"/>
      <c r="AO690" s="7"/>
      <c r="AP690" s="7"/>
      <c r="AQ690" s="7"/>
      <c r="AR690" s="7"/>
      <c r="AS690" s="7"/>
      <c r="AT690" s="7"/>
      <c r="AU690" s="3"/>
      <c r="AV690" s="3"/>
      <c r="AW690" s="3"/>
      <c r="AX690" s="3"/>
      <c r="AY690" s="3"/>
    </row>
    <row r="691" spans="1:5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7"/>
      <c r="AK691" s="7"/>
      <c r="AL691" s="7"/>
      <c r="AM691" s="7"/>
      <c r="AN691" s="7"/>
      <c r="AO691" s="7"/>
      <c r="AP691" s="7"/>
      <c r="AQ691" s="7"/>
      <c r="AR691" s="7"/>
      <c r="AS691" s="7"/>
      <c r="AT691" s="7"/>
      <c r="AU691" s="3"/>
      <c r="AV691" s="3"/>
      <c r="AW691" s="3"/>
      <c r="AX691" s="3"/>
      <c r="AY691" s="3"/>
    </row>
    <row r="692" spans="1:51"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7"/>
      <c r="AK692" s="7"/>
      <c r="AL692" s="7"/>
      <c r="AM692" s="7"/>
      <c r="AN692" s="7"/>
      <c r="AO692" s="7"/>
      <c r="AP692" s="7"/>
      <c r="AQ692" s="7"/>
      <c r="AR692" s="7"/>
      <c r="AS692" s="7"/>
      <c r="AT692" s="7"/>
      <c r="AU692" s="3"/>
      <c r="AV692" s="3"/>
      <c r="AW692" s="3"/>
      <c r="AX692" s="3"/>
      <c r="AY692" s="3"/>
    </row>
    <row r="693" spans="1:51"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7"/>
      <c r="AK693" s="7"/>
      <c r="AL693" s="7"/>
      <c r="AM693" s="7"/>
      <c r="AN693" s="7"/>
      <c r="AO693" s="7"/>
      <c r="AP693" s="7"/>
      <c r="AQ693" s="7"/>
      <c r="AR693" s="7"/>
      <c r="AS693" s="7"/>
      <c r="AT693" s="7"/>
      <c r="AU693" s="3"/>
      <c r="AV693" s="3"/>
      <c r="AW693" s="3"/>
      <c r="AX693" s="3"/>
      <c r="AY693" s="3"/>
    </row>
    <row r="694" spans="1:51"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7"/>
      <c r="AK694" s="7"/>
      <c r="AL694" s="7"/>
      <c r="AM694" s="7"/>
      <c r="AN694" s="7"/>
      <c r="AO694" s="7"/>
      <c r="AP694" s="7"/>
      <c r="AQ694" s="7"/>
      <c r="AR694" s="7"/>
      <c r="AS694" s="7"/>
      <c r="AT694" s="7"/>
      <c r="AU694" s="3"/>
      <c r="AV694" s="3"/>
      <c r="AW694" s="3"/>
      <c r="AX694" s="3"/>
      <c r="AY694" s="3"/>
    </row>
    <row r="695" spans="1:51"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7"/>
      <c r="AK695" s="7"/>
      <c r="AL695" s="7"/>
      <c r="AM695" s="7"/>
      <c r="AN695" s="7"/>
      <c r="AO695" s="7"/>
      <c r="AP695" s="7"/>
      <c r="AQ695" s="7"/>
      <c r="AR695" s="7"/>
      <c r="AS695" s="7"/>
      <c r="AT695" s="7"/>
      <c r="AU695" s="3"/>
      <c r="AV695" s="3"/>
      <c r="AW695" s="3"/>
      <c r="AX695" s="3"/>
      <c r="AY695" s="3"/>
    </row>
    <row r="696" spans="1:51"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7"/>
      <c r="AK696" s="7"/>
      <c r="AL696" s="7"/>
      <c r="AM696" s="7"/>
      <c r="AN696" s="7"/>
      <c r="AO696" s="7"/>
      <c r="AP696" s="7"/>
      <c r="AQ696" s="7"/>
      <c r="AR696" s="7"/>
      <c r="AS696" s="7"/>
      <c r="AT696" s="7"/>
      <c r="AU696" s="3"/>
      <c r="AV696" s="3"/>
      <c r="AW696" s="3"/>
      <c r="AX696" s="3"/>
      <c r="AY696" s="3"/>
    </row>
    <row r="697" spans="1:51"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7"/>
      <c r="AK697" s="7"/>
      <c r="AL697" s="7"/>
      <c r="AM697" s="7"/>
      <c r="AN697" s="7"/>
      <c r="AO697" s="7"/>
      <c r="AP697" s="7"/>
      <c r="AQ697" s="7"/>
      <c r="AR697" s="7"/>
      <c r="AS697" s="7"/>
      <c r="AT697" s="7"/>
      <c r="AU697" s="3"/>
      <c r="AV697" s="3"/>
      <c r="AW697" s="3"/>
      <c r="AX697" s="3"/>
      <c r="AY697" s="3"/>
    </row>
    <row r="698" spans="1:51"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7"/>
      <c r="AK698" s="7"/>
      <c r="AL698" s="7"/>
      <c r="AM698" s="7"/>
      <c r="AN698" s="7"/>
      <c r="AO698" s="7"/>
      <c r="AP698" s="7"/>
      <c r="AQ698" s="7"/>
      <c r="AR698" s="7"/>
      <c r="AS698" s="7"/>
      <c r="AT698" s="7"/>
      <c r="AU698" s="3"/>
      <c r="AV698" s="3"/>
      <c r="AW698" s="3"/>
      <c r="AX698" s="3"/>
      <c r="AY698" s="3"/>
    </row>
    <row r="699" spans="1:51"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7"/>
      <c r="AK699" s="7"/>
      <c r="AL699" s="7"/>
      <c r="AM699" s="7"/>
      <c r="AN699" s="7"/>
      <c r="AO699" s="7"/>
      <c r="AP699" s="7"/>
      <c r="AQ699" s="7"/>
      <c r="AR699" s="7"/>
      <c r="AS699" s="7"/>
      <c r="AT699" s="7"/>
      <c r="AU699" s="3"/>
      <c r="AV699" s="3"/>
      <c r="AW699" s="3"/>
      <c r="AX699" s="3"/>
      <c r="AY699" s="3"/>
    </row>
    <row r="700" spans="1:51"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7"/>
      <c r="AK700" s="7"/>
      <c r="AL700" s="7"/>
      <c r="AM700" s="7"/>
      <c r="AN700" s="7"/>
      <c r="AO700" s="7"/>
      <c r="AP700" s="7"/>
      <c r="AQ700" s="7"/>
      <c r="AR700" s="7"/>
      <c r="AS700" s="7"/>
      <c r="AT700" s="7"/>
      <c r="AU700" s="3"/>
      <c r="AV700" s="3"/>
      <c r="AW700" s="3"/>
      <c r="AX700" s="3"/>
      <c r="AY700" s="3"/>
    </row>
    <row r="701" spans="1:5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7"/>
      <c r="AK701" s="7"/>
      <c r="AL701" s="7"/>
      <c r="AM701" s="7"/>
      <c r="AN701" s="7"/>
      <c r="AO701" s="7"/>
      <c r="AP701" s="7"/>
      <c r="AQ701" s="7"/>
      <c r="AR701" s="7"/>
      <c r="AS701" s="7"/>
      <c r="AT701" s="7"/>
      <c r="AU701" s="3"/>
      <c r="AV701" s="3"/>
      <c r="AW701" s="3"/>
      <c r="AX701" s="3"/>
      <c r="AY701" s="3"/>
    </row>
    <row r="702" spans="1:51"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7"/>
      <c r="AK702" s="7"/>
      <c r="AL702" s="7"/>
      <c r="AM702" s="7"/>
      <c r="AN702" s="7"/>
      <c r="AO702" s="7"/>
      <c r="AP702" s="7"/>
      <c r="AQ702" s="7"/>
      <c r="AR702" s="7"/>
      <c r="AS702" s="7"/>
      <c r="AT702" s="7"/>
      <c r="AU702" s="3"/>
      <c r="AV702" s="3"/>
      <c r="AW702" s="3"/>
      <c r="AX702" s="3"/>
      <c r="AY702" s="3"/>
    </row>
    <row r="703" spans="1:51"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7"/>
      <c r="AK703" s="7"/>
      <c r="AL703" s="7"/>
      <c r="AM703" s="7"/>
      <c r="AN703" s="7"/>
      <c r="AO703" s="7"/>
      <c r="AP703" s="7"/>
      <c r="AQ703" s="7"/>
      <c r="AR703" s="7"/>
      <c r="AS703" s="7"/>
      <c r="AT703" s="7"/>
      <c r="AU703" s="3"/>
      <c r="AV703" s="3"/>
      <c r="AW703" s="3"/>
      <c r="AX703" s="3"/>
      <c r="AY703" s="3"/>
    </row>
    <row r="704" spans="1:51"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7"/>
      <c r="AK704" s="7"/>
      <c r="AL704" s="7"/>
      <c r="AM704" s="7"/>
      <c r="AN704" s="7"/>
      <c r="AO704" s="7"/>
      <c r="AP704" s="7"/>
      <c r="AQ704" s="7"/>
      <c r="AR704" s="7"/>
      <c r="AS704" s="7"/>
      <c r="AT704" s="7"/>
      <c r="AU704" s="3"/>
      <c r="AV704" s="3"/>
      <c r="AW704" s="3"/>
      <c r="AX704" s="3"/>
      <c r="AY704" s="3"/>
    </row>
    <row r="705" spans="1:51"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7"/>
      <c r="AK705" s="7"/>
      <c r="AL705" s="7"/>
      <c r="AM705" s="7"/>
      <c r="AN705" s="7"/>
      <c r="AO705" s="7"/>
      <c r="AP705" s="7"/>
      <c r="AQ705" s="7"/>
      <c r="AR705" s="7"/>
      <c r="AS705" s="7"/>
      <c r="AT705" s="7"/>
      <c r="AU705" s="3"/>
      <c r="AV705" s="3"/>
      <c r="AW705" s="3"/>
      <c r="AX705" s="3"/>
      <c r="AY705" s="3"/>
    </row>
    <row r="706" spans="1:51"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7"/>
      <c r="AK706" s="7"/>
      <c r="AL706" s="7"/>
      <c r="AM706" s="7"/>
      <c r="AN706" s="7"/>
      <c r="AO706" s="7"/>
      <c r="AP706" s="7"/>
      <c r="AQ706" s="7"/>
      <c r="AR706" s="7"/>
      <c r="AS706" s="7"/>
      <c r="AT706" s="7"/>
      <c r="AU706" s="3"/>
      <c r="AV706" s="3"/>
      <c r="AW706" s="3"/>
      <c r="AX706" s="3"/>
      <c r="AY706" s="3"/>
    </row>
    <row r="707" spans="1:51"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7"/>
      <c r="AK707" s="7"/>
      <c r="AL707" s="7"/>
      <c r="AM707" s="7"/>
      <c r="AN707" s="7"/>
      <c r="AO707" s="7"/>
      <c r="AP707" s="7"/>
      <c r="AQ707" s="7"/>
      <c r="AR707" s="7"/>
      <c r="AS707" s="7"/>
      <c r="AT707" s="7"/>
      <c r="AU707" s="3"/>
      <c r="AV707" s="3"/>
      <c r="AW707" s="3"/>
      <c r="AX707" s="3"/>
      <c r="AY707" s="3"/>
    </row>
    <row r="708" spans="1:51"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7"/>
      <c r="AK708" s="7"/>
      <c r="AL708" s="7"/>
      <c r="AM708" s="7"/>
      <c r="AN708" s="7"/>
      <c r="AO708" s="7"/>
      <c r="AP708" s="7"/>
      <c r="AQ708" s="7"/>
      <c r="AR708" s="7"/>
      <c r="AS708" s="7"/>
      <c r="AT708" s="7"/>
      <c r="AU708" s="3"/>
      <c r="AV708" s="3"/>
      <c r="AW708" s="3"/>
      <c r="AX708" s="3"/>
      <c r="AY708" s="3"/>
    </row>
    <row r="709" spans="1:51"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7"/>
      <c r="AK709" s="7"/>
      <c r="AL709" s="7"/>
      <c r="AM709" s="7"/>
      <c r="AN709" s="7"/>
      <c r="AO709" s="7"/>
      <c r="AP709" s="7"/>
      <c r="AQ709" s="7"/>
      <c r="AR709" s="7"/>
      <c r="AS709" s="7"/>
      <c r="AT709" s="7"/>
      <c r="AU709" s="3"/>
      <c r="AV709" s="3"/>
      <c r="AW709" s="3"/>
      <c r="AX709" s="3"/>
      <c r="AY709" s="3"/>
    </row>
    <row r="710" spans="1:51"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7"/>
      <c r="AK710" s="7"/>
      <c r="AL710" s="7"/>
      <c r="AM710" s="7"/>
      <c r="AN710" s="7"/>
      <c r="AO710" s="7"/>
      <c r="AP710" s="7"/>
      <c r="AQ710" s="7"/>
      <c r="AR710" s="7"/>
      <c r="AS710" s="7"/>
      <c r="AT710" s="7"/>
      <c r="AU710" s="3"/>
      <c r="AV710" s="3"/>
      <c r="AW710" s="3"/>
      <c r="AX710" s="3"/>
      <c r="AY710" s="3"/>
    </row>
    <row r="711" spans="1:5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7"/>
      <c r="AK711" s="7"/>
      <c r="AL711" s="7"/>
      <c r="AM711" s="7"/>
      <c r="AN711" s="7"/>
      <c r="AO711" s="7"/>
      <c r="AP711" s="7"/>
      <c r="AQ711" s="7"/>
      <c r="AR711" s="7"/>
      <c r="AS711" s="7"/>
      <c r="AT711" s="7"/>
      <c r="AU711" s="3"/>
      <c r="AV711" s="3"/>
      <c r="AW711" s="3"/>
      <c r="AX711" s="3"/>
      <c r="AY711" s="3"/>
    </row>
    <row r="712" spans="1:51"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7"/>
      <c r="AK712" s="7"/>
      <c r="AL712" s="7"/>
      <c r="AM712" s="7"/>
      <c r="AN712" s="7"/>
      <c r="AO712" s="7"/>
      <c r="AP712" s="7"/>
      <c r="AQ712" s="7"/>
      <c r="AR712" s="7"/>
      <c r="AS712" s="7"/>
      <c r="AT712" s="7"/>
      <c r="AU712" s="3"/>
      <c r="AV712" s="3"/>
      <c r="AW712" s="3"/>
      <c r="AX712" s="3"/>
      <c r="AY712" s="3"/>
    </row>
    <row r="713" spans="1:51"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7"/>
      <c r="AK713" s="7"/>
      <c r="AL713" s="7"/>
      <c r="AM713" s="7"/>
      <c r="AN713" s="7"/>
      <c r="AO713" s="7"/>
      <c r="AP713" s="7"/>
      <c r="AQ713" s="7"/>
      <c r="AR713" s="7"/>
      <c r="AS713" s="7"/>
      <c r="AT713" s="7"/>
      <c r="AU713" s="3"/>
      <c r="AV713" s="3"/>
      <c r="AW713" s="3"/>
      <c r="AX713" s="3"/>
      <c r="AY713" s="3"/>
    </row>
    <row r="714" spans="1:51"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7"/>
      <c r="AK714" s="7"/>
      <c r="AL714" s="7"/>
      <c r="AM714" s="7"/>
      <c r="AN714" s="7"/>
      <c r="AO714" s="7"/>
      <c r="AP714" s="7"/>
      <c r="AQ714" s="7"/>
      <c r="AR714" s="7"/>
      <c r="AS714" s="7"/>
      <c r="AT714" s="7"/>
      <c r="AU714" s="3"/>
      <c r="AV714" s="3"/>
      <c r="AW714" s="3"/>
      <c r="AX714" s="3"/>
      <c r="AY714" s="3"/>
    </row>
    <row r="715" spans="1:51"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7"/>
      <c r="AK715" s="7"/>
      <c r="AL715" s="7"/>
      <c r="AM715" s="7"/>
      <c r="AN715" s="7"/>
      <c r="AO715" s="7"/>
      <c r="AP715" s="7"/>
      <c r="AQ715" s="7"/>
      <c r="AR715" s="7"/>
      <c r="AS715" s="7"/>
      <c r="AT715" s="7"/>
      <c r="AU715" s="3"/>
      <c r="AV715" s="3"/>
      <c r="AW715" s="3"/>
      <c r="AX715" s="3"/>
      <c r="AY715" s="3"/>
    </row>
    <row r="716" spans="1:51"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7"/>
      <c r="AK716" s="7"/>
      <c r="AL716" s="7"/>
      <c r="AM716" s="7"/>
      <c r="AN716" s="7"/>
      <c r="AO716" s="7"/>
      <c r="AP716" s="7"/>
      <c r="AQ716" s="7"/>
      <c r="AR716" s="7"/>
      <c r="AS716" s="7"/>
      <c r="AT716" s="7"/>
      <c r="AU716" s="3"/>
      <c r="AV716" s="3"/>
      <c r="AW716" s="3"/>
      <c r="AX716" s="3"/>
      <c r="AY716" s="3"/>
    </row>
    <row r="717" spans="1:51"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7"/>
      <c r="AK717" s="7"/>
      <c r="AL717" s="7"/>
      <c r="AM717" s="7"/>
      <c r="AN717" s="7"/>
      <c r="AO717" s="7"/>
      <c r="AP717" s="7"/>
      <c r="AQ717" s="7"/>
      <c r="AR717" s="7"/>
      <c r="AS717" s="7"/>
      <c r="AT717" s="7"/>
      <c r="AU717" s="3"/>
      <c r="AV717" s="3"/>
      <c r="AW717" s="3"/>
      <c r="AX717" s="3"/>
      <c r="AY717" s="3"/>
    </row>
    <row r="718" spans="1:51"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7"/>
      <c r="AK718" s="7"/>
      <c r="AL718" s="7"/>
      <c r="AM718" s="7"/>
      <c r="AN718" s="7"/>
      <c r="AO718" s="7"/>
      <c r="AP718" s="7"/>
      <c r="AQ718" s="7"/>
      <c r="AR718" s="7"/>
      <c r="AS718" s="7"/>
      <c r="AT718" s="7"/>
      <c r="AU718" s="3"/>
      <c r="AV718" s="3"/>
      <c r="AW718" s="3"/>
      <c r="AX718" s="3"/>
      <c r="AY718" s="3"/>
    </row>
    <row r="719" spans="1:51"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7"/>
      <c r="AK719" s="7"/>
      <c r="AL719" s="7"/>
      <c r="AM719" s="7"/>
      <c r="AN719" s="7"/>
      <c r="AO719" s="7"/>
      <c r="AP719" s="7"/>
      <c r="AQ719" s="7"/>
      <c r="AR719" s="7"/>
      <c r="AS719" s="7"/>
      <c r="AT719" s="7"/>
      <c r="AU719" s="3"/>
      <c r="AV719" s="3"/>
      <c r="AW719" s="3"/>
      <c r="AX719" s="3"/>
      <c r="AY719" s="3"/>
    </row>
    <row r="720" spans="1:51"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7"/>
      <c r="AK720" s="7"/>
      <c r="AL720" s="7"/>
      <c r="AM720" s="7"/>
      <c r="AN720" s="7"/>
      <c r="AO720" s="7"/>
      <c r="AP720" s="7"/>
      <c r="AQ720" s="7"/>
      <c r="AR720" s="7"/>
      <c r="AS720" s="7"/>
      <c r="AT720" s="7"/>
      <c r="AU720" s="3"/>
      <c r="AV720" s="3"/>
      <c r="AW720" s="3"/>
      <c r="AX720" s="3"/>
      <c r="AY720" s="3"/>
    </row>
    <row r="721" spans="1:5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7"/>
      <c r="AK721" s="7"/>
      <c r="AL721" s="7"/>
      <c r="AM721" s="7"/>
      <c r="AN721" s="7"/>
      <c r="AO721" s="7"/>
      <c r="AP721" s="7"/>
      <c r="AQ721" s="7"/>
      <c r="AR721" s="7"/>
      <c r="AS721" s="7"/>
      <c r="AT721" s="7"/>
      <c r="AU721" s="3"/>
      <c r="AV721" s="3"/>
      <c r="AW721" s="3"/>
      <c r="AX721" s="3"/>
      <c r="AY721" s="3"/>
    </row>
    <row r="722" spans="1:51"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7"/>
      <c r="AK722" s="7"/>
      <c r="AL722" s="7"/>
      <c r="AM722" s="7"/>
      <c r="AN722" s="7"/>
      <c r="AO722" s="7"/>
      <c r="AP722" s="7"/>
      <c r="AQ722" s="7"/>
      <c r="AR722" s="7"/>
      <c r="AS722" s="7"/>
      <c r="AT722" s="7"/>
      <c r="AU722" s="3"/>
      <c r="AV722" s="3"/>
      <c r="AW722" s="3"/>
      <c r="AX722" s="3"/>
      <c r="AY722" s="3"/>
    </row>
    <row r="723" spans="1:51"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7"/>
      <c r="AK723" s="7"/>
      <c r="AL723" s="7"/>
      <c r="AM723" s="7"/>
      <c r="AN723" s="7"/>
      <c r="AO723" s="7"/>
      <c r="AP723" s="7"/>
      <c r="AQ723" s="7"/>
      <c r="AR723" s="7"/>
      <c r="AS723" s="7"/>
      <c r="AT723" s="7"/>
      <c r="AU723" s="3"/>
      <c r="AV723" s="3"/>
      <c r="AW723" s="3"/>
      <c r="AX723" s="3"/>
      <c r="AY723" s="3"/>
    </row>
    <row r="724" spans="1:51"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7"/>
      <c r="AK724" s="7"/>
      <c r="AL724" s="7"/>
      <c r="AM724" s="7"/>
      <c r="AN724" s="7"/>
      <c r="AO724" s="7"/>
      <c r="AP724" s="7"/>
      <c r="AQ724" s="7"/>
      <c r="AR724" s="7"/>
      <c r="AS724" s="7"/>
      <c r="AT724" s="7"/>
      <c r="AU724" s="3"/>
      <c r="AV724" s="3"/>
      <c r="AW724" s="3"/>
      <c r="AX724" s="3"/>
      <c r="AY724" s="3"/>
    </row>
    <row r="725" spans="1:51"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7"/>
      <c r="AK725" s="7"/>
      <c r="AL725" s="7"/>
      <c r="AM725" s="7"/>
      <c r="AN725" s="7"/>
      <c r="AO725" s="7"/>
      <c r="AP725" s="7"/>
      <c r="AQ725" s="7"/>
      <c r="AR725" s="7"/>
      <c r="AS725" s="7"/>
      <c r="AT725" s="7"/>
      <c r="AU725" s="3"/>
      <c r="AV725" s="3"/>
      <c r="AW725" s="3"/>
      <c r="AX725" s="3"/>
      <c r="AY725" s="3"/>
    </row>
    <row r="726" spans="1:51"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7"/>
      <c r="AK726" s="7"/>
      <c r="AL726" s="7"/>
      <c r="AM726" s="7"/>
      <c r="AN726" s="7"/>
      <c r="AO726" s="7"/>
      <c r="AP726" s="7"/>
      <c r="AQ726" s="7"/>
      <c r="AR726" s="7"/>
      <c r="AS726" s="7"/>
      <c r="AT726" s="7"/>
      <c r="AU726" s="3"/>
      <c r="AV726" s="3"/>
      <c r="AW726" s="3"/>
      <c r="AX726" s="3"/>
      <c r="AY726" s="3"/>
    </row>
    <row r="727" spans="1:51"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7"/>
      <c r="AK727" s="7"/>
      <c r="AL727" s="7"/>
      <c r="AM727" s="7"/>
      <c r="AN727" s="7"/>
      <c r="AO727" s="7"/>
      <c r="AP727" s="7"/>
      <c r="AQ727" s="7"/>
      <c r="AR727" s="7"/>
      <c r="AS727" s="7"/>
      <c r="AT727" s="7"/>
      <c r="AU727" s="3"/>
      <c r="AV727" s="3"/>
      <c r="AW727" s="3"/>
      <c r="AX727" s="3"/>
      <c r="AY727" s="3"/>
    </row>
    <row r="728" spans="1:51"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7"/>
      <c r="AK728" s="7"/>
      <c r="AL728" s="7"/>
      <c r="AM728" s="7"/>
      <c r="AN728" s="7"/>
      <c r="AO728" s="7"/>
      <c r="AP728" s="7"/>
      <c r="AQ728" s="7"/>
      <c r="AR728" s="7"/>
      <c r="AS728" s="7"/>
      <c r="AT728" s="7"/>
      <c r="AU728" s="3"/>
      <c r="AV728" s="3"/>
      <c r="AW728" s="3"/>
      <c r="AX728" s="3"/>
      <c r="AY728" s="3"/>
    </row>
    <row r="729" spans="1:51"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7"/>
      <c r="AK729" s="7"/>
      <c r="AL729" s="7"/>
      <c r="AM729" s="7"/>
      <c r="AN729" s="7"/>
      <c r="AO729" s="7"/>
      <c r="AP729" s="7"/>
      <c r="AQ729" s="7"/>
      <c r="AR729" s="7"/>
      <c r="AS729" s="7"/>
      <c r="AT729" s="7"/>
      <c r="AU729" s="3"/>
      <c r="AV729" s="3"/>
      <c r="AW729" s="3"/>
      <c r="AX729" s="3"/>
      <c r="AY729" s="3"/>
    </row>
    <row r="730" spans="1:51"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7"/>
      <c r="AK730" s="7"/>
      <c r="AL730" s="7"/>
      <c r="AM730" s="7"/>
      <c r="AN730" s="7"/>
      <c r="AO730" s="7"/>
      <c r="AP730" s="7"/>
      <c r="AQ730" s="7"/>
      <c r="AR730" s="7"/>
      <c r="AS730" s="7"/>
      <c r="AT730" s="7"/>
      <c r="AU730" s="3"/>
      <c r="AV730" s="3"/>
      <c r="AW730" s="3"/>
      <c r="AX730" s="3"/>
      <c r="AY730" s="3"/>
    </row>
    <row r="731" spans="1:5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7"/>
      <c r="AK731" s="7"/>
      <c r="AL731" s="7"/>
      <c r="AM731" s="7"/>
      <c r="AN731" s="7"/>
      <c r="AO731" s="7"/>
      <c r="AP731" s="7"/>
      <c r="AQ731" s="7"/>
      <c r="AR731" s="7"/>
      <c r="AS731" s="7"/>
      <c r="AT731" s="7"/>
      <c r="AU731" s="3"/>
      <c r="AV731" s="3"/>
      <c r="AW731" s="3"/>
      <c r="AX731" s="3"/>
      <c r="AY731" s="3"/>
    </row>
    <row r="732" spans="1:51"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7"/>
      <c r="AK732" s="7"/>
      <c r="AL732" s="7"/>
      <c r="AM732" s="7"/>
      <c r="AN732" s="7"/>
      <c r="AO732" s="7"/>
      <c r="AP732" s="7"/>
      <c r="AQ732" s="7"/>
      <c r="AR732" s="7"/>
      <c r="AS732" s="7"/>
      <c r="AT732" s="7"/>
      <c r="AU732" s="3"/>
      <c r="AV732" s="3"/>
      <c r="AW732" s="3"/>
      <c r="AX732" s="3"/>
      <c r="AY732" s="3"/>
    </row>
    <row r="733" spans="1:51"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7"/>
      <c r="AK733" s="7"/>
      <c r="AL733" s="7"/>
      <c r="AM733" s="7"/>
      <c r="AN733" s="7"/>
      <c r="AO733" s="7"/>
      <c r="AP733" s="7"/>
      <c r="AQ733" s="7"/>
      <c r="AR733" s="7"/>
      <c r="AS733" s="7"/>
      <c r="AT733" s="7"/>
      <c r="AU733" s="3"/>
      <c r="AV733" s="3"/>
      <c r="AW733" s="3"/>
      <c r="AX733" s="3"/>
      <c r="AY733" s="3"/>
    </row>
    <row r="734" spans="1:51"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7"/>
      <c r="AK734" s="7"/>
      <c r="AL734" s="7"/>
      <c r="AM734" s="7"/>
      <c r="AN734" s="7"/>
      <c r="AO734" s="7"/>
      <c r="AP734" s="7"/>
      <c r="AQ734" s="7"/>
      <c r="AR734" s="7"/>
      <c r="AS734" s="7"/>
      <c r="AT734" s="7"/>
      <c r="AU734" s="3"/>
      <c r="AV734" s="3"/>
      <c r="AW734" s="3"/>
      <c r="AX734" s="3"/>
      <c r="AY734" s="3"/>
    </row>
    <row r="735" spans="1:51"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7"/>
      <c r="AK735" s="7"/>
      <c r="AL735" s="7"/>
      <c r="AM735" s="7"/>
      <c r="AN735" s="7"/>
      <c r="AO735" s="7"/>
      <c r="AP735" s="7"/>
      <c r="AQ735" s="7"/>
      <c r="AR735" s="7"/>
      <c r="AS735" s="7"/>
      <c r="AT735" s="7"/>
      <c r="AU735" s="3"/>
      <c r="AV735" s="3"/>
      <c r="AW735" s="3"/>
      <c r="AX735" s="3"/>
      <c r="AY735" s="3"/>
    </row>
    <row r="736" spans="1:51"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7"/>
      <c r="AK736" s="7"/>
      <c r="AL736" s="7"/>
      <c r="AM736" s="7"/>
      <c r="AN736" s="7"/>
      <c r="AO736" s="7"/>
      <c r="AP736" s="7"/>
      <c r="AQ736" s="7"/>
      <c r="AR736" s="7"/>
      <c r="AS736" s="7"/>
      <c r="AT736" s="7"/>
      <c r="AU736" s="3"/>
      <c r="AV736" s="3"/>
      <c r="AW736" s="3"/>
      <c r="AX736" s="3"/>
      <c r="AY736" s="3"/>
    </row>
    <row r="737" spans="1:51"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7"/>
      <c r="AK737" s="7"/>
      <c r="AL737" s="7"/>
      <c r="AM737" s="7"/>
      <c r="AN737" s="7"/>
      <c r="AO737" s="7"/>
      <c r="AP737" s="7"/>
      <c r="AQ737" s="7"/>
      <c r="AR737" s="7"/>
      <c r="AS737" s="7"/>
      <c r="AT737" s="7"/>
      <c r="AU737" s="3"/>
      <c r="AV737" s="3"/>
      <c r="AW737" s="3"/>
      <c r="AX737" s="3"/>
      <c r="AY737" s="3"/>
    </row>
    <row r="738" spans="1:51"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7"/>
      <c r="AK738" s="7"/>
      <c r="AL738" s="7"/>
      <c r="AM738" s="7"/>
      <c r="AN738" s="7"/>
      <c r="AO738" s="7"/>
      <c r="AP738" s="7"/>
      <c r="AQ738" s="7"/>
      <c r="AR738" s="7"/>
      <c r="AS738" s="7"/>
      <c r="AT738" s="7"/>
      <c r="AU738" s="3"/>
      <c r="AV738" s="3"/>
      <c r="AW738" s="3"/>
      <c r="AX738" s="3"/>
      <c r="AY738" s="3"/>
    </row>
    <row r="739" spans="1:51"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7"/>
      <c r="AK739" s="7"/>
      <c r="AL739" s="7"/>
      <c r="AM739" s="7"/>
      <c r="AN739" s="7"/>
      <c r="AO739" s="7"/>
      <c r="AP739" s="7"/>
      <c r="AQ739" s="7"/>
      <c r="AR739" s="7"/>
      <c r="AS739" s="7"/>
      <c r="AT739" s="7"/>
      <c r="AU739" s="3"/>
      <c r="AV739" s="3"/>
      <c r="AW739" s="3"/>
      <c r="AX739" s="3"/>
      <c r="AY739" s="3"/>
    </row>
    <row r="740" spans="1:51"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7"/>
      <c r="AK740" s="7"/>
      <c r="AL740" s="7"/>
      <c r="AM740" s="7"/>
      <c r="AN740" s="7"/>
      <c r="AO740" s="7"/>
      <c r="AP740" s="7"/>
      <c r="AQ740" s="7"/>
      <c r="AR740" s="7"/>
      <c r="AS740" s="7"/>
      <c r="AT740" s="7"/>
      <c r="AU740" s="3"/>
      <c r="AV740" s="3"/>
      <c r="AW740" s="3"/>
      <c r="AX740" s="3"/>
      <c r="AY740" s="3"/>
    </row>
    <row r="741" spans="1:5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7"/>
      <c r="AK741" s="7"/>
      <c r="AL741" s="7"/>
      <c r="AM741" s="7"/>
      <c r="AN741" s="7"/>
      <c r="AO741" s="7"/>
      <c r="AP741" s="7"/>
      <c r="AQ741" s="7"/>
      <c r="AR741" s="7"/>
      <c r="AS741" s="7"/>
      <c r="AT741" s="7"/>
      <c r="AU741" s="3"/>
      <c r="AV741" s="3"/>
      <c r="AW741" s="3"/>
      <c r="AX741" s="3"/>
      <c r="AY741" s="3"/>
    </row>
    <row r="742" spans="1:51"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7"/>
      <c r="AK742" s="7"/>
      <c r="AL742" s="7"/>
      <c r="AM742" s="7"/>
      <c r="AN742" s="7"/>
      <c r="AO742" s="7"/>
      <c r="AP742" s="7"/>
      <c r="AQ742" s="7"/>
      <c r="AR742" s="7"/>
      <c r="AS742" s="7"/>
      <c r="AT742" s="7"/>
      <c r="AU742" s="3"/>
      <c r="AV742" s="3"/>
      <c r="AW742" s="3"/>
      <c r="AX742" s="3"/>
      <c r="AY742" s="3"/>
    </row>
    <row r="743" spans="1:51"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7"/>
      <c r="AK743" s="7"/>
      <c r="AL743" s="7"/>
      <c r="AM743" s="7"/>
      <c r="AN743" s="7"/>
      <c r="AO743" s="7"/>
      <c r="AP743" s="7"/>
      <c r="AQ743" s="7"/>
      <c r="AR743" s="7"/>
      <c r="AS743" s="7"/>
      <c r="AT743" s="7"/>
      <c r="AU743" s="3"/>
      <c r="AV743" s="3"/>
      <c r="AW743" s="3"/>
      <c r="AX743" s="3"/>
      <c r="AY743" s="3"/>
    </row>
    <row r="744" spans="1:51"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7"/>
      <c r="AK744" s="7"/>
      <c r="AL744" s="7"/>
      <c r="AM744" s="7"/>
      <c r="AN744" s="7"/>
      <c r="AO744" s="7"/>
      <c r="AP744" s="7"/>
      <c r="AQ744" s="7"/>
      <c r="AR744" s="7"/>
      <c r="AS744" s="7"/>
      <c r="AT744" s="7"/>
      <c r="AU744" s="3"/>
      <c r="AV744" s="3"/>
      <c r="AW744" s="3"/>
      <c r="AX744" s="3"/>
      <c r="AY744" s="3"/>
    </row>
    <row r="745" spans="1:51"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7"/>
      <c r="AK745" s="7"/>
      <c r="AL745" s="7"/>
      <c r="AM745" s="7"/>
      <c r="AN745" s="7"/>
      <c r="AO745" s="7"/>
      <c r="AP745" s="7"/>
      <c r="AQ745" s="7"/>
      <c r="AR745" s="7"/>
      <c r="AS745" s="7"/>
      <c r="AT745" s="7"/>
      <c r="AU745" s="3"/>
      <c r="AV745" s="3"/>
      <c r="AW745" s="3"/>
      <c r="AX745" s="3"/>
      <c r="AY745" s="3"/>
    </row>
    <row r="746" spans="1:51"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7"/>
      <c r="AK746" s="7"/>
      <c r="AL746" s="7"/>
      <c r="AM746" s="7"/>
      <c r="AN746" s="7"/>
      <c r="AO746" s="7"/>
      <c r="AP746" s="7"/>
      <c r="AQ746" s="7"/>
      <c r="AR746" s="7"/>
      <c r="AS746" s="7"/>
      <c r="AT746" s="7"/>
      <c r="AU746" s="3"/>
      <c r="AV746" s="3"/>
      <c r="AW746" s="3"/>
      <c r="AX746" s="3"/>
      <c r="AY746" s="3"/>
    </row>
    <row r="747" spans="1:51"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7"/>
      <c r="AK747" s="7"/>
      <c r="AL747" s="7"/>
      <c r="AM747" s="7"/>
      <c r="AN747" s="7"/>
      <c r="AO747" s="7"/>
      <c r="AP747" s="7"/>
      <c r="AQ747" s="7"/>
      <c r="AR747" s="7"/>
      <c r="AS747" s="7"/>
      <c r="AT747" s="7"/>
      <c r="AU747" s="3"/>
      <c r="AV747" s="3"/>
      <c r="AW747" s="3"/>
      <c r="AX747" s="3"/>
      <c r="AY747" s="3"/>
    </row>
    <row r="748" spans="1:51"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7"/>
      <c r="AK748" s="7"/>
      <c r="AL748" s="7"/>
      <c r="AM748" s="7"/>
      <c r="AN748" s="7"/>
      <c r="AO748" s="7"/>
      <c r="AP748" s="7"/>
      <c r="AQ748" s="7"/>
      <c r="AR748" s="7"/>
      <c r="AS748" s="7"/>
      <c r="AT748" s="7"/>
      <c r="AU748" s="3"/>
      <c r="AV748" s="3"/>
      <c r="AW748" s="3"/>
      <c r="AX748" s="3"/>
      <c r="AY748" s="3"/>
    </row>
    <row r="749" spans="1:51"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7"/>
      <c r="AK749" s="7"/>
      <c r="AL749" s="7"/>
      <c r="AM749" s="7"/>
      <c r="AN749" s="7"/>
      <c r="AO749" s="7"/>
      <c r="AP749" s="7"/>
      <c r="AQ749" s="7"/>
      <c r="AR749" s="7"/>
      <c r="AS749" s="7"/>
      <c r="AT749" s="7"/>
      <c r="AU749" s="3"/>
      <c r="AV749" s="3"/>
      <c r="AW749" s="3"/>
      <c r="AX749" s="3"/>
      <c r="AY749" s="3"/>
    </row>
    <row r="750" spans="1:51"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7"/>
      <c r="AK750" s="7"/>
      <c r="AL750" s="7"/>
      <c r="AM750" s="7"/>
      <c r="AN750" s="7"/>
      <c r="AO750" s="7"/>
      <c r="AP750" s="7"/>
      <c r="AQ750" s="7"/>
      <c r="AR750" s="7"/>
      <c r="AS750" s="7"/>
      <c r="AT750" s="7"/>
      <c r="AU750" s="3"/>
      <c r="AV750" s="3"/>
      <c r="AW750" s="3"/>
      <c r="AX750" s="3"/>
      <c r="AY750" s="3"/>
    </row>
    <row r="751" spans="1: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7"/>
      <c r="AK751" s="7"/>
      <c r="AL751" s="7"/>
      <c r="AM751" s="7"/>
      <c r="AN751" s="7"/>
      <c r="AO751" s="7"/>
      <c r="AP751" s="7"/>
      <c r="AQ751" s="7"/>
      <c r="AR751" s="7"/>
      <c r="AS751" s="7"/>
      <c r="AT751" s="7"/>
      <c r="AU751" s="3"/>
      <c r="AV751" s="3"/>
      <c r="AW751" s="3"/>
      <c r="AX751" s="3"/>
      <c r="AY751" s="3"/>
    </row>
    <row r="752" spans="1:51"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7"/>
      <c r="AK752" s="7"/>
      <c r="AL752" s="7"/>
      <c r="AM752" s="7"/>
      <c r="AN752" s="7"/>
      <c r="AO752" s="7"/>
      <c r="AP752" s="7"/>
      <c r="AQ752" s="7"/>
      <c r="AR752" s="7"/>
      <c r="AS752" s="7"/>
      <c r="AT752" s="7"/>
      <c r="AU752" s="3"/>
      <c r="AV752" s="3"/>
      <c r="AW752" s="3"/>
      <c r="AX752" s="3"/>
      <c r="AY752" s="3"/>
    </row>
    <row r="753" spans="1:51"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7"/>
      <c r="AK753" s="7"/>
      <c r="AL753" s="7"/>
      <c r="AM753" s="7"/>
      <c r="AN753" s="7"/>
      <c r="AO753" s="7"/>
      <c r="AP753" s="7"/>
      <c r="AQ753" s="7"/>
      <c r="AR753" s="7"/>
      <c r="AS753" s="7"/>
      <c r="AT753" s="7"/>
      <c r="AU753" s="3"/>
      <c r="AV753" s="3"/>
      <c r="AW753" s="3"/>
      <c r="AX753" s="3"/>
      <c r="AY753" s="3"/>
    </row>
    <row r="754" spans="1:51"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7"/>
      <c r="AK754" s="7"/>
      <c r="AL754" s="7"/>
      <c r="AM754" s="7"/>
      <c r="AN754" s="7"/>
      <c r="AO754" s="7"/>
      <c r="AP754" s="7"/>
      <c r="AQ754" s="7"/>
      <c r="AR754" s="7"/>
      <c r="AS754" s="7"/>
      <c r="AT754" s="7"/>
      <c r="AU754" s="3"/>
      <c r="AV754" s="3"/>
      <c r="AW754" s="3"/>
      <c r="AX754" s="3"/>
      <c r="AY754" s="3"/>
    </row>
    <row r="755" spans="1:51"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7"/>
      <c r="AK755" s="7"/>
      <c r="AL755" s="7"/>
      <c r="AM755" s="7"/>
      <c r="AN755" s="7"/>
      <c r="AO755" s="7"/>
      <c r="AP755" s="7"/>
      <c r="AQ755" s="7"/>
      <c r="AR755" s="7"/>
      <c r="AS755" s="7"/>
      <c r="AT755" s="7"/>
      <c r="AU755" s="3"/>
      <c r="AV755" s="3"/>
      <c r="AW755" s="3"/>
      <c r="AX755" s="3"/>
      <c r="AY755" s="3"/>
    </row>
    <row r="756" spans="1:51"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7"/>
      <c r="AK756" s="7"/>
      <c r="AL756" s="7"/>
      <c r="AM756" s="7"/>
      <c r="AN756" s="7"/>
      <c r="AO756" s="7"/>
      <c r="AP756" s="7"/>
      <c r="AQ756" s="7"/>
      <c r="AR756" s="7"/>
      <c r="AS756" s="7"/>
      <c r="AT756" s="7"/>
      <c r="AU756" s="3"/>
      <c r="AV756" s="3"/>
      <c r="AW756" s="3"/>
      <c r="AX756" s="3"/>
      <c r="AY756" s="3"/>
    </row>
    <row r="757" spans="1:51"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7"/>
      <c r="AK757" s="7"/>
      <c r="AL757" s="7"/>
      <c r="AM757" s="7"/>
      <c r="AN757" s="7"/>
      <c r="AO757" s="7"/>
      <c r="AP757" s="7"/>
      <c r="AQ757" s="7"/>
      <c r="AR757" s="7"/>
      <c r="AS757" s="7"/>
      <c r="AT757" s="7"/>
      <c r="AU757" s="3"/>
      <c r="AV757" s="3"/>
      <c r="AW757" s="3"/>
      <c r="AX757" s="3"/>
      <c r="AY757" s="3"/>
    </row>
    <row r="758" spans="1:51"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7"/>
      <c r="AK758" s="7"/>
      <c r="AL758" s="7"/>
      <c r="AM758" s="7"/>
      <c r="AN758" s="7"/>
      <c r="AO758" s="7"/>
      <c r="AP758" s="7"/>
      <c r="AQ758" s="7"/>
      <c r="AR758" s="7"/>
      <c r="AS758" s="7"/>
      <c r="AT758" s="7"/>
      <c r="AU758" s="3"/>
      <c r="AV758" s="3"/>
      <c r="AW758" s="3"/>
      <c r="AX758" s="3"/>
      <c r="AY758" s="3"/>
    </row>
    <row r="759" spans="1:51"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7"/>
      <c r="AK759" s="7"/>
      <c r="AL759" s="7"/>
      <c r="AM759" s="7"/>
      <c r="AN759" s="7"/>
      <c r="AO759" s="7"/>
      <c r="AP759" s="7"/>
      <c r="AQ759" s="7"/>
      <c r="AR759" s="7"/>
      <c r="AS759" s="7"/>
      <c r="AT759" s="7"/>
      <c r="AU759" s="3"/>
      <c r="AV759" s="3"/>
      <c r="AW759" s="3"/>
      <c r="AX759" s="3"/>
      <c r="AY759" s="3"/>
    </row>
    <row r="760" spans="1:51"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7"/>
      <c r="AK760" s="7"/>
      <c r="AL760" s="7"/>
      <c r="AM760" s="7"/>
      <c r="AN760" s="7"/>
      <c r="AO760" s="7"/>
      <c r="AP760" s="7"/>
      <c r="AQ760" s="7"/>
      <c r="AR760" s="7"/>
      <c r="AS760" s="7"/>
      <c r="AT760" s="7"/>
      <c r="AU760" s="3"/>
      <c r="AV760" s="3"/>
      <c r="AW760" s="3"/>
      <c r="AX760" s="3"/>
      <c r="AY760" s="3"/>
    </row>
    <row r="761" spans="1:5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7"/>
      <c r="AK761" s="7"/>
      <c r="AL761" s="7"/>
      <c r="AM761" s="7"/>
      <c r="AN761" s="7"/>
      <c r="AO761" s="7"/>
      <c r="AP761" s="7"/>
      <c r="AQ761" s="7"/>
      <c r="AR761" s="7"/>
      <c r="AS761" s="7"/>
      <c r="AT761" s="7"/>
      <c r="AU761" s="3"/>
      <c r="AV761" s="3"/>
      <c r="AW761" s="3"/>
      <c r="AX761" s="3"/>
      <c r="AY761" s="3"/>
    </row>
    <row r="762" spans="1:51"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7"/>
      <c r="AK762" s="7"/>
      <c r="AL762" s="7"/>
      <c r="AM762" s="7"/>
      <c r="AN762" s="7"/>
      <c r="AO762" s="7"/>
      <c r="AP762" s="7"/>
      <c r="AQ762" s="7"/>
      <c r="AR762" s="7"/>
      <c r="AS762" s="7"/>
      <c r="AT762" s="7"/>
      <c r="AU762" s="3"/>
      <c r="AV762" s="3"/>
      <c r="AW762" s="3"/>
      <c r="AX762" s="3"/>
      <c r="AY762" s="3"/>
    </row>
    <row r="763" spans="1:51"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7"/>
      <c r="AK763" s="7"/>
      <c r="AL763" s="7"/>
      <c r="AM763" s="7"/>
      <c r="AN763" s="7"/>
      <c r="AO763" s="7"/>
      <c r="AP763" s="7"/>
      <c r="AQ763" s="7"/>
      <c r="AR763" s="7"/>
      <c r="AS763" s="7"/>
      <c r="AT763" s="7"/>
      <c r="AU763" s="3"/>
      <c r="AV763" s="3"/>
      <c r="AW763" s="3"/>
      <c r="AX763" s="3"/>
      <c r="AY763" s="3"/>
    </row>
    <row r="764" spans="1:51"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7"/>
      <c r="AK764" s="7"/>
      <c r="AL764" s="7"/>
      <c r="AM764" s="7"/>
      <c r="AN764" s="7"/>
      <c r="AO764" s="7"/>
      <c r="AP764" s="7"/>
      <c r="AQ764" s="7"/>
      <c r="AR764" s="7"/>
      <c r="AS764" s="7"/>
      <c r="AT764" s="7"/>
      <c r="AU764" s="3"/>
      <c r="AV764" s="3"/>
      <c r="AW764" s="3"/>
      <c r="AX764" s="3"/>
      <c r="AY764" s="3"/>
    </row>
    <row r="765" spans="1:51"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7"/>
      <c r="AK765" s="7"/>
      <c r="AL765" s="7"/>
      <c r="AM765" s="7"/>
      <c r="AN765" s="7"/>
      <c r="AO765" s="7"/>
      <c r="AP765" s="7"/>
      <c r="AQ765" s="7"/>
      <c r="AR765" s="7"/>
      <c r="AS765" s="7"/>
      <c r="AT765" s="7"/>
      <c r="AU765" s="3"/>
      <c r="AV765" s="3"/>
      <c r="AW765" s="3"/>
      <c r="AX765" s="3"/>
      <c r="AY765" s="3"/>
    </row>
    <row r="766" spans="1:51"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7"/>
      <c r="AK766" s="7"/>
      <c r="AL766" s="7"/>
      <c r="AM766" s="7"/>
      <c r="AN766" s="7"/>
      <c r="AO766" s="7"/>
      <c r="AP766" s="7"/>
      <c r="AQ766" s="7"/>
      <c r="AR766" s="7"/>
      <c r="AS766" s="7"/>
      <c r="AT766" s="7"/>
      <c r="AU766" s="3"/>
      <c r="AV766" s="3"/>
      <c r="AW766" s="3"/>
      <c r="AX766" s="3"/>
      <c r="AY766" s="3"/>
    </row>
    <row r="767" spans="1:51"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7"/>
      <c r="AK767" s="7"/>
      <c r="AL767" s="7"/>
      <c r="AM767" s="7"/>
      <c r="AN767" s="7"/>
      <c r="AO767" s="7"/>
      <c r="AP767" s="7"/>
      <c r="AQ767" s="7"/>
      <c r="AR767" s="7"/>
      <c r="AS767" s="7"/>
      <c r="AT767" s="7"/>
      <c r="AU767" s="3"/>
      <c r="AV767" s="3"/>
      <c r="AW767" s="3"/>
      <c r="AX767" s="3"/>
      <c r="AY767" s="3"/>
    </row>
    <row r="768" spans="1:51"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7"/>
      <c r="AK768" s="7"/>
      <c r="AL768" s="7"/>
      <c r="AM768" s="7"/>
      <c r="AN768" s="7"/>
      <c r="AO768" s="7"/>
      <c r="AP768" s="7"/>
      <c r="AQ768" s="7"/>
      <c r="AR768" s="7"/>
      <c r="AS768" s="7"/>
      <c r="AT768" s="7"/>
      <c r="AU768" s="3"/>
      <c r="AV768" s="3"/>
      <c r="AW768" s="3"/>
      <c r="AX768" s="3"/>
      <c r="AY768" s="3"/>
    </row>
    <row r="769" spans="1:51"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7"/>
      <c r="AK769" s="7"/>
      <c r="AL769" s="7"/>
      <c r="AM769" s="7"/>
      <c r="AN769" s="7"/>
      <c r="AO769" s="7"/>
      <c r="AP769" s="7"/>
      <c r="AQ769" s="7"/>
      <c r="AR769" s="7"/>
      <c r="AS769" s="7"/>
      <c r="AT769" s="7"/>
      <c r="AU769" s="3"/>
      <c r="AV769" s="3"/>
      <c r="AW769" s="3"/>
      <c r="AX769" s="3"/>
      <c r="AY769" s="3"/>
    </row>
    <row r="770" spans="1:51"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7"/>
      <c r="AK770" s="7"/>
      <c r="AL770" s="7"/>
      <c r="AM770" s="7"/>
      <c r="AN770" s="7"/>
      <c r="AO770" s="7"/>
      <c r="AP770" s="7"/>
      <c r="AQ770" s="7"/>
      <c r="AR770" s="7"/>
      <c r="AS770" s="7"/>
      <c r="AT770" s="7"/>
      <c r="AU770" s="3"/>
      <c r="AV770" s="3"/>
      <c r="AW770" s="3"/>
      <c r="AX770" s="3"/>
      <c r="AY770" s="3"/>
    </row>
    <row r="771" spans="1:5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7"/>
      <c r="AK771" s="7"/>
      <c r="AL771" s="7"/>
      <c r="AM771" s="7"/>
      <c r="AN771" s="7"/>
      <c r="AO771" s="7"/>
      <c r="AP771" s="7"/>
      <c r="AQ771" s="7"/>
      <c r="AR771" s="7"/>
      <c r="AS771" s="7"/>
      <c r="AT771" s="7"/>
      <c r="AU771" s="3"/>
      <c r="AV771" s="3"/>
      <c r="AW771" s="3"/>
      <c r="AX771" s="3"/>
      <c r="AY771" s="3"/>
    </row>
    <row r="772" spans="1:51"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7"/>
      <c r="AK772" s="7"/>
      <c r="AL772" s="7"/>
      <c r="AM772" s="7"/>
      <c r="AN772" s="7"/>
      <c r="AO772" s="7"/>
      <c r="AP772" s="7"/>
      <c r="AQ772" s="7"/>
      <c r="AR772" s="7"/>
      <c r="AS772" s="7"/>
      <c r="AT772" s="7"/>
      <c r="AU772" s="3"/>
      <c r="AV772" s="3"/>
      <c r="AW772" s="3"/>
      <c r="AX772" s="3"/>
      <c r="AY772" s="3"/>
    </row>
    <row r="773" spans="1:51"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7"/>
      <c r="AK773" s="7"/>
      <c r="AL773" s="7"/>
      <c r="AM773" s="7"/>
      <c r="AN773" s="7"/>
      <c r="AO773" s="7"/>
      <c r="AP773" s="7"/>
      <c r="AQ773" s="7"/>
      <c r="AR773" s="7"/>
      <c r="AS773" s="7"/>
      <c r="AT773" s="7"/>
      <c r="AU773" s="3"/>
      <c r="AV773" s="3"/>
      <c r="AW773" s="3"/>
      <c r="AX773" s="3"/>
      <c r="AY773" s="3"/>
    </row>
    <row r="774" spans="1:51"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7"/>
      <c r="AK774" s="7"/>
      <c r="AL774" s="7"/>
      <c r="AM774" s="7"/>
      <c r="AN774" s="7"/>
      <c r="AO774" s="7"/>
      <c r="AP774" s="7"/>
      <c r="AQ774" s="7"/>
      <c r="AR774" s="7"/>
      <c r="AS774" s="7"/>
      <c r="AT774" s="7"/>
      <c r="AU774" s="3"/>
      <c r="AV774" s="3"/>
      <c r="AW774" s="3"/>
      <c r="AX774" s="3"/>
      <c r="AY774" s="3"/>
    </row>
    <row r="775" spans="1:51"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7"/>
      <c r="AK775" s="7"/>
      <c r="AL775" s="7"/>
      <c r="AM775" s="7"/>
      <c r="AN775" s="7"/>
      <c r="AO775" s="7"/>
      <c r="AP775" s="7"/>
      <c r="AQ775" s="7"/>
      <c r="AR775" s="7"/>
      <c r="AS775" s="7"/>
      <c r="AT775" s="7"/>
      <c r="AU775" s="3"/>
      <c r="AV775" s="3"/>
      <c r="AW775" s="3"/>
      <c r="AX775" s="3"/>
      <c r="AY775" s="3"/>
    </row>
    <row r="776" spans="1:51"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7"/>
      <c r="AK776" s="7"/>
      <c r="AL776" s="7"/>
      <c r="AM776" s="7"/>
      <c r="AN776" s="7"/>
      <c r="AO776" s="7"/>
      <c r="AP776" s="7"/>
      <c r="AQ776" s="7"/>
      <c r="AR776" s="7"/>
      <c r="AS776" s="7"/>
      <c r="AT776" s="7"/>
      <c r="AU776" s="3"/>
      <c r="AV776" s="3"/>
      <c r="AW776" s="3"/>
      <c r="AX776" s="3"/>
      <c r="AY776" s="3"/>
    </row>
    <row r="777" spans="1:51"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7"/>
      <c r="AK777" s="7"/>
      <c r="AL777" s="7"/>
      <c r="AM777" s="7"/>
      <c r="AN777" s="7"/>
      <c r="AO777" s="7"/>
      <c r="AP777" s="7"/>
      <c r="AQ777" s="7"/>
      <c r="AR777" s="7"/>
      <c r="AS777" s="7"/>
      <c r="AT777" s="7"/>
      <c r="AU777" s="3"/>
      <c r="AV777" s="3"/>
      <c r="AW777" s="3"/>
      <c r="AX777" s="3"/>
      <c r="AY777" s="3"/>
    </row>
    <row r="778" spans="1:51"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7"/>
      <c r="AK778" s="7"/>
      <c r="AL778" s="7"/>
      <c r="AM778" s="7"/>
      <c r="AN778" s="7"/>
      <c r="AO778" s="7"/>
      <c r="AP778" s="7"/>
      <c r="AQ778" s="7"/>
      <c r="AR778" s="7"/>
      <c r="AS778" s="7"/>
      <c r="AT778" s="7"/>
      <c r="AU778" s="3"/>
      <c r="AV778" s="3"/>
      <c r="AW778" s="3"/>
      <c r="AX778" s="3"/>
      <c r="AY778" s="3"/>
    </row>
    <row r="779" spans="1:51"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7"/>
      <c r="AK779" s="7"/>
      <c r="AL779" s="7"/>
      <c r="AM779" s="7"/>
      <c r="AN779" s="7"/>
      <c r="AO779" s="7"/>
      <c r="AP779" s="7"/>
      <c r="AQ779" s="7"/>
      <c r="AR779" s="7"/>
      <c r="AS779" s="7"/>
      <c r="AT779" s="7"/>
      <c r="AU779" s="3"/>
      <c r="AV779" s="3"/>
      <c r="AW779" s="3"/>
      <c r="AX779" s="3"/>
      <c r="AY779" s="3"/>
    </row>
    <row r="780" spans="1:51"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7"/>
      <c r="AK780" s="7"/>
      <c r="AL780" s="7"/>
      <c r="AM780" s="7"/>
      <c r="AN780" s="7"/>
      <c r="AO780" s="7"/>
      <c r="AP780" s="7"/>
      <c r="AQ780" s="7"/>
      <c r="AR780" s="7"/>
      <c r="AS780" s="7"/>
      <c r="AT780" s="7"/>
      <c r="AU780" s="3"/>
      <c r="AV780" s="3"/>
      <c r="AW780" s="3"/>
      <c r="AX780" s="3"/>
      <c r="AY780" s="3"/>
    </row>
    <row r="781" spans="1:5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7"/>
      <c r="AK781" s="7"/>
      <c r="AL781" s="7"/>
      <c r="AM781" s="7"/>
      <c r="AN781" s="7"/>
      <c r="AO781" s="7"/>
      <c r="AP781" s="7"/>
      <c r="AQ781" s="7"/>
      <c r="AR781" s="7"/>
      <c r="AS781" s="7"/>
      <c r="AT781" s="7"/>
      <c r="AU781" s="3"/>
      <c r="AV781" s="3"/>
      <c r="AW781" s="3"/>
      <c r="AX781" s="3"/>
      <c r="AY781" s="3"/>
    </row>
    <row r="782" spans="1:51"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7"/>
      <c r="AK782" s="7"/>
      <c r="AL782" s="7"/>
      <c r="AM782" s="7"/>
      <c r="AN782" s="7"/>
      <c r="AO782" s="7"/>
      <c r="AP782" s="7"/>
      <c r="AQ782" s="7"/>
      <c r="AR782" s="7"/>
      <c r="AS782" s="7"/>
      <c r="AT782" s="7"/>
      <c r="AU782" s="3"/>
      <c r="AV782" s="3"/>
      <c r="AW782" s="3"/>
      <c r="AX782" s="3"/>
      <c r="AY782" s="3"/>
    </row>
    <row r="783" spans="1:51"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7"/>
      <c r="AK783" s="7"/>
      <c r="AL783" s="7"/>
      <c r="AM783" s="7"/>
      <c r="AN783" s="7"/>
      <c r="AO783" s="7"/>
      <c r="AP783" s="7"/>
      <c r="AQ783" s="7"/>
      <c r="AR783" s="7"/>
      <c r="AS783" s="7"/>
      <c r="AT783" s="7"/>
      <c r="AU783" s="3"/>
      <c r="AV783" s="3"/>
      <c r="AW783" s="3"/>
      <c r="AX783" s="3"/>
      <c r="AY783" s="3"/>
    </row>
    <row r="784" spans="1:51"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7"/>
      <c r="AK784" s="7"/>
      <c r="AL784" s="7"/>
      <c r="AM784" s="7"/>
      <c r="AN784" s="7"/>
      <c r="AO784" s="7"/>
      <c r="AP784" s="7"/>
      <c r="AQ784" s="7"/>
      <c r="AR784" s="7"/>
      <c r="AS784" s="7"/>
      <c r="AT784" s="7"/>
      <c r="AU784" s="3"/>
      <c r="AV784" s="3"/>
      <c r="AW784" s="3"/>
      <c r="AX784" s="3"/>
      <c r="AY784" s="3"/>
    </row>
    <row r="785" spans="1:51"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7"/>
      <c r="AK785" s="7"/>
      <c r="AL785" s="7"/>
      <c r="AM785" s="7"/>
      <c r="AN785" s="7"/>
      <c r="AO785" s="7"/>
      <c r="AP785" s="7"/>
      <c r="AQ785" s="7"/>
      <c r="AR785" s="7"/>
      <c r="AS785" s="7"/>
      <c r="AT785" s="7"/>
      <c r="AU785" s="3"/>
      <c r="AV785" s="3"/>
      <c r="AW785" s="3"/>
      <c r="AX785" s="3"/>
      <c r="AY785" s="3"/>
    </row>
    <row r="786" spans="1:51"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7"/>
      <c r="AK786" s="7"/>
      <c r="AL786" s="7"/>
      <c r="AM786" s="7"/>
      <c r="AN786" s="7"/>
      <c r="AO786" s="7"/>
      <c r="AP786" s="7"/>
      <c r="AQ786" s="7"/>
      <c r="AR786" s="7"/>
      <c r="AS786" s="7"/>
      <c r="AT786" s="7"/>
      <c r="AU786" s="3"/>
      <c r="AV786" s="3"/>
      <c r="AW786" s="3"/>
      <c r="AX786" s="3"/>
      <c r="AY786" s="3"/>
    </row>
    <row r="787" spans="1:51"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7"/>
      <c r="AK787" s="7"/>
      <c r="AL787" s="7"/>
      <c r="AM787" s="7"/>
      <c r="AN787" s="7"/>
      <c r="AO787" s="7"/>
      <c r="AP787" s="7"/>
      <c r="AQ787" s="7"/>
      <c r="AR787" s="7"/>
      <c r="AS787" s="7"/>
      <c r="AT787" s="7"/>
      <c r="AU787" s="3"/>
      <c r="AV787" s="3"/>
      <c r="AW787" s="3"/>
      <c r="AX787" s="3"/>
      <c r="AY787" s="3"/>
    </row>
    <row r="788" spans="1:51"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7"/>
      <c r="AK788" s="7"/>
      <c r="AL788" s="7"/>
      <c r="AM788" s="7"/>
      <c r="AN788" s="7"/>
      <c r="AO788" s="7"/>
      <c r="AP788" s="7"/>
      <c r="AQ788" s="7"/>
      <c r="AR788" s="7"/>
      <c r="AS788" s="7"/>
      <c r="AT788" s="7"/>
      <c r="AU788" s="3"/>
      <c r="AV788" s="3"/>
      <c r="AW788" s="3"/>
      <c r="AX788" s="3"/>
      <c r="AY788" s="3"/>
    </row>
    <row r="789" spans="1:51"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7"/>
      <c r="AK789" s="7"/>
      <c r="AL789" s="7"/>
      <c r="AM789" s="7"/>
      <c r="AN789" s="7"/>
      <c r="AO789" s="7"/>
      <c r="AP789" s="7"/>
      <c r="AQ789" s="7"/>
      <c r="AR789" s="7"/>
      <c r="AS789" s="7"/>
      <c r="AT789" s="7"/>
      <c r="AU789" s="3"/>
      <c r="AV789" s="3"/>
      <c r="AW789" s="3"/>
      <c r="AX789" s="3"/>
      <c r="AY789" s="3"/>
    </row>
    <row r="790" spans="1:51"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7"/>
      <c r="AK790" s="7"/>
      <c r="AL790" s="7"/>
      <c r="AM790" s="7"/>
      <c r="AN790" s="7"/>
      <c r="AO790" s="7"/>
      <c r="AP790" s="7"/>
      <c r="AQ790" s="7"/>
      <c r="AR790" s="7"/>
      <c r="AS790" s="7"/>
      <c r="AT790" s="7"/>
      <c r="AU790" s="3"/>
      <c r="AV790" s="3"/>
      <c r="AW790" s="3"/>
      <c r="AX790" s="3"/>
      <c r="AY790" s="3"/>
    </row>
    <row r="791" spans="1:5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7"/>
      <c r="AK791" s="7"/>
      <c r="AL791" s="7"/>
      <c r="AM791" s="7"/>
      <c r="AN791" s="7"/>
      <c r="AO791" s="7"/>
      <c r="AP791" s="7"/>
      <c r="AQ791" s="7"/>
      <c r="AR791" s="7"/>
      <c r="AS791" s="7"/>
      <c r="AT791" s="7"/>
      <c r="AU791" s="3"/>
      <c r="AV791" s="3"/>
      <c r="AW791" s="3"/>
      <c r="AX791" s="3"/>
      <c r="AY791" s="3"/>
    </row>
    <row r="792" spans="1:51"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7"/>
      <c r="AK792" s="7"/>
      <c r="AL792" s="7"/>
      <c r="AM792" s="7"/>
      <c r="AN792" s="7"/>
      <c r="AO792" s="7"/>
      <c r="AP792" s="7"/>
      <c r="AQ792" s="7"/>
      <c r="AR792" s="7"/>
      <c r="AS792" s="7"/>
      <c r="AT792" s="7"/>
      <c r="AU792" s="3"/>
      <c r="AV792" s="3"/>
      <c r="AW792" s="3"/>
      <c r="AX792" s="3"/>
      <c r="AY792" s="3"/>
    </row>
    <row r="793" spans="1:51"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7"/>
      <c r="AK793" s="7"/>
      <c r="AL793" s="7"/>
      <c r="AM793" s="7"/>
      <c r="AN793" s="7"/>
      <c r="AO793" s="7"/>
      <c r="AP793" s="7"/>
      <c r="AQ793" s="7"/>
      <c r="AR793" s="7"/>
      <c r="AS793" s="7"/>
      <c r="AT793" s="7"/>
      <c r="AU793" s="3"/>
      <c r="AV793" s="3"/>
      <c r="AW793" s="3"/>
      <c r="AX793" s="3"/>
      <c r="AY793" s="3"/>
    </row>
    <row r="794" spans="1:51"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7"/>
      <c r="AK794" s="7"/>
      <c r="AL794" s="7"/>
      <c r="AM794" s="7"/>
      <c r="AN794" s="7"/>
      <c r="AO794" s="7"/>
      <c r="AP794" s="7"/>
      <c r="AQ794" s="7"/>
      <c r="AR794" s="7"/>
      <c r="AS794" s="7"/>
      <c r="AT794" s="7"/>
      <c r="AU794" s="3"/>
      <c r="AV794" s="3"/>
      <c r="AW794" s="3"/>
      <c r="AX794" s="3"/>
      <c r="AY794" s="3"/>
    </row>
    <row r="795" spans="1:51"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7"/>
      <c r="AK795" s="7"/>
      <c r="AL795" s="7"/>
      <c r="AM795" s="7"/>
      <c r="AN795" s="7"/>
      <c r="AO795" s="7"/>
      <c r="AP795" s="7"/>
      <c r="AQ795" s="7"/>
      <c r="AR795" s="7"/>
      <c r="AS795" s="7"/>
      <c r="AT795" s="7"/>
      <c r="AU795" s="3"/>
      <c r="AV795" s="3"/>
      <c r="AW795" s="3"/>
      <c r="AX795" s="3"/>
      <c r="AY795" s="3"/>
    </row>
    <row r="796" spans="1:51"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7"/>
      <c r="AK796" s="7"/>
      <c r="AL796" s="7"/>
      <c r="AM796" s="7"/>
      <c r="AN796" s="7"/>
      <c r="AO796" s="7"/>
      <c r="AP796" s="7"/>
      <c r="AQ796" s="7"/>
      <c r="AR796" s="7"/>
      <c r="AS796" s="7"/>
      <c r="AT796" s="7"/>
      <c r="AU796" s="3"/>
      <c r="AV796" s="3"/>
      <c r="AW796" s="3"/>
      <c r="AX796" s="3"/>
      <c r="AY796" s="3"/>
    </row>
    <row r="797" spans="1:51"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7"/>
      <c r="AK797" s="7"/>
      <c r="AL797" s="7"/>
      <c r="AM797" s="7"/>
      <c r="AN797" s="7"/>
      <c r="AO797" s="7"/>
      <c r="AP797" s="7"/>
      <c r="AQ797" s="7"/>
      <c r="AR797" s="7"/>
      <c r="AS797" s="7"/>
      <c r="AT797" s="7"/>
      <c r="AU797" s="3"/>
      <c r="AV797" s="3"/>
      <c r="AW797" s="3"/>
      <c r="AX797" s="3"/>
      <c r="AY797" s="3"/>
    </row>
    <row r="798" spans="1:51"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7"/>
      <c r="AK798" s="7"/>
      <c r="AL798" s="7"/>
      <c r="AM798" s="7"/>
      <c r="AN798" s="7"/>
      <c r="AO798" s="7"/>
      <c r="AP798" s="7"/>
      <c r="AQ798" s="7"/>
      <c r="AR798" s="7"/>
      <c r="AS798" s="7"/>
      <c r="AT798" s="7"/>
      <c r="AU798" s="3"/>
      <c r="AV798" s="3"/>
      <c r="AW798" s="3"/>
      <c r="AX798" s="3"/>
      <c r="AY798" s="3"/>
    </row>
    <row r="799" spans="1:51"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7"/>
      <c r="AK799" s="7"/>
      <c r="AL799" s="7"/>
      <c r="AM799" s="7"/>
      <c r="AN799" s="7"/>
      <c r="AO799" s="7"/>
      <c r="AP799" s="7"/>
      <c r="AQ799" s="7"/>
      <c r="AR799" s="7"/>
      <c r="AS799" s="7"/>
      <c r="AT799" s="7"/>
      <c r="AU799" s="3"/>
      <c r="AV799" s="3"/>
      <c r="AW799" s="3"/>
      <c r="AX799" s="3"/>
      <c r="AY799" s="3"/>
    </row>
    <row r="800" spans="1:51"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7"/>
      <c r="AK800" s="7"/>
      <c r="AL800" s="7"/>
      <c r="AM800" s="7"/>
      <c r="AN800" s="7"/>
      <c r="AO800" s="7"/>
      <c r="AP800" s="7"/>
      <c r="AQ800" s="7"/>
      <c r="AR800" s="7"/>
      <c r="AS800" s="7"/>
      <c r="AT800" s="7"/>
      <c r="AU800" s="3"/>
      <c r="AV800" s="3"/>
      <c r="AW800" s="3"/>
      <c r="AX800" s="3"/>
      <c r="AY800" s="3"/>
    </row>
    <row r="801" spans="1:5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7"/>
      <c r="AK801" s="7"/>
      <c r="AL801" s="7"/>
      <c r="AM801" s="7"/>
      <c r="AN801" s="7"/>
      <c r="AO801" s="7"/>
      <c r="AP801" s="7"/>
      <c r="AQ801" s="7"/>
      <c r="AR801" s="7"/>
      <c r="AS801" s="7"/>
      <c r="AT801" s="7"/>
      <c r="AU801" s="3"/>
      <c r="AV801" s="3"/>
      <c r="AW801" s="3"/>
      <c r="AX801" s="3"/>
      <c r="AY801" s="3"/>
    </row>
    <row r="802" spans="1:51"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7"/>
      <c r="AK802" s="7"/>
      <c r="AL802" s="7"/>
      <c r="AM802" s="7"/>
      <c r="AN802" s="7"/>
      <c r="AO802" s="7"/>
      <c r="AP802" s="7"/>
      <c r="AQ802" s="7"/>
      <c r="AR802" s="7"/>
      <c r="AS802" s="7"/>
      <c r="AT802" s="7"/>
      <c r="AU802" s="3"/>
      <c r="AV802" s="3"/>
      <c r="AW802" s="3"/>
      <c r="AX802" s="3"/>
      <c r="AY802" s="3"/>
    </row>
    <row r="803" spans="1:51"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7"/>
      <c r="AK803" s="7"/>
      <c r="AL803" s="7"/>
      <c r="AM803" s="7"/>
      <c r="AN803" s="7"/>
      <c r="AO803" s="7"/>
      <c r="AP803" s="7"/>
      <c r="AQ803" s="7"/>
      <c r="AR803" s="7"/>
      <c r="AS803" s="7"/>
      <c r="AT803" s="7"/>
      <c r="AU803" s="3"/>
      <c r="AV803" s="3"/>
      <c r="AW803" s="3"/>
      <c r="AX803" s="3"/>
      <c r="AY803" s="3"/>
    </row>
    <row r="804" spans="1:51"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7"/>
      <c r="AK804" s="7"/>
      <c r="AL804" s="7"/>
      <c r="AM804" s="7"/>
      <c r="AN804" s="7"/>
      <c r="AO804" s="7"/>
      <c r="AP804" s="7"/>
      <c r="AQ804" s="7"/>
      <c r="AR804" s="7"/>
      <c r="AS804" s="7"/>
      <c r="AT804" s="7"/>
      <c r="AU804" s="3"/>
      <c r="AV804" s="3"/>
      <c r="AW804" s="3"/>
      <c r="AX804" s="3"/>
      <c r="AY804" s="3"/>
    </row>
    <row r="805" spans="1:51"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7"/>
      <c r="AK805" s="7"/>
      <c r="AL805" s="7"/>
      <c r="AM805" s="7"/>
      <c r="AN805" s="7"/>
      <c r="AO805" s="7"/>
      <c r="AP805" s="7"/>
      <c r="AQ805" s="7"/>
      <c r="AR805" s="7"/>
      <c r="AS805" s="7"/>
      <c r="AT805" s="7"/>
      <c r="AU805" s="3"/>
      <c r="AV805" s="3"/>
      <c r="AW805" s="3"/>
      <c r="AX805" s="3"/>
      <c r="AY805" s="3"/>
    </row>
    <row r="806" spans="1:51"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7"/>
      <c r="AK806" s="7"/>
      <c r="AL806" s="7"/>
      <c r="AM806" s="7"/>
      <c r="AN806" s="7"/>
      <c r="AO806" s="7"/>
      <c r="AP806" s="7"/>
      <c r="AQ806" s="7"/>
      <c r="AR806" s="7"/>
      <c r="AS806" s="7"/>
      <c r="AT806" s="7"/>
      <c r="AU806" s="3"/>
      <c r="AV806" s="3"/>
      <c r="AW806" s="3"/>
      <c r="AX806" s="3"/>
      <c r="AY806" s="3"/>
    </row>
    <row r="807" spans="1:51"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7"/>
      <c r="AK807" s="7"/>
      <c r="AL807" s="7"/>
      <c r="AM807" s="7"/>
      <c r="AN807" s="7"/>
      <c r="AO807" s="7"/>
      <c r="AP807" s="7"/>
      <c r="AQ807" s="7"/>
      <c r="AR807" s="7"/>
      <c r="AS807" s="7"/>
      <c r="AT807" s="7"/>
      <c r="AU807" s="3"/>
      <c r="AV807" s="3"/>
      <c r="AW807" s="3"/>
      <c r="AX807" s="3"/>
      <c r="AY807" s="3"/>
    </row>
    <row r="808" spans="1:51"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7"/>
      <c r="AK808" s="7"/>
      <c r="AL808" s="7"/>
      <c r="AM808" s="7"/>
      <c r="AN808" s="7"/>
      <c r="AO808" s="7"/>
      <c r="AP808" s="7"/>
      <c r="AQ808" s="7"/>
      <c r="AR808" s="7"/>
      <c r="AS808" s="7"/>
      <c r="AT808" s="7"/>
      <c r="AU808" s="3"/>
      <c r="AV808" s="3"/>
      <c r="AW808" s="3"/>
      <c r="AX808" s="3"/>
      <c r="AY808" s="3"/>
    </row>
    <row r="809" spans="1:51"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7"/>
      <c r="AK809" s="7"/>
      <c r="AL809" s="7"/>
      <c r="AM809" s="7"/>
      <c r="AN809" s="7"/>
      <c r="AO809" s="7"/>
      <c r="AP809" s="7"/>
      <c r="AQ809" s="7"/>
      <c r="AR809" s="7"/>
      <c r="AS809" s="7"/>
      <c r="AT809" s="7"/>
      <c r="AU809" s="3"/>
      <c r="AV809" s="3"/>
      <c r="AW809" s="3"/>
      <c r="AX809" s="3"/>
      <c r="AY809" s="3"/>
    </row>
    <row r="810" spans="1:51"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7"/>
      <c r="AK810" s="7"/>
      <c r="AL810" s="7"/>
      <c r="AM810" s="7"/>
      <c r="AN810" s="7"/>
      <c r="AO810" s="7"/>
      <c r="AP810" s="7"/>
      <c r="AQ810" s="7"/>
      <c r="AR810" s="7"/>
      <c r="AS810" s="7"/>
      <c r="AT810" s="7"/>
      <c r="AU810" s="3"/>
      <c r="AV810" s="3"/>
      <c r="AW810" s="3"/>
      <c r="AX810" s="3"/>
      <c r="AY810" s="3"/>
    </row>
    <row r="811" spans="1:5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7"/>
      <c r="AK811" s="7"/>
      <c r="AL811" s="7"/>
      <c r="AM811" s="7"/>
      <c r="AN811" s="7"/>
      <c r="AO811" s="7"/>
      <c r="AP811" s="7"/>
      <c r="AQ811" s="7"/>
      <c r="AR811" s="7"/>
      <c r="AS811" s="7"/>
      <c r="AT811" s="7"/>
      <c r="AU811" s="3"/>
      <c r="AV811" s="3"/>
      <c r="AW811" s="3"/>
      <c r="AX811" s="3"/>
      <c r="AY811" s="3"/>
    </row>
    <row r="812" spans="1:51"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7"/>
      <c r="AK812" s="7"/>
      <c r="AL812" s="7"/>
      <c r="AM812" s="7"/>
      <c r="AN812" s="7"/>
      <c r="AO812" s="7"/>
      <c r="AP812" s="7"/>
      <c r="AQ812" s="7"/>
      <c r="AR812" s="7"/>
      <c r="AS812" s="7"/>
      <c r="AT812" s="7"/>
      <c r="AU812" s="3"/>
      <c r="AV812" s="3"/>
      <c r="AW812" s="3"/>
      <c r="AX812" s="3"/>
      <c r="AY812" s="3"/>
    </row>
    <row r="813" spans="1:51"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7"/>
      <c r="AK813" s="7"/>
      <c r="AL813" s="7"/>
      <c r="AM813" s="7"/>
      <c r="AN813" s="7"/>
      <c r="AO813" s="7"/>
      <c r="AP813" s="7"/>
      <c r="AQ813" s="7"/>
      <c r="AR813" s="7"/>
      <c r="AS813" s="7"/>
      <c r="AT813" s="7"/>
      <c r="AU813" s="3"/>
      <c r="AV813" s="3"/>
      <c r="AW813" s="3"/>
      <c r="AX813" s="3"/>
      <c r="AY813" s="3"/>
    </row>
    <row r="814" spans="1:51"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7"/>
      <c r="AK814" s="7"/>
      <c r="AL814" s="7"/>
      <c r="AM814" s="7"/>
      <c r="AN814" s="7"/>
      <c r="AO814" s="7"/>
      <c r="AP814" s="7"/>
      <c r="AQ814" s="7"/>
      <c r="AR814" s="7"/>
      <c r="AS814" s="7"/>
      <c r="AT814" s="7"/>
      <c r="AU814" s="3"/>
      <c r="AV814" s="3"/>
      <c r="AW814" s="3"/>
      <c r="AX814" s="3"/>
      <c r="AY814" s="3"/>
    </row>
    <row r="815" spans="1:51"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7"/>
      <c r="AK815" s="7"/>
      <c r="AL815" s="7"/>
      <c r="AM815" s="7"/>
      <c r="AN815" s="7"/>
      <c r="AO815" s="7"/>
      <c r="AP815" s="7"/>
      <c r="AQ815" s="7"/>
      <c r="AR815" s="7"/>
      <c r="AS815" s="7"/>
      <c r="AT815" s="7"/>
      <c r="AU815" s="3"/>
      <c r="AV815" s="3"/>
      <c r="AW815" s="3"/>
      <c r="AX815" s="3"/>
      <c r="AY815" s="3"/>
    </row>
    <row r="816" spans="1:51"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7"/>
      <c r="AK816" s="7"/>
      <c r="AL816" s="7"/>
      <c r="AM816" s="7"/>
      <c r="AN816" s="7"/>
      <c r="AO816" s="7"/>
      <c r="AP816" s="7"/>
      <c r="AQ816" s="7"/>
      <c r="AR816" s="7"/>
      <c r="AS816" s="7"/>
      <c r="AT816" s="7"/>
      <c r="AU816" s="3"/>
      <c r="AV816" s="3"/>
      <c r="AW816" s="3"/>
      <c r="AX816" s="3"/>
      <c r="AY816" s="3"/>
    </row>
    <row r="817" spans="1:51"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7"/>
      <c r="AK817" s="7"/>
      <c r="AL817" s="7"/>
      <c r="AM817" s="7"/>
      <c r="AN817" s="7"/>
      <c r="AO817" s="7"/>
      <c r="AP817" s="7"/>
      <c r="AQ817" s="7"/>
      <c r="AR817" s="7"/>
      <c r="AS817" s="7"/>
      <c r="AT817" s="7"/>
      <c r="AU817" s="3"/>
      <c r="AV817" s="3"/>
      <c r="AW817" s="3"/>
      <c r="AX817" s="3"/>
      <c r="AY817" s="3"/>
    </row>
    <row r="818" spans="1:51"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7"/>
      <c r="AK818" s="7"/>
      <c r="AL818" s="7"/>
      <c r="AM818" s="7"/>
      <c r="AN818" s="7"/>
      <c r="AO818" s="7"/>
      <c r="AP818" s="7"/>
      <c r="AQ818" s="7"/>
      <c r="AR818" s="7"/>
      <c r="AS818" s="7"/>
      <c r="AT818" s="7"/>
      <c r="AU818" s="3"/>
      <c r="AV818" s="3"/>
      <c r="AW818" s="3"/>
      <c r="AX818" s="3"/>
      <c r="AY818" s="3"/>
    </row>
    <row r="819" spans="1:51"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7"/>
      <c r="AK819" s="7"/>
      <c r="AL819" s="7"/>
      <c r="AM819" s="7"/>
      <c r="AN819" s="7"/>
      <c r="AO819" s="7"/>
      <c r="AP819" s="7"/>
      <c r="AQ819" s="7"/>
      <c r="AR819" s="7"/>
      <c r="AS819" s="7"/>
      <c r="AT819" s="7"/>
      <c r="AU819" s="3"/>
      <c r="AV819" s="3"/>
      <c r="AW819" s="3"/>
      <c r="AX819" s="3"/>
      <c r="AY819" s="3"/>
    </row>
    <row r="820" spans="1:51"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7"/>
      <c r="AK820" s="7"/>
      <c r="AL820" s="7"/>
      <c r="AM820" s="7"/>
      <c r="AN820" s="7"/>
      <c r="AO820" s="7"/>
      <c r="AP820" s="7"/>
      <c r="AQ820" s="7"/>
      <c r="AR820" s="7"/>
      <c r="AS820" s="7"/>
      <c r="AT820" s="7"/>
      <c r="AU820" s="3"/>
      <c r="AV820" s="3"/>
      <c r="AW820" s="3"/>
      <c r="AX820" s="3"/>
      <c r="AY820" s="3"/>
    </row>
    <row r="821" spans="1:5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7"/>
      <c r="AK821" s="7"/>
      <c r="AL821" s="7"/>
      <c r="AM821" s="7"/>
      <c r="AN821" s="7"/>
      <c r="AO821" s="7"/>
      <c r="AP821" s="7"/>
      <c r="AQ821" s="7"/>
      <c r="AR821" s="7"/>
      <c r="AS821" s="7"/>
      <c r="AT821" s="7"/>
      <c r="AU821" s="3"/>
      <c r="AV821" s="3"/>
      <c r="AW821" s="3"/>
      <c r="AX821" s="3"/>
      <c r="AY821" s="3"/>
    </row>
    <row r="822" spans="1:51"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7"/>
      <c r="AK822" s="7"/>
      <c r="AL822" s="7"/>
      <c r="AM822" s="7"/>
      <c r="AN822" s="7"/>
      <c r="AO822" s="7"/>
      <c r="AP822" s="7"/>
      <c r="AQ822" s="7"/>
      <c r="AR822" s="7"/>
      <c r="AS822" s="7"/>
      <c r="AT822" s="7"/>
      <c r="AU822" s="3"/>
      <c r="AV822" s="3"/>
      <c r="AW822" s="3"/>
      <c r="AX822" s="3"/>
      <c r="AY822" s="3"/>
    </row>
    <row r="823" spans="1:51"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7"/>
      <c r="AK823" s="7"/>
      <c r="AL823" s="7"/>
      <c r="AM823" s="7"/>
      <c r="AN823" s="7"/>
      <c r="AO823" s="7"/>
      <c r="AP823" s="7"/>
      <c r="AQ823" s="7"/>
      <c r="AR823" s="7"/>
      <c r="AS823" s="7"/>
      <c r="AT823" s="7"/>
      <c r="AU823" s="3"/>
      <c r="AV823" s="3"/>
      <c r="AW823" s="3"/>
      <c r="AX823" s="3"/>
      <c r="AY823" s="3"/>
    </row>
    <row r="824" spans="1:51"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7"/>
      <c r="AK824" s="7"/>
      <c r="AL824" s="7"/>
      <c r="AM824" s="7"/>
      <c r="AN824" s="7"/>
      <c r="AO824" s="7"/>
      <c r="AP824" s="7"/>
      <c r="AQ824" s="7"/>
      <c r="AR824" s="7"/>
      <c r="AS824" s="7"/>
      <c r="AT824" s="7"/>
      <c r="AU824" s="3"/>
      <c r="AV824" s="3"/>
      <c r="AW824" s="3"/>
      <c r="AX824" s="3"/>
      <c r="AY824" s="3"/>
    </row>
    <row r="825" spans="1:51"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7"/>
      <c r="AK825" s="7"/>
      <c r="AL825" s="7"/>
      <c r="AM825" s="7"/>
      <c r="AN825" s="7"/>
      <c r="AO825" s="7"/>
      <c r="AP825" s="7"/>
      <c r="AQ825" s="7"/>
      <c r="AR825" s="7"/>
      <c r="AS825" s="7"/>
      <c r="AT825" s="7"/>
      <c r="AU825" s="3"/>
      <c r="AV825" s="3"/>
      <c r="AW825" s="3"/>
      <c r="AX825" s="3"/>
      <c r="AY825" s="3"/>
    </row>
    <row r="826" spans="1:51"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7"/>
      <c r="AK826" s="7"/>
      <c r="AL826" s="7"/>
      <c r="AM826" s="7"/>
      <c r="AN826" s="7"/>
      <c r="AO826" s="7"/>
      <c r="AP826" s="7"/>
      <c r="AQ826" s="7"/>
      <c r="AR826" s="7"/>
      <c r="AS826" s="7"/>
      <c r="AT826" s="7"/>
      <c r="AU826" s="3"/>
      <c r="AV826" s="3"/>
      <c r="AW826" s="3"/>
      <c r="AX826" s="3"/>
      <c r="AY826" s="3"/>
    </row>
    <row r="827" spans="1:51"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7"/>
      <c r="AK827" s="7"/>
      <c r="AL827" s="7"/>
      <c r="AM827" s="7"/>
      <c r="AN827" s="7"/>
      <c r="AO827" s="7"/>
      <c r="AP827" s="7"/>
      <c r="AQ827" s="7"/>
      <c r="AR827" s="7"/>
      <c r="AS827" s="7"/>
      <c r="AT827" s="7"/>
      <c r="AU827" s="3"/>
      <c r="AV827" s="3"/>
      <c r="AW827" s="3"/>
      <c r="AX827" s="3"/>
      <c r="AY827" s="3"/>
    </row>
    <row r="828" spans="1:51"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7"/>
      <c r="AK828" s="7"/>
      <c r="AL828" s="7"/>
      <c r="AM828" s="7"/>
      <c r="AN828" s="7"/>
      <c r="AO828" s="7"/>
      <c r="AP828" s="7"/>
      <c r="AQ828" s="7"/>
      <c r="AR828" s="7"/>
      <c r="AS828" s="7"/>
      <c r="AT828" s="7"/>
      <c r="AU828" s="3"/>
      <c r="AV828" s="3"/>
      <c r="AW828" s="3"/>
      <c r="AX828" s="3"/>
      <c r="AY828" s="3"/>
    </row>
    <row r="829" spans="1:51"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7"/>
      <c r="AK829" s="7"/>
      <c r="AL829" s="7"/>
      <c r="AM829" s="7"/>
      <c r="AN829" s="7"/>
      <c r="AO829" s="7"/>
      <c r="AP829" s="7"/>
      <c r="AQ829" s="7"/>
      <c r="AR829" s="7"/>
      <c r="AS829" s="7"/>
      <c r="AT829" s="7"/>
      <c r="AU829" s="3"/>
      <c r="AV829" s="3"/>
      <c r="AW829" s="3"/>
      <c r="AX829" s="3"/>
      <c r="AY829" s="3"/>
    </row>
    <row r="830" spans="1:51"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7"/>
      <c r="AK830" s="7"/>
      <c r="AL830" s="7"/>
      <c r="AM830" s="7"/>
      <c r="AN830" s="7"/>
      <c r="AO830" s="7"/>
      <c r="AP830" s="7"/>
      <c r="AQ830" s="7"/>
      <c r="AR830" s="7"/>
      <c r="AS830" s="7"/>
      <c r="AT830" s="7"/>
      <c r="AU830" s="3"/>
      <c r="AV830" s="3"/>
      <c r="AW830" s="3"/>
      <c r="AX830" s="3"/>
      <c r="AY830" s="3"/>
    </row>
    <row r="831" spans="1:5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7"/>
      <c r="AK831" s="7"/>
      <c r="AL831" s="7"/>
      <c r="AM831" s="7"/>
      <c r="AN831" s="7"/>
      <c r="AO831" s="7"/>
      <c r="AP831" s="7"/>
      <c r="AQ831" s="7"/>
      <c r="AR831" s="7"/>
      <c r="AS831" s="7"/>
      <c r="AT831" s="7"/>
      <c r="AU831" s="3"/>
      <c r="AV831" s="3"/>
      <c r="AW831" s="3"/>
      <c r="AX831" s="3"/>
      <c r="AY831" s="3"/>
    </row>
    <row r="832" spans="1:51"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7"/>
      <c r="AK832" s="7"/>
      <c r="AL832" s="7"/>
      <c r="AM832" s="7"/>
      <c r="AN832" s="7"/>
      <c r="AO832" s="7"/>
      <c r="AP832" s="7"/>
      <c r="AQ832" s="7"/>
      <c r="AR832" s="7"/>
      <c r="AS832" s="7"/>
      <c r="AT832" s="7"/>
      <c r="AU832" s="3"/>
      <c r="AV832" s="3"/>
      <c r="AW832" s="3"/>
      <c r="AX832" s="3"/>
      <c r="AY832" s="3"/>
    </row>
    <row r="833" spans="1:51"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7"/>
      <c r="AK833" s="7"/>
      <c r="AL833" s="7"/>
      <c r="AM833" s="7"/>
      <c r="AN833" s="7"/>
      <c r="AO833" s="7"/>
      <c r="AP833" s="7"/>
      <c r="AQ833" s="7"/>
      <c r="AR833" s="7"/>
      <c r="AS833" s="7"/>
      <c r="AT833" s="7"/>
      <c r="AU833" s="3"/>
      <c r="AV833" s="3"/>
      <c r="AW833" s="3"/>
      <c r="AX833" s="3"/>
      <c r="AY833" s="3"/>
    </row>
    <row r="834" spans="1:51"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7"/>
      <c r="AK834" s="7"/>
      <c r="AL834" s="7"/>
      <c r="AM834" s="7"/>
      <c r="AN834" s="7"/>
      <c r="AO834" s="7"/>
      <c r="AP834" s="7"/>
      <c r="AQ834" s="7"/>
      <c r="AR834" s="7"/>
      <c r="AS834" s="7"/>
      <c r="AT834" s="7"/>
      <c r="AU834" s="3"/>
      <c r="AV834" s="3"/>
      <c r="AW834" s="3"/>
      <c r="AX834" s="3"/>
      <c r="AY834" s="3"/>
    </row>
    <row r="835" spans="1:51"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7"/>
      <c r="AK835" s="7"/>
      <c r="AL835" s="7"/>
      <c r="AM835" s="7"/>
      <c r="AN835" s="7"/>
      <c r="AO835" s="7"/>
      <c r="AP835" s="7"/>
      <c r="AQ835" s="7"/>
      <c r="AR835" s="7"/>
      <c r="AS835" s="7"/>
      <c r="AT835" s="7"/>
      <c r="AU835" s="3"/>
      <c r="AV835" s="3"/>
      <c r="AW835" s="3"/>
      <c r="AX835" s="3"/>
      <c r="AY835" s="3"/>
    </row>
    <row r="836" spans="1:51"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7"/>
      <c r="AK836" s="7"/>
      <c r="AL836" s="7"/>
      <c r="AM836" s="7"/>
      <c r="AN836" s="7"/>
      <c r="AO836" s="7"/>
      <c r="AP836" s="7"/>
      <c r="AQ836" s="7"/>
      <c r="AR836" s="7"/>
      <c r="AS836" s="7"/>
      <c r="AT836" s="7"/>
      <c r="AU836" s="3"/>
      <c r="AV836" s="3"/>
      <c r="AW836" s="3"/>
      <c r="AX836" s="3"/>
      <c r="AY836" s="3"/>
    </row>
    <row r="837" spans="1:51"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7"/>
      <c r="AK837" s="7"/>
      <c r="AL837" s="7"/>
      <c r="AM837" s="7"/>
      <c r="AN837" s="7"/>
      <c r="AO837" s="7"/>
      <c r="AP837" s="7"/>
      <c r="AQ837" s="7"/>
      <c r="AR837" s="7"/>
      <c r="AS837" s="7"/>
      <c r="AT837" s="7"/>
      <c r="AU837" s="3"/>
      <c r="AV837" s="3"/>
      <c r="AW837" s="3"/>
      <c r="AX837" s="3"/>
      <c r="AY837" s="3"/>
    </row>
    <row r="838" spans="1:51"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7"/>
      <c r="AK838" s="7"/>
      <c r="AL838" s="7"/>
      <c r="AM838" s="7"/>
      <c r="AN838" s="7"/>
      <c r="AO838" s="7"/>
      <c r="AP838" s="7"/>
      <c r="AQ838" s="7"/>
      <c r="AR838" s="7"/>
      <c r="AS838" s="7"/>
      <c r="AT838" s="7"/>
      <c r="AU838" s="3"/>
      <c r="AV838" s="3"/>
      <c r="AW838" s="3"/>
      <c r="AX838" s="3"/>
      <c r="AY838" s="3"/>
    </row>
    <row r="839" spans="1:51"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7"/>
      <c r="AK839" s="7"/>
      <c r="AL839" s="7"/>
      <c r="AM839" s="7"/>
      <c r="AN839" s="7"/>
      <c r="AO839" s="7"/>
      <c r="AP839" s="7"/>
      <c r="AQ839" s="7"/>
      <c r="AR839" s="7"/>
      <c r="AS839" s="7"/>
      <c r="AT839" s="7"/>
      <c r="AU839" s="3"/>
      <c r="AV839" s="3"/>
      <c r="AW839" s="3"/>
      <c r="AX839" s="3"/>
      <c r="AY839" s="3"/>
    </row>
    <row r="840" spans="1:51"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7"/>
      <c r="AK840" s="7"/>
      <c r="AL840" s="7"/>
      <c r="AM840" s="7"/>
      <c r="AN840" s="7"/>
      <c r="AO840" s="7"/>
      <c r="AP840" s="7"/>
      <c r="AQ840" s="7"/>
      <c r="AR840" s="7"/>
      <c r="AS840" s="7"/>
      <c r="AT840" s="7"/>
      <c r="AU840" s="3"/>
      <c r="AV840" s="3"/>
      <c r="AW840" s="3"/>
      <c r="AX840" s="3"/>
      <c r="AY840" s="3"/>
    </row>
    <row r="841" spans="1:5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7"/>
      <c r="AK841" s="7"/>
      <c r="AL841" s="7"/>
      <c r="AM841" s="7"/>
      <c r="AN841" s="7"/>
      <c r="AO841" s="7"/>
      <c r="AP841" s="7"/>
      <c r="AQ841" s="7"/>
      <c r="AR841" s="7"/>
      <c r="AS841" s="7"/>
      <c r="AT841" s="7"/>
      <c r="AU841" s="3"/>
      <c r="AV841" s="3"/>
      <c r="AW841" s="3"/>
      <c r="AX841" s="3"/>
      <c r="AY841" s="3"/>
    </row>
    <row r="842" spans="1:51"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7"/>
      <c r="AK842" s="7"/>
      <c r="AL842" s="7"/>
      <c r="AM842" s="7"/>
      <c r="AN842" s="7"/>
      <c r="AO842" s="7"/>
      <c r="AP842" s="7"/>
      <c r="AQ842" s="7"/>
      <c r="AR842" s="7"/>
      <c r="AS842" s="7"/>
      <c r="AT842" s="7"/>
      <c r="AU842" s="3"/>
      <c r="AV842" s="3"/>
      <c r="AW842" s="3"/>
      <c r="AX842" s="3"/>
      <c r="AY842" s="3"/>
    </row>
    <row r="843" spans="1:51"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7"/>
      <c r="AK843" s="7"/>
      <c r="AL843" s="7"/>
      <c r="AM843" s="7"/>
      <c r="AN843" s="7"/>
      <c r="AO843" s="7"/>
      <c r="AP843" s="7"/>
      <c r="AQ843" s="7"/>
      <c r="AR843" s="7"/>
      <c r="AS843" s="7"/>
      <c r="AT843" s="7"/>
      <c r="AU843" s="3"/>
      <c r="AV843" s="3"/>
      <c r="AW843" s="3"/>
      <c r="AX843" s="3"/>
      <c r="AY843" s="3"/>
    </row>
    <row r="844" spans="1:51"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7"/>
      <c r="AK844" s="7"/>
      <c r="AL844" s="7"/>
      <c r="AM844" s="7"/>
      <c r="AN844" s="7"/>
      <c r="AO844" s="7"/>
      <c r="AP844" s="7"/>
      <c r="AQ844" s="7"/>
      <c r="AR844" s="7"/>
      <c r="AS844" s="7"/>
      <c r="AT844" s="7"/>
      <c r="AU844" s="3"/>
      <c r="AV844" s="3"/>
      <c r="AW844" s="3"/>
      <c r="AX844" s="3"/>
      <c r="AY844" s="3"/>
    </row>
    <row r="845" spans="1:51"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7"/>
      <c r="AK845" s="7"/>
      <c r="AL845" s="7"/>
      <c r="AM845" s="7"/>
      <c r="AN845" s="7"/>
      <c r="AO845" s="7"/>
      <c r="AP845" s="7"/>
      <c r="AQ845" s="7"/>
      <c r="AR845" s="7"/>
      <c r="AS845" s="7"/>
      <c r="AT845" s="7"/>
      <c r="AU845" s="3"/>
      <c r="AV845" s="3"/>
      <c r="AW845" s="3"/>
      <c r="AX845" s="3"/>
      <c r="AY845" s="3"/>
    </row>
    <row r="846" spans="1:51"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7"/>
      <c r="AK846" s="7"/>
      <c r="AL846" s="7"/>
      <c r="AM846" s="7"/>
      <c r="AN846" s="7"/>
      <c r="AO846" s="7"/>
      <c r="AP846" s="7"/>
      <c r="AQ846" s="7"/>
      <c r="AR846" s="7"/>
      <c r="AS846" s="7"/>
      <c r="AT846" s="7"/>
      <c r="AU846" s="3"/>
      <c r="AV846" s="3"/>
      <c r="AW846" s="3"/>
      <c r="AX846" s="3"/>
      <c r="AY846" s="3"/>
    </row>
    <row r="847" spans="1:51"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7"/>
      <c r="AK847" s="7"/>
      <c r="AL847" s="7"/>
      <c r="AM847" s="7"/>
      <c r="AN847" s="7"/>
      <c r="AO847" s="7"/>
      <c r="AP847" s="7"/>
      <c r="AQ847" s="7"/>
      <c r="AR847" s="7"/>
      <c r="AS847" s="7"/>
      <c r="AT847" s="7"/>
      <c r="AU847" s="3"/>
      <c r="AV847" s="3"/>
      <c r="AW847" s="3"/>
      <c r="AX847" s="3"/>
      <c r="AY847" s="3"/>
    </row>
    <row r="848" spans="1:51"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7"/>
      <c r="AK848" s="7"/>
      <c r="AL848" s="7"/>
      <c r="AM848" s="7"/>
      <c r="AN848" s="7"/>
      <c r="AO848" s="7"/>
      <c r="AP848" s="7"/>
      <c r="AQ848" s="7"/>
      <c r="AR848" s="7"/>
      <c r="AS848" s="7"/>
      <c r="AT848" s="7"/>
      <c r="AU848" s="3"/>
      <c r="AV848" s="3"/>
      <c r="AW848" s="3"/>
      <c r="AX848" s="3"/>
      <c r="AY848" s="3"/>
    </row>
    <row r="849" spans="1:51"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7"/>
      <c r="AK849" s="7"/>
      <c r="AL849" s="7"/>
      <c r="AM849" s="7"/>
      <c r="AN849" s="7"/>
      <c r="AO849" s="7"/>
      <c r="AP849" s="7"/>
      <c r="AQ849" s="7"/>
      <c r="AR849" s="7"/>
      <c r="AS849" s="7"/>
      <c r="AT849" s="7"/>
      <c r="AU849" s="3"/>
      <c r="AV849" s="3"/>
      <c r="AW849" s="3"/>
      <c r="AX849" s="3"/>
      <c r="AY849" s="3"/>
    </row>
    <row r="850" spans="1:51"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7"/>
      <c r="AK850" s="7"/>
      <c r="AL850" s="7"/>
      <c r="AM850" s="7"/>
      <c r="AN850" s="7"/>
      <c r="AO850" s="7"/>
      <c r="AP850" s="7"/>
      <c r="AQ850" s="7"/>
      <c r="AR850" s="7"/>
      <c r="AS850" s="7"/>
      <c r="AT850" s="7"/>
      <c r="AU850" s="3"/>
      <c r="AV850" s="3"/>
      <c r="AW850" s="3"/>
      <c r="AX850" s="3"/>
      <c r="AY850" s="3"/>
    </row>
    <row r="851" spans="1: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7"/>
      <c r="AK851" s="7"/>
      <c r="AL851" s="7"/>
      <c r="AM851" s="7"/>
      <c r="AN851" s="7"/>
      <c r="AO851" s="7"/>
      <c r="AP851" s="7"/>
      <c r="AQ851" s="7"/>
      <c r="AR851" s="7"/>
      <c r="AS851" s="7"/>
      <c r="AT851" s="7"/>
      <c r="AU851" s="3"/>
      <c r="AV851" s="3"/>
      <c r="AW851" s="3"/>
      <c r="AX851" s="3"/>
      <c r="AY851" s="3"/>
    </row>
    <row r="852" spans="1:51"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7"/>
      <c r="AK852" s="7"/>
      <c r="AL852" s="7"/>
      <c r="AM852" s="7"/>
      <c r="AN852" s="7"/>
      <c r="AO852" s="7"/>
      <c r="AP852" s="7"/>
      <c r="AQ852" s="7"/>
      <c r="AR852" s="7"/>
      <c r="AS852" s="7"/>
      <c r="AT852" s="7"/>
      <c r="AU852" s="3"/>
      <c r="AV852" s="3"/>
      <c r="AW852" s="3"/>
      <c r="AX852" s="3"/>
      <c r="AY852" s="3"/>
    </row>
    <row r="853" spans="1:51"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7"/>
      <c r="AK853" s="7"/>
      <c r="AL853" s="7"/>
      <c r="AM853" s="7"/>
      <c r="AN853" s="7"/>
      <c r="AO853" s="7"/>
      <c r="AP853" s="7"/>
      <c r="AQ853" s="7"/>
      <c r="AR853" s="7"/>
      <c r="AS853" s="7"/>
      <c r="AT853" s="7"/>
      <c r="AU853" s="3"/>
      <c r="AV853" s="3"/>
      <c r="AW853" s="3"/>
      <c r="AX853" s="3"/>
      <c r="AY853" s="3"/>
    </row>
    <row r="854" spans="1:51"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7"/>
      <c r="AK854" s="7"/>
      <c r="AL854" s="7"/>
      <c r="AM854" s="7"/>
      <c r="AN854" s="7"/>
      <c r="AO854" s="7"/>
      <c r="AP854" s="7"/>
      <c r="AQ854" s="7"/>
      <c r="AR854" s="7"/>
      <c r="AS854" s="7"/>
      <c r="AT854" s="7"/>
      <c r="AU854" s="3"/>
      <c r="AV854" s="3"/>
      <c r="AW854" s="3"/>
      <c r="AX854" s="3"/>
      <c r="AY854" s="3"/>
    </row>
    <row r="855" spans="1:51"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7"/>
      <c r="AK855" s="7"/>
      <c r="AL855" s="7"/>
      <c r="AM855" s="7"/>
      <c r="AN855" s="7"/>
      <c r="AO855" s="7"/>
      <c r="AP855" s="7"/>
      <c r="AQ855" s="7"/>
      <c r="AR855" s="7"/>
      <c r="AS855" s="7"/>
      <c r="AT855" s="7"/>
      <c r="AU855" s="3"/>
      <c r="AV855" s="3"/>
      <c r="AW855" s="3"/>
      <c r="AX855" s="3"/>
      <c r="AY855" s="3"/>
    </row>
    <row r="856" spans="1:51"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7"/>
      <c r="AK856" s="7"/>
      <c r="AL856" s="7"/>
      <c r="AM856" s="7"/>
      <c r="AN856" s="7"/>
      <c r="AO856" s="7"/>
      <c r="AP856" s="7"/>
      <c r="AQ856" s="7"/>
      <c r="AR856" s="7"/>
      <c r="AS856" s="7"/>
      <c r="AT856" s="7"/>
      <c r="AU856" s="3"/>
      <c r="AV856" s="3"/>
      <c r="AW856" s="3"/>
      <c r="AX856" s="3"/>
      <c r="AY856" s="3"/>
    </row>
    <row r="857" spans="1:51"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7"/>
      <c r="AK857" s="7"/>
      <c r="AL857" s="7"/>
      <c r="AM857" s="7"/>
      <c r="AN857" s="7"/>
      <c r="AO857" s="7"/>
      <c r="AP857" s="7"/>
      <c r="AQ857" s="7"/>
      <c r="AR857" s="7"/>
      <c r="AS857" s="7"/>
      <c r="AT857" s="7"/>
      <c r="AU857" s="3"/>
      <c r="AV857" s="3"/>
      <c r="AW857" s="3"/>
      <c r="AX857" s="3"/>
      <c r="AY857" s="3"/>
    </row>
    <row r="858" spans="1:51"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7"/>
      <c r="AK858" s="7"/>
      <c r="AL858" s="7"/>
      <c r="AM858" s="7"/>
      <c r="AN858" s="7"/>
      <c r="AO858" s="7"/>
      <c r="AP858" s="7"/>
      <c r="AQ858" s="7"/>
      <c r="AR858" s="7"/>
      <c r="AS858" s="7"/>
      <c r="AT858" s="7"/>
      <c r="AU858" s="3"/>
      <c r="AV858" s="3"/>
      <c r="AW858" s="3"/>
      <c r="AX858" s="3"/>
      <c r="AY858" s="3"/>
    </row>
    <row r="859" spans="1:51"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7"/>
      <c r="AK859" s="7"/>
      <c r="AL859" s="7"/>
      <c r="AM859" s="7"/>
      <c r="AN859" s="7"/>
      <c r="AO859" s="7"/>
      <c r="AP859" s="7"/>
      <c r="AQ859" s="7"/>
      <c r="AR859" s="7"/>
      <c r="AS859" s="7"/>
      <c r="AT859" s="7"/>
      <c r="AU859" s="3"/>
      <c r="AV859" s="3"/>
      <c r="AW859" s="3"/>
      <c r="AX859" s="3"/>
      <c r="AY859" s="3"/>
    </row>
    <row r="860" spans="1:51"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7"/>
      <c r="AK860" s="7"/>
      <c r="AL860" s="7"/>
      <c r="AM860" s="7"/>
      <c r="AN860" s="7"/>
      <c r="AO860" s="7"/>
      <c r="AP860" s="7"/>
      <c r="AQ860" s="7"/>
      <c r="AR860" s="7"/>
      <c r="AS860" s="7"/>
      <c r="AT860" s="7"/>
      <c r="AU860" s="3"/>
      <c r="AV860" s="3"/>
      <c r="AW860" s="3"/>
      <c r="AX860" s="3"/>
      <c r="AY860" s="3"/>
    </row>
    <row r="861" spans="1:5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7"/>
      <c r="AK861" s="7"/>
      <c r="AL861" s="7"/>
      <c r="AM861" s="7"/>
      <c r="AN861" s="7"/>
      <c r="AO861" s="7"/>
      <c r="AP861" s="7"/>
      <c r="AQ861" s="7"/>
      <c r="AR861" s="7"/>
      <c r="AS861" s="7"/>
      <c r="AT861" s="7"/>
      <c r="AU861" s="3"/>
      <c r="AV861" s="3"/>
      <c r="AW861" s="3"/>
      <c r="AX861" s="3"/>
      <c r="AY861" s="3"/>
    </row>
    <row r="862" spans="1:51"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7"/>
      <c r="AK862" s="7"/>
      <c r="AL862" s="7"/>
      <c r="AM862" s="7"/>
      <c r="AN862" s="7"/>
      <c r="AO862" s="7"/>
      <c r="AP862" s="7"/>
      <c r="AQ862" s="7"/>
      <c r="AR862" s="7"/>
      <c r="AS862" s="7"/>
      <c r="AT862" s="7"/>
      <c r="AU862" s="3"/>
      <c r="AV862" s="3"/>
      <c r="AW862" s="3"/>
      <c r="AX862" s="3"/>
      <c r="AY862" s="3"/>
    </row>
    <row r="863" spans="1:51"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7"/>
      <c r="AK863" s="7"/>
      <c r="AL863" s="7"/>
      <c r="AM863" s="7"/>
      <c r="AN863" s="7"/>
      <c r="AO863" s="7"/>
      <c r="AP863" s="7"/>
      <c r="AQ863" s="7"/>
      <c r="AR863" s="7"/>
      <c r="AS863" s="7"/>
      <c r="AT863" s="7"/>
      <c r="AU863" s="3"/>
      <c r="AV863" s="3"/>
      <c r="AW863" s="3"/>
      <c r="AX863" s="3"/>
      <c r="AY863" s="3"/>
    </row>
    <row r="864" spans="1:51"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7"/>
      <c r="AK864" s="7"/>
      <c r="AL864" s="7"/>
      <c r="AM864" s="7"/>
      <c r="AN864" s="7"/>
      <c r="AO864" s="7"/>
      <c r="AP864" s="7"/>
      <c r="AQ864" s="7"/>
      <c r="AR864" s="7"/>
      <c r="AS864" s="7"/>
      <c r="AT864" s="7"/>
      <c r="AU864" s="3"/>
      <c r="AV864" s="3"/>
      <c r="AW864" s="3"/>
      <c r="AX864" s="3"/>
      <c r="AY864" s="3"/>
    </row>
    <row r="865" spans="1:51"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7"/>
      <c r="AK865" s="7"/>
      <c r="AL865" s="7"/>
      <c r="AM865" s="7"/>
      <c r="AN865" s="7"/>
      <c r="AO865" s="7"/>
      <c r="AP865" s="7"/>
      <c r="AQ865" s="7"/>
      <c r="AR865" s="7"/>
      <c r="AS865" s="7"/>
      <c r="AT865" s="7"/>
      <c r="AU865" s="3"/>
      <c r="AV865" s="3"/>
      <c r="AW865" s="3"/>
      <c r="AX865" s="3"/>
      <c r="AY865" s="3"/>
    </row>
    <row r="866" spans="1:51"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7"/>
      <c r="AK866" s="7"/>
      <c r="AL866" s="7"/>
      <c r="AM866" s="7"/>
      <c r="AN866" s="7"/>
      <c r="AO866" s="7"/>
      <c r="AP866" s="7"/>
      <c r="AQ866" s="7"/>
      <c r="AR866" s="7"/>
      <c r="AS866" s="7"/>
      <c r="AT866" s="7"/>
      <c r="AU866" s="3"/>
      <c r="AV866" s="3"/>
      <c r="AW866" s="3"/>
      <c r="AX866" s="3"/>
      <c r="AY866" s="3"/>
    </row>
    <row r="867" spans="1:51"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7"/>
      <c r="AK867" s="7"/>
      <c r="AL867" s="7"/>
      <c r="AM867" s="7"/>
      <c r="AN867" s="7"/>
      <c r="AO867" s="7"/>
      <c r="AP867" s="7"/>
      <c r="AQ867" s="7"/>
      <c r="AR867" s="7"/>
      <c r="AS867" s="7"/>
      <c r="AT867" s="7"/>
      <c r="AU867" s="3"/>
      <c r="AV867" s="3"/>
      <c r="AW867" s="3"/>
      <c r="AX867" s="3"/>
      <c r="AY867" s="3"/>
    </row>
    <row r="868" spans="1:51"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7"/>
      <c r="AK868" s="7"/>
      <c r="AL868" s="7"/>
      <c r="AM868" s="7"/>
      <c r="AN868" s="7"/>
      <c r="AO868" s="7"/>
      <c r="AP868" s="7"/>
      <c r="AQ868" s="7"/>
      <c r="AR868" s="7"/>
      <c r="AS868" s="7"/>
      <c r="AT868" s="7"/>
      <c r="AU868" s="3"/>
      <c r="AV868" s="3"/>
      <c r="AW868" s="3"/>
      <c r="AX868" s="3"/>
      <c r="AY868" s="3"/>
    </row>
    <row r="869" spans="1:51"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7"/>
      <c r="AK869" s="7"/>
      <c r="AL869" s="7"/>
      <c r="AM869" s="7"/>
      <c r="AN869" s="7"/>
      <c r="AO869" s="7"/>
      <c r="AP869" s="7"/>
      <c r="AQ869" s="7"/>
      <c r="AR869" s="7"/>
      <c r="AS869" s="7"/>
      <c r="AT869" s="7"/>
      <c r="AU869" s="3"/>
      <c r="AV869" s="3"/>
      <c r="AW869" s="3"/>
      <c r="AX869" s="3"/>
      <c r="AY869" s="3"/>
    </row>
    <row r="870" spans="1:51"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7"/>
      <c r="AK870" s="7"/>
      <c r="AL870" s="7"/>
      <c r="AM870" s="7"/>
      <c r="AN870" s="7"/>
      <c r="AO870" s="7"/>
      <c r="AP870" s="7"/>
      <c r="AQ870" s="7"/>
      <c r="AR870" s="7"/>
      <c r="AS870" s="7"/>
      <c r="AT870" s="7"/>
      <c r="AU870" s="3"/>
      <c r="AV870" s="3"/>
      <c r="AW870" s="3"/>
      <c r="AX870" s="3"/>
      <c r="AY870" s="3"/>
    </row>
    <row r="871" spans="1:5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7"/>
      <c r="AK871" s="7"/>
      <c r="AL871" s="7"/>
      <c r="AM871" s="7"/>
      <c r="AN871" s="7"/>
      <c r="AO871" s="7"/>
      <c r="AP871" s="7"/>
      <c r="AQ871" s="7"/>
      <c r="AR871" s="7"/>
      <c r="AS871" s="7"/>
      <c r="AT871" s="7"/>
      <c r="AU871" s="3"/>
      <c r="AV871" s="3"/>
      <c r="AW871" s="3"/>
      <c r="AX871" s="3"/>
      <c r="AY871" s="3"/>
    </row>
    <row r="872" spans="1:51"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7"/>
      <c r="AK872" s="7"/>
      <c r="AL872" s="7"/>
      <c r="AM872" s="7"/>
      <c r="AN872" s="7"/>
      <c r="AO872" s="7"/>
      <c r="AP872" s="7"/>
      <c r="AQ872" s="7"/>
      <c r="AR872" s="7"/>
      <c r="AS872" s="7"/>
      <c r="AT872" s="7"/>
      <c r="AU872" s="3"/>
      <c r="AV872" s="3"/>
      <c r="AW872" s="3"/>
      <c r="AX872" s="3"/>
      <c r="AY872" s="3"/>
    </row>
    <row r="873" spans="1:51"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7"/>
      <c r="AK873" s="7"/>
      <c r="AL873" s="7"/>
      <c r="AM873" s="7"/>
      <c r="AN873" s="7"/>
      <c r="AO873" s="7"/>
      <c r="AP873" s="7"/>
      <c r="AQ873" s="7"/>
      <c r="AR873" s="7"/>
      <c r="AS873" s="7"/>
      <c r="AT873" s="7"/>
      <c r="AU873" s="3"/>
      <c r="AV873" s="3"/>
      <c r="AW873" s="3"/>
      <c r="AX873" s="3"/>
      <c r="AY873" s="3"/>
    </row>
    <row r="874" spans="1:51"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7"/>
      <c r="AK874" s="7"/>
      <c r="AL874" s="7"/>
      <c r="AM874" s="7"/>
      <c r="AN874" s="7"/>
      <c r="AO874" s="7"/>
      <c r="AP874" s="7"/>
      <c r="AQ874" s="7"/>
      <c r="AR874" s="7"/>
      <c r="AS874" s="7"/>
      <c r="AT874" s="7"/>
      <c r="AU874" s="3"/>
      <c r="AV874" s="3"/>
      <c r="AW874" s="3"/>
      <c r="AX874" s="3"/>
      <c r="AY874" s="3"/>
    </row>
    <row r="875" spans="1:51"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7"/>
      <c r="AK875" s="7"/>
      <c r="AL875" s="7"/>
      <c r="AM875" s="7"/>
      <c r="AN875" s="7"/>
      <c r="AO875" s="7"/>
      <c r="AP875" s="7"/>
      <c r="AQ875" s="7"/>
      <c r="AR875" s="7"/>
      <c r="AS875" s="7"/>
      <c r="AT875" s="7"/>
      <c r="AU875" s="3"/>
      <c r="AV875" s="3"/>
      <c r="AW875" s="3"/>
      <c r="AX875" s="3"/>
      <c r="AY875" s="3"/>
    </row>
    <row r="876" spans="1:51"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7"/>
      <c r="AK876" s="7"/>
      <c r="AL876" s="7"/>
      <c r="AM876" s="7"/>
      <c r="AN876" s="7"/>
      <c r="AO876" s="7"/>
      <c r="AP876" s="7"/>
      <c r="AQ876" s="7"/>
      <c r="AR876" s="7"/>
      <c r="AS876" s="7"/>
      <c r="AT876" s="7"/>
      <c r="AU876" s="3"/>
      <c r="AV876" s="3"/>
      <c r="AW876" s="3"/>
      <c r="AX876" s="3"/>
      <c r="AY876" s="3"/>
    </row>
    <row r="877" spans="1:51"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7"/>
      <c r="AK877" s="7"/>
      <c r="AL877" s="7"/>
      <c r="AM877" s="7"/>
      <c r="AN877" s="7"/>
      <c r="AO877" s="7"/>
      <c r="AP877" s="7"/>
      <c r="AQ877" s="7"/>
      <c r="AR877" s="7"/>
      <c r="AS877" s="7"/>
      <c r="AT877" s="7"/>
      <c r="AU877" s="3"/>
      <c r="AV877" s="3"/>
      <c r="AW877" s="3"/>
      <c r="AX877" s="3"/>
      <c r="AY877" s="3"/>
    </row>
    <row r="878" spans="1:51"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7"/>
      <c r="AK878" s="7"/>
      <c r="AL878" s="7"/>
      <c r="AM878" s="7"/>
      <c r="AN878" s="7"/>
      <c r="AO878" s="7"/>
      <c r="AP878" s="7"/>
      <c r="AQ878" s="7"/>
      <c r="AR878" s="7"/>
      <c r="AS878" s="7"/>
      <c r="AT878" s="7"/>
      <c r="AU878" s="3"/>
      <c r="AV878" s="3"/>
      <c r="AW878" s="3"/>
      <c r="AX878" s="3"/>
      <c r="AY878" s="3"/>
    </row>
    <row r="879" spans="1:51"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7"/>
      <c r="AK879" s="7"/>
      <c r="AL879" s="7"/>
      <c r="AM879" s="7"/>
      <c r="AN879" s="7"/>
      <c r="AO879" s="7"/>
      <c r="AP879" s="7"/>
      <c r="AQ879" s="7"/>
      <c r="AR879" s="7"/>
      <c r="AS879" s="7"/>
      <c r="AT879" s="7"/>
      <c r="AU879" s="3"/>
      <c r="AV879" s="3"/>
      <c r="AW879" s="3"/>
      <c r="AX879" s="3"/>
      <c r="AY879" s="3"/>
    </row>
    <row r="880" spans="1:51"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7"/>
      <c r="AK880" s="7"/>
      <c r="AL880" s="7"/>
      <c r="AM880" s="7"/>
      <c r="AN880" s="7"/>
      <c r="AO880" s="7"/>
      <c r="AP880" s="7"/>
      <c r="AQ880" s="7"/>
      <c r="AR880" s="7"/>
      <c r="AS880" s="7"/>
      <c r="AT880" s="7"/>
      <c r="AU880" s="3"/>
      <c r="AV880" s="3"/>
      <c r="AW880" s="3"/>
      <c r="AX880" s="3"/>
      <c r="AY880" s="3"/>
    </row>
    <row r="881" spans="1:5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7"/>
      <c r="AK881" s="7"/>
      <c r="AL881" s="7"/>
      <c r="AM881" s="7"/>
      <c r="AN881" s="7"/>
      <c r="AO881" s="7"/>
      <c r="AP881" s="7"/>
      <c r="AQ881" s="7"/>
      <c r="AR881" s="7"/>
      <c r="AS881" s="7"/>
      <c r="AT881" s="7"/>
      <c r="AU881" s="3"/>
      <c r="AV881" s="3"/>
      <c r="AW881" s="3"/>
      <c r="AX881" s="3"/>
      <c r="AY881" s="3"/>
    </row>
    <row r="882" spans="1:51"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7"/>
      <c r="AK882" s="7"/>
      <c r="AL882" s="7"/>
      <c r="AM882" s="7"/>
      <c r="AN882" s="7"/>
      <c r="AO882" s="7"/>
      <c r="AP882" s="7"/>
      <c r="AQ882" s="7"/>
      <c r="AR882" s="7"/>
      <c r="AS882" s="7"/>
      <c r="AT882" s="7"/>
      <c r="AU882" s="3"/>
      <c r="AV882" s="3"/>
      <c r="AW882" s="3"/>
      <c r="AX882" s="3"/>
      <c r="AY882" s="3"/>
    </row>
    <row r="883" spans="1:51"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7"/>
      <c r="AK883" s="7"/>
      <c r="AL883" s="7"/>
      <c r="AM883" s="7"/>
      <c r="AN883" s="7"/>
      <c r="AO883" s="7"/>
      <c r="AP883" s="7"/>
      <c r="AQ883" s="7"/>
      <c r="AR883" s="7"/>
      <c r="AS883" s="7"/>
      <c r="AT883" s="7"/>
      <c r="AU883" s="3"/>
      <c r="AV883" s="3"/>
      <c r="AW883" s="3"/>
      <c r="AX883" s="3"/>
      <c r="AY883" s="3"/>
    </row>
    <row r="884" spans="1:51"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7"/>
      <c r="AK884" s="7"/>
      <c r="AL884" s="7"/>
      <c r="AM884" s="7"/>
      <c r="AN884" s="7"/>
      <c r="AO884" s="7"/>
      <c r="AP884" s="7"/>
      <c r="AQ884" s="7"/>
      <c r="AR884" s="7"/>
      <c r="AS884" s="7"/>
      <c r="AT884" s="7"/>
      <c r="AU884" s="3"/>
      <c r="AV884" s="3"/>
      <c r="AW884" s="3"/>
      <c r="AX884" s="3"/>
      <c r="AY884" s="3"/>
    </row>
    <row r="885" spans="1:51"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7"/>
      <c r="AK885" s="7"/>
      <c r="AL885" s="7"/>
      <c r="AM885" s="7"/>
      <c r="AN885" s="7"/>
      <c r="AO885" s="7"/>
      <c r="AP885" s="7"/>
      <c r="AQ885" s="7"/>
      <c r="AR885" s="7"/>
      <c r="AS885" s="7"/>
      <c r="AT885" s="7"/>
      <c r="AU885" s="3"/>
      <c r="AV885" s="3"/>
      <c r="AW885" s="3"/>
      <c r="AX885" s="3"/>
      <c r="AY885" s="3"/>
    </row>
    <row r="886" spans="1:51"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7"/>
      <c r="AK886" s="7"/>
      <c r="AL886" s="7"/>
      <c r="AM886" s="7"/>
      <c r="AN886" s="7"/>
      <c r="AO886" s="7"/>
      <c r="AP886" s="7"/>
      <c r="AQ886" s="7"/>
      <c r="AR886" s="7"/>
      <c r="AS886" s="7"/>
      <c r="AT886" s="7"/>
      <c r="AU886" s="3"/>
      <c r="AV886" s="3"/>
      <c r="AW886" s="3"/>
      <c r="AX886" s="3"/>
      <c r="AY886" s="3"/>
    </row>
    <row r="887" spans="1:51"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7"/>
      <c r="AK887" s="7"/>
      <c r="AL887" s="7"/>
      <c r="AM887" s="7"/>
      <c r="AN887" s="7"/>
      <c r="AO887" s="7"/>
      <c r="AP887" s="7"/>
      <c r="AQ887" s="7"/>
      <c r="AR887" s="7"/>
      <c r="AS887" s="7"/>
      <c r="AT887" s="7"/>
      <c r="AU887" s="3"/>
      <c r="AV887" s="3"/>
      <c r="AW887" s="3"/>
      <c r="AX887" s="3"/>
      <c r="AY887" s="3"/>
    </row>
    <row r="888" spans="1:51"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7"/>
      <c r="AK888" s="7"/>
      <c r="AL888" s="7"/>
      <c r="AM888" s="7"/>
      <c r="AN888" s="7"/>
      <c r="AO888" s="7"/>
      <c r="AP888" s="7"/>
      <c r="AQ888" s="7"/>
      <c r="AR888" s="7"/>
      <c r="AS888" s="7"/>
      <c r="AT888" s="7"/>
      <c r="AU888" s="3"/>
      <c r="AV888" s="3"/>
      <c r="AW888" s="3"/>
      <c r="AX888" s="3"/>
      <c r="AY888" s="3"/>
    </row>
    <row r="889" spans="1:51"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7"/>
      <c r="AK889" s="7"/>
      <c r="AL889" s="7"/>
      <c r="AM889" s="7"/>
      <c r="AN889" s="7"/>
      <c r="AO889" s="7"/>
      <c r="AP889" s="7"/>
      <c r="AQ889" s="7"/>
      <c r="AR889" s="7"/>
      <c r="AS889" s="7"/>
      <c r="AT889" s="7"/>
      <c r="AU889" s="3"/>
      <c r="AV889" s="3"/>
      <c r="AW889" s="3"/>
      <c r="AX889" s="3"/>
      <c r="AY889" s="3"/>
    </row>
    <row r="890" spans="1:51"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7"/>
      <c r="AK890" s="7"/>
      <c r="AL890" s="7"/>
      <c r="AM890" s="7"/>
      <c r="AN890" s="7"/>
      <c r="AO890" s="7"/>
      <c r="AP890" s="7"/>
      <c r="AQ890" s="7"/>
      <c r="AR890" s="7"/>
      <c r="AS890" s="7"/>
      <c r="AT890" s="7"/>
      <c r="AU890" s="3"/>
      <c r="AV890" s="3"/>
      <c r="AW890" s="3"/>
      <c r="AX890" s="3"/>
      <c r="AY890" s="3"/>
    </row>
    <row r="891" spans="1:5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7"/>
      <c r="AK891" s="7"/>
      <c r="AL891" s="7"/>
      <c r="AM891" s="7"/>
      <c r="AN891" s="7"/>
      <c r="AO891" s="7"/>
      <c r="AP891" s="7"/>
      <c r="AQ891" s="7"/>
      <c r="AR891" s="7"/>
      <c r="AS891" s="7"/>
      <c r="AT891" s="7"/>
      <c r="AU891" s="3"/>
      <c r="AV891" s="3"/>
      <c r="AW891" s="3"/>
      <c r="AX891" s="3"/>
      <c r="AY891" s="3"/>
    </row>
    <row r="892" spans="1:51"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7"/>
      <c r="AK892" s="7"/>
      <c r="AL892" s="7"/>
      <c r="AM892" s="7"/>
      <c r="AN892" s="7"/>
      <c r="AO892" s="7"/>
      <c r="AP892" s="7"/>
      <c r="AQ892" s="7"/>
      <c r="AR892" s="7"/>
      <c r="AS892" s="7"/>
      <c r="AT892" s="7"/>
      <c r="AU892" s="3"/>
      <c r="AV892" s="3"/>
      <c r="AW892" s="3"/>
      <c r="AX892" s="3"/>
      <c r="AY892" s="3"/>
    </row>
    <row r="893" spans="1:51"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7"/>
      <c r="AK893" s="7"/>
      <c r="AL893" s="7"/>
      <c r="AM893" s="7"/>
      <c r="AN893" s="7"/>
      <c r="AO893" s="7"/>
      <c r="AP893" s="7"/>
      <c r="AQ893" s="7"/>
      <c r="AR893" s="7"/>
      <c r="AS893" s="7"/>
      <c r="AT893" s="7"/>
      <c r="AU893" s="3"/>
      <c r="AV893" s="3"/>
      <c r="AW893" s="3"/>
      <c r="AX893" s="3"/>
      <c r="AY893" s="3"/>
    </row>
    <row r="894" spans="1:51"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7"/>
      <c r="AK894" s="7"/>
      <c r="AL894" s="7"/>
      <c r="AM894" s="7"/>
      <c r="AN894" s="7"/>
      <c r="AO894" s="7"/>
      <c r="AP894" s="7"/>
      <c r="AQ894" s="7"/>
      <c r="AR894" s="7"/>
      <c r="AS894" s="7"/>
      <c r="AT894" s="7"/>
      <c r="AU894" s="3"/>
      <c r="AV894" s="3"/>
      <c r="AW894" s="3"/>
      <c r="AX894" s="3"/>
      <c r="AY894" s="3"/>
    </row>
    <row r="895" spans="1:51"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7"/>
      <c r="AK895" s="7"/>
      <c r="AL895" s="7"/>
      <c r="AM895" s="7"/>
      <c r="AN895" s="7"/>
      <c r="AO895" s="7"/>
      <c r="AP895" s="7"/>
      <c r="AQ895" s="7"/>
      <c r="AR895" s="7"/>
      <c r="AS895" s="7"/>
      <c r="AT895" s="7"/>
      <c r="AU895" s="3"/>
      <c r="AV895" s="3"/>
      <c r="AW895" s="3"/>
      <c r="AX895" s="3"/>
      <c r="AY895" s="3"/>
    </row>
    <row r="896" spans="1:51"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7"/>
      <c r="AK896" s="7"/>
      <c r="AL896" s="7"/>
      <c r="AM896" s="7"/>
      <c r="AN896" s="7"/>
      <c r="AO896" s="7"/>
      <c r="AP896" s="7"/>
      <c r="AQ896" s="7"/>
      <c r="AR896" s="7"/>
      <c r="AS896" s="7"/>
      <c r="AT896" s="7"/>
      <c r="AU896" s="3"/>
      <c r="AV896" s="3"/>
      <c r="AW896" s="3"/>
      <c r="AX896" s="3"/>
      <c r="AY896" s="3"/>
    </row>
    <row r="897" spans="1:51"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7"/>
      <c r="AK897" s="7"/>
      <c r="AL897" s="7"/>
      <c r="AM897" s="7"/>
      <c r="AN897" s="7"/>
      <c r="AO897" s="7"/>
      <c r="AP897" s="7"/>
      <c r="AQ897" s="7"/>
      <c r="AR897" s="7"/>
      <c r="AS897" s="7"/>
      <c r="AT897" s="7"/>
      <c r="AU897" s="3"/>
      <c r="AV897" s="3"/>
      <c r="AW897" s="3"/>
      <c r="AX897" s="3"/>
      <c r="AY897" s="3"/>
    </row>
    <row r="898" spans="1:51"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7"/>
      <c r="AK898" s="7"/>
      <c r="AL898" s="7"/>
      <c r="AM898" s="7"/>
      <c r="AN898" s="7"/>
      <c r="AO898" s="7"/>
      <c r="AP898" s="7"/>
      <c r="AQ898" s="7"/>
      <c r="AR898" s="7"/>
      <c r="AS898" s="7"/>
      <c r="AT898" s="7"/>
      <c r="AU898" s="3"/>
      <c r="AV898" s="3"/>
      <c r="AW898" s="3"/>
      <c r="AX898" s="3"/>
      <c r="AY898" s="3"/>
    </row>
    <row r="899" spans="1:51"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7"/>
      <c r="AK899" s="7"/>
      <c r="AL899" s="7"/>
      <c r="AM899" s="7"/>
      <c r="AN899" s="7"/>
      <c r="AO899" s="7"/>
      <c r="AP899" s="7"/>
      <c r="AQ899" s="7"/>
      <c r="AR899" s="7"/>
      <c r="AS899" s="7"/>
      <c r="AT899" s="7"/>
      <c r="AU899" s="3"/>
      <c r="AV899" s="3"/>
      <c r="AW899" s="3"/>
      <c r="AX899" s="3"/>
      <c r="AY899" s="3"/>
    </row>
    <row r="900" spans="1:51"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7"/>
      <c r="AK900" s="7"/>
      <c r="AL900" s="7"/>
      <c r="AM900" s="7"/>
      <c r="AN900" s="7"/>
      <c r="AO900" s="7"/>
      <c r="AP900" s="7"/>
      <c r="AQ900" s="7"/>
      <c r="AR900" s="7"/>
      <c r="AS900" s="7"/>
      <c r="AT900" s="7"/>
      <c r="AU900" s="3"/>
      <c r="AV900" s="3"/>
      <c r="AW900" s="3"/>
      <c r="AX900" s="3"/>
      <c r="AY900" s="3"/>
    </row>
    <row r="901" spans="1:5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7"/>
      <c r="AK901" s="7"/>
      <c r="AL901" s="7"/>
      <c r="AM901" s="7"/>
      <c r="AN901" s="7"/>
      <c r="AO901" s="7"/>
      <c r="AP901" s="7"/>
      <c r="AQ901" s="7"/>
      <c r="AR901" s="7"/>
      <c r="AS901" s="7"/>
      <c r="AT901" s="7"/>
      <c r="AU901" s="3"/>
      <c r="AV901" s="3"/>
      <c r="AW901" s="3"/>
      <c r="AX901" s="3"/>
      <c r="AY901" s="3"/>
    </row>
    <row r="902" spans="1:51"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7"/>
      <c r="AK902" s="7"/>
      <c r="AL902" s="7"/>
      <c r="AM902" s="7"/>
      <c r="AN902" s="7"/>
      <c r="AO902" s="7"/>
      <c r="AP902" s="7"/>
      <c r="AQ902" s="7"/>
      <c r="AR902" s="7"/>
      <c r="AS902" s="7"/>
      <c r="AT902" s="7"/>
      <c r="AU902" s="3"/>
      <c r="AV902" s="3"/>
      <c r="AW902" s="3"/>
      <c r="AX902" s="3"/>
      <c r="AY902" s="3"/>
    </row>
    <row r="903" spans="1:51"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7"/>
      <c r="AK903" s="7"/>
      <c r="AL903" s="7"/>
      <c r="AM903" s="7"/>
      <c r="AN903" s="7"/>
      <c r="AO903" s="7"/>
      <c r="AP903" s="7"/>
      <c r="AQ903" s="7"/>
      <c r="AR903" s="7"/>
      <c r="AS903" s="7"/>
      <c r="AT903" s="7"/>
      <c r="AU903" s="3"/>
      <c r="AV903" s="3"/>
      <c r="AW903" s="3"/>
      <c r="AX903" s="3"/>
      <c r="AY903" s="3"/>
    </row>
    <row r="904" spans="1:51"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7"/>
      <c r="AK904" s="7"/>
      <c r="AL904" s="7"/>
      <c r="AM904" s="7"/>
      <c r="AN904" s="7"/>
      <c r="AO904" s="7"/>
      <c r="AP904" s="7"/>
      <c r="AQ904" s="7"/>
      <c r="AR904" s="7"/>
      <c r="AS904" s="7"/>
      <c r="AT904" s="7"/>
      <c r="AU904" s="3"/>
      <c r="AV904" s="3"/>
      <c r="AW904" s="3"/>
      <c r="AX904" s="3"/>
      <c r="AY904" s="3"/>
    </row>
    <row r="905" spans="1:51"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7"/>
      <c r="AK905" s="7"/>
      <c r="AL905" s="7"/>
      <c r="AM905" s="7"/>
      <c r="AN905" s="7"/>
      <c r="AO905" s="7"/>
      <c r="AP905" s="7"/>
      <c r="AQ905" s="7"/>
      <c r="AR905" s="7"/>
      <c r="AS905" s="7"/>
      <c r="AT905" s="7"/>
      <c r="AU905" s="3"/>
      <c r="AV905" s="3"/>
      <c r="AW905" s="3"/>
      <c r="AX905" s="3"/>
      <c r="AY905" s="3"/>
    </row>
    <row r="906" spans="1:51"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7"/>
      <c r="AK906" s="7"/>
      <c r="AL906" s="7"/>
      <c r="AM906" s="7"/>
      <c r="AN906" s="7"/>
      <c r="AO906" s="7"/>
      <c r="AP906" s="7"/>
      <c r="AQ906" s="7"/>
      <c r="AR906" s="7"/>
      <c r="AS906" s="7"/>
      <c r="AT906" s="7"/>
      <c r="AU906" s="3"/>
      <c r="AV906" s="3"/>
      <c r="AW906" s="3"/>
      <c r="AX906" s="3"/>
      <c r="AY906" s="3"/>
    </row>
    <row r="907" spans="1:51"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7"/>
      <c r="AK907" s="7"/>
      <c r="AL907" s="7"/>
      <c r="AM907" s="7"/>
      <c r="AN907" s="7"/>
      <c r="AO907" s="7"/>
      <c r="AP907" s="7"/>
      <c r="AQ907" s="7"/>
      <c r="AR907" s="7"/>
      <c r="AS907" s="7"/>
      <c r="AT907" s="7"/>
      <c r="AU907" s="3"/>
      <c r="AV907" s="3"/>
      <c r="AW907" s="3"/>
      <c r="AX907" s="3"/>
      <c r="AY907" s="3"/>
    </row>
    <row r="908" spans="1:51"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7"/>
      <c r="AK908" s="7"/>
      <c r="AL908" s="7"/>
      <c r="AM908" s="7"/>
      <c r="AN908" s="7"/>
      <c r="AO908" s="7"/>
      <c r="AP908" s="7"/>
      <c r="AQ908" s="7"/>
      <c r="AR908" s="7"/>
      <c r="AS908" s="7"/>
      <c r="AT908" s="7"/>
      <c r="AU908" s="3"/>
      <c r="AV908" s="3"/>
      <c r="AW908" s="3"/>
      <c r="AX908" s="3"/>
      <c r="AY908" s="3"/>
    </row>
    <row r="909" spans="1:51"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7"/>
      <c r="AK909" s="7"/>
      <c r="AL909" s="7"/>
      <c r="AM909" s="7"/>
      <c r="AN909" s="7"/>
      <c r="AO909" s="7"/>
      <c r="AP909" s="7"/>
      <c r="AQ909" s="7"/>
      <c r="AR909" s="7"/>
      <c r="AS909" s="7"/>
      <c r="AT909" s="7"/>
      <c r="AU909" s="3"/>
      <c r="AV909" s="3"/>
      <c r="AW909" s="3"/>
      <c r="AX909" s="3"/>
      <c r="AY909" s="3"/>
    </row>
    <row r="910" spans="1:51"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7"/>
      <c r="AK910" s="7"/>
      <c r="AL910" s="7"/>
      <c r="AM910" s="7"/>
      <c r="AN910" s="7"/>
      <c r="AO910" s="7"/>
      <c r="AP910" s="7"/>
      <c r="AQ910" s="7"/>
      <c r="AR910" s="7"/>
      <c r="AS910" s="7"/>
      <c r="AT910" s="7"/>
      <c r="AU910" s="3"/>
      <c r="AV910" s="3"/>
      <c r="AW910" s="3"/>
      <c r="AX910" s="3"/>
      <c r="AY910" s="3"/>
    </row>
    <row r="911" spans="1:5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7"/>
      <c r="AK911" s="7"/>
      <c r="AL911" s="7"/>
      <c r="AM911" s="7"/>
      <c r="AN911" s="7"/>
      <c r="AO911" s="7"/>
      <c r="AP911" s="7"/>
      <c r="AQ911" s="7"/>
      <c r="AR911" s="7"/>
      <c r="AS911" s="7"/>
      <c r="AT911" s="7"/>
      <c r="AU911" s="3"/>
      <c r="AV911" s="3"/>
      <c r="AW911" s="3"/>
      <c r="AX911" s="3"/>
      <c r="AY911" s="3"/>
    </row>
    <row r="912" spans="1:51"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7"/>
      <c r="AK912" s="7"/>
      <c r="AL912" s="7"/>
      <c r="AM912" s="7"/>
      <c r="AN912" s="7"/>
      <c r="AO912" s="7"/>
      <c r="AP912" s="7"/>
      <c r="AQ912" s="7"/>
      <c r="AR912" s="7"/>
      <c r="AS912" s="7"/>
      <c r="AT912" s="7"/>
      <c r="AU912" s="3"/>
      <c r="AV912" s="3"/>
      <c r="AW912" s="3"/>
      <c r="AX912" s="3"/>
      <c r="AY912" s="3"/>
    </row>
    <row r="913" spans="1:51"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7"/>
      <c r="AK913" s="7"/>
      <c r="AL913" s="7"/>
      <c r="AM913" s="7"/>
      <c r="AN913" s="7"/>
      <c r="AO913" s="7"/>
      <c r="AP913" s="7"/>
      <c r="AQ913" s="7"/>
      <c r="AR913" s="7"/>
      <c r="AS913" s="7"/>
      <c r="AT913" s="7"/>
      <c r="AU913" s="3"/>
      <c r="AV913" s="3"/>
      <c r="AW913" s="3"/>
      <c r="AX913" s="3"/>
      <c r="AY913" s="3"/>
    </row>
    <row r="914" spans="1:51"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7"/>
      <c r="AK914" s="7"/>
      <c r="AL914" s="7"/>
      <c r="AM914" s="7"/>
      <c r="AN914" s="7"/>
      <c r="AO914" s="7"/>
      <c r="AP914" s="7"/>
      <c r="AQ914" s="7"/>
      <c r="AR914" s="7"/>
      <c r="AS914" s="7"/>
      <c r="AT914" s="7"/>
      <c r="AU914" s="3"/>
      <c r="AV914" s="3"/>
      <c r="AW914" s="3"/>
      <c r="AX914" s="3"/>
      <c r="AY914" s="3"/>
    </row>
    <row r="915" spans="1:51"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7"/>
      <c r="AK915" s="7"/>
      <c r="AL915" s="7"/>
      <c r="AM915" s="7"/>
      <c r="AN915" s="7"/>
      <c r="AO915" s="7"/>
      <c r="AP915" s="7"/>
      <c r="AQ915" s="7"/>
      <c r="AR915" s="7"/>
      <c r="AS915" s="7"/>
      <c r="AT915" s="7"/>
      <c r="AU915" s="3"/>
      <c r="AV915" s="3"/>
      <c r="AW915" s="3"/>
      <c r="AX915" s="3"/>
      <c r="AY915" s="3"/>
    </row>
    <row r="916" spans="1:51"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7"/>
      <c r="AK916" s="7"/>
      <c r="AL916" s="7"/>
      <c r="AM916" s="7"/>
      <c r="AN916" s="7"/>
      <c r="AO916" s="7"/>
      <c r="AP916" s="7"/>
      <c r="AQ916" s="7"/>
      <c r="AR916" s="7"/>
      <c r="AS916" s="7"/>
      <c r="AT916" s="7"/>
      <c r="AU916" s="3"/>
      <c r="AV916" s="3"/>
      <c r="AW916" s="3"/>
      <c r="AX916" s="3"/>
      <c r="AY916" s="3"/>
    </row>
    <row r="917" spans="1:51"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7"/>
      <c r="AK917" s="7"/>
      <c r="AL917" s="7"/>
      <c r="AM917" s="7"/>
      <c r="AN917" s="7"/>
      <c r="AO917" s="7"/>
      <c r="AP917" s="7"/>
      <c r="AQ917" s="7"/>
      <c r="AR917" s="7"/>
      <c r="AS917" s="7"/>
      <c r="AT917" s="7"/>
      <c r="AU917" s="3"/>
      <c r="AV917" s="3"/>
      <c r="AW917" s="3"/>
      <c r="AX917" s="3"/>
      <c r="AY917" s="3"/>
    </row>
    <row r="918" spans="1:51"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7"/>
      <c r="AK918" s="7"/>
      <c r="AL918" s="7"/>
      <c r="AM918" s="7"/>
      <c r="AN918" s="7"/>
      <c r="AO918" s="7"/>
      <c r="AP918" s="7"/>
      <c r="AQ918" s="7"/>
      <c r="AR918" s="7"/>
      <c r="AS918" s="7"/>
      <c r="AT918" s="7"/>
      <c r="AU918" s="3"/>
      <c r="AV918" s="3"/>
      <c r="AW918" s="3"/>
      <c r="AX918" s="3"/>
      <c r="AY918" s="3"/>
    </row>
    <row r="919" spans="1:51"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7"/>
      <c r="AK919" s="7"/>
      <c r="AL919" s="7"/>
      <c r="AM919" s="7"/>
      <c r="AN919" s="7"/>
      <c r="AO919" s="7"/>
      <c r="AP919" s="7"/>
      <c r="AQ919" s="7"/>
      <c r="AR919" s="7"/>
      <c r="AS919" s="7"/>
      <c r="AT919" s="7"/>
      <c r="AU919" s="3"/>
      <c r="AV919" s="3"/>
      <c r="AW919" s="3"/>
      <c r="AX919" s="3"/>
      <c r="AY919" s="3"/>
    </row>
    <row r="920" spans="1:51"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7"/>
      <c r="AK920" s="7"/>
      <c r="AL920" s="7"/>
      <c r="AM920" s="7"/>
      <c r="AN920" s="7"/>
      <c r="AO920" s="7"/>
      <c r="AP920" s="7"/>
      <c r="AQ920" s="7"/>
      <c r="AR920" s="7"/>
      <c r="AS920" s="7"/>
      <c r="AT920" s="7"/>
      <c r="AU920" s="3"/>
      <c r="AV920" s="3"/>
      <c r="AW920" s="3"/>
      <c r="AX920" s="3"/>
      <c r="AY920" s="3"/>
    </row>
    <row r="921" spans="1:5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7"/>
      <c r="AK921" s="7"/>
      <c r="AL921" s="7"/>
      <c r="AM921" s="7"/>
      <c r="AN921" s="7"/>
      <c r="AO921" s="7"/>
      <c r="AP921" s="7"/>
      <c r="AQ921" s="7"/>
      <c r="AR921" s="7"/>
      <c r="AS921" s="7"/>
      <c r="AT921" s="7"/>
      <c r="AU921" s="3"/>
      <c r="AV921" s="3"/>
      <c r="AW921" s="3"/>
      <c r="AX921" s="3"/>
      <c r="AY921" s="3"/>
    </row>
    <row r="922" spans="1:51"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7"/>
      <c r="AK922" s="7"/>
      <c r="AL922" s="7"/>
      <c r="AM922" s="7"/>
      <c r="AN922" s="7"/>
      <c r="AO922" s="7"/>
      <c r="AP922" s="7"/>
      <c r="AQ922" s="7"/>
      <c r="AR922" s="7"/>
      <c r="AS922" s="7"/>
      <c r="AT922" s="7"/>
      <c r="AU922" s="3"/>
      <c r="AV922" s="3"/>
      <c r="AW922" s="3"/>
      <c r="AX922" s="3"/>
      <c r="AY922" s="3"/>
    </row>
    <row r="923" spans="1:51"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7"/>
      <c r="AK923" s="7"/>
      <c r="AL923" s="7"/>
      <c r="AM923" s="7"/>
      <c r="AN923" s="7"/>
      <c r="AO923" s="7"/>
      <c r="AP923" s="7"/>
      <c r="AQ923" s="7"/>
      <c r="AR923" s="7"/>
      <c r="AS923" s="7"/>
      <c r="AT923" s="7"/>
      <c r="AU923" s="3"/>
      <c r="AV923" s="3"/>
      <c r="AW923" s="3"/>
      <c r="AX923" s="3"/>
      <c r="AY923" s="3"/>
    </row>
    <row r="924" spans="1:51"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7"/>
      <c r="AK924" s="7"/>
      <c r="AL924" s="7"/>
      <c r="AM924" s="7"/>
      <c r="AN924" s="7"/>
      <c r="AO924" s="7"/>
      <c r="AP924" s="7"/>
      <c r="AQ924" s="7"/>
      <c r="AR924" s="7"/>
      <c r="AS924" s="7"/>
      <c r="AT924" s="7"/>
      <c r="AU924" s="3"/>
      <c r="AV924" s="3"/>
      <c r="AW924" s="3"/>
      <c r="AX924" s="3"/>
      <c r="AY924" s="3"/>
    </row>
    <row r="925" spans="1:51"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7"/>
      <c r="AK925" s="7"/>
      <c r="AL925" s="7"/>
      <c r="AM925" s="7"/>
      <c r="AN925" s="7"/>
      <c r="AO925" s="7"/>
      <c r="AP925" s="7"/>
      <c r="AQ925" s="7"/>
      <c r="AR925" s="7"/>
      <c r="AS925" s="7"/>
      <c r="AT925" s="7"/>
      <c r="AU925" s="3"/>
      <c r="AV925" s="3"/>
      <c r="AW925" s="3"/>
      <c r="AX925" s="3"/>
      <c r="AY925" s="3"/>
    </row>
    <row r="926" spans="1:51"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7"/>
      <c r="AK926" s="7"/>
      <c r="AL926" s="7"/>
      <c r="AM926" s="7"/>
      <c r="AN926" s="7"/>
      <c r="AO926" s="7"/>
      <c r="AP926" s="7"/>
      <c r="AQ926" s="7"/>
      <c r="AR926" s="7"/>
      <c r="AS926" s="7"/>
      <c r="AT926" s="7"/>
      <c r="AU926" s="3"/>
      <c r="AV926" s="3"/>
      <c r="AW926" s="3"/>
      <c r="AX926" s="3"/>
      <c r="AY926" s="3"/>
    </row>
    <row r="927" spans="1:51"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7"/>
      <c r="AK927" s="7"/>
      <c r="AL927" s="7"/>
      <c r="AM927" s="7"/>
      <c r="AN927" s="7"/>
      <c r="AO927" s="7"/>
      <c r="AP927" s="7"/>
      <c r="AQ927" s="7"/>
      <c r="AR927" s="7"/>
      <c r="AS927" s="7"/>
      <c r="AT927" s="7"/>
      <c r="AU927" s="3"/>
      <c r="AV927" s="3"/>
      <c r="AW927" s="3"/>
      <c r="AX927" s="3"/>
      <c r="AY927" s="3"/>
    </row>
    <row r="928" spans="1:51"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7"/>
      <c r="AK928" s="7"/>
      <c r="AL928" s="7"/>
      <c r="AM928" s="7"/>
      <c r="AN928" s="7"/>
      <c r="AO928" s="7"/>
      <c r="AP928" s="7"/>
      <c r="AQ928" s="7"/>
      <c r="AR928" s="7"/>
      <c r="AS928" s="7"/>
      <c r="AT928" s="7"/>
      <c r="AU928" s="3"/>
      <c r="AV928" s="3"/>
      <c r="AW928" s="3"/>
      <c r="AX928" s="3"/>
      <c r="AY928" s="3"/>
    </row>
    <row r="929" spans="1:51"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7"/>
      <c r="AK929" s="7"/>
      <c r="AL929" s="7"/>
      <c r="AM929" s="7"/>
      <c r="AN929" s="7"/>
      <c r="AO929" s="7"/>
      <c r="AP929" s="7"/>
      <c r="AQ929" s="7"/>
      <c r="AR929" s="7"/>
      <c r="AS929" s="7"/>
      <c r="AT929" s="7"/>
      <c r="AU929" s="3"/>
      <c r="AV929" s="3"/>
      <c r="AW929" s="3"/>
      <c r="AX929" s="3"/>
      <c r="AY929" s="3"/>
    </row>
    <row r="930" spans="1:51"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7"/>
      <c r="AK930" s="7"/>
      <c r="AL930" s="7"/>
      <c r="AM930" s="7"/>
      <c r="AN930" s="7"/>
      <c r="AO930" s="7"/>
      <c r="AP930" s="7"/>
      <c r="AQ930" s="7"/>
      <c r="AR930" s="7"/>
      <c r="AS930" s="7"/>
      <c r="AT930" s="7"/>
      <c r="AU930" s="3"/>
      <c r="AV930" s="3"/>
      <c r="AW930" s="3"/>
      <c r="AX930" s="3"/>
      <c r="AY930" s="3"/>
    </row>
    <row r="931" spans="1:5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7"/>
      <c r="AK931" s="7"/>
      <c r="AL931" s="7"/>
      <c r="AM931" s="7"/>
      <c r="AN931" s="7"/>
      <c r="AO931" s="7"/>
      <c r="AP931" s="7"/>
      <c r="AQ931" s="7"/>
      <c r="AR931" s="7"/>
      <c r="AS931" s="7"/>
      <c r="AT931" s="7"/>
      <c r="AU931" s="3"/>
      <c r="AV931" s="3"/>
      <c r="AW931" s="3"/>
      <c r="AX931" s="3"/>
      <c r="AY931" s="3"/>
    </row>
    <row r="932" spans="1:51"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7"/>
      <c r="AK932" s="7"/>
      <c r="AL932" s="7"/>
      <c r="AM932" s="7"/>
      <c r="AN932" s="7"/>
      <c r="AO932" s="7"/>
      <c r="AP932" s="7"/>
      <c r="AQ932" s="7"/>
      <c r="AR932" s="7"/>
      <c r="AS932" s="7"/>
      <c r="AT932" s="7"/>
      <c r="AU932" s="3"/>
      <c r="AV932" s="3"/>
      <c r="AW932" s="3"/>
      <c r="AX932" s="3"/>
      <c r="AY932" s="3"/>
    </row>
    <row r="933" spans="1:51"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7"/>
      <c r="AK933" s="7"/>
      <c r="AL933" s="7"/>
      <c r="AM933" s="7"/>
      <c r="AN933" s="7"/>
      <c r="AO933" s="7"/>
      <c r="AP933" s="7"/>
      <c r="AQ933" s="7"/>
      <c r="AR933" s="7"/>
      <c r="AS933" s="7"/>
      <c r="AT933" s="7"/>
      <c r="AU933" s="3"/>
      <c r="AV933" s="3"/>
      <c r="AW933" s="3"/>
      <c r="AX933" s="3"/>
      <c r="AY933" s="3"/>
    </row>
    <row r="934" spans="1:51"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7"/>
      <c r="AK934" s="7"/>
      <c r="AL934" s="7"/>
      <c r="AM934" s="7"/>
      <c r="AN934" s="7"/>
      <c r="AO934" s="7"/>
      <c r="AP934" s="7"/>
      <c r="AQ934" s="7"/>
      <c r="AR934" s="7"/>
      <c r="AS934" s="7"/>
      <c r="AT934" s="7"/>
      <c r="AU934" s="3"/>
      <c r="AV934" s="3"/>
      <c r="AW934" s="3"/>
      <c r="AX934" s="3"/>
      <c r="AY934" s="3"/>
    </row>
    <row r="935" spans="1:51"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7"/>
      <c r="AK935" s="7"/>
      <c r="AL935" s="7"/>
      <c r="AM935" s="7"/>
      <c r="AN935" s="7"/>
      <c r="AO935" s="7"/>
      <c r="AP935" s="7"/>
      <c r="AQ935" s="7"/>
      <c r="AR935" s="7"/>
      <c r="AS935" s="7"/>
      <c r="AT935" s="7"/>
      <c r="AU935" s="3"/>
      <c r="AV935" s="3"/>
      <c r="AW935" s="3"/>
      <c r="AX935" s="3"/>
      <c r="AY935" s="3"/>
    </row>
    <row r="936" spans="1:51"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7"/>
      <c r="AK936" s="7"/>
      <c r="AL936" s="7"/>
      <c r="AM936" s="7"/>
      <c r="AN936" s="7"/>
      <c r="AO936" s="7"/>
      <c r="AP936" s="7"/>
      <c r="AQ936" s="7"/>
      <c r="AR936" s="7"/>
      <c r="AS936" s="7"/>
      <c r="AT936" s="7"/>
      <c r="AU936" s="3"/>
      <c r="AV936" s="3"/>
      <c r="AW936" s="3"/>
      <c r="AX936" s="3"/>
      <c r="AY936" s="3"/>
    </row>
    <row r="937" spans="1:51"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7"/>
      <c r="AK937" s="7"/>
      <c r="AL937" s="7"/>
      <c r="AM937" s="7"/>
      <c r="AN937" s="7"/>
      <c r="AO937" s="7"/>
      <c r="AP937" s="7"/>
      <c r="AQ937" s="7"/>
      <c r="AR937" s="7"/>
      <c r="AS937" s="7"/>
      <c r="AT937" s="7"/>
      <c r="AU937" s="3"/>
      <c r="AV937" s="3"/>
      <c r="AW937" s="3"/>
      <c r="AX937" s="3"/>
      <c r="AY937" s="3"/>
    </row>
    <row r="938" spans="1:51"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7"/>
      <c r="AK938" s="7"/>
      <c r="AL938" s="7"/>
      <c r="AM938" s="7"/>
      <c r="AN938" s="7"/>
      <c r="AO938" s="7"/>
      <c r="AP938" s="7"/>
      <c r="AQ938" s="7"/>
      <c r="AR938" s="7"/>
      <c r="AS938" s="7"/>
      <c r="AT938" s="7"/>
      <c r="AU938" s="3"/>
      <c r="AV938" s="3"/>
      <c r="AW938" s="3"/>
      <c r="AX938" s="3"/>
      <c r="AY938" s="3"/>
    </row>
    <row r="939" spans="1:51"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7"/>
      <c r="AK939" s="7"/>
      <c r="AL939" s="7"/>
      <c r="AM939" s="7"/>
      <c r="AN939" s="7"/>
      <c r="AO939" s="7"/>
      <c r="AP939" s="7"/>
      <c r="AQ939" s="7"/>
      <c r="AR939" s="7"/>
      <c r="AS939" s="7"/>
      <c r="AT939" s="7"/>
      <c r="AU939" s="3"/>
      <c r="AV939" s="3"/>
      <c r="AW939" s="3"/>
      <c r="AX939" s="3"/>
      <c r="AY939" s="3"/>
    </row>
    <row r="940" spans="1:51"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7"/>
      <c r="AK940" s="7"/>
      <c r="AL940" s="7"/>
      <c r="AM940" s="7"/>
      <c r="AN940" s="7"/>
      <c r="AO940" s="7"/>
      <c r="AP940" s="7"/>
      <c r="AQ940" s="7"/>
      <c r="AR940" s="7"/>
      <c r="AS940" s="7"/>
      <c r="AT940" s="7"/>
      <c r="AU940" s="3"/>
      <c r="AV940" s="3"/>
      <c r="AW940" s="3"/>
      <c r="AX940" s="3"/>
      <c r="AY940" s="3"/>
    </row>
    <row r="941" spans="1:5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7"/>
      <c r="AK941" s="7"/>
      <c r="AL941" s="7"/>
      <c r="AM941" s="7"/>
      <c r="AN941" s="7"/>
      <c r="AO941" s="7"/>
      <c r="AP941" s="7"/>
      <c r="AQ941" s="7"/>
      <c r="AR941" s="7"/>
      <c r="AS941" s="7"/>
      <c r="AT941" s="7"/>
      <c r="AU941" s="3"/>
      <c r="AV941" s="3"/>
      <c r="AW941" s="3"/>
      <c r="AX941" s="3"/>
      <c r="AY941" s="3"/>
    </row>
    <row r="942" spans="1:51"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7"/>
      <c r="AK942" s="7"/>
      <c r="AL942" s="7"/>
      <c r="AM942" s="7"/>
      <c r="AN942" s="7"/>
      <c r="AO942" s="7"/>
      <c r="AP942" s="7"/>
      <c r="AQ942" s="7"/>
      <c r="AR942" s="7"/>
      <c r="AS942" s="7"/>
      <c r="AT942" s="7"/>
      <c r="AU942" s="3"/>
      <c r="AV942" s="3"/>
      <c r="AW942" s="3"/>
      <c r="AX942" s="3"/>
      <c r="AY942" s="3"/>
    </row>
    <row r="943" spans="1:51"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7"/>
      <c r="AK943" s="7"/>
      <c r="AL943" s="7"/>
      <c r="AM943" s="7"/>
      <c r="AN943" s="7"/>
      <c r="AO943" s="7"/>
      <c r="AP943" s="7"/>
      <c r="AQ943" s="7"/>
      <c r="AR943" s="7"/>
      <c r="AS943" s="7"/>
      <c r="AT943" s="7"/>
      <c r="AU943" s="3"/>
      <c r="AV943" s="3"/>
      <c r="AW943" s="3"/>
      <c r="AX943" s="3"/>
      <c r="AY943" s="3"/>
    </row>
    <row r="944" spans="1:51"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7"/>
      <c r="AK944" s="7"/>
      <c r="AL944" s="7"/>
      <c r="AM944" s="7"/>
      <c r="AN944" s="7"/>
      <c r="AO944" s="7"/>
      <c r="AP944" s="7"/>
      <c r="AQ944" s="7"/>
      <c r="AR944" s="7"/>
      <c r="AS944" s="7"/>
      <c r="AT944" s="7"/>
      <c r="AU944" s="3"/>
      <c r="AV944" s="3"/>
      <c r="AW944" s="3"/>
      <c r="AX944" s="3"/>
      <c r="AY944" s="3"/>
    </row>
    <row r="945" spans="1:51"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7"/>
      <c r="AK945" s="7"/>
      <c r="AL945" s="7"/>
      <c r="AM945" s="7"/>
      <c r="AN945" s="7"/>
      <c r="AO945" s="7"/>
      <c r="AP945" s="7"/>
      <c r="AQ945" s="7"/>
      <c r="AR945" s="7"/>
      <c r="AS945" s="7"/>
      <c r="AT945" s="7"/>
      <c r="AU945" s="3"/>
      <c r="AV945" s="3"/>
      <c r="AW945" s="3"/>
      <c r="AX945" s="3"/>
      <c r="AY945" s="3"/>
    </row>
    <row r="946" spans="1:51"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7"/>
      <c r="AK946" s="7"/>
      <c r="AL946" s="7"/>
      <c r="AM946" s="7"/>
      <c r="AN946" s="7"/>
      <c r="AO946" s="7"/>
      <c r="AP946" s="7"/>
      <c r="AQ946" s="7"/>
      <c r="AR946" s="7"/>
      <c r="AS946" s="7"/>
      <c r="AT946" s="7"/>
      <c r="AU946" s="3"/>
      <c r="AV946" s="3"/>
      <c r="AW946" s="3"/>
      <c r="AX946" s="3"/>
      <c r="AY946" s="3"/>
    </row>
    <row r="947" spans="1:51"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7"/>
      <c r="AK947" s="7"/>
      <c r="AL947" s="7"/>
      <c r="AM947" s="7"/>
      <c r="AN947" s="7"/>
      <c r="AO947" s="7"/>
      <c r="AP947" s="7"/>
      <c r="AQ947" s="7"/>
      <c r="AR947" s="7"/>
      <c r="AS947" s="7"/>
      <c r="AT947" s="7"/>
      <c r="AU947" s="3"/>
      <c r="AV947" s="3"/>
      <c r="AW947" s="3"/>
      <c r="AX947" s="3"/>
      <c r="AY947" s="3"/>
    </row>
    <row r="948" spans="1:51"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7"/>
      <c r="AK948" s="7"/>
      <c r="AL948" s="7"/>
      <c r="AM948" s="7"/>
      <c r="AN948" s="7"/>
      <c r="AO948" s="7"/>
      <c r="AP948" s="7"/>
      <c r="AQ948" s="7"/>
      <c r="AR948" s="7"/>
      <c r="AS948" s="7"/>
      <c r="AT948" s="7"/>
      <c r="AU948" s="3"/>
      <c r="AV948" s="3"/>
      <c r="AW948" s="3"/>
      <c r="AX948" s="3"/>
      <c r="AY948" s="3"/>
    </row>
    <row r="949" spans="1:51"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7"/>
      <c r="AK949" s="7"/>
      <c r="AL949" s="7"/>
      <c r="AM949" s="7"/>
      <c r="AN949" s="7"/>
      <c r="AO949" s="7"/>
      <c r="AP949" s="7"/>
      <c r="AQ949" s="7"/>
      <c r="AR949" s="7"/>
      <c r="AS949" s="7"/>
      <c r="AT949" s="7"/>
      <c r="AU949" s="3"/>
      <c r="AV949" s="3"/>
      <c r="AW949" s="3"/>
      <c r="AX949" s="3"/>
      <c r="AY949" s="3"/>
    </row>
    <row r="950" spans="1:51"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7"/>
      <c r="AK950" s="7"/>
      <c r="AL950" s="7"/>
      <c r="AM950" s="7"/>
      <c r="AN950" s="7"/>
      <c r="AO950" s="7"/>
      <c r="AP950" s="7"/>
      <c r="AQ950" s="7"/>
      <c r="AR950" s="7"/>
      <c r="AS950" s="7"/>
      <c r="AT950" s="7"/>
      <c r="AU950" s="3"/>
      <c r="AV950" s="3"/>
      <c r="AW950" s="3"/>
      <c r="AX950" s="3"/>
      <c r="AY950" s="3"/>
    </row>
    <row r="951" spans="1: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7"/>
      <c r="AK951" s="7"/>
      <c r="AL951" s="7"/>
      <c r="AM951" s="7"/>
      <c r="AN951" s="7"/>
      <c r="AO951" s="7"/>
      <c r="AP951" s="7"/>
      <c r="AQ951" s="7"/>
      <c r="AR951" s="7"/>
      <c r="AS951" s="7"/>
      <c r="AT951" s="7"/>
      <c r="AU951" s="3"/>
      <c r="AV951" s="3"/>
      <c r="AW951" s="3"/>
      <c r="AX951" s="3"/>
      <c r="AY951" s="3"/>
    </row>
    <row r="952" spans="1:51"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7"/>
      <c r="AK952" s="7"/>
      <c r="AL952" s="7"/>
      <c r="AM952" s="7"/>
      <c r="AN952" s="7"/>
      <c r="AO952" s="7"/>
      <c r="AP952" s="7"/>
      <c r="AQ952" s="7"/>
      <c r="AR952" s="7"/>
      <c r="AS952" s="7"/>
      <c r="AT952" s="7"/>
      <c r="AU952" s="3"/>
      <c r="AV952" s="3"/>
      <c r="AW952" s="3"/>
      <c r="AX952" s="3"/>
      <c r="AY952" s="3"/>
    </row>
    <row r="953" spans="1:51"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7"/>
      <c r="AK953" s="7"/>
      <c r="AL953" s="7"/>
      <c r="AM953" s="7"/>
      <c r="AN953" s="7"/>
      <c r="AO953" s="7"/>
      <c r="AP953" s="7"/>
      <c r="AQ953" s="7"/>
      <c r="AR953" s="7"/>
      <c r="AS953" s="7"/>
      <c r="AT953" s="7"/>
      <c r="AU953" s="3"/>
      <c r="AV953" s="3"/>
      <c r="AW953" s="3"/>
      <c r="AX953" s="3"/>
      <c r="AY953" s="3"/>
    </row>
    <row r="954" spans="1:51"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7"/>
      <c r="AK954" s="7"/>
      <c r="AL954" s="7"/>
      <c r="AM954" s="7"/>
      <c r="AN954" s="7"/>
      <c r="AO954" s="7"/>
      <c r="AP954" s="7"/>
      <c r="AQ954" s="7"/>
      <c r="AR954" s="7"/>
      <c r="AS954" s="7"/>
      <c r="AT954" s="7"/>
      <c r="AU954" s="3"/>
      <c r="AV954" s="3"/>
      <c r="AW954" s="3"/>
      <c r="AX954" s="3"/>
      <c r="AY954" s="3"/>
    </row>
    <row r="955" spans="1:51"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7"/>
      <c r="AK955" s="7"/>
      <c r="AL955" s="7"/>
      <c r="AM955" s="7"/>
      <c r="AN955" s="7"/>
      <c r="AO955" s="7"/>
      <c r="AP955" s="7"/>
      <c r="AQ955" s="7"/>
      <c r="AR955" s="7"/>
      <c r="AS955" s="7"/>
      <c r="AT955" s="7"/>
      <c r="AU955" s="3"/>
      <c r="AV955" s="3"/>
      <c r="AW955" s="3"/>
      <c r="AX955" s="3"/>
      <c r="AY955" s="3"/>
    </row>
    <row r="956" spans="1:51"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7"/>
      <c r="AK956" s="7"/>
      <c r="AL956" s="7"/>
      <c r="AM956" s="7"/>
      <c r="AN956" s="7"/>
      <c r="AO956" s="7"/>
      <c r="AP956" s="7"/>
      <c r="AQ956" s="7"/>
      <c r="AR956" s="7"/>
      <c r="AS956" s="7"/>
      <c r="AT956" s="7"/>
      <c r="AU956" s="3"/>
      <c r="AV956" s="3"/>
      <c r="AW956" s="3"/>
      <c r="AX956" s="3"/>
      <c r="AY956" s="3"/>
    </row>
    <row r="957" spans="1:51"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7"/>
      <c r="AK957" s="7"/>
      <c r="AL957" s="7"/>
      <c r="AM957" s="7"/>
      <c r="AN957" s="7"/>
      <c r="AO957" s="7"/>
      <c r="AP957" s="7"/>
      <c r="AQ957" s="7"/>
      <c r="AR957" s="7"/>
      <c r="AS957" s="7"/>
      <c r="AT957" s="7"/>
      <c r="AU957" s="3"/>
      <c r="AV957" s="3"/>
      <c r="AW957" s="3"/>
      <c r="AX957" s="3"/>
      <c r="AY957" s="3"/>
    </row>
    <row r="958" spans="1:51"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7"/>
      <c r="AK958" s="7"/>
      <c r="AL958" s="7"/>
      <c r="AM958" s="7"/>
      <c r="AN958" s="7"/>
      <c r="AO958" s="7"/>
      <c r="AP958" s="7"/>
      <c r="AQ958" s="7"/>
      <c r="AR958" s="7"/>
      <c r="AS958" s="7"/>
      <c r="AT958" s="7"/>
      <c r="AU958" s="3"/>
      <c r="AV958" s="3"/>
      <c r="AW958" s="3"/>
      <c r="AX958" s="3"/>
      <c r="AY958" s="3"/>
    </row>
    <row r="959" spans="1:51"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7"/>
      <c r="AK959" s="7"/>
      <c r="AL959" s="7"/>
      <c r="AM959" s="7"/>
      <c r="AN959" s="7"/>
      <c r="AO959" s="7"/>
      <c r="AP959" s="7"/>
      <c r="AQ959" s="7"/>
      <c r="AR959" s="7"/>
      <c r="AS959" s="7"/>
      <c r="AT959" s="7"/>
      <c r="AU959" s="3"/>
      <c r="AV959" s="3"/>
      <c r="AW959" s="3"/>
      <c r="AX959" s="3"/>
      <c r="AY959" s="3"/>
    </row>
    <row r="960" spans="1:51"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7"/>
      <c r="AK960" s="7"/>
      <c r="AL960" s="7"/>
      <c r="AM960" s="7"/>
      <c r="AN960" s="7"/>
      <c r="AO960" s="7"/>
      <c r="AP960" s="7"/>
      <c r="AQ960" s="7"/>
      <c r="AR960" s="7"/>
      <c r="AS960" s="7"/>
      <c r="AT960" s="7"/>
      <c r="AU960" s="3"/>
      <c r="AV960" s="3"/>
      <c r="AW960" s="3"/>
      <c r="AX960" s="3"/>
      <c r="AY960" s="3"/>
    </row>
    <row r="961" spans="1:5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7"/>
      <c r="AK961" s="7"/>
      <c r="AL961" s="7"/>
      <c r="AM961" s="7"/>
      <c r="AN961" s="7"/>
      <c r="AO961" s="7"/>
      <c r="AP961" s="7"/>
      <c r="AQ961" s="7"/>
      <c r="AR961" s="7"/>
      <c r="AS961" s="7"/>
      <c r="AT961" s="7"/>
      <c r="AU961" s="3"/>
      <c r="AV961" s="3"/>
      <c r="AW961" s="3"/>
      <c r="AX961" s="3"/>
      <c r="AY961" s="3"/>
    </row>
    <row r="962" spans="1:51"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7"/>
      <c r="AK962" s="7"/>
      <c r="AL962" s="7"/>
      <c r="AM962" s="7"/>
      <c r="AN962" s="7"/>
      <c r="AO962" s="7"/>
      <c r="AP962" s="7"/>
      <c r="AQ962" s="7"/>
      <c r="AR962" s="7"/>
      <c r="AS962" s="7"/>
      <c r="AT962" s="7"/>
      <c r="AU962" s="3"/>
      <c r="AV962" s="3"/>
      <c r="AW962" s="3"/>
      <c r="AX962" s="3"/>
      <c r="AY962" s="3"/>
    </row>
    <row r="963" spans="1:51"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7"/>
      <c r="AK963" s="7"/>
      <c r="AL963" s="7"/>
      <c r="AM963" s="7"/>
      <c r="AN963" s="7"/>
      <c r="AO963" s="7"/>
      <c r="AP963" s="7"/>
      <c r="AQ963" s="7"/>
      <c r="AR963" s="7"/>
      <c r="AS963" s="7"/>
      <c r="AT963" s="7"/>
      <c r="AU963" s="3"/>
      <c r="AV963" s="3"/>
      <c r="AW963" s="3"/>
      <c r="AX963" s="3"/>
      <c r="AY963" s="3"/>
    </row>
    <row r="964" spans="1:51"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7"/>
      <c r="AK964" s="7"/>
      <c r="AL964" s="7"/>
      <c r="AM964" s="7"/>
      <c r="AN964" s="7"/>
      <c r="AO964" s="7"/>
      <c r="AP964" s="7"/>
      <c r="AQ964" s="7"/>
      <c r="AR964" s="7"/>
      <c r="AS964" s="7"/>
      <c r="AT964" s="7"/>
      <c r="AU964" s="3"/>
      <c r="AV964" s="3"/>
      <c r="AW964" s="3"/>
      <c r="AX964" s="3"/>
      <c r="AY964" s="3"/>
    </row>
    <row r="965" spans="1:51"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7"/>
      <c r="AK965" s="7"/>
      <c r="AL965" s="7"/>
      <c r="AM965" s="7"/>
      <c r="AN965" s="7"/>
      <c r="AO965" s="7"/>
      <c r="AP965" s="7"/>
      <c r="AQ965" s="7"/>
      <c r="AR965" s="7"/>
      <c r="AS965" s="7"/>
      <c r="AT965" s="7"/>
      <c r="AU965" s="3"/>
      <c r="AV965" s="3"/>
      <c r="AW965" s="3"/>
      <c r="AX965" s="3"/>
      <c r="AY965" s="3"/>
    </row>
    <row r="966" spans="1:51"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7"/>
      <c r="AK966" s="7"/>
      <c r="AL966" s="7"/>
      <c r="AM966" s="7"/>
      <c r="AN966" s="7"/>
      <c r="AO966" s="7"/>
      <c r="AP966" s="7"/>
      <c r="AQ966" s="7"/>
      <c r="AR966" s="7"/>
      <c r="AS966" s="7"/>
      <c r="AT966" s="7"/>
      <c r="AU966" s="3"/>
      <c r="AV966" s="3"/>
      <c r="AW966" s="3"/>
      <c r="AX966" s="3"/>
      <c r="AY966" s="3"/>
    </row>
    <row r="967" spans="1:51"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7"/>
      <c r="AK967" s="7"/>
      <c r="AL967" s="7"/>
      <c r="AM967" s="7"/>
      <c r="AN967" s="7"/>
      <c r="AO967" s="7"/>
      <c r="AP967" s="7"/>
      <c r="AQ967" s="7"/>
      <c r="AR967" s="7"/>
      <c r="AS967" s="7"/>
      <c r="AT967" s="7"/>
      <c r="AU967" s="3"/>
      <c r="AV967" s="3"/>
      <c r="AW967" s="3"/>
      <c r="AX967" s="3"/>
      <c r="AY967" s="3"/>
    </row>
    <row r="968" spans="1:51"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7"/>
      <c r="AK968" s="7"/>
      <c r="AL968" s="7"/>
      <c r="AM968" s="7"/>
      <c r="AN968" s="7"/>
      <c r="AO968" s="7"/>
      <c r="AP968" s="7"/>
      <c r="AQ968" s="7"/>
      <c r="AR968" s="7"/>
      <c r="AS968" s="7"/>
      <c r="AT968" s="7"/>
      <c r="AU968" s="3"/>
      <c r="AV968" s="3"/>
      <c r="AW968" s="3"/>
      <c r="AX968" s="3"/>
      <c r="AY968" s="3"/>
    </row>
    <row r="969" spans="1:51"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7"/>
      <c r="AK969" s="7"/>
      <c r="AL969" s="7"/>
      <c r="AM969" s="7"/>
      <c r="AN969" s="7"/>
      <c r="AO969" s="7"/>
      <c r="AP969" s="7"/>
      <c r="AQ969" s="7"/>
      <c r="AR969" s="7"/>
      <c r="AS969" s="7"/>
      <c r="AT969" s="7"/>
      <c r="AU969" s="3"/>
      <c r="AV969" s="3"/>
      <c r="AW969" s="3"/>
      <c r="AX969" s="3"/>
      <c r="AY969" s="3"/>
    </row>
    <row r="970" spans="1:51"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7"/>
      <c r="AK970" s="7"/>
      <c r="AL970" s="7"/>
      <c r="AM970" s="7"/>
      <c r="AN970" s="7"/>
      <c r="AO970" s="7"/>
      <c r="AP970" s="7"/>
      <c r="AQ970" s="7"/>
      <c r="AR970" s="7"/>
      <c r="AS970" s="7"/>
      <c r="AT970" s="7"/>
      <c r="AU970" s="3"/>
      <c r="AV970" s="3"/>
      <c r="AW970" s="3"/>
      <c r="AX970" s="3"/>
      <c r="AY970" s="3"/>
    </row>
    <row r="971" spans="1:5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7"/>
      <c r="AK971" s="7"/>
      <c r="AL971" s="7"/>
      <c r="AM971" s="7"/>
      <c r="AN971" s="7"/>
      <c r="AO971" s="7"/>
      <c r="AP971" s="7"/>
      <c r="AQ971" s="7"/>
      <c r="AR971" s="7"/>
      <c r="AS971" s="7"/>
      <c r="AT971" s="7"/>
      <c r="AU971" s="3"/>
      <c r="AV971" s="3"/>
      <c r="AW971" s="3"/>
      <c r="AX971" s="3"/>
      <c r="AY971" s="3"/>
    </row>
    <row r="972" spans="1:51"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7"/>
      <c r="AK972" s="7"/>
      <c r="AL972" s="7"/>
      <c r="AM972" s="7"/>
      <c r="AN972" s="7"/>
      <c r="AO972" s="7"/>
      <c r="AP972" s="7"/>
      <c r="AQ972" s="7"/>
      <c r="AR972" s="7"/>
      <c r="AS972" s="7"/>
      <c r="AT972" s="7"/>
      <c r="AU972" s="3"/>
      <c r="AV972" s="3"/>
      <c r="AW972" s="3"/>
      <c r="AX972" s="3"/>
      <c r="AY972" s="3"/>
    </row>
    <row r="973" spans="1:51"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7"/>
      <c r="AK973" s="7"/>
      <c r="AL973" s="7"/>
      <c r="AM973" s="7"/>
      <c r="AN973" s="7"/>
      <c r="AO973" s="7"/>
      <c r="AP973" s="7"/>
      <c r="AQ973" s="7"/>
      <c r="AR973" s="7"/>
      <c r="AS973" s="7"/>
      <c r="AT973" s="7"/>
      <c r="AU973" s="3"/>
      <c r="AV973" s="3"/>
      <c r="AW973" s="3"/>
      <c r="AX973" s="3"/>
      <c r="AY973" s="3"/>
    </row>
    <row r="974" spans="1:51"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7"/>
      <c r="AK974" s="7"/>
      <c r="AL974" s="7"/>
      <c r="AM974" s="7"/>
      <c r="AN974" s="7"/>
      <c r="AO974" s="7"/>
      <c r="AP974" s="7"/>
      <c r="AQ974" s="7"/>
      <c r="AR974" s="7"/>
      <c r="AS974" s="7"/>
      <c r="AT974" s="7"/>
      <c r="AU974" s="3"/>
      <c r="AV974" s="3"/>
      <c r="AW974" s="3"/>
      <c r="AX974" s="3"/>
      <c r="AY974" s="3"/>
    </row>
    <row r="975" spans="1:51"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7"/>
      <c r="AK975" s="7"/>
      <c r="AL975" s="7"/>
      <c r="AM975" s="7"/>
      <c r="AN975" s="7"/>
      <c r="AO975" s="7"/>
      <c r="AP975" s="7"/>
      <c r="AQ975" s="7"/>
      <c r="AR975" s="7"/>
      <c r="AS975" s="7"/>
      <c r="AT975" s="7"/>
      <c r="AU975" s="3"/>
      <c r="AV975" s="3"/>
      <c r="AW975" s="3"/>
      <c r="AX975" s="3"/>
      <c r="AY975" s="3"/>
    </row>
    <row r="976" spans="1:51"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7"/>
      <c r="AK976" s="7"/>
      <c r="AL976" s="7"/>
      <c r="AM976" s="7"/>
      <c r="AN976" s="7"/>
      <c r="AO976" s="7"/>
      <c r="AP976" s="7"/>
      <c r="AQ976" s="7"/>
      <c r="AR976" s="7"/>
      <c r="AS976" s="7"/>
      <c r="AT976" s="7"/>
      <c r="AU976" s="3"/>
      <c r="AV976" s="3"/>
      <c r="AW976" s="3"/>
      <c r="AX976" s="3"/>
      <c r="AY976" s="3"/>
    </row>
    <row r="977" spans="1:51"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7"/>
      <c r="AK977" s="7"/>
      <c r="AL977" s="7"/>
      <c r="AM977" s="7"/>
      <c r="AN977" s="7"/>
      <c r="AO977" s="7"/>
      <c r="AP977" s="7"/>
      <c r="AQ977" s="7"/>
      <c r="AR977" s="7"/>
      <c r="AS977" s="7"/>
      <c r="AT977" s="7"/>
      <c r="AU977" s="3"/>
      <c r="AV977" s="3"/>
      <c r="AW977" s="3"/>
      <c r="AX977" s="3"/>
      <c r="AY977" s="3"/>
    </row>
    <row r="978" spans="1:51"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7"/>
      <c r="AK978" s="7"/>
      <c r="AL978" s="7"/>
      <c r="AM978" s="7"/>
      <c r="AN978" s="7"/>
      <c r="AO978" s="7"/>
      <c r="AP978" s="7"/>
      <c r="AQ978" s="7"/>
      <c r="AR978" s="7"/>
      <c r="AS978" s="7"/>
      <c r="AT978" s="7"/>
      <c r="AU978" s="3"/>
      <c r="AV978" s="3"/>
      <c r="AW978" s="3"/>
      <c r="AX978" s="3"/>
      <c r="AY978" s="3"/>
    </row>
    <row r="979" spans="1:51"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7"/>
      <c r="AK979" s="7"/>
      <c r="AL979" s="7"/>
      <c r="AM979" s="7"/>
      <c r="AN979" s="7"/>
      <c r="AO979" s="7"/>
      <c r="AP979" s="7"/>
      <c r="AQ979" s="7"/>
      <c r="AR979" s="7"/>
      <c r="AS979" s="7"/>
      <c r="AT979" s="7"/>
      <c r="AU979" s="3"/>
      <c r="AV979" s="3"/>
      <c r="AW979" s="3"/>
      <c r="AX979" s="3"/>
      <c r="AY979" s="3"/>
    </row>
    <row r="980" spans="1:51"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7"/>
      <c r="AK980" s="7"/>
      <c r="AL980" s="7"/>
      <c r="AM980" s="7"/>
      <c r="AN980" s="7"/>
      <c r="AO980" s="7"/>
      <c r="AP980" s="7"/>
      <c r="AQ980" s="7"/>
      <c r="AR980" s="7"/>
      <c r="AS980" s="7"/>
      <c r="AT980" s="7"/>
      <c r="AU980" s="3"/>
      <c r="AV980" s="3"/>
      <c r="AW980" s="3"/>
      <c r="AX980" s="3"/>
      <c r="AY980" s="3"/>
    </row>
    <row r="981" spans="1:5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7"/>
      <c r="AK981" s="7"/>
      <c r="AL981" s="7"/>
      <c r="AM981" s="7"/>
      <c r="AN981" s="7"/>
      <c r="AO981" s="7"/>
      <c r="AP981" s="7"/>
      <c r="AQ981" s="7"/>
      <c r="AR981" s="7"/>
      <c r="AS981" s="7"/>
      <c r="AT981" s="7"/>
      <c r="AU981" s="3"/>
      <c r="AV981" s="3"/>
      <c r="AW981" s="3"/>
      <c r="AX981" s="3"/>
      <c r="AY981" s="3"/>
    </row>
    <row r="982" spans="1:51"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7"/>
      <c r="AK982" s="7"/>
      <c r="AL982" s="7"/>
      <c r="AM982" s="7"/>
      <c r="AN982" s="7"/>
      <c r="AO982" s="7"/>
      <c r="AP982" s="7"/>
      <c r="AQ982" s="7"/>
      <c r="AR982" s="7"/>
      <c r="AS982" s="7"/>
      <c r="AT982" s="7"/>
      <c r="AU982" s="3"/>
      <c r="AV982" s="3"/>
      <c r="AW982" s="3"/>
      <c r="AX982" s="3"/>
      <c r="AY982" s="3"/>
    </row>
    <row r="983" spans="1:51"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7"/>
      <c r="AK983" s="7"/>
      <c r="AL983" s="7"/>
      <c r="AM983" s="7"/>
      <c r="AN983" s="7"/>
      <c r="AO983" s="7"/>
      <c r="AP983" s="7"/>
      <c r="AQ983" s="7"/>
      <c r="AR983" s="7"/>
      <c r="AS983" s="7"/>
      <c r="AT983" s="7"/>
      <c r="AU983" s="3"/>
      <c r="AV983" s="3"/>
      <c r="AW983" s="3"/>
      <c r="AX983" s="3"/>
      <c r="AY983" s="3"/>
    </row>
    <row r="984" spans="1:51"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7"/>
      <c r="AK984" s="7"/>
      <c r="AL984" s="7"/>
      <c r="AM984" s="7"/>
      <c r="AN984" s="7"/>
      <c r="AO984" s="7"/>
      <c r="AP984" s="7"/>
      <c r="AQ984" s="7"/>
      <c r="AR984" s="7"/>
      <c r="AS984" s="7"/>
      <c r="AT984" s="7"/>
      <c r="AU984" s="3"/>
      <c r="AV984" s="3"/>
      <c r="AW984" s="3"/>
      <c r="AX984" s="3"/>
      <c r="AY984" s="3"/>
    </row>
    <row r="985" spans="1:51"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7"/>
      <c r="AK985" s="7"/>
      <c r="AL985" s="7"/>
      <c r="AM985" s="7"/>
      <c r="AN985" s="7"/>
      <c r="AO985" s="7"/>
      <c r="AP985" s="7"/>
      <c r="AQ985" s="7"/>
      <c r="AR985" s="7"/>
      <c r="AS985" s="7"/>
      <c r="AT985" s="7"/>
      <c r="AU985" s="3"/>
      <c r="AV985" s="3"/>
      <c r="AW985" s="3"/>
      <c r="AX985" s="3"/>
      <c r="AY985" s="3"/>
    </row>
    <row r="986" spans="1:51"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7"/>
      <c r="AK986" s="7"/>
      <c r="AL986" s="7"/>
      <c r="AM986" s="7"/>
      <c r="AN986" s="7"/>
      <c r="AO986" s="7"/>
      <c r="AP986" s="7"/>
      <c r="AQ986" s="7"/>
      <c r="AR986" s="7"/>
      <c r="AS986" s="7"/>
      <c r="AT986" s="7"/>
      <c r="AU986" s="3"/>
      <c r="AV986" s="3"/>
      <c r="AW986" s="3"/>
      <c r="AX986" s="3"/>
      <c r="AY986" s="3"/>
    </row>
    <row r="987" spans="1:51"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7"/>
      <c r="AK987" s="7"/>
      <c r="AL987" s="7"/>
      <c r="AM987" s="7"/>
      <c r="AN987" s="7"/>
      <c r="AO987" s="7"/>
      <c r="AP987" s="7"/>
      <c r="AQ987" s="7"/>
      <c r="AR987" s="7"/>
      <c r="AS987" s="7"/>
      <c r="AT987" s="7"/>
      <c r="AU987" s="3"/>
      <c r="AV987" s="3"/>
      <c r="AW987" s="3"/>
      <c r="AX987" s="3"/>
      <c r="AY987" s="3"/>
    </row>
    <row r="988" spans="1:51"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7"/>
      <c r="AK988" s="7"/>
      <c r="AL988" s="7"/>
      <c r="AM988" s="7"/>
      <c r="AN988" s="7"/>
      <c r="AO988" s="7"/>
      <c r="AP988" s="7"/>
      <c r="AQ988" s="7"/>
      <c r="AR988" s="7"/>
      <c r="AS988" s="7"/>
      <c r="AT988" s="7"/>
      <c r="AU988" s="3"/>
      <c r="AV988" s="3"/>
      <c r="AW988" s="3"/>
      <c r="AX988" s="3"/>
      <c r="AY988" s="3"/>
    </row>
    <row r="989" spans="1:51"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7"/>
      <c r="AK989" s="7"/>
      <c r="AL989" s="7"/>
      <c r="AM989" s="7"/>
      <c r="AN989" s="7"/>
      <c r="AO989" s="7"/>
      <c r="AP989" s="7"/>
      <c r="AQ989" s="7"/>
      <c r="AR989" s="7"/>
      <c r="AS989" s="7"/>
      <c r="AT989" s="7"/>
      <c r="AU989" s="3"/>
      <c r="AV989" s="3"/>
      <c r="AW989" s="3"/>
      <c r="AX989" s="3"/>
      <c r="AY989" s="3"/>
    </row>
    <row r="990" spans="1:51"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7"/>
      <c r="AK990" s="7"/>
      <c r="AL990" s="7"/>
      <c r="AM990" s="7"/>
      <c r="AN990" s="7"/>
      <c r="AO990" s="7"/>
      <c r="AP990" s="7"/>
      <c r="AQ990" s="7"/>
      <c r="AR990" s="7"/>
      <c r="AS990" s="7"/>
      <c r="AT990" s="7"/>
      <c r="AU990" s="3"/>
      <c r="AV990" s="3"/>
      <c r="AW990" s="3"/>
      <c r="AX990" s="3"/>
      <c r="AY990" s="3"/>
    </row>
    <row r="991" spans="1:5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7"/>
      <c r="AK991" s="7"/>
      <c r="AL991" s="7"/>
      <c r="AM991" s="7"/>
      <c r="AN991" s="7"/>
      <c r="AO991" s="7"/>
      <c r="AP991" s="7"/>
      <c r="AQ991" s="7"/>
      <c r="AR991" s="7"/>
      <c r="AS991" s="7"/>
      <c r="AT991" s="7"/>
      <c r="AU991" s="3"/>
      <c r="AV991" s="3"/>
      <c r="AW991" s="3"/>
      <c r="AX991" s="3"/>
      <c r="AY991" s="3"/>
    </row>
    <row r="992" spans="1:51"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7"/>
      <c r="AK992" s="7"/>
      <c r="AL992" s="7"/>
      <c r="AM992" s="7"/>
      <c r="AN992" s="7"/>
      <c r="AO992" s="7"/>
      <c r="AP992" s="7"/>
      <c r="AQ992" s="7"/>
      <c r="AR992" s="7"/>
      <c r="AS992" s="7"/>
      <c r="AT992" s="7"/>
      <c r="AU992" s="3"/>
      <c r="AV992" s="3"/>
      <c r="AW992" s="3"/>
      <c r="AX992" s="3"/>
      <c r="AY992" s="3"/>
    </row>
    <row r="993" spans="1:51"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7"/>
      <c r="AK993" s="7"/>
      <c r="AL993" s="7"/>
      <c r="AM993" s="7"/>
      <c r="AN993" s="7"/>
      <c r="AO993" s="7"/>
      <c r="AP993" s="7"/>
      <c r="AQ993" s="7"/>
      <c r="AR993" s="7"/>
      <c r="AS993" s="7"/>
      <c r="AT993" s="7"/>
      <c r="AU993" s="3"/>
      <c r="AV993" s="3"/>
      <c r="AW993" s="3"/>
      <c r="AX993" s="3"/>
      <c r="AY993" s="3"/>
    </row>
    <row r="994" spans="1:51"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7"/>
      <c r="AK994" s="7"/>
      <c r="AL994" s="7"/>
      <c r="AM994" s="7"/>
      <c r="AN994" s="7"/>
      <c r="AO994" s="7"/>
      <c r="AP994" s="7"/>
      <c r="AQ994" s="7"/>
      <c r="AR994" s="7"/>
      <c r="AS994" s="7"/>
      <c r="AT994" s="7"/>
      <c r="AU994" s="3"/>
      <c r="AV994" s="3"/>
      <c r="AW994" s="3"/>
      <c r="AX994" s="3"/>
      <c r="AY994" s="3"/>
    </row>
    <row r="995" spans="1:51"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7"/>
      <c r="AK995" s="7"/>
      <c r="AL995" s="7"/>
      <c r="AM995" s="7"/>
      <c r="AN995" s="7"/>
      <c r="AO995" s="7"/>
      <c r="AP995" s="7"/>
      <c r="AQ995" s="7"/>
      <c r="AR995" s="7"/>
      <c r="AS995" s="7"/>
      <c r="AT995" s="7"/>
      <c r="AU995" s="3"/>
      <c r="AV995" s="3"/>
      <c r="AW995" s="3"/>
      <c r="AX995" s="3"/>
      <c r="AY995" s="3"/>
    </row>
    <row r="996" spans="1:51"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7"/>
      <c r="AK996" s="7"/>
      <c r="AL996" s="7"/>
      <c r="AM996" s="7"/>
      <c r="AN996" s="7"/>
      <c r="AO996" s="7"/>
      <c r="AP996" s="7"/>
      <c r="AQ996" s="7"/>
      <c r="AR996" s="7"/>
      <c r="AS996" s="7"/>
      <c r="AT996" s="7"/>
      <c r="AU996" s="3"/>
      <c r="AV996" s="3"/>
      <c r="AW996" s="3"/>
      <c r="AX996" s="3"/>
      <c r="AY996" s="3"/>
    </row>
    <row r="997" spans="1:51"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7"/>
      <c r="AK997" s="7"/>
      <c r="AL997" s="7"/>
      <c r="AM997" s="7"/>
      <c r="AN997" s="7"/>
      <c r="AO997" s="7"/>
      <c r="AP997" s="7"/>
      <c r="AQ997" s="7"/>
      <c r="AR997" s="7"/>
      <c r="AS997" s="7"/>
      <c r="AT997" s="7"/>
      <c r="AU997" s="3"/>
      <c r="AV997" s="3"/>
      <c r="AW997" s="3"/>
      <c r="AX997" s="3"/>
      <c r="AY997" s="3"/>
    </row>
    <row r="998" spans="1:51"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7"/>
      <c r="AK998" s="7"/>
      <c r="AL998" s="7"/>
      <c r="AM998" s="7"/>
      <c r="AN998" s="7"/>
      <c r="AO998" s="7"/>
      <c r="AP998" s="7"/>
      <c r="AQ998" s="7"/>
      <c r="AR998" s="7"/>
      <c r="AS998" s="7"/>
      <c r="AT998" s="7"/>
      <c r="AU998" s="3"/>
      <c r="AV998" s="3"/>
      <c r="AW998" s="3"/>
      <c r="AX998" s="3"/>
      <c r="AY998" s="3"/>
    </row>
    <row r="999" spans="1:51"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7"/>
      <c r="AK999" s="7"/>
      <c r="AL999" s="7"/>
      <c r="AM999" s="7"/>
      <c r="AN999" s="7"/>
      <c r="AO999" s="7"/>
      <c r="AP999" s="7"/>
      <c r="AQ999" s="7"/>
      <c r="AR999" s="7"/>
      <c r="AS999" s="7"/>
      <c r="AT999" s="7"/>
      <c r="AU999" s="3"/>
      <c r="AV999" s="3"/>
      <c r="AW999" s="3"/>
      <c r="AX999" s="3"/>
      <c r="AY999" s="3"/>
    </row>
    <row r="1000" spans="1:51"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7"/>
      <c r="AK1000" s="7"/>
      <c r="AL1000" s="7"/>
      <c r="AM1000" s="7"/>
      <c r="AN1000" s="7"/>
      <c r="AO1000" s="7"/>
      <c r="AP1000" s="7"/>
      <c r="AQ1000" s="7"/>
      <c r="AR1000" s="7"/>
      <c r="AS1000" s="7"/>
      <c r="AT1000" s="7"/>
      <c r="AU1000" s="3"/>
      <c r="AV1000" s="3"/>
      <c r="AW1000" s="3"/>
      <c r="AX1000" s="3"/>
      <c r="AY1000" s="3"/>
    </row>
    <row r="1001" spans="1:51" ht="16.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7"/>
      <c r="AK1001" s="7"/>
      <c r="AL1001" s="7"/>
      <c r="AM1001" s="7"/>
      <c r="AN1001" s="7"/>
      <c r="AO1001" s="7"/>
      <c r="AP1001" s="7"/>
      <c r="AQ1001" s="7"/>
      <c r="AR1001" s="7"/>
      <c r="AS1001" s="7"/>
      <c r="AT1001" s="7"/>
      <c r="AU1001" s="3"/>
      <c r="AV1001" s="3"/>
      <c r="AW1001" s="3"/>
      <c r="AX1001" s="3"/>
      <c r="AY1001" s="3"/>
    </row>
    <row r="1002" spans="1:51" ht="16.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7"/>
      <c r="AK1002" s="7"/>
      <c r="AL1002" s="7"/>
      <c r="AM1002" s="7"/>
      <c r="AN1002" s="7"/>
      <c r="AO1002" s="7"/>
      <c r="AP1002" s="7"/>
      <c r="AQ1002" s="7"/>
      <c r="AR1002" s="7"/>
      <c r="AS1002" s="7"/>
      <c r="AT1002" s="7"/>
      <c r="AU1002" s="3"/>
      <c r="AV1002" s="3"/>
      <c r="AW1002" s="3"/>
      <c r="AX1002" s="3"/>
      <c r="AY1002" s="3"/>
    </row>
    <row r="1003" spans="1:51" ht="16.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7"/>
      <c r="AK1003" s="7"/>
      <c r="AL1003" s="7"/>
      <c r="AM1003" s="7"/>
      <c r="AN1003" s="7"/>
      <c r="AO1003" s="7"/>
      <c r="AP1003" s="7"/>
      <c r="AQ1003" s="7"/>
      <c r="AR1003" s="7"/>
      <c r="AS1003" s="7"/>
      <c r="AT1003" s="7"/>
      <c r="AU1003" s="3"/>
      <c r="AV1003" s="3"/>
      <c r="AW1003" s="3"/>
      <c r="AX1003" s="3"/>
      <c r="AY1003" s="3"/>
    </row>
    <row r="1004" spans="1:51" ht="16.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7"/>
      <c r="AK1004" s="7"/>
      <c r="AL1004" s="7"/>
      <c r="AM1004" s="7"/>
      <c r="AN1004" s="7"/>
      <c r="AO1004" s="7"/>
      <c r="AP1004" s="7"/>
      <c r="AQ1004" s="7"/>
      <c r="AR1004" s="7"/>
      <c r="AS1004" s="7"/>
      <c r="AT1004" s="7"/>
      <c r="AU1004" s="3"/>
      <c r="AV1004" s="3"/>
      <c r="AW1004" s="3"/>
      <c r="AX1004" s="3"/>
      <c r="AY1004" s="3"/>
    </row>
    <row r="1005" spans="1:51" ht="16.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7"/>
      <c r="AK1005" s="7"/>
      <c r="AL1005" s="7"/>
      <c r="AM1005" s="7"/>
      <c r="AN1005" s="7"/>
      <c r="AO1005" s="7"/>
      <c r="AP1005" s="7"/>
      <c r="AQ1005" s="7"/>
      <c r="AR1005" s="7"/>
      <c r="AS1005" s="7"/>
      <c r="AT1005" s="7"/>
      <c r="AU1005" s="3"/>
      <c r="AV1005" s="3"/>
      <c r="AW1005" s="3"/>
      <c r="AX1005" s="3"/>
      <c r="AY1005" s="3"/>
    </row>
    <row r="1006" spans="1:51" ht="16.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7"/>
      <c r="AK1006" s="7"/>
      <c r="AL1006" s="7"/>
      <c r="AM1006" s="7"/>
      <c r="AN1006" s="7"/>
      <c r="AO1006" s="7"/>
      <c r="AP1006" s="7"/>
      <c r="AQ1006" s="7"/>
      <c r="AR1006" s="7"/>
      <c r="AS1006" s="7"/>
      <c r="AT1006" s="7"/>
      <c r="AU1006" s="3"/>
      <c r="AV1006" s="3"/>
      <c r="AW1006" s="3"/>
      <c r="AX1006" s="3"/>
      <c r="AY1006" s="3"/>
    </row>
    <row r="1007" spans="1:51" ht="16.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7"/>
      <c r="AK1007" s="7"/>
      <c r="AL1007" s="7"/>
      <c r="AM1007" s="7"/>
      <c r="AN1007" s="7"/>
      <c r="AO1007" s="7"/>
      <c r="AP1007" s="7"/>
      <c r="AQ1007" s="7"/>
      <c r="AR1007" s="7"/>
      <c r="AS1007" s="7"/>
      <c r="AT1007" s="7"/>
      <c r="AU1007" s="3"/>
      <c r="AV1007" s="3"/>
      <c r="AW1007" s="3"/>
      <c r="AX1007" s="3"/>
      <c r="AY1007" s="3"/>
    </row>
    <row r="1008" spans="1:51" ht="16.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7"/>
      <c r="AK1008" s="7"/>
      <c r="AL1008" s="7"/>
      <c r="AM1008" s="7"/>
      <c r="AN1008" s="7"/>
      <c r="AO1008" s="7"/>
      <c r="AP1008" s="7"/>
      <c r="AQ1008" s="7"/>
      <c r="AR1008" s="7"/>
      <c r="AS1008" s="7"/>
      <c r="AT1008" s="7"/>
      <c r="AU1008" s="3"/>
      <c r="AV1008" s="3"/>
      <c r="AW1008" s="3"/>
      <c r="AX1008" s="3"/>
      <c r="AY1008" s="3"/>
    </row>
    <row r="1009" spans="1:51" ht="16.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7"/>
      <c r="AK1009" s="7"/>
      <c r="AL1009" s="7"/>
      <c r="AM1009" s="7"/>
      <c r="AN1009" s="7"/>
      <c r="AO1009" s="7"/>
      <c r="AP1009" s="7"/>
      <c r="AQ1009" s="7"/>
      <c r="AR1009" s="7"/>
      <c r="AS1009" s="7"/>
      <c r="AT1009" s="7"/>
      <c r="AU1009" s="3"/>
      <c r="AV1009" s="3"/>
      <c r="AW1009" s="3"/>
      <c r="AX1009" s="3"/>
      <c r="AY1009" s="3"/>
    </row>
    <row r="1010" spans="1:51" ht="16.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7"/>
      <c r="AK1010" s="7"/>
      <c r="AL1010" s="7"/>
      <c r="AM1010" s="7"/>
      <c r="AN1010" s="7"/>
      <c r="AO1010" s="7"/>
      <c r="AP1010" s="7"/>
      <c r="AQ1010" s="7"/>
      <c r="AR1010" s="7"/>
      <c r="AS1010" s="7"/>
      <c r="AT1010" s="7"/>
      <c r="AU1010" s="3"/>
      <c r="AV1010" s="3"/>
      <c r="AW1010" s="3"/>
      <c r="AX1010" s="3"/>
      <c r="AY1010" s="3"/>
    </row>
    <row r="1011" spans="1:51" ht="16.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7"/>
      <c r="AK1011" s="7"/>
      <c r="AL1011" s="7"/>
      <c r="AM1011" s="7"/>
      <c r="AN1011" s="7"/>
      <c r="AO1011" s="7"/>
      <c r="AP1011" s="7"/>
      <c r="AQ1011" s="7"/>
      <c r="AR1011" s="7"/>
      <c r="AS1011" s="7"/>
      <c r="AT1011" s="7"/>
      <c r="AU1011" s="3"/>
      <c r="AV1011" s="3"/>
      <c r="AW1011" s="3"/>
      <c r="AX1011" s="3"/>
      <c r="AY1011" s="3"/>
    </row>
    <row r="1012" spans="1:51" ht="16.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7"/>
      <c r="AK1012" s="7"/>
      <c r="AL1012" s="7"/>
      <c r="AM1012" s="7"/>
      <c r="AN1012" s="7"/>
      <c r="AO1012" s="7"/>
      <c r="AP1012" s="7"/>
      <c r="AQ1012" s="7"/>
      <c r="AR1012" s="7"/>
      <c r="AS1012" s="7"/>
      <c r="AT1012" s="7"/>
      <c r="AU1012" s="3"/>
      <c r="AV1012" s="3"/>
      <c r="AW1012" s="3"/>
      <c r="AX1012" s="3"/>
      <c r="AY1012" s="3"/>
    </row>
    <row r="1013" spans="1:51" ht="16.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7"/>
      <c r="AK1013" s="7"/>
      <c r="AL1013" s="7"/>
      <c r="AM1013" s="7"/>
      <c r="AN1013" s="7"/>
      <c r="AO1013" s="7"/>
      <c r="AP1013" s="7"/>
      <c r="AQ1013" s="7"/>
      <c r="AR1013" s="7"/>
      <c r="AS1013" s="7"/>
      <c r="AT1013" s="7"/>
      <c r="AU1013" s="3"/>
      <c r="AV1013" s="3"/>
      <c r="AW1013" s="3"/>
      <c r="AX1013" s="3"/>
      <c r="AY1013" s="3"/>
    </row>
    <row r="1014" spans="1:51" ht="16.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7"/>
      <c r="AK1014" s="7"/>
      <c r="AL1014" s="7"/>
      <c r="AM1014" s="7"/>
      <c r="AN1014" s="7"/>
      <c r="AO1014" s="7"/>
      <c r="AP1014" s="7"/>
      <c r="AQ1014" s="7"/>
      <c r="AR1014" s="7"/>
      <c r="AS1014" s="7"/>
      <c r="AT1014" s="7"/>
      <c r="AU1014" s="3"/>
      <c r="AV1014" s="3"/>
      <c r="AW1014" s="3"/>
      <c r="AX1014" s="3"/>
      <c r="AY1014" s="3"/>
    </row>
    <row r="1015" spans="1:51" ht="16.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7"/>
      <c r="AK1015" s="7"/>
      <c r="AL1015" s="7"/>
      <c r="AM1015" s="7"/>
      <c r="AN1015" s="7"/>
      <c r="AO1015" s="7"/>
      <c r="AP1015" s="7"/>
      <c r="AQ1015" s="7"/>
      <c r="AR1015" s="7"/>
      <c r="AS1015" s="7"/>
      <c r="AT1015" s="7"/>
      <c r="AU1015" s="3"/>
      <c r="AV1015" s="3"/>
      <c r="AW1015" s="3"/>
      <c r="AX1015" s="3"/>
      <c r="AY1015" s="3"/>
    </row>
    <row r="1016" spans="1:51" ht="16.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7"/>
      <c r="AK1016" s="7"/>
      <c r="AL1016" s="7"/>
      <c r="AM1016" s="7"/>
      <c r="AN1016" s="7"/>
      <c r="AO1016" s="7"/>
      <c r="AP1016" s="7"/>
      <c r="AQ1016" s="7"/>
      <c r="AR1016" s="7"/>
      <c r="AS1016" s="7"/>
      <c r="AT1016" s="7"/>
      <c r="AU1016" s="3"/>
      <c r="AV1016" s="3"/>
      <c r="AW1016" s="3"/>
      <c r="AX1016" s="3"/>
      <c r="AY1016" s="3"/>
    </row>
    <row r="1017" spans="1:51" ht="16.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7"/>
      <c r="AK1017" s="7"/>
      <c r="AL1017" s="7"/>
      <c r="AM1017" s="7"/>
      <c r="AN1017" s="7"/>
      <c r="AO1017" s="7"/>
      <c r="AP1017" s="7"/>
      <c r="AQ1017" s="7"/>
      <c r="AR1017" s="7"/>
      <c r="AS1017" s="7"/>
      <c r="AT1017" s="7"/>
      <c r="AU1017" s="3"/>
      <c r="AV1017" s="3"/>
      <c r="AW1017" s="3"/>
      <c r="AX1017" s="3"/>
      <c r="AY1017" s="3"/>
    </row>
    <row r="1018" spans="1:51" ht="16.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7"/>
      <c r="AK1018" s="7"/>
      <c r="AL1018" s="7"/>
      <c r="AM1018" s="7"/>
      <c r="AN1018" s="7"/>
      <c r="AO1018" s="7"/>
      <c r="AP1018" s="7"/>
      <c r="AQ1018" s="7"/>
      <c r="AR1018" s="7"/>
      <c r="AS1018" s="7"/>
      <c r="AT1018" s="7"/>
      <c r="AU1018" s="3"/>
      <c r="AV1018" s="3"/>
      <c r="AW1018" s="3"/>
      <c r="AX1018" s="3"/>
      <c r="AY1018" s="3"/>
    </row>
    <row r="1019" spans="1:51" ht="16.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7"/>
      <c r="AK1019" s="7"/>
      <c r="AL1019" s="7"/>
      <c r="AM1019" s="7"/>
      <c r="AN1019" s="7"/>
      <c r="AO1019" s="7"/>
      <c r="AP1019" s="7"/>
      <c r="AQ1019" s="7"/>
      <c r="AR1019" s="7"/>
      <c r="AS1019" s="7"/>
      <c r="AT1019" s="7"/>
      <c r="AU1019" s="3"/>
      <c r="AV1019" s="3"/>
      <c r="AW1019" s="3"/>
      <c r="AX1019" s="3"/>
      <c r="AY1019" s="3"/>
    </row>
    <row r="1020" spans="1:51" ht="16.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7"/>
      <c r="AK1020" s="7"/>
      <c r="AL1020" s="7"/>
      <c r="AM1020" s="7"/>
      <c r="AN1020" s="7"/>
      <c r="AO1020" s="7"/>
      <c r="AP1020" s="7"/>
      <c r="AQ1020" s="7"/>
      <c r="AR1020" s="7"/>
      <c r="AS1020" s="7"/>
      <c r="AT1020" s="7"/>
      <c r="AU1020" s="3"/>
      <c r="AV1020" s="3"/>
      <c r="AW1020" s="3"/>
      <c r="AX1020" s="3"/>
      <c r="AY1020" s="3"/>
    </row>
    <row r="1021" spans="1:51" ht="16.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7"/>
      <c r="AK1021" s="7"/>
      <c r="AL1021" s="7"/>
      <c r="AM1021" s="7"/>
      <c r="AN1021" s="7"/>
      <c r="AO1021" s="7"/>
      <c r="AP1021" s="7"/>
      <c r="AQ1021" s="7"/>
      <c r="AR1021" s="7"/>
      <c r="AS1021" s="7"/>
      <c r="AT1021" s="7"/>
      <c r="AU1021" s="3"/>
      <c r="AV1021" s="3"/>
      <c r="AW1021" s="3"/>
      <c r="AX1021" s="3"/>
      <c r="AY1021" s="3"/>
    </row>
    <row r="1022" spans="1:51" ht="16.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7"/>
      <c r="AK1022" s="7"/>
      <c r="AL1022" s="7"/>
      <c r="AM1022" s="7"/>
      <c r="AN1022" s="7"/>
      <c r="AO1022" s="7"/>
      <c r="AP1022" s="7"/>
      <c r="AQ1022" s="7"/>
      <c r="AR1022" s="7"/>
      <c r="AS1022" s="7"/>
      <c r="AT1022" s="7"/>
      <c r="AU1022" s="3"/>
      <c r="AV1022" s="3"/>
      <c r="AW1022" s="3"/>
      <c r="AX1022" s="3"/>
      <c r="AY1022" s="3"/>
    </row>
    <row r="1023" spans="1:51" ht="16.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7"/>
      <c r="AK1023" s="7"/>
      <c r="AL1023" s="7"/>
      <c r="AM1023" s="7"/>
      <c r="AN1023" s="7"/>
      <c r="AO1023" s="7"/>
      <c r="AP1023" s="7"/>
      <c r="AQ1023" s="7"/>
      <c r="AR1023" s="7"/>
      <c r="AS1023" s="7"/>
      <c r="AT1023" s="7"/>
      <c r="AU1023" s="3"/>
      <c r="AV1023" s="3"/>
      <c r="AW1023" s="3"/>
      <c r="AX1023" s="3"/>
      <c r="AY1023" s="3"/>
    </row>
    <row r="1024" spans="1:51" ht="16.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7"/>
      <c r="AK1024" s="7"/>
      <c r="AL1024" s="7"/>
      <c r="AM1024" s="7"/>
      <c r="AN1024" s="7"/>
      <c r="AO1024" s="7"/>
      <c r="AP1024" s="7"/>
      <c r="AQ1024" s="7"/>
      <c r="AR1024" s="7"/>
      <c r="AS1024" s="7"/>
      <c r="AT1024" s="7"/>
      <c r="AU1024" s="3"/>
      <c r="AV1024" s="3"/>
      <c r="AW1024" s="3"/>
      <c r="AX1024" s="3"/>
      <c r="AY1024" s="3"/>
    </row>
    <row r="1025" spans="1:51" ht="16.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7"/>
      <c r="AK1025" s="7"/>
      <c r="AL1025" s="7"/>
      <c r="AM1025" s="7"/>
      <c r="AN1025" s="7"/>
      <c r="AO1025" s="7"/>
      <c r="AP1025" s="7"/>
      <c r="AQ1025" s="7"/>
      <c r="AR1025" s="7"/>
      <c r="AS1025" s="7"/>
      <c r="AT1025" s="7"/>
      <c r="AU1025" s="3"/>
      <c r="AV1025" s="3"/>
      <c r="AW1025" s="3"/>
      <c r="AX1025" s="3"/>
      <c r="AY1025" s="3"/>
    </row>
    <row r="1026" spans="1:51" ht="16.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7"/>
      <c r="AK1026" s="7"/>
      <c r="AL1026" s="7"/>
      <c r="AM1026" s="7"/>
      <c r="AN1026" s="7"/>
      <c r="AO1026" s="7"/>
      <c r="AP1026" s="7"/>
      <c r="AQ1026" s="7"/>
      <c r="AR1026" s="7"/>
      <c r="AS1026" s="7"/>
      <c r="AT1026" s="7"/>
      <c r="AU1026" s="3"/>
      <c r="AV1026" s="3"/>
      <c r="AW1026" s="3"/>
      <c r="AX1026" s="3"/>
      <c r="AY1026" s="3"/>
    </row>
    <row r="1027" spans="1:51" ht="16.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7"/>
      <c r="AK1027" s="7"/>
      <c r="AL1027" s="7"/>
      <c r="AM1027" s="7"/>
      <c r="AN1027" s="7"/>
      <c r="AO1027" s="7"/>
      <c r="AP1027" s="7"/>
      <c r="AQ1027" s="7"/>
      <c r="AR1027" s="7"/>
      <c r="AS1027" s="7"/>
      <c r="AT1027" s="7"/>
      <c r="AU1027" s="3"/>
      <c r="AV1027" s="3"/>
      <c r="AW1027" s="3"/>
      <c r="AX1027" s="3"/>
      <c r="AY1027" s="3"/>
    </row>
    <row r="1028" spans="1:51" ht="16.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7"/>
      <c r="AK1028" s="7"/>
      <c r="AL1028" s="7"/>
      <c r="AM1028" s="7"/>
      <c r="AN1028" s="7"/>
      <c r="AO1028" s="7"/>
      <c r="AP1028" s="7"/>
      <c r="AQ1028" s="7"/>
      <c r="AR1028" s="7"/>
      <c r="AS1028" s="7"/>
      <c r="AT1028" s="7"/>
      <c r="AU1028" s="3"/>
      <c r="AV1028" s="3"/>
      <c r="AW1028" s="3"/>
      <c r="AX1028" s="3"/>
      <c r="AY1028" s="3"/>
    </row>
    <row r="1029" spans="1:51" ht="16.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7"/>
      <c r="AK1029" s="7"/>
      <c r="AL1029" s="7"/>
      <c r="AM1029" s="7"/>
      <c r="AN1029" s="7"/>
      <c r="AO1029" s="7"/>
      <c r="AP1029" s="7"/>
      <c r="AQ1029" s="7"/>
      <c r="AR1029" s="7"/>
      <c r="AS1029" s="7"/>
      <c r="AT1029" s="7"/>
      <c r="AU1029" s="3"/>
      <c r="AV1029" s="3"/>
      <c r="AW1029" s="3"/>
      <c r="AX1029" s="3"/>
      <c r="AY1029" s="3"/>
    </row>
    <row r="1030" spans="1:51" ht="16.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7"/>
      <c r="AK1030" s="7"/>
      <c r="AL1030" s="7"/>
      <c r="AM1030" s="7"/>
      <c r="AN1030" s="7"/>
      <c r="AO1030" s="7"/>
      <c r="AP1030" s="7"/>
      <c r="AQ1030" s="7"/>
      <c r="AR1030" s="7"/>
      <c r="AS1030" s="7"/>
      <c r="AT1030" s="7"/>
      <c r="AU1030" s="3"/>
      <c r="AV1030" s="3"/>
      <c r="AW1030" s="3"/>
      <c r="AX1030" s="3"/>
      <c r="AY1030" s="3"/>
    </row>
    <row r="1031" spans="1:51" ht="16.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7"/>
      <c r="AK1031" s="7"/>
      <c r="AL1031" s="7"/>
      <c r="AM1031" s="7"/>
      <c r="AN1031" s="7"/>
      <c r="AO1031" s="7"/>
      <c r="AP1031" s="7"/>
      <c r="AQ1031" s="7"/>
      <c r="AR1031" s="7"/>
      <c r="AS1031" s="7"/>
      <c r="AT1031" s="7"/>
      <c r="AU1031" s="3"/>
      <c r="AV1031" s="3"/>
      <c r="AW1031" s="3"/>
      <c r="AX1031" s="3"/>
      <c r="AY1031" s="3"/>
    </row>
    <row r="1032" spans="1:51" ht="16.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7"/>
      <c r="AK1032" s="7"/>
      <c r="AL1032" s="7"/>
      <c r="AM1032" s="7"/>
      <c r="AN1032" s="7"/>
      <c r="AO1032" s="7"/>
      <c r="AP1032" s="7"/>
      <c r="AQ1032" s="7"/>
      <c r="AR1032" s="7"/>
      <c r="AS1032" s="7"/>
      <c r="AT1032" s="7"/>
      <c r="AU1032" s="3"/>
      <c r="AV1032" s="3"/>
      <c r="AW1032" s="3"/>
      <c r="AX1032" s="3"/>
      <c r="AY1032" s="3"/>
    </row>
    <row r="1033" spans="1:51" ht="16.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7"/>
      <c r="AK1033" s="7"/>
      <c r="AL1033" s="7"/>
      <c r="AM1033" s="7"/>
      <c r="AN1033" s="7"/>
      <c r="AO1033" s="7"/>
      <c r="AP1033" s="7"/>
      <c r="AQ1033" s="7"/>
      <c r="AR1033" s="7"/>
      <c r="AS1033" s="7"/>
      <c r="AT1033" s="7"/>
      <c r="AU1033" s="3"/>
      <c r="AV1033" s="3"/>
      <c r="AW1033" s="3"/>
      <c r="AX1033" s="3"/>
      <c r="AY1033" s="3"/>
    </row>
    <row r="1034" spans="1:51" ht="16.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7"/>
      <c r="AK1034" s="7"/>
      <c r="AL1034" s="7"/>
      <c r="AM1034" s="7"/>
      <c r="AN1034" s="7"/>
      <c r="AO1034" s="7"/>
      <c r="AP1034" s="7"/>
      <c r="AQ1034" s="7"/>
      <c r="AR1034" s="7"/>
      <c r="AS1034" s="7"/>
      <c r="AT1034" s="7"/>
      <c r="AU1034" s="3"/>
      <c r="AV1034" s="3"/>
      <c r="AW1034" s="3"/>
      <c r="AX1034" s="3"/>
      <c r="AY1034" s="3"/>
    </row>
    <row r="1035" spans="1:51" ht="16.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7"/>
      <c r="AK1035" s="7"/>
      <c r="AL1035" s="7"/>
      <c r="AM1035" s="7"/>
      <c r="AN1035" s="7"/>
      <c r="AO1035" s="7"/>
      <c r="AP1035" s="7"/>
      <c r="AQ1035" s="7"/>
      <c r="AR1035" s="7"/>
      <c r="AS1035" s="7"/>
      <c r="AT1035" s="7"/>
      <c r="AU1035" s="3"/>
      <c r="AV1035" s="3"/>
      <c r="AW1035" s="3"/>
      <c r="AX1035" s="3"/>
      <c r="AY1035" s="3"/>
    </row>
    <row r="1036" spans="1:51" ht="16.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7"/>
      <c r="AK1036" s="7"/>
      <c r="AL1036" s="7"/>
      <c r="AM1036" s="7"/>
      <c r="AN1036" s="7"/>
      <c r="AO1036" s="7"/>
      <c r="AP1036" s="7"/>
      <c r="AQ1036" s="7"/>
      <c r="AR1036" s="7"/>
      <c r="AS1036" s="7"/>
      <c r="AT1036" s="7"/>
      <c r="AU1036" s="3"/>
      <c r="AV1036" s="3"/>
      <c r="AW1036" s="3"/>
      <c r="AX1036" s="3"/>
      <c r="AY1036" s="3"/>
    </row>
    <row r="1037" spans="1:51" ht="16.5" customHeight="1">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7"/>
      <c r="AK1037" s="7"/>
      <c r="AL1037" s="7"/>
      <c r="AM1037" s="7"/>
      <c r="AN1037" s="7"/>
      <c r="AO1037" s="7"/>
      <c r="AP1037" s="7"/>
      <c r="AQ1037" s="7"/>
      <c r="AR1037" s="7"/>
      <c r="AS1037" s="7"/>
      <c r="AT1037" s="7"/>
      <c r="AU1037" s="3"/>
      <c r="AV1037" s="3"/>
      <c r="AW1037" s="3"/>
      <c r="AX1037" s="3"/>
      <c r="AY1037" s="3"/>
    </row>
    <row r="1038" spans="1:51" ht="16.5" customHeight="1">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7"/>
      <c r="AK1038" s="7"/>
      <c r="AL1038" s="7"/>
      <c r="AM1038" s="7"/>
      <c r="AN1038" s="7"/>
      <c r="AO1038" s="7"/>
      <c r="AP1038" s="7"/>
      <c r="AQ1038" s="7"/>
      <c r="AR1038" s="7"/>
      <c r="AS1038" s="7"/>
      <c r="AT1038" s="7"/>
      <c r="AU1038" s="3"/>
      <c r="AV1038" s="3"/>
      <c r="AW1038" s="3"/>
      <c r="AX1038" s="3"/>
      <c r="AY1038" s="3"/>
    </row>
    <row r="1039" spans="1:51" ht="16.5" customHeight="1">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7"/>
      <c r="AK1039" s="7"/>
      <c r="AL1039" s="7"/>
      <c r="AM1039" s="7"/>
      <c r="AN1039" s="7"/>
      <c r="AO1039" s="7"/>
      <c r="AP1039" s="7"/>
      <c r="AQ1039" s="7"/>
      <c r="AR1039" s="7"/>
      <c r="AS1039" s="7"/>
      <c r="AT1039" s="7"/>
      <c r="AU1039" s="3"/>
      <c r="AV1039" s="3"/>
      <c r="AW1039" s="3"/>
      <c r="AX1039" s="3"/>
      <c r="AY1039" s="3"/>
    </row>
    <row r="1040" spans="1:51" ht="16.5" customHeight="1">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7"/>
      <c r="AK1040" s="7"/>
      <c r="AL1040" s="7"/>
      <c r="AM1040" s="7"/>
      <c r="AN1040" s="7"/>
      <c r="AO1040" s="7"/>
      <c r="AP1040" s="7"/>
      <c r="AQ1040" s="7"/>
      <c r="AR1040" s="7"/>
      <c r="AS1040" s="7"/>
      <c r="AT1040" s="7"/>
      <c r="AU1040" s="3"/>
      <c r="AV1040" s="3"/>
      <c r="AW1040" s="3"/>
      <c r="AX1040" s="3"/>
      <c r="AY1040" s="3"/>
    </row>
    <row r="1041" spans="1:51" ht="16.5" customHeight="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7"/>
      <c r="AK1041" s="7"/>
      <c r="AL1041" s="7"/>
      <c r="AM1041" s="7"/>
      <c r="AN1041" s="7"/>
      <c r="AO1041" s="7"/>
      <c r="AP1041" s="7"/>
      <c r="AQ1041" s="7"/>
      <c r="AR1041" s="7"/>
      <c r="AS1041" s="7"/>
      <c r="AT1041" s="7"/>
      <c r="AU1041" s="3"/>
      <c r="AV1041" s="3"/>
      <c r="AW1041" s="3"/>
      <c r="AX1041" s="3"/>
      <c r="AY1041" s="3"/>
    </row>
    <row r="1042" spans="1:51" ht="16.5" customHeight="1">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7"/>
      <c r="AK1042" s="7"/>
      <c r="AL1042" s="7"/>
      <c r="AM1042" s="7"/>
      <c r="AN1042" s="7"/>
      <c r="AO1042" s="7"/>
      <c r="AP1042" s="7"/>
      <c r="AQ1042" s="7"/>
      <c r="AR1042" s="7"/>
      <c r="AS1042" s="7"/>
      <c r="AT1042" s="7"/>
      <c r="AU1042" s="3"/>
      <c r="AV1042" s="3"/>
      <c r="AW1042" s="3"/>
      <c r="AX1042" s="3"/>
      <c r="AY1042" s="3"/>
    </row>
    <row r="1043" spans="1:51" ht="16.5" customHeight="1">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7"/>
      <c r="AK1043" s="7"/>
      <c r="AL1043" s="7"/>
      <c r="AM1043" s="7"/>
      <c r="AN1043" s="7"/>
      <c r="AO1043" s="7"/>
      <c r="AP1043" s="7"/>
      <c r="AQ1043" s="7"/>
      <c r="AR1043" s="7"/>
      <c r="AS1043" s="7"/>
      <c r="AT1043" s="7"/>
      <c r="AU1043" s="3"/>
      <c r="AV1043" s="3"/>
      <c r="AW1043" s="3"/>
      <c r="AX1043" s="3"/>
      <c r="AY1043" s="3"/>
    </row>
    <row r="1044" spans="1:51" ht="16.5" customHeight="1">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7"/>
      <c r="AK1044" s="7"/>
      <c r="AL1044" s="7"/>
      <c r="AM1044" s="7"/>
      <c r="AN1044" s="7"/>
      <c r="AO1044" s="7"/>
      <c r="AP1044" s="7"/>
      <c r="AQ1044" s="7"/>
      <c r="AR1044" s="7"/>
      <c r="AS1044" s="7"/>
      <c r="AT1044" s="7"/>
      <c r="AU1044" s="3"/>
      <c r="AV1044" s="3"/>
      <c r="AW1044" s="3"/>
      <c r="AX1044" s="3"/>
      <c r="AY1044" s="3"/>
    </row>
    <row r="1045" spans="1:51" ht="16.5" customHeight="1">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7"/>
      <c r="AK1045" s="7"/>
      <c r="AL1045" s="7"/>
      <c r="AM1045" s="7"/>
      <c r="AN1045" s="7"/>
      <c r="AO1045" s="7"/>
      <c r="AP1045" s="7"/>
      <c r="AQ1045" s="7"/>
      <c r="AR1045" s="7"/>
      <c r="AS1045" s="7"/>
      <c r="AT1045" s="7"/>
      <c r="AU1045" s="3"/>
      <c r="AV1045" s="3"/>
      <c r="AW1045" s="3"/>
      <c r="AX1045" s="3"/>
      <c r="AY1045" s="3"/>
    </row>
    <row r="1046" spans="1:51" ht="16.5" customHeight="1">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7"/>
      <c r="AK1046" s="7"/>
      <c r="AL1046" s="7"/>
      <c r="AM1046" s="7"/>
      <c r="AN1046" s="7"/>
      <c r="AO1046" s="7"/>
      <c r="AP1046" s="7"/>
      <c r="AQ1046" s="7"/>
      <c r="AR1046" s="7"/>
      <c r="AS1046" s="7"/>
      <c r="AT1046" s="7"/>
      <c r="AU1046" s="3"/>
      <c r="AV1046" s="3"/>
      <c r="AW1046" s="3"/>
      <c r="AX1046" s="3"/>
      <c r="AY1046" s="3"/>
    </row>
    <row r="1047" spans="1:51" ht="16.5" customHeight="1">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7"/>
      <c r="AK1047" s="7"/>
      <c r="AL1047" s="7"/>
      <c r="AM1047" s="7"/>
      <c r="AN1047" s="7"/>
      <c r="AO1047" s="7"/>
      <c r="AP1047" s="7"/>
      <c r="AQ1047" s="7"/>
      <c r="AR1047" s="7"/>
      <c r="AS1047" s="7"/>
      <c r="AT1047" s="7"/>
      <c r="AU1047" s="3"/>
      <c r="AV1047" s="3"/>
      <c r="AW1047" s="3"/>
      <c r="AX1047" s="3"/>
      <c r="AY1047" s="3"/>
    </row>
    <row r="1048" spans="1:51" ht="16.5" customHeight="1">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7"/>
      <c r="AK1048" s="7"/>
      <c r="AL1048" s="7"/>
      <c r="AM1048" s="7"/>
      <c r="AN1048" s="7"/>
      <c r="AO1048" s="7"/>
      <c r="AP1048" s="7"/>
      <c r="AQ1048" s="7"/>
      <c r="AR1048" s="7"/>
      <c r="AS1048" s="7"/>
      <c r="AT1048" s="7"/>
      <c r="AU1048" s="3"/>
      <c r="AV1048" s="3"/>
      <c r="AW1048" s="3"/>
      <c r="AX1048" s="3"/>
      <c r="AY1048" s="3"/>
    </row>
    <row r="1049" spans="1:51" ht="16.5" customHeight="1">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7"/>
      <c r="AK1049" s="7"/>
      <c r="AL1049" s="7"/>
      <c r="AM1049" s="7"/>
      <c r="AN1049" s="7"/>
      <c r="AO1049" s="7"/>
      <c r="AP1049" s="7"/>
      <c r="AQ1049" s="7"/>
      <c r="AR1049" s="7"/>
      <c r="AS1049" s="7"/>
      <c r="AT1049" s="7"/>
      <c r="AU1049" s="3"/>
      <c r="AV1049" s="3"/>
      <c r="AW1049" s="3"/>
      <c r="AX1049" s="3"/>
      <c r="AY1049" s="3"/>
    </row>
    <row r="1050" spans="1:51" ht="16.5" customHeight="1">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7"/>
      <c r="AK1050" s="7"/>
      <c r="AL1050" s="7"/>
      <c r="AM1050" s="7"/>
      <c r="AN1050" s="7"/>
      <c r="AO1050" s="7"/>
      <c r="AP1050" s="7"/>
      <c r="AQ1050" s="7"/>
      <c r="AR1050" s="7"/>
      <c r="AS1050" s="7"/>
      <c r="AT1050" s="7"/>
      <c r="AU1050" s="3"/>
      <c r="AV1050" s="3"/>
      <c r="AW1050" s="3"/>
      <c r="AX1050" s="3"/>
      <c r="AY1050" s="3"/>
    </row>
    <row r="1051" spans="1:51" ht="16.5" customHeight="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7"/>
      <c r="AK1051" s="7"/>
      <c r="AL1051" s="7"/>
      <c r="AM1051" s="7"/>
      <c r="AN1051" s="7"/>
      <c r="AO1051" s="7"/>
      <c r="AP1051" s="7"/>
      <c r="AQ1051" s="7"/>
      <c r="AR1051" s="7"/>
      <c r="AS1051" s="7"/>
      <c r="AT1051" s="7"/>
      <c r="AU1051" s="3"/>
      <c r="AV1051" s="3"/>
      <c r="AW1051" s="3"/>
      <c r="AX1051" s="3"/>
      <c r="AY1051" s="3"/>
    </row>
    <row r="1052" spans="1:51" ht="16.5" customHeight="1">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7"/>
      <c r="AK1052" s="7"/>
      <c r="AL1052" s="7"/>
      <c r="AM1052" s="7"/>
      <c r="AN1052" s="7"/>
      <c r="AO1052" s="7"/>
      <c r="AP1052" s="7"/>
      <c r="AQ1052" s="7"/>
      <c r="AR1052" s="7"/>
      <c r="AS1052" s="7"/>
      <c r="AT1052" s="7"/>
      <c r="AU1052" s="3"/>
      <c r="AV1052" s="3"/>
      <c r="AW1052" s="3"/>
      <c r="AX1052" s="3"/>
      <c r="AY1052" s="3"/>
    </row>
    <row r="1053" spans="1:51" ht="16.5" customHeight="1">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7"/>
      <c r="AK1053" s="7"/>
      <c r="AL1053" s="7"/>
      <c r="AM1053" s="7"/>
      <c r="AN1053" s="7"/>
      <c r="AO1053" s="7"/>
      <c r="AP1053" s="7"/>
      <c r="AQ1053" s="7"/>
      <c r="AR1053" s="7"/>
      <c r="AS1053" s="7"/>
      <c r="AT1053" s="7"/>
      <c r="AU1053" s="3"/>
      <c r="AV1053" s="3"/>
      <c r="AW1053" s="3"/>
      <c r="AX1053" s="3"/>
      <c r="AY1053" s="3"/>
    </row>
    <row r="1054" spans="1:51" ht="16.5" customHeight="1">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7"/>
      <c r="AK1054" s="7"/>
      <c r="AL1054" s="7"/>
      <c r="AM1054" s="7"/>
      <c r="AN1054" s="7"/>
      <c r="AO1054" s="7"/>
      <c r="AP1054" s="7"/>
      <c r="AQ1054" s="7"/>
      <c r="AR1054" s="7"/>
      <c r="AS1054" s="7"/>
      <c r="AT1054" s="7"/>
      <c r="AU1054" s="3"/>
      <c r="AV1054" s="3"/>
      <c r="AW1054" s="3"/>
      <c r="AX1054" s="3"/>
      <c r="AY1054" s="3"/>
    </row>
    <row r="1055" spans="1:51" ht="16.5" customHeight="1">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7"/>
      <c r="AK1055" s="7"/>
      <c r="AL1055" s="7"/>
      <c r="AM1055" s="7"/>
      <c r="AN1055" s="7"/>
      <c r="AO1055" s="7"/>
      <c r="AP1055" s="7"/>
      <c r="AQ1055" s="7"/>
      <c r="AR1055" s="7"/>
      <c r="AS1055" s="7"/>
      <c r="AT1055" s="7"/>
      <c r="AU1055" s="3"/>
      <c r="AV1055" s="3"/>
      <c r="AW1055" s="3"/>
      <c r="AX1055" s="3"/>
      <c r="AY1055" s="3"/>
    </row>
    <row r="1056" spans="1:51" ht="16.5" customHeight="1">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7"/>
      <c r="AK1056" s="7"/>
      <c r="AL1056" s="7"/>
      <c r="AM1056" s="7"/>
      <c r="AN1056" s="7"/>
      <c r="AO1056" s="7"/>
      <c r="AP1056" s="7"/>
      <c r="AQ1056" s="7"/>
      <c r="AR1056" s="7"/>
      <c r="AS1056" s="7"/>
      <c r="AT1056" s="7"/>
      <c r="AU1056" s="3"/>
      <c r="AV1056" s="3"/>
      <c r="AW1056" s="3"/>
      <c r="AX1056" s="3"/>
      <c r="AY1056" s="3"/>
    </row>
    <row r="1057" spans="1:51" ht="16.5" customHeight="1">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7"/>
      <c r="AK1057" s="7"/>
      <c r="AL1057" s="7"/>
      <c r="AM1057" s="7"/>
      <c r="AN1057" s="7"/>
      <c r="AO1057" s="7"/>
      <c r="AP1057" s="7"/>
      <c r="AQ1057" s="7"/>
      <c r="AR1057" s="7"/>
      <c r="AS1057" s="7"/>
      <c r="AT1057" s="7"/>
      <c r="AU1057" s="3"/>
      <c r="AV1057" s="3"/>
      <c r="AW1057" s="3"/>
      <c r="AX1057" s="3"/>
      <c r="AY1057" s="3"/>
    </row>
    <row r="1058" spans="1:51" ht="16.5" customHeight="1">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7"/>
      <c r="AK1058" s="7"/>
      <c r="AL1058" s="7"/>
      <c r="AM1058" s="7"/>
      <c r="AN1058" s="7"/>
      <c r="AO1058" s="7"/>
      <c r="AP1058" s="7"/>
      <c r="AQ1058" s="7"/>
      <c r="AR1058" s="7"/>
      <c r="AS1058" s="7"/>
      <c r="AT1058" s="7"/>
      <c r="AU1058" s="3"/>
      <c r="AV1058" s="3"/>
      <c r="AW1058" s="3"/>
      <c r="AX1058" s="3"/>
      <c r="AY1058" s="3"/>
    </row>
    <row r="1059" spans="1:51" ht="16.5" customHeight="1">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7"/>
      <c r="AK1059" s="7"/>
      <c r="AL1059" s="7"/>
      <c r="AM1059" s="7"/>
      <c r="AN1059" s="7"/>
      <c r="AO1059" s="7"/>
      <c r="AP1059" s="7"/>
      <c r="AQ1059" s="7"/>
      <c r="AR1059" s="7"/>
      <c r="AS1059" s="7"/>
      <c r="AT1059" s="7"/>
      <c r="AU1059" s="3"/>
      <c r="AV1059" s="3"/>
      <c r="AW1059" s="3"/>
      <c r="AX1059" s="3"/>
      <c r="AY1059" s="3"/>
    </row>
    <row r="1060" spans="1:51" ht="16.5" customHeight="1">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7"/>
      <c r="AK1060" s="7"/>
      <c r="AL1060" s="7"/>
      <c r="AM1060" s="7"/>
      <c r="AN1060" s="7"/>
      <c r="AO1060" s="7"/>
      <c r="AP1060" s="7"/>
      <c r="AQ1060" s="7"/>
      <c r="AR1060" s="7"/>
      <c r="AS1060" s="7"/>
      <c r="AT1060" s="7"/>
      <c r="AU1060" s="3"/>
      <c r="AV1060" s="3"/>
      <c r="AW1060" s="3"/>
      <c r="AX1060" s="3"/>
      <c r="AY1060" s="3"/>
    </row>
    <row r="1061" spans="1:51" ht="16.5" customHeight="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7"/>
      <c r="AK1061" s="7"/>
      <c r="AL1061" s="7"/>
      <c r="AM1061" s="7"/>
      <c r="AN1061" s="7"/>
      <c r="AO1061" s="7"/>
      <c r="AP1061" s="7"/>
      <c r="AQ1061" s="7"/>
      <c r="AR1061" s="7"/>
      <c r="AS1061" s="7"/>
      <c r="AT1061" s="7"/>
      <c r="AU1061" s="3"/>
      <c r="AV1061" s="3"/>
      <c r="AW1061" s="3"/>
      <c r="AX1061" s="3"/>
      <c r="AY1061" s="3"/>
    </row>
    <row r="1062" spans="1:51" ht="16.5" customHeight="1">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7"/>
      <c r="AK1062" s="7"/>
      <c r="AL1062" s="7"/>
      <c r="AM1062" s="7"/>
      <c r="AN1062" s="7"/>
      <c r="AO1062" s="7"/>
      <c r="AP1062" s="7"/>
      <c r="AQ1062" s="7"/>
      <c r="AR1062" s="7"/>
      <c r="AS1062" s="7"/>
      <c r="AT1062" s="7"/>
      <c r="AU1062" s="3"/>
      <c r="AV1062" s="3"/>
      <c r="AW1062" s="3"/>
      <c r="AX1062" s="3"/>
      <c r="AY1062" s="3"/>
    </row>
    <row r="1063" spans="1:51" ht="16.5" customHeight="1">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7"/>
      <c r="AK1063" s="7"/>
      <c r="AL1063" s="7"/>
      <c r="AM1063" s="7"/>
      <c r="AN1063" s="7"/>
      <c r="AO1063" s="7"/>
      <c r="AP1063" s="7"/>
      <c r="AQ1063" s="7"/>
      <c r="AR1063" s="7"/>
      <c r="AS1063" s="7"/>
      <c r="AT1063" s="7"/>
      <c r="AU1063" s="3"/>
      <c r="AV1063" s="3"/>
      <c r="AW1063" s="3"/>
      <c r="AX1063" s="3"/>
      <c r="AY1063" s="3"/>
    </row>
    <row r="1064" spans="1:51" ht="16.5" customHeight="1">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7"/>
      <c r="AK1064" s="7"/>
      <c r="AL1064" s="7"/>
      <c r="AM1064" s="7"/>
      <c r="AN1064" s="7"/>
      <c r="AO1064" s="7"/>
      <c r="AP1064" s="7"/>
      <c r="AQ1064" s="7"/>
      <c r="AR1064" s="7"/>
      <c r="AS1064" s="7"/>
      <c r="AT1064" s="7"/>
      <c r="AU1064" s="3"/>
      <c r="AV1064" s="3"/>
      <c r="AW1064" s="3"/>
      <c r="AX1064" s="3"/>
      <c r="AY1064" s="3"/>
    </row>
    <row r="1065" spans="1:51" ht="16.5" customHeight="1">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7"/>
      <c r="AK1065" s="7"/>
      <c r="AL1065" s="7"/>
      <c r="AM1065" s="7"/>
      <c r="AN1065" s="7"/>
      <c r="AO1065" s="7"/>
      <c r="AP1065" s="7"/>
      <c r="AQ1065" s="7"/>
      <c r="AR1065" s="7"/>
      <c r="AS1065" s="7"/>
      <c r="AT1065" s="7"/>
      <c r="AU1065" s="3"/>
      <c r="AV1065" s="3"/>
      <c r="AW1065" s="3"/>
      <c r="AX1065" s="3"/>
      <c r="AY1065" s="3"/>
    </row>
    <row r="1066" spans="1:51" ht="16.5" customHeight="1">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7"/>
      <c r="AK1066" s="7"/>
      <c r="AL1066" s="7"/>
      <c r="AM1066" s="7"/>
      <c r="AN1066" s="7"/>
      <c r="AO1066" s="7"/>
      <c r="AP1066" s="7"/>
      <c r="AQ1066" s="7"/>
      <c r="AR1066" s="7"/>
      <c r="AS1066" s="7"/>
      <c r="AT1066" s="7"/>
      <c r="AU1066" s="3"/>
      <c r="AV1066" s="3"/>
      <c r="AW1066" s="3"/>
      <c r="AX1066" s="3"/>
      <c r="AY1066" s="3"/>
    </row>
    <row r="1067" spans="1:51" ht="16.5" customHeight="1">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7"/>
      <c r="AK1067" s="7"/>
      <c r="AL1067" s="7"/>
      <c r="AM1067" s="7"/>
      <c r="AN1067" s="7"/>
      <c r="AO1067" s="7"/>
      <c r="AP1067" s="7"/>
      <c r="AQ1067" s="7"/>
      <c r="AR1067" s="7"/>
      <c r="AS1067" s="7"/>
      <c r="AT1067" s="7"/>
      <c r="AU1067" s="3"/>
      <c r="AV1067" s="3"/>
      <c r="AW1067" s="3"/>
      <c r="AX1067" s="3"/>
      <c r="AY1067" s="3"/>
    </row>
    <row r="1068" spans="1:51" ht="16.5" customHeight="1">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7"/>
      <c r="AK1068" s="7"/>
      <c r="AL1068" s="7"/>
      <c r="AM1068" s="7"/>
      <c r="AN1068" s="7"/>
      <c r="AO1068" s="7"/>
      <c r="AP1068" s="7"/>
      <c r="AQ1068" s="7"/>
      <c r="AR1068" s="7"/>
      <c r="AS1068" s="7"/>
      <c r="AT1068" s="7"/>
      <c r="AU1068" s="3"/>
      <c r="AV1068" s="3"/>
      <c r="AW1068" s="3"/>
      <c r="AX1068" s="3"/>
      <c r="AY1068" s="3"/>
    </row>
    <row r="1069" spans="1:51" ht="16.5" customHeight="1">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7"/>
      <c r="AK1069" s="7"/>
      <c r="AL1069" s="7"/>
      <c r="AM1069" s="7"/>
      <c r="AN1069" s="7"/>
      <c r="AO1069" s="7"/>
      <c r="AP1069" s="7"/>
      <c r="AQ1069" s="7"/>
      <c r="AR1069" s="7"/>
      <c r="AS1069" s="7"/>
      <c r="AT1069" s="7"/>
      <c r="AU1069" s="3"/>
      <c r="AV1069" s="3"/>
      <c r="AW1069" s="3"/>
      <c r="AX1069" s="3"/>
      <c r="AY1069" s="3"/>
    </row>
    <row r="1070" spans="1:51" ht="16.5" customHeight="1">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7"/>
      <c r="AK1070" s="7"/>
      <c r="AL1070" s="7"/>
      <c r="AM1070" s="7"/>
      <c r="AN1070" s="7"/>
      <c r="AO1070" s="7"/>
      <c r="AP1070" s="7"/>
      <c r="AQ1070" s="7"/>
      <c r="AR1070" s="7"/>
      <c r="AS1070" s="7"/>
      <c r="AT1070" s="7"/>
      <c r="AU1070" s="3"/>
      <c r="AV1070" s="3"/>
      <c r="AW1070" s="3"/>
      <c r="AX1070" s="3"/>
      <c r="AY1070" s="3"/>
    </row>
    <row r="1071" spans="1:51" ht="16.5" customHeight="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7"/>
      <c r="AK1071" s="7"/>
      <c r="AL1071" s="7"/>
      <c r="AM1071" s="7"/>
      <c r="AN1071" s="7"/>
      <c r="AO1071" s="7"/>
      <c r="AP1071" s="7"/>
      <c r="AQ1071" s="7"/>
      <c r="AR1071" s="7"/>
      <c r="AS1071" s="7"/>
      <c r="AT1071" s="7"/>
      <c r="AU1071" s="3"/>
      <c r="AV1071" s="3"/>
      <c r="AW1071" s="3"/>
      <c r="AX1071" s="3"/>
      <c r="AY1071" s="3"/>
    </row>
    <row r="1072" spans="1:51" ht="16.5" customHeight="1">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7"/>
      <c r="AK1072" s="7"/>
      <c r="AL1072" s="7"/>
      <c r="AM1072" s="7"/>
      <c r="AN1072" s="7"/>
      <c r="AO1072" s="7"/>
      <c r="AP1072" s="7"/>
      <c r="AQ1072" s="7"/>
      <c r="AR1072" s="7"/>
      <c r="AS1072" s="7"/>
      <c r="AT1072" s="7"/>
      <c r="AU1072" s="3"/>
      <c r="AV1072" s="3"/>
      <c r="AW1072" s="3"/>
      <c r="AX1072" s="3"/>
      <c r="AY1072" s="3"/>
    </row>
    <row r="1073" spans="1:51" ht="16.5" customHeight="1">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7"/>
      <c r="AK1073" s="7"/>
      <c r="AL1073" s="7"/>
      <c r="AM1073" s="7"/>
      <c r="AN1073" s="7"/>
      <c r="AO1073" s="7"/>
      <c r="AP1073" s="7"/>
      <c r="AQ1073" s="7"/>
      <c r="AR1073" s="7"/>
      <c r="AS1073" s="7"/>
      <c r="AT1073" s="7"/>
      <c r="AU1073" s="3"/>
      <c r="AV1073" s="3"/>
      <c r="AW1073" s="3"/>
      <c r="AX1073" s="3"/>
      <c r="AY1073" s="3"/>
    </row>
    <row r="1074" spans="1:51" ht="16.5" customHeight="1">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7"/>
      <c r="AK1074" s="7"/>
      <c r="AL1074" s="7"/>
      <c r="AM1074" s="7"/>
      <c r="AN1074" s="7"/>
      <c r="AO1074" s="7"/>
      <c r="AP1074" s="7"/>
      <c r="AQ1074" s="7"/>
      <c r="AR1074" s="7"/>
      <c r="AS1074" s="7"/>
      <c r="AT1074" s="7"/>
      <c r="AU1074" s="3"/>
      <c r="AV1074" s="3"/>
      <c r="AW1074" s="3"/>
      <c r="AX1074" s="3"/>
      <c r="AY1074" s="3"/>
    </row>
    <row r="1075" spans="1:51" ht="16.5" customHeight="1">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7"/>
      <c r="AK1075" s="7"/>
      <c r="AL1075" s="7"/>
      <c r="AM1075" s="7"/>
      <c r="AN1075" s="7"/>
      <c r="AO1075" s="7"/>
      <c r="AP1075" s="7"/>
      <c r="AQ1075" s="7"/>
      <c r="AR1075" s="7"/>
      <c r="AS1075" s="7"/>
      <c r="AT1075" s="7"/>
      <c r="AU1075" s="3"/>
      <c r="AV1075" s="3"/>
      <c r="AW1075" s="3"/>
      <c r="AX1075" s="3"/>
      <c r="AY1075" s="3"/>
    </row>
    <row r="1076" spans="1:51" ht="16.5" customHeight="1">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7"/>
      <c r="AK1076" s="7"/>
      <c r="AL1076" s="7"/>
      <c r="AM1076" s="7"/>
      <c r="AN1076" s="7"/>
      <c r="AO1076" s="7"/>
      <c r="AP1076" s="7"/>
      <c r="AQ1076" s="7"/>
      <c r="AR1076" s="7"/>
      <c r="AS1076" s="7"/>
      <c r="AT1076" s="7"/>
      <c r="AU1076" s="3"/>
      <c r="AV1076" s="3"/>
      <c r="AW1076" s="3"/>
      <c r="AX1076" s="3"/>
      <c r="AY1076" s="3"/>
    </row>
    <row r="1077" spans="1:51" ht="16.5" customHeight="1">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7"/>
      <c r="AK1077" s="7"/>
      <c r="AL1077" s="7"/>
      <c r="AM1077" s="7"/>
      <c r="AN1077" s="7"/>
      <c r="AO1077" s="7"/>
      <c r="AP1077" s="7"/>
      <c r="AQ1077" s="7"/>
      <c r="AR1077" s="7"/>
      <c r="AS1077" s="7"/>
      <c r="AT1077" s="7"/>
      <c r="AU1077" s="3"/>
      <c r="AV1077" s="3"/>
      <c r="AW1077" s="3"/>
      <c r="AX1077" s="3"/>
      <c r="AY1077" s="3"/>
    </row>
    <row r="1078" spans="1:51" ht="16.5" customHeight="1">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7"/>
      <c r="AK1078" s="7"/>
      <c r="AL1078" s="7"/>
      <c r="AM1078" s="7"/>
      <c r="AN1078" s="7"/>
      <c r="AO1078" s="7"/>
      <c r="AP1078" s="7"/>
      <c r="AQ1078" s="7"/>
      <c r="AR1078" s="7"/>
      <c r="AS1078" s="7"/>
      <c r="AT1078" s="7"/>
      <c r="AU1078" s="3"/>
      <c r="AV1078" s="3"/>
      <c r="AW1078" s="3"/>
      <c r="AX1078" s="3"/>
      <c r="AY1078" s="3"/>
    </row>
    <row r="1079" spans="1:51" ht="16.5" customHeight="1">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7"/>
      <c r="AK1079" s="7"/>
      <c r="AL1079" s="7"/>
      <c r="AM1079" s="7"/>
      <c r="AN1079" s="7"/>
      <c r="AO1079" s="7"/>
      <c r="AP1079" s="7"/>
      <c r="AQ1079" s="7"/>
      <c r="AR1079" s="7"/>
      <c r="AS1079" s="7"/>
      <c r="AT1079" s="7"/>
      <c r="AU1079" s="3"/>
      <c r="AV1079" s="3"/>
      <c r="AW1079" s="3"/>
      <c r="AX1079" s="3"/>
      <c r="AY1079" s="3"/>
    </row>
    <row r="1080" spans="1:51" ht="16.5" customHeight="1">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7"/>
      <c r="AK1080" s="7"/>
      <c r="AL1080" s="7"/>
      <c r="AM1080" s="7"/>
      <c r="AN1080" s="7"/>
      <c r="AO1080" s="7"/>
      <c r="AP1080" s="7"/>
      <c r="AQ1080" s="7"/>
      <c r="AR1080" s="7"/>
      <c r="AS1080" s="7"/>
      <c r="AT1080" s="7"/>
      <c r="AU1080" s="3"/>
      <c r="AV1080" s="3"/>
      <c r="AW1080" s="3"/>
      <c r="AX1080" s="3"/>
      <c r="AY1080" s="3"/>
    </row>
    <row r="1081" spans="1:51" ht="16.5" customHeight="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7"/>
      <c r="AK1081" s="7"/>
      <c r="AL1081" s="7"/>
      <c r="AM1081" s="7"/>
      <c r="AN1081" s="7"/>
      <c r="AO1081" s="7"/>
      <c r="AP1081" s="7"/>
      <c r="AQ1081" s="7"/>
      <c r="AR1081" s="7"/>
      <c r="AS1081" s="7"/>
      <c r="AT1081" s="7"/>
      <c r="AU1081" s="3"/>
      <c r="AV1081" s="3"/>
      <c r="AW1081" s="3"/>
      <c r="AX1081" s="3"/>
      <c r="AY1081" s="3"/>
    </row>
    <row r="1082" spans="1:51" ht="16.5" customHeight="1">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7"/>
      <c r="AK1082" s="7"/>
      <c r="AL1082" s="7"/>
      <c r="AM1082" s="7"/>
      <c r="AN1082" s="7"/>
      <c r="AO1082" s="7"/>
      <c r="AP1082" s="7"/>
      <c r="AQ1082" s="7"/>
      <c r="AR1082" s="7"/>
      <c r="AS1082" s="7"/>
      <c r="AT1082" s="7"/>
      <c r="AU1082" s="3"/>
      <c r="AV1082" s="3"/>
      <c r="AW1082" s="3"/>
      <c r="AX1082" s="3"/>
      <c r="AY1082" s="3"/>
    </row>
    <row r="1083" spans="1:51" ht="16.5" customHeight="1">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7"/>
      <c r="AK1083" s="7"/>
      <c r="AL1083" s="7"/>
      <c r="AM1083" s="7"/>
      <c r="AN1083" s="7"/>
      <c r="AO1083" s="7"/>
      <c r="AP1083" s="7"/>
      <c r="AQ1083" s="7"/>
      <c r="AR1083" s="7"/>
      <c r="AS1083" s="7"/>
      <c r="AT1083" s="7"/>
      <c r="AU1083" s="3"/>
      <c r="AV1083" s="3"/>
      <c r="AW1083" s="3"/>
      <c r="AX1083" s="3"/>
      <c r="AY1083" s="3"/>
    </row>
    <row r="1084" spans="1:51" ht="16.5" customHeight="1">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7"/>
      <c r="AK1084" s="7"/>
      <c r="AL1084" s="7"/>
      <c r="AM1084" s="7"/>
      <c r="AN1084" s="7"/>
      <c r="AO1084" s="7"/>
      <c r="AP1084" s="7"/>
      <c r="AQ1084" s="7"/>
      <c r="AR1084" s="7"/>
      <c r="AS1084" s="7"/>
      <c r="AT1084" s="7"/>
      <c r="AU1084" s="3"/>
      <c r="AV1084" s="3"/>
      <c r="AW1084" s="3"/>
      <c r="AX1084" s="3"/>
      <c r="AY1084" s="3"/>
    </row>
    <row r="1085" spans="1:51" ht="16.5" customHeight="1">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7"/>
      <c r="AK1085" s="7"/>
      <c r="AL1085" s="7"/>
      <c r="AM1085" s="7"/>
      <c r="AN1085" s="7"/>
      <c r="AO1085" s="7"/>
      <c r="AP1085" s="7"/>
      <c r="AQ1085" s="7"/>
      <c r="AR1085" s="7"/>
      <c r="AS1085" s="7"/>
      <c r="AT1085" s="7"/>
      <c r="AU1085" s="3"/>
      <c r="AV1085" s="3"/>
      <c r="AW1085" s="3"/>
      <c r="AX1085" s="3"/>
      <c r="AY1085" s="3"/>
    </row>
    <row r="1086" spans="1:51" ht="16.5" customHeight="1">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7"/>
      <c r="AK1086" s="7"/>
      <c r="AL1086" s="7"/>
      <c r="AM1086" s="7"/>
      <c r="AN1086" s="7"/>
      <c r="AO1086" s="7"/>
      <c r="AP1086" s="7"/>
      <c r="AQ1086" s="7"/>
      <c r="AR1086" s="7"/>
      <c r="AS1086" s="7"/>
      <c r="AT1086" s="7"/>
      <c r="AU1086" s="3"/>
      <c r="AV1086" s="3"/>
      <c r="AW1086" s="3"/>
      <c r="AX1086" s="3"/>
      <c r="AY1086" s="3"/>
    </row>
    <row r="1087" spans="1:51" ht="16.5" customHeight="1">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7"/>
      <c r="AK1087" s="7"/>
      <c r="AL1087" s="7"/>
      <c r="AM1087" s="7"/>
      <c r="AN1087" s="7"/>
      <c r="AO1087" s="7"/>
      <c r="AP1087" s="7"/>
      <c r="AQ1087" s="7"/>
      <c r="AR1087" s="7"/>
      <c r="AS1087" s="7"/>
      <c r="AT1087" s="7"/>
      <c r="AU1087" s="3"/>
      <c r="AV1087" s="3"/>
      <c r="AW1087" s="3"/>
      <c r="AX1087" s="3"/>
      <c r="AY1087" s="3"/>
    </row>
    <row r="1088" spans="1:51" ht="16.5" customHeight="1">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7"/>
      <c r="AK1088" s="7"/>
      <c r="AL1088" s="7"/>
      <c r="AM1088" s="7"/>
      <c r="AN1088" s="7"/>
      <c r="AO1088" s="7"/>
      <c r="AP1088" s="7"/>
      <c r="AQ1088" s="7"/>
      <c r="AR1088" s="7"/>
      <c r="AS1088" s="7"/>
      <c r="AT1088" s="7"/>
      <c r="AU1088" s="3"/>
      <c r="AV1088" s="3"/>
      <c r="AW1088" s="3"/>
      <c r="AX1088" s="3"/>
      <c r="AY1088" s="3"/>
    </row>
    <row r="1089" spans="1:51" ht="16.5" customHeight="1">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7"/>
      <c r="AK1089" s="7"/>
      <c r="AL1089" s="7"/>
      <c r="AM1089" s="7"/>
      <c r="AN1089" s="7"/>
      <c r="AO1089" s="7"/>
      <c r="AP1089" s="7"/>
      <c r="AQ1089" s="7"/>
      <c r="AR1089" s="7"/>
      <c r="AS1089" s="7"/>
      <c r="AT1089" s="7"/>
      <c r="AU1089" s="3"/>
      <c r="AV1089" s="3"/>
      <c r="AW1089" s="3"/>
      <c r="AX1089" s="3"/>
      <c r="AY1089" s="3"/>
    </row>
    <row r="1090" spans="1:51" ht="16.5" customHeight="1">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7"/>
      <c r="AK1090" s="7"/>
      <c r="AL1090" s="7"/>
      <c r="AM1090" s="7"/>
      <c r="AN1090" s="7"/>
      <c r="AO1090" s="7"/>
      <c r="AP1090" s="7"/>
      <c r="AQ1090" s="7"/>
      <c r="AR1090" s="7"/>
      <c r="AS1090" s="7"/>
      <c r="AT1090" s="7"/>
      <c r="AU1090" s="3"/>
      <c r="AV1090" s="3"/>
      <c r="AW1090" s="3"/>
      <c r="AX1090" s="3"/>
      <c r="AY1090" s="3"/>
    </row>
    <row r="1091" spans="1:51" ht="16.5" customHeight="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7"/>
      <c r="AK1091" s="7"/>
      <c r="AL1091" s="7"/>
      <c r="AM1091" s="7"/>
      <c r="AN1091" s="7"/>
      <c r="AO1091" s="7"/>
      <c r="AP1091" s="7"/>
      <c r="AQ1091" s="7"/>
      <c r="AR1091" s="7"/>
      <c r="AS1091" s="7"/>
      <c r="AT1091" s="7"/>
      <c r="AU1091" s="3"/>
      <c r="AV1091" s="3"/>
      <c r="AW1091" s="3"/>
      <c r="AX1091" s="3"/>
      <c r="AY1091" s="3"/>
    </row>
    <row r="1092" spans="1:51" ht="16.5" customHeight="1">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7"/>
      <c r="AK1092" s="7"/>
      <c r="AL1092" s="7"/>
      <c r="AM1092" s="7"/>
      <c r="AN1092" s="7"/>
      <c r="AO1092" s="7"/>
      <c r="AP1092" s="7"/>
      <c r="AQ1092" s="7"/>
      <c r="AR1092" s="7"/>
      <c r="AS1092" s="7"/>
      <c r="AT1092" s="7"/>
      <c r="AU1092" s="3"/>
      <c r="AV1092" s="3"/>
      <c r="AW1092" s="3"/>
      <c r="AX1092" s="3"/>
      <c r="AY1092" s="3"/>
    </row>
    <row r="1093" spans="1:51" ht="16.5" customHeight="1">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7"/>
      <c r="AK1093" s="7"/>
      <c r="AL1093" s="7"/>
      <c r="AM1093" s="7"/>
      <c r="AN1093" s="7"/>
      <c r="AO1093" s="7"/>
      <c r="AP1093" s="7"/>
      <c r="AQ1093" s="7"/>
      <c r="AR1093" s="7"/>
      <c r="AS1093" s="7"/>
      <c r="AT1093" s="7"/>
      <c r="AU1093" s="3"/>
      <c r="AV1093" s="3"/>
      <c r="AW1093" s="3"/>
      <c r="AX1093" s="3"/>
      <c r="AY1093" s="3"/>
    </row>
    <row r="1094" spans="1:51" ht="16.5" customHeight="1">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7"/>
      <c r="AK1094" s="7"/>
      <c r="AL1094" s="7"/>
      <c r="AM1094" s="7"/>
      <c r="AN1094" s="7"/>
      <c r="AO1094" s="7"/>
      <c r="AP1094" s="7"/>
      <c r="AQ1094" s="7"/>
      <c r="AR1094" s="7"/>
      <c r="AS1094" s="7"/>
      <c r="AT1094" s="7"/>
      <c r="AU1094" s="3"/>
      <c r="AV1094" s="3"/>
      <c r="AW1094" s="3"/>
      <c r="AX1094" s="3"/>
      <c r="AY1094" s="3"/>
    </row>
    <row r="1095" spans="1:51" ht="16.5" customHeight="1">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7"/>
      <c r="AK1095" s="7"/>
      <c r="AL1095" s="7"/>
      <c r="AM1095" s="7"/>
      <c r="AN1095" s="7"/>
      <c r="AO1095" s="7"/>
      <c r="AP1095" s="7"/>
      <c r="AQ1095" s="7"/>
      <c r="AR1095" s="7"/>
      <c r="AS1095" s="7"/>
      <c r="AT1095" s="7"/>
      <c r="AU1095" s="3"/>
      <c r="AV1095" s="3"/>
      <c r="AW1095" s="3"/>
      <c r="AX1095" s="3"/>
      <c r="AY1095" s="3"/>
    </row>
    <row r="1096" spans="1:51" ht="16.5" customHeight="1">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7"/>
      <c r="AK1096" s="7"/>
      <c r="AL1096" s="7"/>
      <c r="AM1096" s="7"/>
      <c r="AN1096" s="7"/>
      <c r="AO1096" s="7"/>
      <c r="AP1096" s="7"/>
      <c r="AQ1096" s="7"/>
      <c r="AR1096" s="7"/>
      <c r="AS1096" s="7"/>
      <c r="AT1096" s="7"/>
      <c r="AU1096" s="3"/>
      <c r="AV1096" s="3"/>
      <c r="AW1096" s="3"/>
      <c r="AX1096" s="3"/>
      <c r="AY1096" s="3"/>
    </row>
    <row r="1097" spans="1:51" ht="16.5" customHeight="1">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7"/>
      <c r="AK1097" s="7"/>
      <c r="AL1097" s="7"/>
      <c r="AM1097" s="7"/>
      <c r="AN1097" s="7"/>
      <c r="AO1097" s="7"/>
      <c r="AP1097" s="7"/>
      <c r="AQ1097" s="7"/>
      <c r="AR1097" s="7"/>
      <c r="AS1097" s="7"/>
      <c r="AT1097" s="7"/>
      <c r="AU1097" s="3"/>
      <c r="AV1097" s="3"/>
      <c r="AW1097" s="3"/>
      <c r="AX1097" s="3"/>
      <c r="AY1097" s="3"/>
    </row>
    <row r="1098" spans="1:51" ht="16.5" customHeight="1">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7"/>
      <c r="AK1098" s="7"/>
      <c r="AL1098" s="7"/>
      <c r="AM1098" s="7"/>
      <c r="AN1098" s="7"/>
      <c r="AO1098" s="7"/>
      <c r="AP1098" s="7"/>
      <c r="AQ1098" s="7"/>
      <c r="AR1098" s="7"/>
      <c r="AS1098" s="7"/>
      <c r="AT1098" s="7"/>
      <c r="AU1098" s="3"/>
      <c r="AV1098" s="3"/>
      <c r="AW1098" s="3"/>
      <c r="AX1098" s="3"/>
      <c r="AY1098" s="3"/>
    </row>
    <row r="1099" spans="1:51" ht="16.5" customHeight="1">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7"/>
      <c r="AK1099" s="7"/>
      <c r="AL1099" s="7"/>
      <c r="AM1099" s="7"/>
      <c r="AN1099" s="7"/>
      <c r="AO1099" s="7"/>
      <c r="AP1099" s="7"/>
      <c r="AQ1099" s="7"/>
      <c r="AR1099" s="7"/>
      <c r="AS1099" s="7"/>
      <c r="AT1099" s="7"/>
      <c r="AU1099" s="3"/>
      <c r="AV1099" s="3"/>
      <c r="AW1099" s="3"/>
      <c r="AX1099" s="3"/>
      <c r="AY1099" s="3"/>
    </row>
    <row r="1100" spans="1:51" ht="16.5" customHeight="1">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7"/>
      <c r="AK1100" s="7"/>
      <c r="AL1100" s="7"/>
      <c r="AM1100" s="7"/>
      <c r="AN1100" s="7"/>
      <c r="AO1100" s="7"/>
      <c r="AP1100" s="7"/>
      <c r="AQ1100" s="7"/>
      <c r="AR1100" s="7"/>
      <c r="AS1100" s="7"/>
      <c r="AT1100" s="7"/>
      <c r="AU1100" s="3"/>
      <c r="AV1100" s="3"/>
      <c r="AW1100" s="3"/>
      <c r="AX1100" s="3"/>
      <c r="AY1100" s="3"/>
    </row>
    <row r="1101" spans="1:51" ht="16.5" customHeight="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7"/>
      <c r="AK1101" s="7"/>
      <c r="AL1101" s="7"/>
      <c r="AM1101" s="7"/>
      <c r="AN1101" s="7"/>
      <c r="AO1101" s="7"/>
      <c r="AP1101" s="7"/>
      <c r="AQ1101" s="7"/>
      <c r="AR1101" s="7"/>
      <c r="AS1101" s="7"/>
      <c r="AT1101" s="7"/>
      <c r="AU1101" s="3"/>
      <c r="AV1101" s="3"/>
      <c r="AW1101" s="3"/>
      <c r="AX1101" s="3"/>
      <c r="AY1101" s="3"/>
    </row>
    <row r="1102" spans="1:51" ht="16.5" customHeight="1">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7"/>
      <c r="AK1102" s="7"/>
      <c r="AL1102" s="7"/>
      <c r="AM1102" s="7"/>
      <c r="AN1102" s="7"/>
      <c r="AO1102" s="7"/>
      <c r="AP1102" s="7"/>
      <c r="AQ1102" s="7"/>
      <c r="AR1102" s="7"/>
      <c r="AS1102" s="7"/>
      <c r="AT1102" s="7"/>
      <c r="AU1102" s="3"/>
      <c r="AV1102" s="3"/>
      <c r="AW1102" s="3"/>
      <c r="AX1102" s="3"/>
      <c r="AY1102" s="3"/>
    </row>
    <row r="1103" spans="1:51" ht="16.5" customHeight="1">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7"/>
      <c r="AK1103" s="7"/>
      <c r="AL1103" s="7"/>
      <c r="AM1103" s="7"/>
      <c r="AN1103" s="7"/>
      <c r="AO1103" s="7"/>
      <c r="AP1103" s="7"/>
      <c r="AQ1103" s="7"/>
      <c r="AR1103" s="7"/>
      <c r="AS1103" s="7"/>
      <c r="AT1103" s="7"/>
      <c r="AU1103" s="3"/>
      <c r="AV1103" s="3"/>
      <c r="AW1103" s="3"/>
      <c r="AX1103" s="3"/>
      <c r="AY1103" s="3"/>
    </row>
    <row r="1104" spans="1:51" ht="16.5" customHeight="1">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7"/>
      <c r="AK1104" s="7"/>
      <c r="AL1104" s="7"/>
      <c r="AM1104" s="7"/>
      <c r="AN1104" s="7"/>
      <c r="AO1104" s="7"/>
      <c r="AP1104" s="7"/>
      <c r="AQ1104" s="7"/>
      <c r="AR1104" s="7"/>
      <c r="AS1104" s="7"/>
      <c r="AT1104" s="7"/>
      <c r="AU1104" s="3"/>
      <c r="AV1104" s="3"/>
      <c r="AW1104" s="3"/>
      <c r="AX1104" s="3"/>
      <c r="AY1104" s="3"/>
    </row>
    <row r="1105" spans="1:51" ht="16.5" customHeight="1">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7"/>
      <c r="AK1105" s="7"/>
      <c r="AL1105" s="7"/>
      <c r="AM1105" s="7"/>
      <c r="AN1105" s="7"/>
      <c r="AO1105" s="7"/>
      <c r="AP1105" s="7"/>
      <c r="AQ1105" s="7"/>
      <c r="AR1105" s="7"/>
      <c r="AS1105" s="7"/>
      <c r="AT1105" s="7"/>
      <c r="AU1105" s="3"/>
      <c r="AV1105" s="3"/>
      <c r="AW1105" s="3"/>
      <c r="AX1105" s="3"/>
      <c r="AY1105" s="3"/>
    </row>
    <row r="1106" spans="1:51" ht="16.5" customHeight="1">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7"/>
      <c r="AK1106" s="7"/>
      <c r="AL1106" s="7"/>
      <c r="AM1106" s="7"/>
      <c r="AN1106" s="7"/>
      <c r="AO1106" s="7"/>
      <c r="AP1106" s="7"/>
      <c r="AQ1106" s="7"/>
      <c r="AR1106" s="7"/>
      <c r="AS1106" s="7"/>
      <c r="AT1106" s="7"/>
      <c r="AU1106" s="3"/>
      <c r="AV1106" s="3"/>
      <c r="AW1106" s="3"/>
      <c r="AX1106" s="3"/>
      <c r="AY1106" s="3"/>
    </row>
    <row r="1107" spans="1:51" ht="16.5" customHeight="1">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7"/>
      <c r="AK1107" s="7"/>
      <c r="AL1107" s="7"/>
      <c r="AM1107" s="7"/>
      <c r="AN1107" s="7"/>
      <c r="AO1107" s="7"/>
      <c r="AP1107" s="7"/>
      <c r="AQ1107" s="7"/>
      <c r="AR1107" s="7"/>
      <c r="AS1107" s="7"/>
      <c r="AT1107" s="7"/>
      <c r="AU1107" s="3"/>
      <c r="AV1107" s="3"/>
      <c r="AW1107" s="3"/>
      <c r="AX1107" s="3"/>
      <c r="AY1107" s="3"/>
    </row>
    <row r="1108" spans="1:51" ht="16.5" customHeight="1">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7"/>
      <c r="AK1108" s="7"/>
      <c r="AL1108" s="7"/>
      <c r="AM1108" s="7"/>
      <c r="AN1108" s="7"/>
      <c r="AO1108" s="7"/>
      <c r="AP1108" s="7"/>
      <c r="AQ1108" s="7"/>
      <c r="AR1108" s="7"/>
      <c r="AS1108" s="7"/>
      <c r="AT1108" s="7"/>
      <c r="AU1108" s="3"/>
      <c r="AV1108" s="3"/>
      <c r="AW1108" s="3"/>
      <c r="AX1108" s="3"/>
      <c r="AY1108" s="3"/>
    </row>
    <row r="1109" spans="1:51" ht="16.5" customHeight="1">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7"/>
      <c r="AK1109" s="7"/>
      <c r="AL1109" s="7"/>
      <c r="AM1109" s="7"/>
      <c r="AN1109" s="7"/>
      <c r="AO1109" s="7"/>
      <c r="AP1109" s="7"/>
      <c r="AQ1109" s="7"/>
      <c r="AR1109" s="7"/>
      <c r="AS1109" s="7"/>
      <c r="AT1109" s="7"/>
      <c r="AU1109" s="3"/>
      <c r="AV1109" s="3"/>
      <c r="AW1109" s="3"/>
      <c r="AX1109" s="3"/>
      <c r="AY1109" s="3"/>
    </row>
    <row r="1110" spans="1:51" ht="16.5" customHeight="1">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7"/>
      <c r="AK1110" s="7"/>
      <c r="AL1110" s="7"/>
      <c r="AM1110" s="7"/>
      <c r="AN1110" s="7"/>
      <c r="AO1110" s="7"/>
      <c r="AP1110" s="7"/>
      <c r="AQ1110" s="7"/>
      <c r="AR1110" s="7"/>
      <c r="AS1110" s="7"/>
      <c r="AT1110" s="7"/>
      <c r="AU1110" s="3"/>
      <c r="AV1110" s="3"/>
      <c r="AW1110" s="3"/>
      <c r="AX1110" s="3"/>
      <c r="AY1110" s="3"/>
    </row>
    <row r="1111" spans="1:51" ht="16.5" customHeight="1">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7"/>
      <c r="AK1111" s="7"/>
      <c r="AL1111" s="7"/>
      <c r="AM1111" s="7"/>
      <c r="AN1111" s="7"/>
      <c r="AO1111" s="7"/>
      <c r="AP1111" s="7"/>
      <c r="AQ1111" s="7"/>
      <c r="AR1111" s="7"/>
      <c r="AS1111" s="7"/>
      <c r="AT1111" s="7"/>
      <c r="AU1111" s="3"/>
      <c r="AV1111" s="3"/>
      <c r="AW1111" s="3"/>
      <c r="AX1111" s="3"/>
      <c r="AY1111" s="3"/>
    </row>
    <row r="1112" spans="1:51" ht="16.5" customHeight="1">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7"/>
      <c r="AK1112" s="7"/>
      <c r="AL1112" s="7"/>
      <c r="AM1112" s="7"/>
      <c r="AN1112" s="7"/>
      <c r="AO1112" s="7"/>
      <c r="AP1112" s="7"/>
      <c r="AQ1112" s="7"/>
      <c r="AR1112" s="7"/>
      <c r="AS1112" s="7"/>
      <c r="AT1112" s="7"/>
      <c r="AU1112" s="3"/>
      <c r="AV1112" s="3"/>
      <c r="AW1112" s="3"/>
      <c r="AX1112" s="3"/>
      <c r="AY1112" s="3"/>
    </row>
    <row r="1113" spans="1:51" ht="16.5" customHeight="1">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7"/>
      <c r="AK1113" s="7"/>
      <c r="AL1113" s="7"/>
      <c r="AM1113" s="7"/>
      <c r="AN1113" s="7"/>
      <c r="AO1113" s="7"/>
      <c r="AP1113" s="7"/>
      <c r="AQ1113" s="7"/>
      <c r="AR1113" s="7"/>
      <c r="AS1113" s="7"/>
      <c r="AT1113" s="7"/>
      <c r="AU1113" s="3"/>
      <c r="AV1113" s="3"/>
      <c r="AW1113" s="3"/>
      <c r="AX1113" s="3"/>
      <c r="AY1113" s="3"/>
    </row>
    <row r="1114" spans="1:51" ht="16.5" customHeight="1">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7"/>
      <c r="AK1114" s="7"/>
      <c r="AL1114" s="7"/>
      <c r="AM1114" s="7"/>
      <c r="AN1114" s="7"/>
      <c r="AO1114" s="7"/>
      <c r="AP1114" s="7"/>
      <c r="AQ1114" s="7"/>
      <c r="AR1114" s="7"/>
      <c r="AS1114" s="7"/>
      <c r="AT1114" s="7"/>
      <c r="AU1114" s="3"/>
      <c r="AV1114" s="3"/>
      <c r="AW1114" s="3"/>
      <c r="AX1114" s="3"/>
      <c r="AY1114" s="3"/>
    </row>
    <row r="1115" spans="1:51" ht="16.5" customHeight="1">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7"/>
      <c r="AK1115" s="7"/>
      <c r="AL1115" s="7"/>
      <c r="AM1115" s="7"/>
      <c r="AN1115" s="7"/>
      <c r="AO1115" s="7"/>
      <c r="AP1115" s="7"/>
      <c r="AQ1115" s="7"/>
      <c r="AR1115" s="7"/>
      <c r="AS1115" s="7"/>
      <c r="AT1115" s="7"/>
      <c r="AU1115" s="3"/>
      <c r="AV1115" s="3"/>
      <c r="AW1115" s="3"/>
      <c r="AX1115" s="3"/>
      <c r="AY1115" s="3"/>
    </row>
    <row r="1116" spans="1:51" ht="16.5" customHeight="1">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7"/>
      <c r="AK1116" s="7"/>
      <c r="AL1116" s="7"/>
      <c r="AM1116" s="7"/>
      <c r="AN1116" s="7"/>
      <c r="AO1116" s="7"/>
      <c r="AP1116" s="7"/>
      <c r="AQ1116" s="7"/>
      <c r="AR1116" s="7"/>
      <c r="AS1116" s="7"/>
      <c r="AT1116" s="7"/>
      <c r="AU1116" s="3"/>
      <c r="AV1116" s="3"/>
      <c r="AW1116" s="3"/>
      <c r="AX1116" s="3"/>
      <c r="AY1116" s="3"/>
    </row>
    <row r="1117" spans="1:51" ht="16.5" customHeight="1">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7"/>
      <c r="AK1117" s="7"/>
      <c r="AL1117" s="7"/>
      <c r="AM1117" s="7"/>
      <c r="AN1117" s="7"/>
      <c r="AO1117" s="7"/>
      <c r="AP1117" s="7"/>
      <c r="AQ1117" s="7"/>
      <c r="AR1117" s="7"/>
      <c r="AS1117" s="7"/>
      <c r="AT1117" s="7"/>
      <c r="AU1117" s="3"/>
      <c r="AV1117" s="3"/>
      <c r="AW1117" s="3"/>
      <c r="AX1117" s="3"/>
      <c r="AY1117" s="3"/>
    </row>
    <row r="1118" spans="1:51" ht="16.5" customHeight="1">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7"/>
      <c r="AK1118" s="7"/>
      <c r="AL1118" s="7"/>
      <c r="AM1118" s="7"/>
      <c r="AN1118" s="7"/>
      <c r="AO1118" s="7"/>
      <c r="AP1118" s="7"/>
      <c r="AQ1118" s="7"/>
      <c r="AR1118" s="7"/>
      <c r="AS1118" s="7"/>
      <c r="AT1118" s="7"/>
      <c r="AU1118" s="3"/>
      <c r="AV1118" s="3"/>
      <c r="AW1118" s="3"/>
      <c r="AX1118" s="3"/>
      <c r="AY1118" s="3"/>
    </row>
    <row r="1119" spans="1:51" ht="16.5" customHeight="1">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7"/>
      <c r="AK1119" s="7"/>
      <c r="AL1119" s="7"/>
      <c r="AM1119" s="7"/>
      <c r="AN1119" s="7"/>
      <c r="AO1119" s="7"/>
      <c r="AP1119" s="7"/>
      <c r="AQ1119" s="7"/>
      <c r="AR1119" s="7"/>
      <c r="AS1119" s="7"/>
      <c r="AT1119" s="7"/>
      <c r="AU1119" s="3"/>
      <c r="AV1119" s="3"/>
      <c r="AW1119" s="3"/>
      <c r="AX1119" s="3"/>
      <c r="AY1119" s="3"/>
    </row>
    <row r="1120" spans="1:51" ht="16.5" customHeight="1">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7"/>
      <c r="AK1120" s="7"/>
      <c r="AL1120" s="7"/>
      <c r="AM1120" s="7"/>
      <c r="AN1120" s="7"/>
      <c r="AO1120" s="7"/>
      <c r="AP1120" s="7"/>
      <c r="AQ1120" s="7"/>
      <c r="AR1120" s="7"/>
      <c r="AS1120" s="7"/>
      <c r="AT1120" s="7"/>
      <c r="AU1120" s="3"/>
      <c r="AV1120" s="3"/>
      <c r="AW1120" s="3"/>
      <c r="AX1120" s="3"/>
      <c r="AY1120" s="3"/>
    </row>
    <row r="1121" spans="1:51" ht="16.5" customHeight="1">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7"/>
      <c r="AK1121" s="7"/>
      <c r="AL1121" s="7"/>
      <c r="AM1121" s="7"/>
      <c r="AN1121" s="7"/>
      <c r="AO1121" s="7"/>
      <c r="AP1121" s="7"/>
      <c r="AQ1121" s="7"/>
      <c r="AR1121" s="7"/>
      <c r="AS1121" s="7"/>
      <c r="AT1121" s="7"/>
      <c r="AU1121" s="3"/>
      <c r="AV1121" s="3"/>
      <c r="AW1121" s="3"/>
      <c r="AX1121" s="3"/>
      <c r="AY1121" s="3"/>
    </row>
    <row r="1122" spans="1:51" ht="16.5" customHeight="1">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7"/>
      <c r="AK1122" s="7"/>
      <c r="AL1122" s="7"/>
      <c r="AM1122" s="7"/>
      <c r="AN1122" s="7"/>
      <c r="AO1122" s="7"/>
      <c r="AP1122" s="7"/>
      <c r="AQ1122" s="7"/>
      <c r="AR1122" s="7"/>
      <c r="AS1122" s="7"/>
      <c r="AT1122" s="7"/>
      <c r="AU1122" s="3"/>
      <c r="AV1122" s="3"/>
      <c r="AW1122" s="3"/>
      <c r="AX1122" s="3"/>
      <c r="AY1122" s="3"/>
    </row>
    <row r="1123" spans="1:51" ht="16.5" customHeight="1">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7"/>
      <c r="AK1123" s="7"/>
      <c r="AL1123" s="7"/>
      <c r="AM1123" s="7"/>
      <c r="AN1123" s="7"/>
      <c r="AO1123" s="7"/>
      <c r="AP1123" s="7"/>
      <c r="AQ1123" s="7"/>
      <c r="AR1123" s="7"/>
      <c r="AS1123" s="7"/>
      <c r="AT1123" s="7"/>
      <c r="AU1123" s="3"/>
      <c r="AV1123" s="3"/>
      <c r="AW1123" s="3"/>
      <c r="AX1123" s="3"/>
      <c r="AY1123" s="3"/>
    </row>
    <row r="1124" spans="1:51" ht="16.5" customHeight="1">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7"/>
      <c r="AK1124" s="7"/>
      <c r="AL1124" s="7"/>
      <c r="AM1124" s="7"/>
      <c r="AN1124" s="7"/>
      <c r="AO1124" s="7"/>
      <c r="AP1124" s="7"/>
      <c r="AQ1124" s="7"/>
      <c r="AR1124" s="7"/>
      <c r="AS1124" s="7"/>
      <c r="AT1124" s="7"/>
      <c r="AU1124" s="3"/>
      <c r="AV1124" s="3"/>
      <c r="AW1124" s="3"/>
      <c r="AX1124" s="3"/>
      <c r="AY1124" s="3"/>
    </row>
    <row r="1125" spans="1:51" ht="16.5" customHeight="1">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7"/>
      <c r="AK1125" s="7"/>
      <c r="AL1125" s="7"/>
      <c r="AM1125" s="7"/>
      <c r="AN1125" s="7"/>
      <c r="AO1125" s="7"/>
      <c r="AP1125" s="7"/>
      <c r="AQ1125" s="7"/>
      <c r="AR1125" s="7"/>
      <c r="AS1125" s="7"/>
      <c r="AT1125" s="7"/>
      <c r="AU1125" s="3"/>
      <c r="AV1125" s="3"/>
      <c r="AW1125" s="3"/>
      <c r="AX1125" s="3"/>
      <c r="AY1125" s="3"/>
    </row>
    <row r="1126" spans="1:51" ht="16.5" customHeight="1">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7"/>
      <c r="AK1126" s="7"/>
      <c r="AL1126" s="7"/>
      <c r="AM1126" s="7"/>
      <c r="AN1126" s="7"/>
      <c r="AO1126" s="7"/>
      <c r="AP1126" s="7"/>
      <c r="AQ1126" s="7"/>
      <c r="AR1126" s="7"/>
      <c r="AS1126" s="7"/>
      <c r="AT1126" s="7"/>
      <c r="AU1126" s="3"/>
      <c r="AV1126" s="3"/>
      <c r="AW1126" s="3"/>
      <c r="AX1126" s="3"/>
      <c r="AY1126" s="3"/>
    </row>
    <row r="1127" spans="1:51" ht="16.5" customHeight="1">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7"/>
      <c r="AK1127" s="7"/>
      <c r="AL1127" s="7"/>
      <c r="AM1127" s="7"/>
      <c r="AN1127" s="7"/>
      <c r="AO1127" s="7"/>
      <c r="AP1127" s="7"/>
      <c r="AQ1127" s="7"/>
      <c r="AR1127" s="7"/>
      <c r="AS1127" s="7"/>
      <c r="AT1127" s="7"/>
      <c r="AU1127" s="3"/>
      <c r="AV1127" s="3"/>
      <c r="AW1127" s="3"/>
      <c r="AX1127" s="3"/>
      <c r="AY1127" s="3"/>
    </row>
    <row r="1128" spans="1:51" ht="16.5" customHeight="1">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7"/>
      <c r="AK1128" s="7"/>
      <c r="AL1128" s="7"/>
      <c r="AM1128" s="7"/>
      <c r="AN1128" s="7"/>
      <c r="AO1128" s="7"/>
      <c r="AP1128" s="7"/>
      <c r="AQ1128" s="7"/>
      <c r="AR1128" s="7"/>
      <c r="AS1128" s="7"/>
      <c r="AT1128" s="7"/>
      <c r="AU1128" s="3"/>
      <c r="AV1128" s="3"/>
      <c r="AW1128" s="3"/>
      <c r="AX1128" s="3"/>
      <c r="AY1128" s="3"/>
    </row>
    <row r="1129" spans="1:51" ht="16.5" customHeight="1">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7"/>
      <c r="AK1129" s="7"/>
      <c r="AL1129" s="7"/>
      <c r="AM1129" s="7"/>
      <c r="AN1129" s="7"/>
      <c r="AO1129" s="7"/>
      <c r="AP1129" s="7"/>
      <c r="AQ1129" s="7"/>
      <c r="AR1129" s="7"/>
      <c r="AS1129" s="7"/>
      <c r="AT1129" s="7"/>
      <c r="AU1129" s="3"/>
      <c r="AV1129" s="3"/>
      <c r="AW1129" s="3"/>
      <c r="AX1129" s="3"/>
      <c r="AY1129" s="3"/>
    </row>
    <row r="1130" spans="1:51" ht="16.5" customHeight="1">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7"/>
      <c r="AK1130" s="7"/>
      <c r="AL1130" s="7"/>
      <c r="AM1130" s="7"/>
      <c r="AN1130" s="7"/>
      <c r="AO1130" s="7"/>
      <c r="AP1130" s="7"/>
      <c r="AQ1130" s="7"/>
      <c r="AR1130" s="7"/>
      <c r="AS1130" s="7"/>
      <c r="AT1130" s="7"/>
      <c r="AU1130" s="3"/>
      <c r="AV1130" s="3"/>
      <c r="AW1130" s="3"/>
      <c r="AX1130" s="3"/>
      <c r="AY1130" s="3"/>
    </row>
    <row r="1131" spans="1:51" ht="16.5" customHeight="1">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7"/>
      <c r="AK1131" s="7"/>
      <c r="AL1131" s="7"/>
      <c r="AM1131" s="7"/>
      <c r="AN1131" s="7"/>
      <c r="AO1131" s="7"/>
      <c r="AP1131" s="7"/>
      <c r="AQ1131" s="7"/>
      <c r="AR1131" s="7"/>
      <c r="AS1131" s="7"/>
      <c r="AT1131" s="7"/>
      <c r="AU1131" s="3"/>
      <c r="AV1131" s="3"/>
      <c r="AW1131" s="3"/>
      <c r="AX1131" s="3"/>
      <c r="AY1131" s="3"/>
    </row>
    <row r="1132" spans="1:51" ht="16.5" customHeight="1">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7"/>
      <c r="AK1132" s="7"/>
      <c r="AL1132" s="7"/>
      <c r="AM1132" s="7"/>
      <c r="AN1132" s="7"/>
      <c r="AO1132" s="7"/>
      <c r="AP1132" s="7"/>
      <c r="AQ1132" s="7"/>
      <c r="AR1132" s="7"/>
      <c r="AS1132" s="7"/>
      <c r="AT1132" s="7"/>
      <c r="AU1132" s="3"/>
      <c r="AV1132" s="3"/>
      <c r="AW1132" s="3"/>
      <c r="AX1132" s="3"/>
      <c r="AY1132" s="3"/>
    </row>
    <row r="1133" spans="1:51" ht="16.5" customHeight="1">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7"/>
      <c r="AK1133" s="7"/>
      <c r="AL1133" s="7"/>
      <c r="AM1133" s="7"/>
      <c r="AN1133" s="7"/>
      <c r="AO1133" s="7"/>
      <c r="AP1133" s="7"/>
      <c r="AQ1133" s="7"/>
      <c r="AR1133" s="7"/>
      <c r="AS1133" s="7"/>
      <c r="AT1133" s="7"/>
      <c r="AU1133" s="3"/>
      <c r="AV1133" s="3"/>
      <c r="AW1133" s="3"/>
      <c r="AX1133" s="3"/>
      <c r="AY1133" s="3"/>
    </row>
    <row r="1134" spans="1:51" ht="16.5" customHeight="1">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7"/>
      <c r="AK1134" s="7"/>
      <c r="AL1134" s="7"/>
      <c r="AM1134" s="7"/>
      <c r="AN1134" s="7"/>
      <c r="AO1134" s="7"/>
      <c r="AP1134" s="7"/>
      <c r="AQ1134" s="7"/>
      <c r="AR1134" s="7"/>
      <c r="AS1134" s="7"/>
      <c r="AT1134" s="7"/>
      <c r="AU1134" s="3"/>
      <c r="AV1134" s="3"/>
      <c r="AW1134" s="3"/>
      <c r="AX1134" s="3"/>
      <c r="AY1134" s="3"/>
    </row>
    <row r="1135" spans="1:51" ht="16.5" customHeight="1">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7"/>
      <c r="AK1135" s="7"/>
      <c r="AL1135" s="7"/>
      <c r="AM1135" s="7"/>
      <c r="AN1135" s="7"/>
      <c r="AO1135" s="7"/>
      <c r="AP1135" s="7"/>
      <c r="AQ1135" s="7"/>
      <c r="AR1135" s="7"/>
      <c r="AS1135" s="7"/>
      <c r="AT1135" s="7"/>
      <c r="AU1135" s="3"/>
      <c r="AV1135" s="3"/>
      <c r="AW1135" s="3"/>
      <c r="AX1135" s="3"/>
      <c r="AY1135" s="3"/>
    </row>
    <row r="1136" spans="1:51" ht="16.5" customHeight="1">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7"/>
      <c r="AK1136" s="7"/>
      <c r="AL1136" s="7"/>
      <c r="AM1136" s="7"/>
      <c r="AN1136" s="7"/>
      <c r="AO1136" s="7"/>
      <c r="AP1136" s="7"/>
      <c r="AQ1136" s="7"/>
      <c r="AR1136" s="7"/>
      <c r="AS1136" s="7"/>
      <c r="AT1136" s="7"/>
      <c r="AU1136" s="3"/>
      <c r="AV1136" s="3"/>
      <c r="AW1136" s="3"/>
      <c r="AX1136" s="3"/>
      <c r="AY1136" s="3"/>
    </row>
    <row r="1137" spans="1:51" ht="16.5" customHeight="1">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7"/>
      <c r="AK1137" s="7"/>
      <c r="AL1137" s="7"/>
      <c r="AM1137" s="7"/>
      <c r="AN1137" s="7"/>
      <c r="AO1137" s="7"/>
      <c r="AP1137" s="7"/>
      <c r="AQ1137" s="7"/>
      <c r="AR1137" s="7"/>
      <c r="AS1137" s="7"/>
      <c r="AT1137" s="7"/>
      <c r="AU1137" s="3"/>
      <c r="AV1137" s="3"/>
      <c r="AW1137" s="3"/>
      <c r="AX1137" s="3"/>
      <c r="AY1137" s="3"/>
    </row>
    <row r="1138" spans="1:51" ht="16.5" customHeight="1">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7"/>
      <c r="AK1138" s="7"/>
      <c r="AL1138" s="7"/>
      <c r="AM1138" s="7"/>
      <c r="AN1138" s="7"/>
      <c r="AO1138" s="7"/>
      <c r="AP1138" s="7"/>
      <c r="AQ1138" s="7"/>
      <c r="AR1138" s="7"/>
      <c r="AS1138" s="7"/>
      <c r="AT1138" s="7"/>
      <c r="AU1138" s="3"/>
      <c r="AV1138" s="3"/>
      <c r="AW1138" s="3"/>
      <c r="AX1138" s="3"/>
      <c r="AY1138" s="3"/>
    </row>
    <row r="1139" spans="1:51" ht="16.5" customHeight="1">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7"/>
      <c r="AK1139" s="7"/>
      <c r="AL1139" s="7"/>
      <c r="AM1139" s="7"/>
      <c r="AN1139" s="7"/>
      <c r="AO1139" s="7"/>
      <c r="AP1139" s="7"/>
      <c r="AQ1139" s="7"/>
      <c r="AR1139" s="7"/>
      <c r="AS1139" s="7"/>
      <c r="AT1139" s="7"/>
      <c r="AU1139" s="3"/>
      <c r="AV1139" s="3"/>
      <c r="AW1139" s="3"/>
      <c r="AX1139" s="3"/>
      <c r="AY1139" s="3"/>
    </row>
    <row r="1140" spans="1:51" ht="16.5" customHeight="1">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7"/>
      <c r="AK1140" s="7"/>
      <c r="AL1140" s="7"/>
      <c r="AM1140" s="7"/>
      <c r="AN1140" s="7"/>
      <c r="AO1140" s="7"/>
      <c r="AP1140" s="7"/>
      <c r="AQ1140" s="7"/>
      <c r="AR1140" s="7"/>
      <c r="AS1140" s="7"/>
      <c r="AT1140" s="7"/>
      <c r="AU1140" s="3"/>
      <c r="AV1140" s="3"/>
      <c r="AW1140" s="3"/>
      <c r="AX1140" s="3"/>
      <c r="AY1140" s="3"/>
    </row>
    <row r="1141" spans="1:51" ht="16.5" customHeight="1">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7"/>
      <c r="AK1141" s="7"/>
      <c r="AL1141" s="7"/>
      <c r="AM1141" s="7"/>
      <c r="AN1141" s="7"/>
      <c r="AO1141" s="7"/>
      <c r="AP1141" s="7"/>
      <c r="AQ1141" s="7"/>
      <c r="AR1141" s="7"/>
      <c r="AS1141" s="7"/>
      <c r="AT1141" s="7"/>
      <c r="AU1141" s="3"/>
      <c r="AV1141" s="3"/>
      <c r="AW1141" s="3"/>
      <c r="AX1141" s="3"/>
      <c r="AY1141" s="3"/>
    </row>
    <row r="1142" spans="1:51" ht="16.5" customHeight="1">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7"/>
      <c r="AK1142" s="7"/>
      <c r="AL1142" s="7"/>
      <c r="AM1142" s="7"/>
      <c r="AN1142" s="7"/>
      <c r="AO1142" s="7"/>
      <c r="AP1142" s="7"/>
      <c r="AQ1142" s="7"/>
      <c r="AR1142" s="7"/>
      <c r="AS1142" s="7"/>
      <c r="AT1142" s="7"/>
      <c r="AU1142" s="3"/>
      <c r="AV1142" s="3"/>
      <c r="AW1142" s="3"/>
      <c r="AX1142" s="3"/>
      <c r="AY1142" s="3"/>
    </row>
    <row r="1143" spans="1:51" ht="16.5" customHeight="1">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7"/>
      <c r="AK1143" s="7"/>
      <c r="AL1143" s="7"/>
      <c r="AM1143" s="7"/>
      <c r="AN1143" s="7"/>
      <c r="AO1143" s="7"/>
      <c r="AP1143" s="7"/>
      <c r="AQ1143" s="7"/>
      <c r="AR1143" s="7"/>
      <c r="AS1143" s="7"/>
      <c r="AT1143" s="7"/>
      <c r="AU1143" s="3"/>
      <c r="AV1143" s="3"/>
      <c r="AW1143" s="3"/>
      <c r="AX1143" s="3"/>
      <c r="AY1143" s="3"/>
    </row>
    <row r="1144" spans="1:51" ht="16.5" customHeight="1">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7"/>
      <c r="AK1144" s="7"/>
      <c r="AL1144" s="7"/>
      <c r="AM1144" s="7"/>
      <c r="AN1144" s="7"/>
      <c r="AO1144" s="7"/>
      <c r="AP1144" s="7"/>
      <c r="AQ1144" s="7"/>
      <c r="AR1144" s="7"/>
      <c r="AS1144" s="7"/>
      <c r="AT1144" s="7"/>
      <c r="AU1144" s="3"/>
      <c r="AV1144" s="3"/>
      <c r="AW1144" s="3"/>
      <c r="AX1144" s="3"/>
      <c r="AY1144" s="3"/>
    </row>
    <row r="1145" spans="1:51" ht="16.5" customHeight="1">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7"/>
      <c r="AK1145" s="7"/>
      <c r="AL1145" s="7"/>
      <c r="AM1145" s="7"/>
      <c r="AN1145" s="7"/>
      <c r="AO1145" s="7"/>
      <c r="AP1145" s="7"/>
      <c r="AQ1145" s="7"/>
      <c r="AR1145" s="7"/>
      <c r="AS1145" s="7"/>
      <c r="AT1145" s="7"/>
      <c r="AU1145" s="3"/>
      <c r="AV1145" s="3"/>
      <c r="AW1145" s="3"/>
      <c r="AX1145" s="3"/>
      <c r="AY1145" s="3"/>
    </row>
    <row r="1146" spans="1:51" ht="16.5" customHeight="1">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7"/>
      <c r="AK1146" s="7"/>
      <c r="AL1146" s="7"/>
      <c r="AM1146" s="7"/>
      <c r="AN1146" s="7"/>
      <c r="AO1146" s="7"/>
      <c r="AP1146" s="7"/>
      <c r="AQ1146" s="7"/>
      <c r="AR1146" s="7"/>
      <c r="AS1146" s="7"/>
      <c r="AT1146" s="7"/>
      <c r="AU1146" s="3"/>
      <c r="AV1146" s="3"/>
      <c r="AW1146" s="3"/>
      <c r="AX1146" s="3"/>
      <c r="AY1146" s="3"/>
    </row>
    <row r="1147" spans="1:51" ht="16.5" customHeight="1">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7"/>
      <c r="AK1147" s="7"/>
      <c r="AL1147" s="7"/>
      <c r="AM1147" s="7"/>
      <c r="AN1147" s="7"/>
      <c r="AO1147" s="7"/>
      <c r="AP1147" s="7"/>
      <c r="AQ1147" s="7"/>
      <c r="AR1147" s="7"/>
      <c r="AS1147" s="7"/>
      <c r="AT1147" s="7"/>
      <c r="AU1147" s="3"/>
      <c r="AV1147" s="3"/>
      <c r="AW1147" s="3"/>
      <c r="AX1147" s="3"/>
      <c r="AY1147" s="3"/>
    </row>
    <row r="1148" spans="1:51" ht="16.5" customHeight="1">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7"/>
      <c r="AK1148" s="7"/>
      <c r="AL1148" s="7"/>
      <c r="AM1148" s="7"/>
      <c r="AN1148" s="7"/>
      <c r="AO1148" s="7"/>
      <c r="AP1148" s="7"/>
      <c r="AQ1148" s="7"/>
      <c r="AR1148" s="7"/>
      <c r="AS1148" s="7"/>
      <c r="AT1148" s="7"/>
      <c r="AU1148" s="3"/>
      <c r="AV1148" s="3"/>
      <c r="AW1148" s="3"/>
      <c r="AX1148" s="3"/>
      <c r="AY1148" s="3"/>
    </row>
    <row r="1149" spans="1:51" ht="16.5" customHeight="1">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7"/>
      <c r="AK1149" s="7"/>
      <c r="AL1149" s="7"/>
      <c r="AM1149" s="7"/>
      <c r="AN1149" s="7"/>
      <c r="AO1149" s="7"/>
      <c r="AP1149" s="7"/>
      <c r="AQ1149" s="7"/>
      <c r="AR1149" s="7"/>
      <c r="AS1149" s="7"/>
      <c r="AT1149" s="7"/>
      <c r="AU1149" s="3"/>
      <c r="AV1149" s="3"/>
      <c r="AW1149" s="3"/>
      <c r="AX1149" s="3"/>
      <c r="AY1149" s="3"/>
    </row>
    <row r="1150" spans="1:51" ht="16.5" customHeight="1">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7"/>
      <c r="AK1150" s="7"/>
      <c r="AL1150" s="7"/>
      <c r="AM1150" s="7"/>
      <c r="AN1150" s="7"/>
      <c r="AO1150" s="7"/>
      <c r="AP1150" s="7"/>
      <c r="AQ1150" s="7"/>
      <c r="AR1150" s="7"/>
      <c r="AS1150" s="7"/>
      <c r="AT1150" s="7"/>
      <c r="AU1150" s="3"/>
      <c r="AV1150" s="3"/>
      <c r="AW1150" s="3"/>
      <c r="AX1150" s="3"/>
      <c r="AY1150" s="3"/>
    </row>
    <row r="1151" spans="1:51" ht="16.5" customHeight="1">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7"/>
      <c r="AK1151" s="7"/>
      <c r="AL1151" s="7"/>
      <c r="AM1151" s="7"/>
      <c r="AN1151" s="7"/>
      <c r="AO1151" s="7"/>
      <c r="AP1151" s="7"/>
      <c r="AQ1151" s="7"/>
      <c r="AR1151" s="7"/>
      <c r="AS1151" s="7"/>
      <c r="AT1151" s="7"/>
      <c r="AU1151" s="3"/>
      <c r="AV1151" s="3"/>
      <c r="AW1151" s="3"/>
      <c r="AX1151" s="3"/>
      <c r="AY1151" s="3"/>
    </row>
    <row r="1152" spans="1:51" ht="16.5" customHeight="1">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7"/>
      <c r="AK1152" s="7"/>
      <c r="AL1152" s="7"/>
      <c r="AM1152" s="7"/>
      <c r="AN1152" s="7"/>
      <c r="AO1152" s="7"/>
      <c r="AP1152" s="7"/>
      <c r="AQ1152" s="7"/>
      <c r="AR1152" s="7"/>
      <c r="AS1152" s="7"/>
      <c r="AT1152" s="7"/>
      <c r="AU1152" s="3"/>
      <c r="AV1152" s="3"/>
      <c r="AW1152" s="3"/>
      <c r="AX1152" s="3"/>
      <c r="AY1152" s="3"/>
    </row>
    <row r="1153" spans="1:51" ht="16.5" customHeight="1">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7"/>
      <c r="AK1153" s="7"/>
      <c r="AL1153" s="7"/>
      <c r="AM1153" s="7"/>
      <c r="AN1153" s="7"/>
      <c r="AO1153" s="7"/>
      <c r="AP1153" s="7"/>
      <c r="AQ1153" s="7"/>
      <c r="AR1153" s="7"/>
      <c r="AS1153" s="7"/>
      <c r="AT1153" s="7"/>
      <c r="AU1153" s="3"/>
      <c r="AV1153" s="3"/>
      <c r="AW1153" s="3"/>
      <c r="AX1153" s="3"/>
      <c r="AY1153" s="3"/>
    </row>
    <row r="1154" spans="1:51" ht="16.5" customHeight="1">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7"/>
      <c r="AK1154" s="7"/>
      <c r="AL1154" s="7"/>
      <c r="AM1154" s="7"/>
      <c r="AN1154" s="7"/>
      <c r="AO1154" s="7"/>
      <c r="AP1154" s="7"/>
      <c r="AQ1154" s="7"/>
      <c r="AR1154" s="7"/>
      <c r="AS1154" s="7"/>
      <c r="AT1154" s="7"/>
      <c r="AU1154" s="3"/>
      <c r="AV1154" s="3"/>
      <c r="AW1154" s="3"/>
      <c r="AX1154" s="3"/>
      <c r="AY1154" s="3"/>
    </row>
    <row r="1155" spans="1:51" ht="16.5" customHeight="1">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7"/>
      <c r="AK1155" s="7"/>
      <c r="AL1155" s="7"/>
      <c r="AM1155" s="7"/>
      <c r="AN1155" s="7"/>
      <c r="AO1155" s="7"/>
      <c r="AP1155" s="7"/>
      <c r="AQ1155" s="7"/>
      <c r="AR1155" s="7"/>
      <c r="AS1155" s="7"/>
      <c r="AT1155" s="7"/>
      <c r="AU1155" s="3"/>
      <c r="AV1155" s="3"/>
      <c r="AW1155" s="3"/>
      <c r="AX1155" s="3"/>
      <c r="AY1155" s="3"/>
    </row>
    <row r="1156" spans="1:51" ht="16.5" customHeight="1">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7"/>
      <c r="AK1156" s="7"/>
      <c r="AL1156" s="7"/>
      <c r="AM1156" s="7"/>
      <c r="AN1156" s="7"/>
      <c r="AO1156" s="7"/>
      <c r="AP1156" s="7"/>
      <c r="AQ1156" s="7"/>
      <c r="AR1156" s="7"/>
      <c r="AS1156" s="7"/>
      <c r="AT1156" s="7"/>
      <c r="AU1156" s="3"/>
      <c r="AV1156" s="3"/>
      <c r="AW1156" s="3"/>
      <c r="AX1156" s="3"/>
      <c r="AY1156" s="3"/>
    </row>
    <row r="1157" spans="1:51" ht="16.5" customHeight="1">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7"/>
      <c r="AK1157" s="7"/>
      <c r="AL1157" s="7"/>
      <c r="AM1157" s="7"/>
      <c r="AN1157" s="7"/>
      <c r="AO1157" s="7"/>
      <c r="AP1157" s="7"/>
      <c r="AQ1157" s="7"/>
      <c r="AR1157" s="7"/>
      <c r="AS1157" s="7"/>
      <c r="AT1157" s="7"/>
      <c r="AU1157" s="3"/>
      <c r="AV1157" s="3"/>
      <c r="AW1157" s="3"/>
      <c r="AX1157" s="3"/>
      <c r="AY1157" s="3"/>
    </row>
    <row r="1158" spans="1:51" ht="16.5" customHeight="1">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7"/>
      <c r="AK1158" s="7"/>
      <c r="AL1158" s="7"/>
      <c r="AM1158" s="7"/>
      <c r="AN1158" s="7"/>
      <c r="AO1158" s="7"/>
      <c r="AP1158" s="7"/>
      <c r="AQ1158" s="7"/>
      <c r="AR1158" s="7"/>
      <c r="AS1158" s="7"/>
      <c r="AT1158" s="7"/>
      <c r="AU1158" s="3"/>
      <c r="AV1158" s="3"/>
      <c r="AW1158" s="3"/>
      <c r="AX1158" s="3"/>
      <c r="AY1158" s="3"/>
    </row>
    <row r="1159" spans="1:51" ht="16.5" customHeight="1">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7"/>
      <c r="AK1159" s="7"/>
      <c r="AL1159" s="7"/>
      <c r="AM1159" s="7"/>
      <c r="AN1159" s="7"/>
      <c r="AO1159" s="7"/>
      <c r="AP1159" s="7"/>
      <c r="AQ1159" s="7"/>
      <c r="AR1159" s="7"/>
      <c r="AS1159" s="7"/>
      <c r="AT1159" s="7"/>
      <c r="AU1159" s="3"/>
      <c r="AV1159" s="3"/>
      <c r="AW1159" s="3"/>
      <c r="AX1159" s="3"/>
      <c r="AY1159" s="3"/>
    </row>
    <row r="1160" spans="1:51" ht="16.5" customHeight="1">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7"/>
      <c r="AK1160" s="7"/>
      <c r="AL1160" s="7"/>
      <c r="AM1160" s="7"/>
      <c r="AN1160" s="7"/>
      <c r="AO1160" s="7"/>
      <c r="AP1160" s="7"/>
      <c r="AQ1160" s="7"/>
      <c r="AR1160" s="7"/>
      <c r="AS1160" s="7"/>
      <c r="AT1160" s="7"/>
      <c r="AU1160" s="3"/>
      <c r="AV1160" s="3"/>
      <c r="AW1160" s="3"/>
      <c r="AX1160" s="3"/>
      <c r="AY1160" s="3"/>
    </row>
    <row r="1161" spans="1:51" ht="16.5" customHeight="1">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7"/>
      <c r="AK1161" s="7"/>
      <c r="AL1161" s="7"/>
      <c r="AM1161" s="7"/>
      <c r="AN1161" s="7"/>
      <c r="AO1161" s="7"/>
      <c r="AP1161" s="7"/>
      <c r="AQ1161" s="7"/>
      <c r="AR1161" s="7"/>
      <c r="AS1161" s="7"/>
      <c r="AT1161" s="7"/>
      <c r="AU1161" s="3"/>
      <c r="AV1161" s="3"/>
      <c r="AW1161" s="3"/>
      <c r="AX1161" s="3"/>
      <c r="AY1161" s="3"/>
    </row>
    <row r="1162" spans="1:51" ht="16.5" customHeight="1">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7"/>
      <c r="AK1162" s="7"/>
      <c r="AL1162" s="7"/>
      <c r="AM1162" s="7"/>
      <c r="AN1162" s="7"/>
      <c r="AO1162" s="7"/>
      <c r="AP1162" s="7"/>
      <c r="AQ1162" s="7"/>
      <c r="AR1162" s="7"/>
      <c r="AS1162" s="7"/>
      <c r="AT1162" s="7"/>
      <c r="AU1162" s="3"/>
      <c r="AV1162" s="3"/>
      <c r="AW1162" s="3"/>
      <c r="AX1162" s="3"/>
      <c r="AY1162" s="3"/>
    </row>
    <row r="1163" spans="1:51" ht="16.5" customHeight="1">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7"/>
      <c r="AK1163" s="7"/>
      <c r="AL1163" s="7"/>
      <c r="AM1163" s="7"/>
      <c r="AN1163" s="7"/>
      <c r="AO1163" s="7"/>
      <c r="AP1163" s="7"/>
      <c r="AQ1163" s="7"/>
      <c r="AR1163" s="7"/>
      <c r="AS1163" s="7"/>
      <c r="AT1163" s="7"/>
      <c r="AU1163" s="3"/>
      <c r="AV1163" s="3"/>
      <c r="AW1163" s="3"/>
      <c r="AX1163" s="3"/>
      <c r="AY1163" s="3"/>
    </row>
    <row r="1164" spans="1:51" ht="16.5" customHeight="1">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7"/>
      <c r="AK1164" s="7"/>
      <c r="AL1164" s="7"/>
      <c r="AM1164" s="7"/>
      <c r="AN1164" s="7"/>
      <c r="AO1164" s="7"/>
      <c r="AP1164" s="7"/>
      <c r="AQ1164" s="7"/>
      <c r="AR1164" s="7"/>
      <c r="AS1164" s="7"/>
      <c r="AT1164" s="7"/>
      <c r="AU1164" s="3"/>
      <c r="AV1164" s="3"/>
      <c r="AW1164" s="3"/>
      <c r="AX1164" s="3"/>
      <c r="AY1164" s="3"/>
    </row>
    <row r="1165" spans="1:51" ht="16.5" customHeight="1">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7"/>
      <c r="AK1165" s="7"/>
      <c r="AL1165" s="7"/>
      <c r="AM1165" s="7"/>
      <c r="AN1165" s="7"/>
      <c r="AO1165" s="7"/>
      <c r="AP1165" s="7"/>
      <c r="AQ1165" s="7"/>
      <c r="AR1165" s="7"/>
      <c r="AS1165" s="7"/>
      <c r="AT1165" s="7"/>
      <c r="AU1165" s="3"/>
      <c r="AV1165" s="3"/>
      <c r="AW1165" s="3"/>
      <c r="AX1165" s="3"/>
      <c r="AY1165" s="3"/>
    </row>
    <row r="1166" spans="1:51" ht="16.5" customHeight="1">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7"/>
      <c r="AK1166" s="7"/>
      <c r="AL1166" s="7"/>
      <c r="AM1166" s="7"/>
      <c r="AN1166" s="7"/>
      <c r="AO1166" s="7"/>
      <c r="AP1166" s="7"/>
      <c r="AQ1166" s="7"/>
      <c r="AR1166" s="7"/>
      <c r="AS1166" s="7"/>
      <c r="AT1166" s="7"/>
      <c r="AU1166" s="3"/>
      <c r="AV1166" s="3"/>
      <c r="AW1166" s="3"/>
      <c r="AX1166" s="3"/>
      <c r="AY1166" s="3"/>
    </row>
    <row r="1167" spans="1:51" ht="16.5" customHeight="1">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7"/>
      <c r="AK1167" s="7"/>
      <c r="AL1167" s="7"/>
      <c r="AM1167" s="7"/>
      <c r="AN1167" s="7"/>
      <c r="AO1167" s="7"/>
      <c r="AP1167" s="7"/>
      <c r="AQ1167" s="7"/>
      <c r="AR1167" s="7"/>
      <c r="AS1167" s="7"/>
      <c r="AT1167" s="7"/>
      <c r="AU1167" s="3"/>
      <c r="AV1167" s="3"/>
      <c r="AW1167" s="3"/>
      <c r="AX1167" s="3"/>
      <c r="AY1167" s="3"/>
    </row>
    <row r="1168" spans="1:51" ht="16.5" customHeight="1">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7"/>
      <c r="AK1168" s="7"/>
      <c r="AL1168" s="7"/>
      <c r="AM1168" s="7"/>
      <c r="AN1168" s="7"/>
      <c r="AO1168" s="7"/>
      <c r="AP1168" s="7"/>
      <c r="AQ1168" s="7"/>
      <c r="AR1168" s="7"/>
      <c r="AS1168" s="7"/>
      <c r="AT1168" s="7"/>
      <c r="AU1168" s="3"/>
      <c r="AV1168" s="3"/>
      <c r="AW1168" s="3"/>
      <c r="AX1168" s="3"/>
      <c r="AY1168" s="3"/>
    </row>
    <row r="1169" spans="1:51" ht="16.5" customHeight="1">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7"/>
      <c r="AK1169" s="7"/>
      <c r="AL1169" s="7"/>
      <c r="AM1169" s="7"/>
      <c r="AN1169" s="7"/>
      <c r="AO1169" s="7"/>
      <c r="AP1169" s="7"/>
      <c r="AQ1169" s="7"/>
      <c r="AR1169" s="7"/>
      <c r="AS1169" s="7"/>
      <c r="AT1169" s="7"/>
      <c r="AU1169" s="3"/>
      <c r="AV1169" s="3"/>
      <c r="AW1169" s="3"/>
      <c r="AX1169" s="3"/>
      <c r="AY1169" s="3"/>
    </row>
    <row r="1170" spans="1:51" ht="16.5" customHeight="1">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7"/>
      <c r="AK1170" s="7"/>
      <c r="AL1170" s="7"/>
      <c r="AM1170" s="7"/>
      <c r="AN1170" s="7"/>
      <c r="AO1170" s="7"/>
      <c r="AP1170" s="7"/>
      <c r="AQ1170" s="7"/>
      <c r="AR1170" s="7"/>
      <c r="AS1170" s="7"/>
      <c r="AT1170" s="7"/>
      <c r="AU1170" s="3"/>
      <c r="AV1170" s="3"/>
      <c r="AW1170" s="3"/>
      <c r="AX1170" s="3"/>
      <c r="AY1170" s="3"/>
    </row>
    <row r="1171" spans="1:51" ht="16.5" customHeight="1">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7"/>
      <c r="AK1171" s="7"/>
      <c r="AL1171" s="7"/>
      <c r="AM1171" s="7"/>
      <c r="AN1171" s="7"/>
      <c r="AO1171" s="7"/>
      <c r="AP1171" s="7"/>
      <c r="AQ1171" s="7"/>
      <c r="AR1171" s="7"/>
      <c r="AS1171" s="7"/>
      <c r="AT1171" s="7"/>
      <c r="AU1171" s="3"/>
      <c r="AV1171" s="3"/>
      <c r="AW1171" s="3"/>
      <c r="AX1171" s="3"/>
      <c r="AY1171" s="3"/>
    </row>
    <row r="1172" spans="1:51" ht="16.5" customHeight="1">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7"/>
      <c r="AK1172" s="7"/>
      <c r="AL1172" s="7"/>
      <c r="AM1172" s="7"/>
      <c r="AN1172" s="7"/>
      <c r="AO1172" s="7"/>
      <c r="AP1172" s="7"/>
      <c r="AQ1172" s="7"/>
      <c r="AR1172" s="7"/>
      <c r="AS1172" s="7"/>
      <c r="AT1172" s="7"/>
      <c r="AU1172" s="3"/>
      <c r="AV1172" s="3"/>
      <c r="AW1172" s="3"/>
      <c r="AX1172" s="3"/>
      <c r="AY1172" s="3"/>
    </row>
    <row r="1173" spans="1:51" ht="16.5" customHeight="1">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7"/>
      <c r="AK1173" s="7"/>
      <c r="AL1173" s="7"/>
      <c r="AM1173" s="7"/>
      <c r="AN1173" s="7"/>
      <c r="AO1173" s="7"/>
      <c r="AP1173" s="7"/>
      <c r="AQ1173" s="7"/>
      <c r="AR1173" s="7"/>
      <c r="AS1173" s="7"/>
      <c r="AT1173" s="7"/>
      <c r="AU1173" s="3"/>
      <c r="AV1173" s="3"/>
      <c r="AW1173" s="3"/>
      <c r="AX1173" s="3"/>
      <c r="AY1173" s="3"/>
    </row>
    <row r="1174" spans="1:51" ht="16.5" customHeight="1">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7"/>
      <c r="AK1174" s="7"/>
      <c r="AL1174" s="7"/>
      <c r="AM1174" s="7"/>
      <c r="AN1174" s="7"/>
      <c r="AO1174" s="7"/>
      <c r="AP1174" s="7"/>
      <c r="AQ1174" s="7"/>
      <c r="AR1174" s="7"/>
      <c r="AS1174" s="7"/>
      <c r="AT1174" s="7"/>
      <c r="AU1174" s="3"/>
      <c r="AV1174" s="3"/>
      <c r="AW1174" s="3"/>
      <c r="AX1174" s="3"/>
      <c r="AY1174" s="3"/>
    </row>
    <row r="1175" spans="1:51" ht="16.5" customHeight="1">
      <c r="A1175" s="3"/>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7"/>
      <c r="AK1175" s="7"/>
      <c r="AL1175" s="7"/>
      <c r="AM1175" s="7"/>
      <c r="AN1175" s="7"/>
      <c r="AO1175" s="7"/>
      <c r="AP1175" s="7"/>
      <c r="AQ1175" s="7"/>
      <c r="AR1175" s="7"/>
      <c r="AS1175" s="7"/>
      <c r="AT1175" s="7"/>
      <c r="AU1175" s="3"/>
      <c r="AV1175" s="3"/>
      <c r="AW1175" s="3"/>
      <c r="AX1175" s="3"/>
      <c r="AY1175" s="3"/>
    </row>
    <row r="1176" spans="1:51" ht="16.5" customHeight="1">
      <c r="A1176" s="3"/>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7"/>
      <c r="AK1176" s="7"/>
      <c r="AL1176" s="7"/>
      <c r="AM1176" s="7"/>
      <c r="AN1176" s="7"/>
      <c r="AO1176" s="7"/>
      <c r="AP1176" s="7"/>
      <c r="AQ1176" s="7"/>
      <c r="AR1176" s="7"/>
      <c r="AS1176" s="7"/>
      <c r="AT1176" s="7"/>
      <c r="AU1176" s="3"/>
      <c r="AV1176" s="3"/>
      <c r="AW1176" s="3"/>
      <c r="AX1176" s="3"/>
      <c r="AY1176" s="3"/>
    </row>
    <row r="1177" spans="1:51" ht="16.5" customHeight="1">
      <c r="A1177" s="3"/>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7"/>
      <c r="AK1177" s="7"/>
      <c r="AL1177" s="7"/>
      <c r="AM1177" s="7"/>
      <c r="AN1177" s="7"/>
      <c r="AO1177" s="7"/>
      <c r="AP1177" s="7"/>
      <c r="AQ1177" s="7"/>
      <c r="AR1177" s="7"/>
      <c r="AS1177" s="7"/>
      <c r="AT1177" s="7"/>
      <c r="AU1177" s="3"/>
      <c r="AV1177" s="3"/>
      <c r="AW1177" s="3"/>
      <c r="AX1177" s="3"/>
      <c r="AY1177" s="3"/>
    </row>
    <row r="1178" spans="1:51" ht="16.5" customHeight="1">
      <c r="A1178" s="3"/>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7"/>
      <c r="AK1178" s="7"/>
      <c r="AL1178" s="7"/>
      <c r="AM1178" s="7"/>
      <c r="AN1178" s="7"/>
      <c r="AO1178" s="7"/>
      <c r="AP1178" s="7"/>
      <c r="AQ1178" s="7"/>
      <c r="AR1178" s="7"/>
      <c r="AS1178" s="7"/>
      <c r="AT1178" s="7"/>
      <c r="AU1178" s="3"/>
      <c r="AV1178" s="3"/>
      <c r="AW1178" s="3"/>
      <c r="AX1178" s="3"/>
      <c r="AY1178" s="3"/>
    </row>
    <row r="1179" spans="1:51" ht="16.5" customHeight="1">
      <c r="A1179" s="3"/>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7"/>
      <c r="AK1179" s="7"/>
      <c r="AL1179" s="7"/>
      <c r="AM1179" s="7"/>
      <c r="AN1179" s="7"/>
      <c r="AO1179" s="7"/>
      <c r="AP1179" s="7"/>
      <c r="AQ1179" s="7"/>
      <c r="AR1179" s="7"/>
      <c r="AS1179" s="7"/>
      <c r="AT1179" s="7"/>
      <c r="AU1179" s="3"/>
      <c r="AV1179" s="3"/>
      <c r="AW1179" s="3"/>
      <c r="AX1179" s="3"/>
      <c r="AY1179" s="3"/>
    </row>
    <row r="1180" spans="1:51" ht="16.5" customHeight="1">
      <c r="A1180" s="3"/>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7"/>
      <c r="AK1180" s="7"/>
      <c r="AL1180" s="7"/>
      <c r="AM1180" s="7"/>
      <c r="AN1180" s="7"/>
      <c r="AO1180" s="7"/>
      <c r="AP1180" s="7"/>
      <c r="AQ1180" s="7"/>
      <c r="AR1180" s="7"/>
      <c r="AS1180" s="7"/>
      <c r="AT1180" s="7"/>
      <c r="AU1180" s="3"/>
      <c r="AV1180" s="3"/>
      <c r="AW1180" s="3"/>
      <c r="AX1180" s="3"/>
      <c r="AY1180" s="3"/>
    </row>
    <row r="1181" spans="1:51" ht="16.5" customHeight="1">
      <c r="A1181" s="3"/>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7"/>
      <c r="AK1181" s="7"/>
      <c r="AL1181" s="7"/>
      <c r="AM1181" s="7"/>
      <c r="AN1181" s="7"/>
      <c r="AO1181" s="7"/>
      <c r="AP1181" s="7"/>
      <c r="AQ1181" s="7"/>
      <c r="AR1181" s="7"/>
      <c r="AS1181" s="7"/>
      <c r="AT1181" s="7"/>
      <c r="AU1181" s="3"/>
      <c r="AV1181" s="3"/>
      <c r="AW1181" s="3"/>
      <c r="AX1181" s="3"/>
      <c r="AY1181" s="3"/>
    </row>
    <row r="1182" spans="1:51" ht="16.5" customHeight="1">
      <c r="A1182" s="3"/>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7"/>
      <c r="AK1182" s="7"/>
      <c r="AL1182" s="7"/>
      <c r="AM1182" s="7"/>
      <c r="AN1182" s="7"/>
      <c r="AO1182" s="7"/>
      <c r="AP1182" s="7"/>
      <c r="AQ1182" s="7"/>
      <c r="AR1182" s="7"/>
      <c r="AS1182" s="7"/>
      <c r="AT1182" s="7"/>
      <c r="AU1182" s="3"/>
      <c r="AV1182" s="3"/>
      <c r="AW1182" s="3"/>
      <c r="AX1182" s="3"/>
      <c r="AY1182" s="3"/>
    </row>
    <row r="1183" spans="1:51" ht="16.5" customHeight="1">
      <c r="A1183" s="3"/>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7"/>
      <c r="AK1183" s="7"/>
      <c r="AL1183" s="7"/>
      <c r="AM1183" s="7"/>
      <c r="AN1183" s="7"/>
      <c r="AO1183" s="7"/>
      <c r="AP1183" s="7"/>
      <c r="AQ1183" s="7"/>
      <c r="AR1183" s="7"/>
      <c r="AS1183" s="7"/>
      <c r="AT1183" s="7"/>
      <c r="AU1183" s="3"/>
      <c r="AV1183" s="3"/>
      <c r="AW1183" s="3"/>
      <c r="AX1183" s="3"/>
      <c r="AY1183" s="3"/>
    </row>
    <row r="1184" spans="1:51" ht="16.5" customHeight="1">
      <c r="A1184" s="3"/>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7"/>
      <c r="AK1184" s="7"/>
      <c r="AL1184" s="7"/>
      <c r="AM1184" s="7"/>
      <c r="AN1184" s="7"/>
      <c r="AO1184" s="7"/>
      <c r="AP1184" s="7"/>
      <c r="AQ1184" s="7"/>
      <c r="AR1184" s="7"/>
      <c r="AS1184" s="7"/>
      <c r="AT1184" s="7"/>
      <c r="AU1184" s="3"/>
      <c r="AV1184" s="3"/>
      <c r="AW1184" s="3"/>
      <c r="AX1184" s="3"/>
      <c r="AY1184" s="3"/>
    </row>
    <row r="1185" spans="1:51" ht="16.5" customHeight="1">
      <c r="A1185" s="3"/>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7"/>
      <c r="AK1185" s="7"/>
      <c r="AL1185" s="7"/>
      <c r="AM1185" s="7"/>
      <c r="AN1185" s="7"/>
      <c r="AO1185" s="7"/>
      <c r="AP1185" s="7"/>
      <c r="AQ1185" s="7"/>
      <c r="AR1185" s="7"/>
      <c r="AS1185" s="7"/>
      <c r="AT1185" s="7"/>
      <c r="AU1185" s="3"/>
      <c r="AV1185" s="3"/>
      <c r="AW1185" s="3"/>
      <c r="AX1185" s="3"/>
      <c r="AY1185" s="3"/>
    </row>
    <row r="1186" spans="1:51" ht="16.5" customHeight="1">
      <c r="A1186" s="3"/>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7"/>
      <c r="AK1186" s="7"/>
      <c r="AL1186" s="7"/>
      <c r="AM1186" s="7"/>
      <c r="AN1186" s="7"/>
      <c r="AO1186" s="7"/>
      <c r="AP1186" s="7"/>
      <c r="AQ1186" s="7"/>
      <c r="AR1186" s="7"/>
      <c r="AS1186" s="7"/>
      <c r="AT1186" s="7"/>
      <c r="AU1186" s="3"/>
      <c r="AV1186" s="3"/>
      <c r="AW1186" s="3"/>
      <c r="AX1186" s="3"/>
      <c r="AY1186" s="3"/>
    </row>
    <row r="1187" spans="1:51" ht="16.5" customHeight="1">
      <c r="A1187" s="3"/>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7"/>
      <c r="AK1187" s="7"/>
      <c r="AL1187" s="7"/>
      <c r="AM1187" s="7"/>
      <c r="AN1187" s="7"/>
      <c r="AO1187" s="7"/>
      <c r="AP1187" s="7"/>
      <c r="AQ1187" s="7"/>
      <c r="AR1187" s="7"/>
      <c r="AS1187" s="7"/>
      <c r="AT1187" s="7"/>
      <c r="AU1187" s="3"/>
      <c r="AV1187" s="3"/>
      <c r="AW1187" s="3"/>
      <c r="AX1187" s="3"/>
      <c r="AY1187" s="3"/>
    </row>
    <row r="1188" spans="1:51" ht="16.5" customHeight="1">
      <c r="A1188" s="3"/>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7"/>
      <c r="AK1188" s="7"/>
      <c r="AL1188" s="7"/>
      <c r="AM1188" s="7"/>
      <c r="AN1188" s="7"/>
      <c r="AO1188" s="7"/>
      <c r="AP1188" s="7"/>
      <c r="AQ1188" s="7"/>
      <c r="AR1188" s="7"/>
      <c r="AS1188" s="7"/>
      <c r="AT1188" s="7"/>
      <c r="AU1188" s="3"/>
      <c r="AV1188" s="3"/>
      <c r="AW1188" s="3"/>
      <c r="AX1188" s="3"/>
      <c r="AY1188" s="3"/>
    </row>
    <row r="1189" spans="1:51" ht="16.5" customHeight="1">
      <c r="A1189" s="3"/>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7"/>
      <c r="AK1189" s="7"/>
      <c r="AL1189" s="7"/>
      <c r="AM1189" s="7"/>
      <c r="AN1189" s="7"/>
      <c r="AO1189" s="7"/>
      <c r="AP1189" s="7"/>
      <c r="AQ1189" s="7"/>
      <c r="AR1189" s="7"/>
      <c r="AS1189" s="7"/>
      <c r="AT1189" s="7"/>
      <c r="AU1189" s="3"/>
      <c r="AV1189" s="3"/>
      <c r="AW1189" s="3"/>
      <c r="AX1189" s="3"/>
      <c r="AY1189" s="3"/>
    </row>
    <row r="1190" spans="1:51" ht="16.5" customHeight="1">
      <c r="A1190" s="3"/>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7"/>
      <c r="AK1190" s="7"/>
      <c r="AL1190" s="7"/>
      <c r="AM1190" s="7"/>
      <c r="AN1190" s="7"/>
      <c r="AO1190" s="7"/>
      <c r="AP1190" s="7"/>
      <c r="AQ1190" s="7"/>
      <c r="AR1190" s="7"/>
      <c r="AS1190" s="7"/>
      <c r="AT1190" s="7"/>
      <c r="AU1190" s="3"/>
      <c r="AV1190" s="3"/>
      <c r="AW1190" s="3"/>
      <c r="AX1190" s="3"/>
      <c r="AY1190" s="3"/>
    </row>
    <row r="1191" spans="1:51" ht="16.5" customHeight="1">
      <c r="A1191" s="3"/>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7"/>
      <c r="AK1191" s="7"/>
      <c r="AL1191" s="7"/>
      <c r="AM1191" s="7"/>
      <c r="AN1191" s="7"/>
      <c r="AO1191" s="7"/>
      <c r="AP1191" s="7"/>
      <c r="AQ1191" s="7"/>
      <c r="AR1191" s="7"/>
      <c r="AS1191" s="7"/>
      <c r="AT1191" s="7"/>
      <c r="AU1191" s="3"/>
      <c r="AV1191" s="3"/>
      <c r="AW1191" s="3"/>
      <c r="AX1191" s="3"/>
      <c r="AY1191" s="3"/>
    </row>
    <row r="1192" spans="1:51" ht="16.5" customHeight="1">
      <c r="A1192" s="3"/>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7"/>
      <c r="AK1192" s="7"/>
      <c r="AL1192" s="7"/>
      <c r="AM1192" s="7"/>
      <c r="AN1192" s="7"/>
      <c r="AO1192" s="7"/>
      <c r="AP1192" s="7"/>
      <c r="AQ1192" s="7"/>
      <c r="AR1192" s="7"/>
      <c r="AS1192" s="7"/>
      <c r="AT1192" s="7"/>
      <c r="AU1192" s="3"/>
      <c r="AV1192" s="3"/>
      <c r="AW1192" s="3"/>
      <c r="AX1192" s="3"/>
      <c r="AY1192" s="3"/>
    </row>
    <row r="1193" spans="1:51" ht="16.5" customHeight="1">
      <c r="A1193" s="3"/>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7"/>
      <c r="AK1193" s="7"/>
      <c r="AL1193" s="7"/>
      <c r="AM1193" s="7"/>
      <c r="AN1193" s="7"/>
      <c r="AO1193" s="7"/>
      <c r="AP1193" s="7"/>
      <c r="AQ1193" s="7"/>
      <c r="AR1193" s="7"/>
      <c r="AS1193" s="7"/>
      <c r="AT1193" s="7"/>
      <c r="AU1193" s="3"/>
      <c r="AV1193" s="3"/>
      <c r="AW1193" s="3"/>
      <c r="AX1193" s="3"/>
      <c r="AY1193" s="3"/>
    </row>
    <row r="1194" spans="1:51" ht="16.5" customHeight="1">
      <c r="A1194" s="3"/>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7"/>
      <c r="AK1194" s="7"/>
      <c r="AL1194" s="7"/>
      <c r="AM1194" s="7"/>
      <c r="AN1194" s="7"/>
      <c r="AO1194" s="7"/>
      <c r="AP1194" s="7"/>
      <c r="AQ1194" s="7"/>
      <c r="AR1194" s="7"/>
      <c r="AS1194" s="7"/>
      <c r="AT1194" s="7"/>
      <c r="AU1194" s="3"/>
      <c r="AV1194" s="3"/>
      <c r="AW1194" s="3"/>
      <c r="AX1194" s="3"/>
      <c r="AY1194" s="3"/>
    </row>
    <row r="1195" spans="1:51" ht="16.5" customHeight="1">
      <c r="A1195" s="3"/>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7"/>
      <c r="AK1195" s="7"/>
      <c r="AL1195" s="7"/>
      <c r="AM1195" s="7"/>
      <c r="AN1195" s="7"/>
      <c r="AO1195" s="7"/>
      <c r="AP1195" s="7"/>
      <c r="AQ1195" s="7"/>
      <c r="AR1195" s="7"/>
      <c r="AS1195" s="7"/>
      <c r="AT1195" s="7"/>
      <c r="AU1195" s="3"/>
      <c r="AV1195" s="3"/>
      <c r="AW1195" s="3"/>
      <c r="AX1195" s="3"/>
      <c r="AY1195" s="3"/>
    </row>
    <row r="1196" spans="1:51" ht="16.5" customHeight="1">
      <c r="A1196" s="3"/>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7"/>
      <c r="AK1196" s="7"/>
      <c r="AL1196" s="7"/>
      <c r="AM1196" s="7"/>
      <c r="AN1196" s="7"/>
      <c r="AO1196" s="7"/>
      <c r="AP1196" s="7"/>
      <c r="AQ1196" s="7"/>
      <c r="AR1196" s="7"/>
      <c r="AS1196" s="7"/>
      <c r="AT1196" s="7"/>
      <c r="AU1196" s="3"/>
      <c r="AV1196" s="3"/>
      <c r="AW1196" s="3"/>
      <c r="AX1196" s="3"/>
      <c r="AY1196" s="3"/>
    </row>
    <row r="1197" spans="1:51" ht="16.5" customHeight="1">
      <c r="A1197" s="3"/>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7"/>
      <c r="AK1197" s="7"/>
      <c r="AL1197" s="7"/>
      <c r="AM1197" s="7"/>
      <c r="AN1197" s="7"/>
      <c r="AO1197" s="7"/>
      <c r="AP1197" s="7"/>
      <c r="AQ1197" s="7"/>
      <c r="AR1197" s="7"/>
      <c r="AS1197" s="7"/>
      <c r="AT1197" s="7"/>
      <c r="AU1197" s="3"/>
      <c r="AV1197" s="3"/>
      <c r="AW1197" s="3"/>
      <c r="AX1197" s="3"/>
      <c r="AY1197" s="3"/>
    </row>
    <row r="1198" spans="1:51" ht="16.5" customHeight="1">
      <c r="A1198" s="3"/>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7"/>
      <c r="AK1198" s="7"/>
      <c r="AL1198" s="7"/>
      <c r="AM1198" s="7"/>
      <c r="AN1198" s="7"/>
      <c r="AO1198" s="7"/>
      <c r="AP1198" s="7"/>
      <c r="AQ1198" s="7"/>
      <c r="AR1198" s="7"/>
      <c r="AS1198" s="7"/>
      <c r="AT1198" s="7"/>
      <c r="AU1198" s="3"/>
      <c r="AV1198" s="3"/>
      <c r="AW1198" s="3"/>
      <c r="AX1198" s="3"/>
      <c r="AY1198" s="3"/>
    </row>
    <row r="1199" spans="1:51" ht="16.5" customHeight="1">
      <c r="A1199" s="3"/>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7"/>
      <c r="AK1199" s="7"/>
      <c r="AL1199" s="7"/>
      <c r="AM1199" s="7"/>
      <c r="AN1199" s="7"/>
      <c r="AO1199" s="7"/>
      <c r="AP1199" s="7"/>
      <c r="AQ1199" s="7"/>
      <c r="AR1199" s="7"/>
      <c r="AS1199" s="7"/>
      <c r="AT1199" s="7"/>
      <c r="AU1199" s="3"/>
      <c r="AV1199" s="3"/>
      <c r="AW1199" s="3"/>
      <c r="AX1199" s="3"/>
      <c r="AY1199" s="3"/>
    </row>
    <row r="1200" spans="1:51" ht="16.5" customHeight="1">
      <c r="A1200" s="3"/>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7"/>
      <c r="AK1200" s="7"/>
      <c r="AL1200" s="7"/>
      <c r="AM1200" s="7"/>
      <c r="AN1200" s="7"/>
      <c r="AO1200" s="7"/>
      <c r="AP1200" s="7"/>
      <c r="AQ1200" s="7"/>
      <c r="AR1200" s="7"/>
      <c r="AS1200" s="7"/>
      <c r="AT1200" s="7"/>
      <c r="AU1200" s="3"/>
      <c r="AV1200" s="3"/>
      <c r="AW1200" s="3"/>
      <c r="AX1200" s="3"/>
      <c r="AY1200" s="3"/>
    </row>
    <row r="1201" spans="1:51" ht="16.5" customHeight="1">
      <c r="A1201" s="3"/>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7"/>
      <c r="AK1201" s="7"/>
      <c r="AL1201" s="7"/>
      <c r="AM1201" s="7"/>
      <c r="AN1201" s="7"/>
      <c r="AO1201" s="7"/>
      <c r="AP1201" s="7"/>
      <c r="AQ1201" s="7"/>
      <c r="AR1201" s="7"/>
      <c r="AS1201" s="7"/>
      <c r="AT1201" s="7"/>
      <c r="AU1201" s="3"/>
      <c r="AV1201" s="3"/>
      <c r="AW1201" s="3"/>
      <c r="AX1201" s="3"/>
      <c r="AY1201" s="3"/>
    </row>
    <row r="1202" spans="1:51" ht="16.5" customHeight="1">
      <c r="A1202" s="3"/>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7"/>
      <c r="AK1202" s="7"/>
      <c r="AL1202" s="7"/>
      <c r="AM1202" s="7"/>
      <c r="AN1202" s="7"/>
      <c r="AO1202" s="7"/>
      <c r="AP1202" s="7"/>
      <c r="AQ1202" s="7"/>
      <c r="AR1202" s="7"/>
      <c r="AS1202" s="7"/>
      <c r="AT1202" s="7"/>
      <c r="AU1202" s="3"/>
      <c r="AV1202" s="3"/>
      <c r="AW1202" s="3"/>
      <c r="AX1202" s="3"/>
      <c r="AY1202" s="3"/>
    </row>
    <row r="1203" spans="1:51" ht="16.5" customHeight="1">
      <c r="A1203" s="3"/>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7"/>
      <c r="AK1203" s="7"/>
      <c r="AL1203" s="7"/>
      <c r="AM1203" s="7"/>
      <c r="AN1203" s="7"/>
      <c r="AO1203" s="7"/>
      <c r="AP1203" s="7"/>
      <c r="AQ1203" s="7"/>
      <c r="AR1203" s="7"/>
      <c r="AS1203" s="7"/>
      <c r="AT1203" s="7"/>
      <c r="AU1203" s="3"/>
      <c r="AV1203" s="3"/>
      <c r="AW1203" s="3"/>
      <c r="AX1203" s="3"/>
      <c r="AY1203" s="3"/>
    </row>
    <row r="1204" spans="1:51" ht="16.5" customHeight="1">
      <c r="A1204" s="3"/>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7"/>
      <c r="AK1204" s="7"/>
      <c r="AL1204" s="7"/>
      <c r="AM1204" s="7"/>
      <c r="AN1204" s="7"/>
      <c r="AO1204" s="7"/>
      <c r="AP1204" s="7"/>
      <c r="AQ1204" s="7"/>
      <c r="AR1204" s="7"/>
      <c r="AS1204" s="7"/>
      <c r="AT1204" s="7"/>
      <c r="AU1204" s="3"/>
      <c r="AV1204" s="3"/>
      <c r="AW1204" s="3"/>
      <c r="AX1204" s="3"/>
      <c r="AY1204" s="3"/>
    </row>
    <row r="1205" spans="1:51" ht="16.5" customHeight="1">
      <c r="A1205" s="3"/>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7"/>
      <c r="AK1205" s="7"/>
      <c r="AL1205" s="7"/>
      <c r="AM1205" s="7"/>
      <c r="AN1205" s="7"/>
      <c r="AO1205" s="7"/>
      <c r="AP1205" s="7"/>
      <c r="AQ1205" s="7"/>
      <c r="AR1205" s="7"/>
      <c r="AS1205" s="7"/>
      <c r="AT1205" s="7"/>
      <c r="AU1205" s="3"/>
      <c r="AV1205" s="3"/>
      <c r="AW1205" s="3"/>
      <c r="AX1205" s="3"/>
      <c r="AY1205" s="3"/>
    </row>
    <row r="1206" spans="1:51" ht="16.5" customHeight="1">
      <c r="A1206" s="3"/>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7"/>
      <c r="AK1206" s="7"/>
      <c r="AL1206" s="7"/>
      <c r="AM1206" s="7"/>
      <c r="AN1206" s="7"/>
      <c r="AO1206" s="7"/>
      <c r="AP1206" s="7"/>
      <c r="AQ1206" s="7"/>
      <c r="AR1206" s="7"/>
      <c r="AS1206" s="7"/>
      <c r="AT1206" s="7"/>
      <c r="AU1206" s="3"/>
      <c r="AV1206" s="3"/>
      <c r="AW1206" s="3"/>
      <c r="AX1206" s="3"/>
      <c r="AY1206" s="3"/>
    </row>
    <row r="1207" spans="1:51" ht="16.5" customHeight="1">
      <c r="A1207" s="3"/>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7"/>
      <c r="AK1207" s="7"/>
      <c r="AL1207" s="7"/>
      <c r="AM1207" s="7"/>
      <c r="AN1207" s="7"/>
      <c r="AO1207" s="7"/>
      <c r="AP1207" s="7"/>
      <c r="AQ1207" s="7"/>
      <c r="AR1207" s="7"/>
      <c r="AS1207" s="7"/>
      <c r="AT1207" s="7"/>
      <c r="AU1207" s="3"/>
      <c r="AV1207" s="3"/>
      <c r="AW1207" s="3"/>
      <c r="AX1207" s="3"/>
      <c r="AY1207" s="3"/>
    </row>
    <row r="1208" spans="1:51" ht="16.5" customHeight="1">
      <c r="A1208" s="3"/>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7"/>
      <c r="AK1208" s="7"/>
      <c r="AL1208" s="7"/>
      <c r="AM1208" s="7"/>
      <c r="AN1208" s="7"/>
      <c r="AO1208" s="7"/>
      <c r="AP1208" s="7"/>
      <c r="AQ1208" s="7"/>
      <c r="AR1208" s="7"/>
      <c r="AS1208" s="7"/>
      <c r="AT1208" s="7"/>
      <c r="AU1208" s="3"/>
      <c r="AV1208" s="3"/>
      <c r="AW1208" s="3"/>
      <c r="AX1208" s="3"/>
      <c r="AY1208" s="3"/>
    </row>
    <row r="1209" spans="1:51" ht="16.5" customHeight="1">
      <c r="A1209" s="3"/>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7"/>
      <c r="AK1209" s="7"/>
      <c r="AL1209" s="7"/>
      <c r="AM1209" s="7"/>
      <c r="AN1209" s="7"/>
      <c r="AO1209" s="7"/>
      <c r="AP1209" s="7"/>
      <c r="AQ1209" s="7"/>
      <c r="AR1209" s="7"/>
      <c r="AS1209" s="7"/>
      <c r="AT1209" s="7"/>
      <c r="AU1209" s="3"/>
      <c r="AV1209" s="3"/>
      <c r="AW1209" s="3"/>
      <c r="AX1209" s="3"/>
      <c r="AY1209" s="3"/>
    </row>
    <row r="1210" spans="1:51" ht="16.5" customHeight="1">
      <c r="A1210" s="3"/>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7"/>
      <c r="AK1210" s="7"/>
      <c r="AL1210" s="7"/>
      <c r="AM1210" s="7"/>
      <c r="AN1210" s="7"/>
      <c r="AO1210" s="7"/>
      <c r="AP1210" s="7"/>
      <c r="AQ1210" s="7"/>
      <c r="AR1210" s="7"/>
      <c r="AS1210" s="7"/>
      <c r="AT1210" s="7"/>
      <c r="AU1210" s="3"/>
      <c r="AV1210" s="3"/>
      <c r="AW1210" s="3"/>
      <c r="AX1210" s="3"/>
      <c r="AY1210" s="3"/>
    </row>
    <row r="1211" spans="1:51" ht="16.5" customHeight="1">
      <c r="A1211" s="3"/>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7"/>
      <c r="AK1211" s="7"/>
      <c r="AL1211" s="7"/>
      <c r="AM1211" s="7"/>
      <c r="AN1211" s="7"/>
      <c r="AO1211" s="7"/>
      <c r="AP1211" s="7"/>
      <c r="AQ1211" s="7"/>
      <c r="AR1211" s="7"/>
      <c r="AS1211" s="7"/>
      <c r="AT1211" s="7"/>
      <c r="AU1211" s="3"/>
      <c r="AV1211" s="3"/>
      <c r="AW1211" s="3"/>
      <c r="AX1211" s="3"/>
      <c r="AY1211" s="3"/>
    </row>
    <row r="1212" spans="1:51" ht="16.5" customHeight="1">
      <c r="A1212" s="3"/>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7"/>
      <c r="AK1212" s="7"/>
      <c r="AL1212" s="7"/>
      <c r="AM1212" s="7"/>
      <c r="AN1212" s="7"/>
      <c r="AO1212" s="7"/>
      <c r="AP1212" s="7"/>
      <c r="AQ1212" s="7"/>
      <c r="AR1212" s="7"/>
      <c r="AS1212" s="7"/>
      <c r="AT1212" s="7"/>
      <c r="AU1212" s="3"/>
      <c r="AV1212" s="3"/>
      <c r="AW1212" s="3"/>
      <c r="AX1212" s="3"/>
      <c r="AY1212" s="3"/>
    </row>
    <row r="1213" spans="1:51" ht="16.5" customHeight="1">
      <c r="A1213" s="3"/>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7"/>
      <c r="AK1213" s="7"/>
      <c r="AL1213" s="7"/>
      <c r="AM1213" s="7"/>
      <c r="AN1213" s="7"/>
      <c r="AO1213" s="7"/>
      <c r="AP1213" s="7"/>
      <c r="AQ1213" s="7"/>
      <c r="AR1213" s="7"/>
      <c r="AS1213" s="7"/>
      <c r="AT1213" s="7"/>
      <c r="AU1213" s="3"/>
      <c r="AV1213" s="3"/>
      <c r="AW1213" s="3"/>
      <c r="AX1213" s="3"/>
      <c r="AY1213" s="3"/>
    </row>
    <row r="1214" spans="1:51" ht="16.5" customHeight="1">
      <c r="A1214" s="3"/>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7"/>
      <c r="AK1214" s="7"/>
      <c r="AL1214" s="7"/>
      <c r="AM1214" s="7"/>
      <c r="AN1214" s="7"/>
      <c r="AO1214" s="7"/>
      <c r="AP1214" s="7"/>
      <c r="AQ1214" s="7"/>
      <c r="AR1214" s="7"/>
      <c r="AS1214" s="7"/>
      <c r="AT1214" s="7"/>
      <c r="AU1214" s="3"/>
      <c r="AV1214" s="3"/>
      <c r="AW1214" s="3"/>
      <c r="AX1214" s="3"/>
      <c r="AY1214" s="3"/>
    </row>
    <row r="1215" spans="1:51" ht="16.5" customHeight="1">
      <c r="A1215" s="3"/>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7"/>
      <c r="AK1215" s="7"/>
      <c r="AL1215" s="7"/>
      <c r="AM1215" s="7"/>
      <c r="AN1215" s="7"/>
      <c r="AO1215" s="7"/>
      <c r="AP1215" s="7"/>
      <c r="AQ1215" s="7"/>
      <c r="AR1215" s="7"/>
      <c r="AS1215" s="7"/>
      <c r="AT1215" s="7"/>
      <c r="AU1215" s="3"/>
      <c r="AV1215" s="3"/>
      <c r="AW1215" s="3"/>
      <c r="AX1215" s="3"/>
      <c r="AY1215" s="3"/>
    </row>
    <row r="1216" spans="1:51" ht="16.5" customHeight="1">
      <c r="A1216" s="3"/>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7"/>
      <c r="AK1216" s="7"/>
      <c r="AL1216" s="7"/>
      <c r="AM1216" s="7"/>
      <c r="AN1216" s="7"/>
      <c r="AO1216" s="7"/>
      <c r="AP1216" s="7"/>
      <c r="AQ1216" s="7"/>
      <c r="AR1216" s="7"/>
      <c r="AS1216" s="7"/>
      <c r="AT1216" s="7"/>
      <c r="AU1216" s="3"/>
      <c r="AV1216" s="3"/>
      <c r="AW1216" s="3"/>
      <c r="AX1216" s="3"/>
      <c r="AY1216" s="3"/>
    </row>
    <row r="1217" spans="1:51" ht="16.5" customHeight="1">
      <c r="A1217" s="3"/>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7"/>
      <c r="AK1217" s="7"/>
      <c r="AL1217" s="7"/>
      <c r="AM1217" s="7"/>
      <c r="AN1217" s="7"/>
      <c r="AO1217" s="7"/>
      <c r="AP1217" s="7"/>
      <c r="AQ1217" s="7"/>
      <c r="AR1217" s="7"/>
      <c r="AS1217" s="7"/>
      <c r="AT1217" s="7"/>
      <c r="AU1217" s="3"/>
      <c r="AV1217" s="3"/>
      <c r="AW1217" s="3"/>
      <c r="AX1217" s="3"/>
      <c r="AY1217" s="3"/>
    </row>
    <row r="1218" spans="1:51" ht="16.5" customHeight="1">
      <c r="A1218" s="3"/>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7"/>
      <c r="AK1218" s="7"/>
      <c r="AL1218" s="7"/>
      <c r="AM1218" s="7"/>
      <c r="AN1218" s="7"/>
      <c r="AO1218" s="7"/>
      <c r="AP1218" s="7"/>
      <c r="AQ1218" s="7"/>
      <c r="AR1218" s="7"/>
      <c r="AS1218" s="7"/>
      <c r="AT1218" s="7"/>
      <c r="AU1218" s="3"/>
      <c r="AV1218" s="3"/>
      <c r="AW1218" s="3"/>
      <c r="AX1218" s="3"/>
      <c r="AY1218" s="3"/>
    </row>
    <row r="1219" spans="1:51" ht="16.5" customHeight="1">
      <c r="A1219" s="3"/>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7"/>
      <c r="AK1219" s="7"/>
      <c r="AL1219" s="7"/>
      <c r="AM1219" s="7"/>
      <c r="AN1219" s="7"/>
      <c r="AO1219" s="7"/>
      <c r="AP1219" s="7"/>
      <c r="AQ1219" s="7"/>
      <c r="AR1219" s="7"/>
      <c r="AS1219" s="7"/>
      <c r="AT1219" s="7"/>
      <c r="AU1219" s="3"/>
      <c r="AV1219" s="3"/>
      <c r="AW1219" s="3"/>
      <c r="AX1219" s="3"/>
      <c r="AY1219" s="3"/>
    </row>
    <row r="1220" spans="1:51" ht="16.5" customHeight="1">
      <c r="A1220" s="3"/>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7"/>
      <c r="AK1220" s="7"/>
      <c r="AL1220" s="7"/>
      <c r="AM1220" s="7"/>
      <c r="AN1220" s="7"/>
      <c r="AO1220" s="7"/>
      <c r="AP1220" s="7"/>
      <c r="AQ1220" s="7"/>
      <c r="AR1220" s="7"/>
      <c r="AS1220" s="7"/>
      <c r="AT1220" s="7"/>
      <c r="AU1220" s="3"/>
      <c r="AV1220" s="3"/>
      <c r="AW1220" s="3"/>
      <c r="AX1220" s="3"/>
      <c r="AY1220" s="3"/>
    </row>
    <row r="1221" spans="1:51" ht="16.5" customHeight="1">
      <c r="A1221" s="3"/>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7"/>
      <c r="AK1221" s="7"/>
      <c r="AL1221" s="7"/>
      <c r="AM1221" s="7"/>
      <c r="AN1221" s="7"/>
      <c r="AO1221" s="7"/>
      <c r="AP1221" s="7"/>
      <c r="AQ1221" s="7"/>
      <c r="AR1221" s="7"/>
      <c r="AS1221" s="7"/>
      <c r="AT1221" s="7"/>
      <c r="AU1221" s="3"/>
      <c r="AV1221" s="3"/>
      <c r="AW1221" s="3"/>
      <c r="AX1221" s="3"/>
      <c r="AY1221" s="3"/>
    </row>
    <row r="1222" spans="1:51" ht="16.5" customHeight="1">
      <c r="A1222" s="3"/>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7"/>
      <c r="AK1222" s="7"/>
      <c r="AL1222" s="7"/>
      <c r="AM1222" s="7"/>
      <c r="AN1222" s="7"/>
      <c r="AO1222" s="7"/>
      <c r="AP1222" s="7"/>
      <c r="AQ1222" s="7"/>
      <c r="AR1222" s="7"/>
      <c r="AS1222" s="7"/>
      <c r="AT1222" s="7"/>
      <c r="AU1222" s="3"/>
      <c r="AV1222" s="3"/>
      <c r="AW1222" s="3"/>
      <c r="AX1222" s="3"/>
      <c r="AY1222" s="3"/>
    </row>
    <row r="1223" spans="1:51" ht="16.5" customHeight="1">
      <c r="A1223" s="3"/>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7"/>
      <c r="AK1223" s="7"/>
      <c r="AL1223" s="7"/>
      <c r="AM1223" s="7"/>
      <c r="AN1223" s="7"/>
      <c r="AO1223" s="7"/>
      <c r="AP1223" s="7"/>
      <c r="AQ1223" s="7"/>
      <c r="AR1223" s="7"/>
      <c r="AS1223" s="7"/>
      <c r="AT1223" s="7"/>
      <c r="AU1223" s="3"/>
      <c r="AV1223" s="3"/>
      <c r="AW1223" s="3"/>
      <c r="AX1223" s="3"/>
      <c r="AY1223" s="3"/>
    </row>
    <row r="1224" spans="1:51" ht="16.5" customHeight="1">
      <c r="A1224" s="3"/>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7"/>
      <c r="AK1224" s="7"/>
      <c r="AL1224" s="7"/>
      <c r="AM1224" s="7"/>
      <c r="AN1224" s="7"/>
      <c r="AO1224" s="7"/>
      <c r="AP1224" s="7"/>
      <c r="AQ1224" s="7"/>
      <c r="AR1224" s="7"/>
      <c r="AS1224" s="7"/>
      <c r="AT1224" s="7"/>
      <c r="AU1224" s="3"/>
      <c r="AV1224" s="3"/>
      <c r="AW1224" s="3"/>
      <c r="AX1224" s="3"/>
      <c r="AY1224" s="3"/>
    </row>
    <row r="1225" spans="1:51" ht="16.5" customHeight="1">
      <c r="A1225" s="3"/>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7"/>
      <c r="AK1225" s="7"/>
      <c r="AL1225" s="7"/>
      <c r="AM1225" s="7"/>
      <c r="AN1225" s="7"/>
      <c r="AO1225" s="7"/>
      <c r="AP1225" s="7"/>
      <c r="AQ1225" s="7"/>
      <c r="AR1225" s="7"/>
      <c r="AS1225" s="7"/>
      <c r="AT1225" s="7"/>
      <c r="AU1225" s="3"/>
      <c r="AV1225" s="3"/>
      <c r="AW1225" s="3"/>
      <c r="AX1225" s="3"/>
      <c r="AY1225" s="3"/>
    </row>
    <row r="1226" spans="1:51" ht="16.5" customHeight="1">
      <c r="A1226" s="3"/>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7"/>
      <c r="AK1226" s="7"/>
      <c r="AL1226" s="7"/>
      <c r="AM1226" s="7"/>
      <c r="AN1226" s="7"/>
      <c r="AO1226" s="7"/>
      <c r="AP1226" s="7"/>
      <c r="AQ1226" s="7"/>
      <c r="AR1226" s="7"/>
      <c r="AS1226" s="7"/>
      <c r="AT1226" s="7"/>
      <c r="AU1226" s="3"/>
      <c r="AV1226" s="3"/>
      <c r="AW1226" s="3"/>
      <c r="AX1226" s="3"/>
      <c r="AY1226" s="3"/>
    </row>
    <row r="1227" spans="1:51" ht="16.5" customHeight="1">
      <c r="A1227" s="3"/>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7"/>
      <c r="AK1227" s="7"/>
      <c r="AL1227" s="7"/>
      <c r="AM1227" s="7"/>
      <c r="AN1227" s="7"/>
      <c r="AO1227" s="7"/>
      <c r="AP1227" s="7"/>
      <c r="AQ1227" s="7"/>
      <c r="AR1227" s="7"/>
      <c r="AS1227" s="7"/>
      <c r="AT1227" s="7"/>
      <c r="AU1227" s="3"/>
      <c r="AV1227" s="3"/>
      <c r="AW1227" s="3"/>
      <c r="AX1227" s="3"/>
      <c r="AY1227" s="3"/>
    </row>
    <row r="1228" spans="1:51" ht="16.5" customHeight="1">
      <c r="A1228" s="3"/>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7"/>
      <c r="AK1228" s="7"/>
      <c r="AL1228" s="7"/>
      <c r="AM1228" s="7"/>
      <c r="AN1228" s="7"/>
      <c r="AO1228" s="7"/>
      <c r="AP1228" s="7"/>
      <c r="AQ1228" s="7"/>
      <c r="AR1228" s="7"/>
      <c r="AS1228" s="7"/>
      <c r="AT1228" s="7"/>
      <c r="AU1228" s="3"/>
      <c r="AV1228" s="3"/>
      <c r="AW1228" s="3"/>
      <c r="AX1228" s="3"/>
      <c r="AY1228" s="3"/>
    </row>
    <row r="1229" spans="1:51" ht="16.5" customHeight="1">
      <c r="A1229" s="3"/>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7"/>
      <c r="AK1229" s="7"/>
      <c r="AL1229" s="7"/>
      <c r="AM1229" s="7"/>
      <c r="AN1229" s="7"/>
      <c r="AO1229" s="7"/>
      <c r="AP1229" s="7"/>
      <c r="AQ1229" s="7"/>
      <c r="AR1229" s="7"/>
      <c r="AS1229" s="7"/>
      <c r="AT1229" s="7"/>
      <c r="AU1229" s="3"/>
      <c r="AV1229" s="3"/>
      <c r="AW1229" s="3"/>
      <c r="AX1229" s="3"/>
      <c r="AY1229" s="3"/>
    </row>
    <row r="1230" spans="1:51" ht="16.5" customHeight="1">
      <c r="A1230" s="3"/>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7"/>
      <c r="AK1230" s="7"/>
      <c r="AL1230" s="7"/>
      <c r="AM1230" s="7"/>
      <c r="AN1230" s="7"/>
      <c r="AO1230" s="7"/>
      <c r="AP1230" s="7"/>
      <c r="AQ1230" s="7"/>
      <c r="AR1230" s="7"/>
      <c r="AS1230" s="7"/>
      <c r="AT1230" s="7"/>
      <c r="AU1230" s="3"/>
      <c r="AV1230" s="3"/>
      <c r="AW1230" s="3"/>
      <c r="AX1230" s="3"/>
      <c r="AY1230" s="3"/>
    </row>
    <row r="1231" spans="1:51" ht="16.5" customHeight="1">
      <c r="A1231" s="3"/>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7"/>
      <c r="AK1231" s="7"/>
      <c r="AL1231" s="7"/>
      <c r="AM1231" s="7"/>
      <c r="AN1231" s="7"/>
      <c r="AO1231" s="7"/>
      <c r="AP1231" s="7"/>
      <c r="AQ1231" s="7"/>
      <c r="AR1231" s="7"/>
      <c r="AS1231" s="7"/>
      <c r="AT1231" s="7"/>
      <c r="AU1231" s="3"/>
      <c r="AV1231" s="3"/>
      <c r="AW1231" s="3"/>
      <c r="AX1231" s="3"/>
      <c r="AY1231" s="3"/>
    </row>
    <row r="1232" spans="1:51" ht="16.5" customHeight="1">
      <c r="A1232" s="3"/>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7"/>
      <c r="AK1232" s="7"/>
      <c r="AL1232" s="7"/>
      <c r="AM1232" s="7"/>
      <c r="AN1232" s="7"/>
      <c r="AO1232" s="7"/>
      <c r="AP1232" s="7"/>
      <c r="AQ1232" s="7"/>
      <c r="AR1232" s="7"/>
      <c r="AS1232" s="7"/>
      <c r="AT1232" s="7"/>
      <c r="AU1232" s="3"/>
      <c r="AV1232" s="3"/>
      <c r="AW1232" s="3"/>
      <c r="AX1232" s="3"/>
      <c r="AY1232" s="3"/>
    </row>
    <row r="1233" spans="1:51" ht="16.5" customHeight="1">
      <c r="A1233" s="3"/>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7"/>
      <c r="AK1233" s="7"/>
      <c r="AL1233" s="7"/>
      <c r="AM1233" s="7"/>
      <c r="AN1233" s="7"/>
      <c r="AO1233" s="7"/>
      <c r="AP1233" s="7"/>
      <c r="AQ1233" s="7"/>
      <c r="AR1233" s="7"/>
      <c r="AS1233" s="7"/>
      <c r="AT1233" s="7"/>
      <c r="AU1233" s="3"/>
      <c r="AV1233" s="3"/>
      <c r="AW1233" s="3"/>
      <c r="AX1233" s="3"/>
      <c r="AY1233" s="3"/>
    </row>
    <row r="1234" spans="1:51" ht="16.5" customHeight="1">
      <c r="A1234" s="3"/>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7"/>
      <c r="AK1234" s="7"/>
      <c r="AL1234" s="7"/>
      <c r="AM1234" s="7"/>
      <c r="AN1234" s="7"/>
      <c r="AO1234" s="7"/>
      <c r="AP1234" s="7"/>
      <c r="AQ1234" s="7"/>
      <c r="AR1234" s="7"/>
      <c r="AS1234" s="7"/>
      <c r="AT1234" s="7"/>
      <c r="AU1234" s="3"/>
      <c r="AV1234" s="3"/>
      <c r="AW1234" s="3"/>
      <c r="AX1234" s="3"/>
      <c r="AY1234" s="3"/>
    </row>
    <row r="1235" spans="1:51" ht="16.5" customHeight="1">
      <c r="A1235" s="3"/>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7"/>
      <c r="AK1235" s="7"/>
      <c r="AL1235" s="7"/>
      <c r="AM1235" s="7"/>
      <c r="AN1235" s="7"/>
      <c r="AO1235" s="7"/>
      <c r="AP1235" s="7"/>
      <c r="AQ1235" s="7"/>
      <c r="AR1235" s="7"/>
      <c r="AS1235" s="7"/>
      <c r="AT1235" s="7"/>
      <c r="AU1235" s="3"/>
      <c r="AV1235" s="3"/>
      <c r="AW1235" s="3"/>
      <c r="AX1235" s="3"/>
      <c r="AY1235" s="3"/>
    </row>
    <row r="1236" spans="1:51" ht="16.5" customHeight="1">
      <c r="A1236" s="3"/>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7"/>
      <c r="AK1236" s="7"/>
      <c r="AL1236" s="7"/>
      <c r="AM1236" s="7"/>
      <c r="AN1236" s="7"/>
      <c r="AO1236" s="7"/>
      <c r="AP1236" s="7"/>
      <c r="AQ1236" s="7"/>
      <c r="AR1236" s="7"/>
      <c r="AS1236" s="7"/>
      <c r="AT1236" s="7"/>
      <c r="AU1236" s="3"/>
      <c r="AV1236" s="3"/>
      <c r="AW1236" s="3"/>
      <c r="AX1236" s="3"/>
      <c r="AY1236" s="3"/>
    </row>
    <row r="1237" spans="1:51" ht="16.5" customHeight="1">
      <c r="A1237" s="3"/>
      <c r="B1237" s="3"/>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7"/>
      <c r="AK1237" s="7"/>
      <c r="AL1237" s="7"/>
      <c r="AM1237" s="7"/>
      <c r="AN1237" s="7"/>
      <c r="AO1237" s="7"/>
      <c r="AP1237" s="7"/>
      <c r="AQ1237" s="7"/>
      <c r="AR1237" s="7"/>
      <c r="AS1237" s="7"/>
      <c r="AT1237" s="7"/>
      <c r="AU1237" s="3"/>
      <c r="AV1237" s="3"/>
      <c r="AW1237" s="3"/>
      <c r="AX1237" s="3"/>
      <c r="AY1237" s="3"/>
    </row>
    <row r="1238" spans="1:51" ht="16.5" customHeight="1">
      <c r="A1238" s="3"/>
      <c r="B1238" s="3"/>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7"/>
      <c r="AK1238" s="7"/>
      <c r="AL1238" s="7"/>
      <c r="AM1238" s="7"/>
      <c r="AN1238" s="7"/>
      <c r="AO1238" s="7"/>
      <c r="AP1238" s="7"/>
      <c r="AQ1238" s="7"/>
      <c r="AR1238" s="7"/>
      <c r="AS1238" s="7"/>
      <c r="AT1238" s="7"/>
      <c r="AU1238" s="3"/>
      <c r="AV1238" s="3"/>
      <c r="AW1238" s="3"/>
      <c r="AX1238" s="3"/>
      <c r="AY1238" s="3"/>
    </row>
    <row r="1239" spans="1:51" ht="16.5" customHeight="1">
      <c r="A1239" s="3"/>
      <c r="B1239" s="3"/>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7"/>
      <c r="AK1239" s="7"/>
      <c r="AL1239" s="7"/>
      <c r="AM1239" s="7"/>
      <c r="AN1239" s="7"/>
      <c r="AO1239" s="7"/>
      <c r="AP1239" s="7"/>
      <c r="AQ1239" s="7"/>
      <c r="AR1239" s="7"/>
      <c r="AS1239" s="7"/>
      <c r="AT1239" s="7"/>
      <c r="AU1239" s="3"/>
      <c r="AV1239" s="3"/>
      <c r="AW1239" s="3"/>
      <c r="AX1239" s="3"/>
      <c r="AY1239" s="3"/>
    </row>
    <row r="1240" spans="1:51" ht="16.5" customHeight="1">
      <c r="A1240" s="3"/>
      <c r="B1240" s="3"/>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7"/>
      <c r="AK1240" s="7"/>
      <c r="AL1240" s="7"/>
      <c r="AM1240" s="7"/>
      <c r="AN1240" s="7"/>
      <c r="AO1240" s="7"/>
      <c r="AP1240" s="7"/>
      <c r="AQ1240" s="7"/>
      <c r="AR1240" s="7"/>
      <c r="AS1240" s="7"/>
      <c r="AT1240" s="7"/>
      <c r="AU1240" s="3"/>
      <c r="AV1240" s="3"/>
      <c r="AW1240" s="3"/>
      <c r="AX1240" s="3"/>
      <c r="AY1240" s="3"/>
    </row>
    <row r="1241" spans="1:51" ht="16.5" customHeight="1">
      <c r="A1241" s="3"/>
      <c r="B1241" s="3"/>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7"/>
      <c r="AK1241" s="7"/>
      <c r="AL1241" s="7"/>
      <c r="AM1241" s="7"/>
      <c r="AN1241" s="7"/>
      <c r="AO1241" s="7"/>
      <c r="AP1241" s="7"/>
      <c r="AQ1241" s="7"/>
      <c r="AR1241" s="7"/>
      <c r="AS1241" s="7"/>
      <c r="AT1241" s="7"/>
      <c r="AU1241" s="3"/>
      <c r="AV1241" s="3"/>
      <c r="AW1241" s="3"/>
      <c r="AX1241" s="3"/>
      <c r="AY1241" s="3"/>
    </row>
    <row r="1242" spans="1:51" ht="16.5" customHeight="1">
      <c r="A1242" s="3"/>
      <c r="B1242" s="3"/>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7"/>
      <c r="AK1242" s="7"/>
      <c r="AL1242" s="7"/>
      <c r="AM1242" s="7"/>
      <c r="AN1242" s="7"/>
      <c r="AO1242" s="7"/>
      <c r="AP1242" s="7"/>
      <c r="AQ1242" s="7"/>
      <c r="AR1242" s="7"/>
      <c r="AS1242" s="7"/>
      <c r="AT1242" s="7"/>
      <c r="AU1242" s="3"/>
      <c r="AV1242" s="3"/>
      <c r="AW1242" s="3"/>
      <c r="AX1242" s="3"/>
      <c r="AY1242" s="3"/>
    </row>
    <row r="1243" spans="1:51" ht="16.5" customHeight="1">
      <c r="A1243" s="3"/>
      <c r="B1243" s="3"/>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7"/>
      <c r="AK1243" s="7"/>
      <c r="AL1243" s="7"/>
      <c r="AM1243" s="7"/>
      <c r="AN1243" s="7"/>
      <c r="AO1243" s="7"/>
      <c r="AP1243" s="7"/>
      <c r="AQ1243" s="7"/>
      <c r="AR1243" s="7"/>
      <c r="AS1243" s="7"/>
      <c r="AT1243" s="7"/>
      <c r="AU1243" s="3"/>
      <c r="AV1243" s="3"/>
      <c r="AW1243" s="3"/>
      <c r="AX1243" s="3"/>
      <c r="AY1243" s="3"/>
    </row>
    <row r="1244" spans="1:51" ht="16.5" customHeight="1">
      <c r="A1244" s="3"/>
      <c r="B1244" s="3"/>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7"/>
      <c r="AK1244" s="7"/>
      <c r="AL1244" s="7"/>
      <c r="AM1244" s="7"/>
      <c r="AN1244" s="7"/>
      <c r="AO1244" s="7"/>
      <c r="AP1244" s="7"/>
      <c r="AQ1244" s="7"/>
      <c r="AR1244" s="7"/>
      <c r="AS1244" s="7"/>
      <c r="AT1244" s="7"/>
      <c r="AU1244" s="3"/>
      <c r="AV1244" s="3"/>
      <c r="AW1244" s="3"/>
      <c r="AX1244" s="3"/>
      <c r="AY1244" s="3"/>
    </row>
    <row r="1245" spans="1:51" ht="16.5" customHeight="1">
      <c r="A1245" s="3"/>
      <c r="B1245" s="3"/>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7"/>
      <c r="AK1245" s="7"/>
      <c r="AL1245" s="7"/>
      <c r="AM1245" s="7"/>
      <c r="AN1245" s="7"/>
      <c r="AO1245" s="7"/>
      <c r="AP1245" s="7"/>
      <c r="AQ1245" s="7"/>
      <c r="AR1245" s="7"/>
      <c r="AS1245" s="7"/>
      <c r="AT1245" s="7"/>
      <c r="AU1245" s="3"/>
      <c r="AV1245" s="3"/>
      <c r="AW1245" s="3"/>
      <c r="AX1245" s="3"/>
      <c r="AY1245" s="3"/>
    </row>
    <row r="1246" spans="1:51" ht="16.5" customHeight="1">
      <c r="A1246" s="3"/>
      <c r="B1246" s="3"/>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7"/>
      <c r="AK1246" s="7"/>
      <c r="AL1246" s="7"/>
      <c r="AM1246" s="7"/>
      <c r="AN1246" s="7"/>
      <c r="AO1246" s="7"/>
      <c r="AP1246" s="7"/>
      <c r="AQ1246" s="7"/>
      <c r="AR1246" s="7"/>
      <c r="AS1246" s="7"/>
      <c r="AT1246" s="7"/>
      <c r="AU1246" s="3"/>
      <c r="AV1246" s="3"/>
      <c r="AW1246" s="3"/>
      <c r="AX1246" s="3"/>
      <c r="AY1246" s="3"/>
    </row>
    <row r="1247" spans="1:51" ht="16.5" customHeight="1">
      <c r="A1247" s="3"/>
      <c r="B1247" s="3"/>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7"/>
      <c r="AK1247" s="7"/>
      <c r="AL1247" s="7"/>
      <c r="AM1247" s="7"/>
      <c r="AN1247" s="7"/>
      <c r="AO1247" s="7"/>
      <c r="AP1247" s="7"/>
      <c r="AQ1247" s="7"/>
      <c r="AR1247" s="7"/>
      <c r="AS1247" s="7"/>
      <c r="AT1247" s="7"/>
      <c r="AU1247" s="3"/>
      <c r="AV1247" s="3"/>
      <c r="AW1247" s="3"/>
      <c r="AX1247" s="3"/>
      <c r="AY1247" s="3"/>
    </row>
    <row r="1248" spans="1:51" ht="16.5" customHeight="1">
      <c r="A1248" s="3"/>
      <c r="B1248" s="3"/>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7"/>
      <c r="AK1248" s="7"/>
      <c r="AL1248" s="7"/>
      <c r="AM1248" s="7"/>
      <c r="AN1248" s="7"/>
      <c r="AO1248" s="7"/>
      <c r="AP1248" s="7"/>
      <c r="AQ1248" s="7"/>
      <c r="AR1248" s="7"/>
      <c r="AS1248" s="7"/>
      <c r="AT1248" s="7"/>
      <c r="AU1248" s="3"/>
      <c r="AV1248" s="3"/>
      <c r="AW1248" s="3"/>
      <c r="AX1248" s="3"/>
      <c r="AY1248" s="3"/>
    </row>
    <row r="1249" spans="1:51" ht="16.5" customHeight="1">
      <c r="A1249" s="3"/>
      <c r="B1249" s="3"/>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7"/>
      <c r="AK1249" s="7"/>
      <c r="AL1249" s="7"/>
      <c r="AM1249" s="7"/>
      <c r="AN1249" s="7"/>
      <c r="AO1249" s="7"/>
      <c r="AP1249" s="7"/>
      <c r="AQ1249" s="7"/>
      <c r="AR1249" s="7"/>
      <c r="AS1249" s="7"/>
      <c r="AT1249" s="7"/>
      <c r="AU1249" s="3"/>
      <c r="AV1249" s="3"/>
      <c r="AW1249" s="3"/>
      <c r="AX1249" s="3"/>
      <c r="AY1249" s="3"/>
    </row>
    <row r="1250" spans="1:51" ht="16.5" customHeight="1">
      <c r="A1250" s="3"/>
      <c r="B1250" s="3"/>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7"/>
      <c r="AK1250" s="7"/>
      <c r="AL1250" s="7"/>
      <c r="AM1250" s="7"/>
      <c r="AN1250" s="7"/>
      <c r="AO1250" s="7"/>
      <c r="AP1250" s="7"/>
      <c r="AQ1250" s="7"/>
      <c r="AR1250" s="7"/>
      <c r="AS1250" s="7"/>
      <c r="AT1250" s="7"/>
      <c r="AU1250" s="3"/>
      <c r="AV1250" s="3"/>
      <c r="AW1250" s="3"/>
      <c r="AX1250" s="3"/>
      <c r="AY1250" s="3"/>
    </row>
    <row r="1251" spans="1:51" ht="16.5" customHeight="1">
      <c r="A1251" s="3"/>
      <c r="B1251" s="3"/>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7"/>
      <c r="AK1251" s="7"/>
      <c r="AL1251" s="7"/>
      <c r="AM1251" s="7"/>
      <c r="AN1251" s="7"/>
      <c r="AO1251" s="7"/>
      <c r="AP1251" s="7"/>
      <c r="AQ1251" s="7"/>
      <c r="AR1251" s="7"/>
      <c r="AS1251" s="7"/>
      <c r="AT1251" s="7"/>
      <c r="AU1251" s="3"/>
      <c r="AV1251" s="3"/>
      <c r="AW1251" s="3"/>
      <c r="AX1251" s="3"/>
      <c r="AY1251" s="3"/>
    </row>
    <row r="1252" spans="1:51" ht="16.5" customHeight="1">
      <c r="A1252" s="3"/>
      <c r="B1252" s="3"/>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7"/>
      <c r="AK1252" s="7"/>
      <c r="AL1252" s="7"/>
      <c r="AM1252" s="7"/>
      <c r="AN1252" s="7"/>
      <c r="AO1252" s="7"/>
      <c r="AP1252" s="7"/>
      <c r="AQ1252" s="7"/>
      <c r="AR1252" s="7"/>
      <c r="AS1252" s="7"/>
      <c r="AT1252" s="7"/>
      <c r="AU1252" s="3"/>
      <c r="AV1252" s="3"/>
      <c r="AW1252" s="3"/>
      <c r="AX1252" s="3"/>
      <c r="AY1252" s="3"/>
    </row>
    <row r="1253" spans="1:51" ht="16.5" customHeight="1">
      <c r="A1253" s="3"/>
      <c r="B1253" s="3"/>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7"/>
      <c r="AK1253" s="7"/>
      <c r="AL1253" s="7"/>
      <c r="AM1253" s="7"/>
      <c r="AN1253" s="7"/>
      <c r="AO1253" s="7"/>
      <c r="AP1253" s="7"/>
      <c r="AQ1253" s="7"/>
      <c r="AR1253" s="7"/>
      <c r="AS1253" s="7"/>
      <c r="AT1253" s="7"/>
      <c r="AU1253" s="3"/>
      <c r="AV1253" s="3"/>
      <c r="AW1253" s="3"/>
      <c r="AX1253" s="3"/>
      <c r="AY1253" s="3"/>
    </row>
    <row r="1254" spans="1:51" ht="16.5" customHeight="1">
      <c r="A1254" s="3"/>
      <c r="B1254" s="3"/>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7"/>
      <c r="AK1254" s="7"/>
      <c r="AL1254" s="7"/>
      <c r="AM1254" s="7"/>
      <c r="AN1254" s="7"/>
      <c r="AO1254" s="7"/>
      <c r="AP1254" s="7"/>
      <c r="AQ1254" s="7"/>
      <c r="AR1254" s="7"/>
      <c r="AS1254" s="7"/>
      <c r="AT1254" s="7"/>
      <c r="AU1254" s="3"/>
      <c r="AV1254" s="3"/>
      <c r="AW1254" s="3"/>
      <c r="AX1254" s="3"/>
      <c r="AY1254" s="3"/>
    </row>
    <row r="1255" spans="1:51" ht="16.5" customHeight="1">
      <c r="A1255" s="3"/>
      <c r="B1255" s="3"/>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7"/>
      <c r="AK1255" s="7"/>
      <c r="AL1255" s="7"/>
      <c r="AM1255" s="7"/>
      <c r="AN1255" s="7"/>
      <c r="AO1255" s="7"/>
      <c r="AP1255" s="7"/>
      <c r="AQ1255" s="7"/>
      <c r="AR1255" s="7"/>
      <c r="AS1255" s="7"/>
      <c r="AT1255" s="7"/>
      <c r="AU1255" s="3"/>
      <c r="AV1255" s="3"/>
      <c r="AW1255" s="3"/>
      <c r="AX1255" s="3"/>
      <c r="AY1255" s="3"/>
    </row>
    <row r="1256" spans="1:51" ht="16.5" customHeight="1">
      <c r="A1256" s="3"/>
      <c r="B1256" s="3"/>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7"/>
      <c r="AK1256" s="7"/>
      <c r="AL1256" s="7"/>
      <c r="AM1256" s="7"/>
      <c r="AN1256" s="7"/>
      <c r="AO1256" s="7"/>
      <c r="AP1256" s="7"/>
      <c r="AQ1256" s="7"/>
      <c r="AR1256" s="7"/>
      <c r="AS1256" s="7"/>
      <c r="AT1256" s="7"/>
      <c r="AU1256" s="3"/>
      <c r="AV1256" s="3"/>
      <c r="AW1256" s="3"/>
      <c r="AX1256" s="3"/>
      <c r="AY1256" s="3"/>
    </row>
    <row r="1257" spans="1:51" ht="16.5" customHeight="1">
      <c r="A1257" s="3"/>
      <c r="B1257" s="3"/>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7"/>
      <c r="AK1257" s="7"/>
      <c r="AL1257" s="7"/>
      <c r="AM1257" s="7"/>
      <c r="AN1257" s="7"/>
      <c r="AO1257" s="7"/>
      <c r="AP1257" s="7"/>
      <c r="AQ1257" s="7"/>
      <c r="AR1257" s="7"/>
      <c r="AS1257" s="7"/>
      <c r="AT1257" s="7"/>
      <c r="AU1257" s="3"/>
      <c r="AV1257" s="3"/>
      <c r="AW1257" s="3"/>
      <c r="AX1257" s="3"/>
      <c r="AY1257" s="3"/>
    </row>
    <row r="1258" spans="1:51" ht="16.5" customHeight="1">
      <c r="A1258" s="3"/>
      <c r="B1258" s="3"/>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7"/>
      <c r="AK1258" s="7"/>
      <c r="AL1258" s="7"/>
      <c r="AM1258" s="7"/>
      <c r="AN1258" s="7"/>
      <c r="AO1258" s="7"/>
      <c r="AP1258" s="7"/>
      <c r="AQ1258" s="7"/>
      <c r="AR1258" s="7"/>
      <c r="AS1258" s="7"/>
      <c r="AT1258" s="7"/>
      <c r="AU1258" s="3"/>
      <c r="AV1258" s="3"/>
      <c r="AW1258" s="3"/>
      <c r="AX1258" s="3"/>
      <c r="AY1258" s="3"/>
    </row>
    <row r="1259" spans="1:51" ht="16.5" customHeight="1">
      <c r="A1259" s="3"/>
      <c r="B1259" s="3"/>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7"/>
      <c r="AK1259" s="7"/>
      <c r="AL1259" s="7"/>
      <c r="AM1259" s="7"/>
      <c r="AN1259" s="7"/>
      <c r="AO1259" s="7"/>
      <c r="AP1259" s="7"/>
      <c r="AQ1259" s="7"/>
      <c r="AR1259" s="7"/>
      <c r="AS1259" s="7"/>
      <c r="AT1259" s="7"/>
      <c r="AU1259" s="3"/>
      <c r="AV1259" s="3"/>
      <c r="AW1259" s="3"/>
      <c r="AX1259" s="3"/>
      <c r="AY1259" s="3"/>
    </row>
    <row r="1260" spans="1:51" ht="16.5" customHeight="1">
      <c r="A1260" s="3"/>
      <c r="B1260" s="3"/>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7"/>
      <c r="AK1260" s="7"/>
      <c r="AL1260" s="7"/>
      <c r="AM1260" s="7"/>
      <c r="AN1260" s="7"/>
      <c r="AO1260" s="7"/>
      <c r="AP1260" s="7"/>
      <c r="AQ1260" s="7"/>
      <c r="AR1260" s="7"/>
      <c r="AS1260" s="7"/>
      <c r="AT1260" s="7"/>
      <c r="AU1260" s="3"/>
      <c r="AV1260" s="3"/>
      <c r="AW1260" s="3"/>
      <c r="AX1260" s="3"/>
      <c r="AY1260" s="3"/>
    </row>
    <row r="1261" spans="1:51" ht="16.5" customHeight="1">
      <c r="A1261" s="3"/>
      <c r="B1261" s="3"/>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7"/>
      <c r="AK1261" s="7"/>
      <c r="AL1261" s="7"/>
      <c r="AM1261" s="7"/>
      <c r="AN1261" s="7"/>
      <c r="AO1261" s="7"/>
      <c r="AP1261" s="7"/>
      <c r="AQ1261" s="7"/>
      <c r="AR1261" s="7"/>
      <c r="AS1261" s="7"/>
      <c r="AT1261" s="7"/>
      <c r="AU1261" s="3"/>
      <c r="AV1261" s="3"/>
      <c r="AW1261" s="3"/>
      <c r="AX1261" s="3"/>
      <c r="AY1261" s="3"/>
    </row>
    <row r="1262" spans="1:51" ht="16.5" customHeight="1">
      <c r="A1262" s="3"/>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7"/>
      <c r="AK1262" s="7"/>
      <c r="AL1262" s="7"/>
      <c r="AM1262" s="7"/>
      <c r="AN1262" s="7"/>
      <c r="AO1262" s="7"/>
      <c r="AP1262" s="7"/>
      <c r="AQ1262" s="7"/>
      <c r="AR1262" s="7"/>
      <c r="AS1262" s="7"/>
      <c r="AT1262" s="7"/>
      <c r="AU1262" s="3"/>
      <c r="AV1262" s="3"/>
      <c r="AW1262" s="3"/>
      <c r="AX1262" s="3"/>
      <c r="AY1262" s="3"/>
    </row>
    <row r="1263" spans="1:51" ht="16.5" customHeight="1">
      <c r="A1263" s="3"/>
      <c r="B1263" s="3"/>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7"/>
      <c r="AK1263" s="7"/>
      <c r="AL1263" s="7"/>
      <c r="AM1263" s="7"/>
      <c r="AN1263" s="7"/>
      <c r="AO1263" s="7"/>
      <c r="AP1263" s="7"/>
      <c r="AQ1263" s="7"/>
      <c r="AR1263" s="7"/>
      <c r="AS1263" s="7"/>
      <c r="AT1263" s="7"/>
      <c r="AU1263" s="3"/>
      <c r="AV1263" s="3"/>
      <c r="AW1263" s="3"/>
      <c r="AX1263" s="3"/>
      <c r="AY1263" s="3"/>
    </row>
    <row r="1264" spans="1:51" ht="16.5" customHeight="1">
      <c r="A1264" s="3"/>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7"/>
      <c r="AK1264" s="7"/>
      <c r="AL1264" s="7"/>
      <c r="AM1264" s="7"/>
      <c r="AN1264" s="7"/>
      <c r="AO1264" s="7"/>
      <c r="AP1264" s="7"/>
      <c r="AQ1264" s="7"/>
      <c r="AR1264" s="7"/>
      <c r="AS1264" s="7"/>
      <c r="AT1264" s="7"/>
      <c r="AU1264" s="3"/>
      <c r="AV1264" s="3"/>
      <c r="AW1264" s="3"/>
      <c r="AX1264" s="3"/>
      <c r="AY1264" s="3"/>
    </row>
    <row r="1265" spans="1:51" ht="16.5" customHeight="1">
      <c r="A1265" s="3"/>
      <c r="B1265" s="3"/>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7"/>
      <c r="AK1265" s="7"/>
      <c r="AL1265" s="7"/>
      <c r="AM1265" s="7"/>
      <c r="AN1265" s="7"/>
      <c r="AO1265" s="7"/>
      <c r="AP1265" s="7"/>
      <c r="AQ1265" s="7"/>
      <c r="AR1265" s="7"/>
      <c r="AS1265" s="7"/>
      <c r="AT1265" s="7"/>
      <c r="AU1265" s="3"/>
      <c r="AV1265" s="3"/>
      <c r="AW1265" s="3"/>
      <c r="AX1265" s="3"/>
      <c r="AY1265" s="3"/>
    </row>
    <row r="1266" spans="1:51" ht="16.5" customHeight="1">
      <c r="A1266" s="3"/>
      <c r="B1266" s="3"/>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7"/>
      <c r="AK1266" s="7"/>
      <c r="AL1266" s="7"/>
      <c r="AM1266" s="7"/>
      <c r="AN1266" s="7"/>
      <c r="AO1266" s="7"/>
      <c r="AP1266" s="7"/>
      <c r="AQ1266" s="7"/>
      <c r="AR1266" s="7"/>
      <c r="AS1266" s="7"/>
      <c r="AT1266" s="7"/>
      <c r="AU1266" s="3"/>
      <c r="AV1266" s="3"/>
      <c r="AW1266" s="3"/>
      <c r="AX1266" s="3"/>
      <c r="AY1266" s="3"/>
    </row>
    <row r="1267" spans="1:51" ht="16.5" customHeight="1">
      <c r="A1267" s="3"/>
      <c r="B1267" s="3"/>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7"/>
      <c r="AK1267" s="7"/>
      <c r="AL1267" s="7"/>
      <c r="AM1267" s="7"/>
      <c r="AN1267" s="7"/>
      <c r="AO1267" s="7"/>
      <c r="AP1267" s="7"/>
      <c r="AQ1267" s="7"/>
      <c r="AR1267" s="7"/>
      <c r="AS1267" s="7"/>
      <c r="AT1267" s="7"/>
      <c r="AU1267" s="3"/>
      <c r="AV1267" s="3"/>
      <c r="AW1267" s="3"/>
      <c r="AX1267" s="3"/>
      <c r="AY1267" s="3"/>
    </row>
    <row r="1268" spans="1:51" ht="16.5" customHeight="1">
      <c r="A1268" s="3"/>
      <c r="B1268" s="3"/>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7"/>
      <c r="AK1268" s="7"/>
      <c r="AL1268" s="7"/>
      <c r="AM1268" s="7"/>
      <c r="AN1268" s="7"/>
      <c r="AO1268" s="7"/>
      <c r="AP1268" s="7"/>
      <c r="AQ1268" s="7"/>
      <c r="AR1268" s="7"/>
      <c r="AS1268" s="7"/>
      <c r="AT1268" s="7"/>
      <c r="AU1268" s="3"/>
      <c r="AV1268" s="3"/>
      <c r="AW1268" s="3"/>
      <c r="AX1268" s="3"/>
      <c r="AY1268" s="3"/>
    </row>
    <row r="1269" spans="1:51" ht="16.5" customHeight="1">
      <c r="A1269" s="3"/>
      <c r="B1269" s="3"/>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7"/>
      <c r="AK1269" s="7"/>
      <c r="AL1269" s="7"/>
      <c r="AM1269" s="7"/>
      <c r="AN1269" s="7"/>
      <c r="AO1269" s="7"/>
      <c r="AP1269" s="7"/>
      <c r="AQ1269" s="7"/>
      <c r="AR1269" s="7"/>
      <c r="AS1269" s="7"/>
      <c r="AT1269" s="7"/>
      <c r="AU1269" s="3"/>
      <c r="AV1269" s="3"/>
      <c r="AW1269" s="3"/>
      <c r="AX1269" s="3"/>
      <c r="AY1269" s="3"/>
    </row>
    <row r="1270" spans="1:51" ht="16.5" customHeight="1">
      <c r="A1270" s="3"/>
      <c r="B1270" s="3"/>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7"/>
      <c r="AK1270" s="7"/>
      <c r="AL1270" s="7"/>
      <c r="AM1270" s="7"/>
      <c r="AN1270" s="7"/>
      <c r="AO1270" s="7"/>
      <c r="AP1270" s="7"/>
      <c r="AQ1270" s="7"/>
      <c r="AR1270" s="7"/>
      <c r="AS1270" s="7"/>
      <c r="AT1270" s="7"/>
      <c r="AU1270" s="3"/>
      <c r="AV1270" s="3"/>
      <c r="AW1270" s="3"/>
      <c r="AX1270" s="3"/>
      <c r="AY1270" s="3"/>
    </row>
    <row r="1271" spans="1:51" ht="16.5" customHeight="1">
      <c r="A1271" s="3"/>
      <c r="B1271" s="3"/>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7"/>
      <c r="AK1271" s="7"/>
      <c r="AL1271" s="7"/>
      <c r="AM1271" s="7"/>
      <c r="AN1271" s="7"/>
      <c r="AO1271" s="7"/>
      <c r="AP1271" s="7"/>
      <c r="AQ1271" s="7"/>
      <c r="AR1271" s="7"/>
      <c r="AS1271" s="7"/>
      <c r="AT1271" s="7"/>
      <c r="AU1271" s="3"/>
      <c r="AV1271" s="3"/>
      <c r="AW1271" s="3"/>
      <c r="AX1271" s="3"/>
      <c r="AY1271" s="3"/>
    </row>
    <row r="1272" spans="1:51" ht="16.5" customHeight="1">
      <c r="A1272" s="3"/>
      <c r="B1272" s="3"/>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7"/>
      <c r="AK1272" s="7"/>
      <c r="AL1272" s="7"/>
      <c r="AM1272" s="7"/>
      <c r="AN1272" s="7"/>
      <c r="AO1272" s="7"/>
      <c r="AP1272" s="7"/>
      <c r="AQ1272" s="7"/>
      <c r="AR1272" s="7"/>
      <c r="AS1272" s="7"/>
      <c r="AT1272" s="7"/>
      <c r="AU1272" s="3"/>
      <c r="AV1272" s="3"/>
      <c r="AW1272" s="3"/>
      <c r="AX1272" s="3"/>
      <c r="AY1272" s="3"/>
    </row>
    <row r="1273" spans="1:51" ht="16.5" customHeight="1">
      <c r="A1273" s="3"/>
      <c r="B1273" s="3"/>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7"/>
      <c r="AK1273" s="7"/>
      <c r="AL1273" s="7"/>
      <c r="AM1273" s="7"/>
      <c r="AN1273" s="7"/>
      <c r="AO1273" s="7"/>
      <c r="AP1273" s="7"/>
      <c r="AQ1273" s="7"/>
      <c r="AR1273" s="7"/>
      <c r="AS1273" s="7"/>
      <c r="AT1273" s="7"/>
      <c r="AU1273" s="3"/>
      <c r="AV1273" s="3"/>
      <c r="AW1273" s="3"/>
      <c r="AX1273" s="3"/>
      <c r="AY1273" s="3"/>
    </row>
    <row r="1274" spans="1:51" ht="16.5" customHeight="1">
      <c r="A1274" s="3"/>
      <c r="B1274" s="3"/>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7"/>
      <c r="AK1274" s="7"/>
      <c r="AL1274" s="7"/>
      <c r="AM1274" s="7"/>
      <c r="AN1274" s="7"/>
      <c r="AO1274" s="7"/>
      <c r="AP1274" s="7"/>
      <c r="AQ1274" s="7"/>
      <c r="AR1274" s="7"/>
      <c r="AS1274" s="7"/>
      <c r="AT1274" s="7"/>
      <c r="AU1274" s="3"/>
      <c r="AV1274" s="3"/>
      <c r="AW1274" s="3"/>
      <c r="AX1274" s="3"/>
      <c r="AY1274" s="3"/>
    </row>
    <row r="1275" spans="1:51" ht="16.5" customHeight="1">
      <c r="A1275" s="3"/>
      <c r="B1275" s="3"/>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7"/>
      <c r="AK1275" s="7"/>
      <c r="AL1275" s="7"/>
      <c r="AM1275" s="7"/>
      <c r="AN1275" s="7"/>
      <c r="AO1275" s="7"/>
      <c r="AP1275" s="7"/>
      <c r="AQ1275" s="7"/>
      <c r="AR1275" s="7"/>
      <c r="AS1275" s="7"/>
      <c r="AT1275" s="7"/>
      <c r="AU1275" s="3"/>
      <c r="AV1275" s="3"/>
      <c r="AW1275" s="3"/>
      <c r="AX1275" s="3"/>
      <c r="AY1275" s="3"/>
    </row>
    <row r="1276" spans="1:51" ht="16.5" customHeight="1">
      <c r="A1276" s="3"/>
      <c r="B1276" s="3"/>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7"/>
      <c r="AK1276" s="7"/>
      <c r="AL1276" s="7"/>
      <c r="AM1276" s="7"/>
      <c r="AN1276" s="7"/>
      <c r="AO1276" s="7"/>
      <c r="AP1276" s="7"/>
      <c r="AQ1276" s="7"/>
      <c r="AR1276" s="7"/>
      <c r="AS1276" s="7"/>
      <c r="AT1276" s="7"/>
      <c r="AU1276" s="3"/>
      <c r="AV1276" s="3"/>
      <c r="AW1276" s="3"/>
      <c r="AX1276" s="3"/>
      <c r="AY1276" s="3"/>
    </row>
    <row r="1277" spans="1:51" ht="16.5" customHeight="1">
      <c r="A1277" s="3"/>
      <c r="B1277" s="3"/>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7"/>
      <c r="AK1277" s="7"/>
      <c r="AL1277" s="7"/>
      <c r="AM1277" s="7"/>
      <c r="AN1277" s="7"/>
      <c r="AO1277" s="7"/>
      <c r="AP1277" s="7"/>
      <c r="AQ1277" s="7"/>
      <c r="AR1277" s="7"/>
      <c r="AS1277" s="7"/>
      <c r="AT1277" s="7"/>
      <c r="AU1277" s="3"/>
      <c r="AV1277" s="3"/>
      <c r="AW1277" s="3"/>
      <c r="AX1277" s="3"/>
      <c r="AY1277" s="3"/>
    </row>
    <row r="1278" spans="1:51" ht="16.5" customHeight="1">
      <c r="A1278" s="3"/>
      <c r="B1278" s="3"/>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7"/>
      <c r="AK1278" s="7"/>
      <c r="AL1278" s="7"/>
      <c r="AM1278" s="7"/>
      <c r="AN1278" s="7"/>
      <c r="AO1278" s="7"/>
      <c r="AP1278" s="7"/>
      <c r="AQ1278" s="7"/>
      <c r="AR1278" s="7"/>
      <c r="AS1278" s="7"/>
      <c r="AT1278" s="7"/>
      <c r="AU1278" s="3"/>
      <c r="AV1278" s="3"/>
      <c r="AW1278" s="3"/>
      <c r="AX1278" s="3"/>
      <c r="AY1278" s="3"/>
    </row>
    <row r="1279" spans="1:51" ht="16.5" customHeight="1">
      <c r="A1279" s="3"/>
      <c r="B1279" s="3"/>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7"/>
      <c r="AK1279" s="7"/>
      <c r="AL1279" s="7"/>
      <c r="AM1279" s="7"/>
      <c r="AN1279" s="7"/>
      <c r="AO1279" s="7"/>
      <c r="AP1279" s="7"/>
      <c r="AQ1279" s="7"/>
      <c r="AR1279" s="7"/>
      <c r="AS1279" s="7"/>
      <c r="AT1279" s="7"/>
      <c r="AU1279" s="3"/>
      <c r="AV1279" s="3"/>
      <c r="AW1279" s="3"/>
      <c r="AX1279" s="3"/>
      <c r="AY1279" s="3"/>
    </row>
    <row r="1280" spans="1:51" ht="16.5" customHeight="1">
      <c r="A1280" s="3"/>
      <c r="B1280" s="3"/>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7"/>
      <c r="AK1280" s="7"/>
      <c r="AL1280" s="7"/>
      <c r="AM1280" s="7"/>
      <c r="AN1280" s="7"/>
      <c r="AO1280" s="7"/>
      <c r="AP1280" s="7"/>
      <c r="AQ1280" s="7"/>
      <c r="AR1280" s="7"/>
      <c r="AS1280" s="7"/>
      <c r="AT1280" s="7"/>
      <c r="AU1280" s="3"/>
      <c r="AV1280" s="3"/>
      <c r="AW1280" s="3"/>
      <c r="AX1280" s="3"/>
      <c r="AY1280" s="3"/>
    </row>
    <row r="1281" spans="1:51" ht="16.5" customHeight="1">
      <c r="A1281" s="3"/>
      <c r="B1281" s="3"/>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7"/>
      <c r="AK1281" s="7"/>
      <c r="AL1281" s="7"/>
      <c r="AM1281" s="7"/>
      <c r="AN1281" s="7"/>
      <c r="AO1281" s="7"/>
      <c r="AP1281" s="7"/>
      <c r="AQ1281" s="7"/>
      <c r="AR1281" s="7"/>
      <c r="AS1281" s="7"/>
      <c r="AT1281" s="7"/>
      <c r="AU1281" s="3"/>
      <c r="AV1281" s="3"/>
      <c r="AW1281" s="3"/>
      <c r="AX1281" s="3"/>
      <c r="AY1281" s="3"/>
    </row>
    <row r="1282" spans="1:51" ht="16.5" customHeight="1">
      <c r="A1282" s="3"/>
      <c r="B1282" s="3"/>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7"/>
      <c r="AK1282" s="7"/>
      <c r="AL1282" s="7"/>
      <c r="AM1282" s="7"/>
      <c r="AN1282" s="7"/>
      <c r="AO1282" s="7"/>
      <c r="AP1282" s="7"/>
      <c r="AQ1282" s="7"/>
      <c r="AR1282" s="7"/>
      <c r="AS1282" s="7"/>
      <c r="AT1282" s="7"/>
      <c r="AU1282" s="3"/>
      <c r="AV1282" s="3"/>
      <c r="AW1282" s="3"/>
      <c r="AX1282" s="3"/>
      <c r="AY1282" s="3"/>
    </row>
    <row r="1283" spans="1:51" ht="16.5" customHeight="1">
      <c r="A1283" s="3"/>
      <c r="B1283" s="3"/>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7"/>
      <c r="AK1283" s="7"/>
      <c r="AL1283" s="7"/>
      <c r="AM1283" s="7"/>
      <c r="AN1283" s="7"/>
      <c r="AO1283" s="7"/>
      <c r="AP1283" s="7"/>
      <c r="AQ1283" s="7"/>
      <c r="AR1283" s="7"/>
      <c r="AS1283" s="7"/>
      <c r="AT1283" s="7"/>
      <c r="AU1283" s="3"/>
      <c r="AV1283" s="3"/>
      <c r="AW1283" s="3"/>
      <c r="AX1283" s="3"/>
      <c r="AY1283" s="3"/>
    </row>
    <row r="1284" spans="1:51" ht="16.5" customHeight="1">
      <c r="A1284" s="3"/>
      <c r="B1284" s="3"/>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7"/>
      <c r="AK1284" s="7"/>
      <c r="AL1284" s="7"/>
      <c r="AM1284" s="7"/>
      <c r="AN1284" s="7"/>
      <c r="AO1284" s="7"/>
      <c r="AP1284" s="7"/>
      <c r="AQ1284" s="7"/>
      <c r="AR1284" s="7"/>
      <c r="AS1284" s="7"/>
      <c r="AT1284" s="7"/>
      <c r="AU1284" s="3"/>
      <c r="AV1284" s="3"/>
      <c r="AW1284" s="3"/>
      <c r="AX1284" s="3"/>
      <c r="AY1284" s="3"/>
    </row>
    <row r="1285" spans="1:51" ht="16.5" customHeight="1">
      <c r="A1285" s="3"/>
      <c r="B1285" s="3"/>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7"/>
      <c r="AK1285" s="7"/>
      <c r="AL1285" s="7"/>
      <c r="AM1285" s="7"/>
      <c r="AN1285" s="7"/>
      <c r="AO1285" s="7"/>
      <c r="AP1285" s="7"/>
      <c r="AQ1285" s="7"/>
      <c r="AR1285" s="7"/>
      <c r="AS1285" s="7"/>
      <c r="AT1285" s="7"/>
      <c r="AU1285" s="3"/>
      <c r="AV1285" s="3"/>
      <c r="AW1285" s="3"/>
      <c r="AX1285" s="3"/>
      <c r="AY1285" s="3"/>
    </row>
    <row r="1286" spans="1:51" ht="16.5" customHeight="1">
      <c r="A1286" s="3"/>
      <c r="B1286" s="3"/>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7"/>
      <c r="AK1286" s="7"/>
      <c r="AL1286" s="7"/>
      <c r="AM1286" s="7"/>
      <c r="AN1286" s="7"/>
      <c r="AO1286" s="7"/>
      <c r="AP1286" s="7"/>
      <c r="AQ1286" s="7"/>
      <c r="AR1286" s="7"/>
      <c r="AS1286" s="7"/>
      <c r="AT1286" s="7"/>
      <c r="AU1286" s="3"/>
      <c r="AV1286" s="3"/>
      <c r="AW1286" s="3"/>
      <c r="AX1286" s="3"/>
      <c r="AY1286" s="3"/>
    </row>
    <row r="1287" spans="1:51" ht="16.5" customHeight="1">
      <c r="A1287" s="3"/>
      <c r="B1287" s="3"/>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7"/>
      <c r="AK1287" s="7"/>
      <c r="AL1287" s="7"/>
      <c r="AM1287" s="7"/>
      <c r="AN1287" s="7"/>
      <c r="AO1287" s="7"/>
      <c r="AP1287" s="7"/>
      <c r="AQ1287" s="7"/>
      <c r="AR1287" s="7"/>
      <c r="AS1287" s="7"/>
      <c r="AT1287" s="7"/>
      <c r="AU1287" s="3"/>
      <c r="AV1287" s="3"/>
      <c r="AW1287" s="3"/>
      <c r="AX1287" s="3"/>
      <c r="AY1287" s="3"/>
    </row>
    <row r="1288" spans="1:51" ht="16.5" customHeight="1">
      <c r="A1288" s="3"/>
      <c r="B1288" s="3"/>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7"/>
      <c r="AK1288" s="7"/>
      <c r="AL1288" s="7"/>
      <c r="AM1288" s="7"/>
      <c r="AN1288" s="7"/>
      <c r="AO1288" s="7"/>
      <c r="AP1288" s="7"/>
      <c r="AQ1288" s="7"/>
      <c r="AR1288" s="7"/>
      <c r="AS1288" s="7"/>
      <c r="AT1288" s="7"/>
      <c r="AU1288" s="3"/>
      <c r="AV1288" s="3"/>
      <c r="AW1288" s="3"/>
      <c r="AX1288" s="3"/>
      <c r="AY1288" s="3"/>
    </row>
    <row r="1289" spans="1:51" ht="16.5" customHeight="1">
      <c r="A1289" s="3"/>
      <c r="B1289" s="3"/>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7"/>
      <c r="AK1289" s="7"/>
      <c r="AL1289" s="7"/>
      <c r="AM1289" s="7"/>
      <c r="AN1289" s="7"/>
      <c r="AO1289" s="7"/>
      <c r="AP1289" s="7"/>
      <c r="AQ1289" s="7"/>
      <c r="AR1289" s="7"/>
      <c r="AS1289" s="7"/>
      <c r="AT1289" s="7"/>
      <c r="AU1289" s="3"/>
      <c r="AV1289" s="3"/>
      <c r="AW1289" s="3"/>
      <c r="AX1289" s="3"/>
      <c r="AY1289" s="3"/>
    </row>
    <row r="1290" spans="1:51" ht="16.5" customHeight="1">
      <c r="A1290" s="3"/>
      <c r="B1290" s="3"/>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7"/>
      <c r="AK1290" s="7"/>
      <c r="AL1290" s="7"/>
      <c r="AM1290" s="7"/>
      <c r="AN1290" s="7"/>
      <c r="AO1290" s="7"/>
      <c r="AP1290" s="7"/>
      <c r="AQ1290" s="7"/>
      <c r="AR1290" s="7"/>
      <c r="AS1290" s="7"/>
      <c r="AT1290" s="7"/>
      <c r="AU1290" s="3"/>
      <c r="AV1290" s="3"/>
      <c r="AW1290" s="3"/>
      <c r="AX1290" s="3"/>
      <c r="AY1290" s="3"/>
    </row>
    <row r="1291" spans="1:51" ht="16.5" customHeight="1">
      <c r="A1291" s="3"/>
      <c r="B1291" s="3"/>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7"/>
      <c r="AK1291" s="7"/>
      <c r="AL1291" s="7"/>
      <c r="AM1291" s="7"/>
      <c r="AN1291" s="7"/>
      <c r="AO1291" s="7"/>
      <c r="AP1291" s="7"/>
      <c r="AQ1291" s="7"/>
      <c r="AR1291" s="7"/>
      <c r="AS1291" s="7"/>
      <c r="AT1291" s="7"/>
      <c r="AU1291" s="3"/>
      <c r="AV1291" s="3"/>
      <c r="AW1291" s="3"/>
      <c r="AX1291" s="3"/>
      <c r="AY1291" s="3"/>
    </row>
    <row r="1292" spans="1:51" ht="16.5" customHeight="1">
      <c r="A1292" s="3"/>
      <c r="B1292" s="3"/>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7"/>
      <c r="AK1292" s="7"/>
      <c r="AL1292" s="7"/>
      <c r="AM1292" s="7"/>
      <c r="AN1292" s="7"/>
      <c r="AO1292" s="7"/>
      <c r="AP1292" s="7"/>
      <c r="AQ1292" s="7"/>
      <c r="AR1292" s="7"/>
      <c r="AS1292" s="7"/>
      <c r="AT1292" s="7"/>
      <c r="AU1292" s="3"/>
      <c r="AV1292" s="3"/>
      <c r="AW1292" s="3"/>
      <c r="AX1292" s="3"/>
      <c r="AY1292" s="3"/>
    </row>
    <row r="1293" spans="1:51" ht="16.5" customHeight="1">
      <c r="A1293" s="3"/>
      <c r="B1293" s="3"/>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7"/>
      <c r="AK1293" s="7"/>
      <c r="AL1293" s="7"/>
      <c r="AM1293" s="7"/>
      <c r="AN1293" s="7"/>
      <c r="AO1293" s="7"/>
      <c r="AP1293" s="7"/>
      <c r="AQ1293" s="7"/>
      <c r="AR1293" s="7"/>
      <c r="AS1293" s="7"/>
      <c r="AT1293" s="7"/>
      <c r="AU1293" s="3"/>
      <c r="AV1293" s="3"/>
      <c r="AW1293" s="3"/>
      <c r="AX1293" s="3"/>
      <c r="AY1293" s="3"/>
    </row>
    <row r="1294" spans="1:51" ht="16.5" customHeight="1">
      <c r="A1294" s="3"/>
      <c r="B1294" s="3"/>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7"/>
      <c r="AK1294" s="7"/>
      <c r="AL1294" s="7"/>
      <c r="AM1294" s="7"/>
      <c r="AN1294" s="7"/>
      <c r="AO1294" s="7"/>
      <c r="AP1294" s="7"/>
      <c r="AQ1294" s="7"/>
      <c r="AR1294" s="7"/>
      <c r="AS1294" s="7"/>
      <c r="AT1294" s="7"/>
      <c r="AU1294" s="3"/>
      <c r="AV1294" s="3"/>
      <c r="AW1294" s="3"/>
      <c r="AX1294" s="3"/>
      <c r="AY1294" s="3"/>
    </row>
    <row r="1295" spans="1:51" ht="16.5" customHeight="1">
      <c r="A1295" s="3"/>
      <c r="B1295" s="3"/>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7"/>
      <c r="AK1295" s="7"/>
      <c r="AL1295" s="7"/>
      <c r="AM1295" s="7"/>
      <c r="AN1295" s="7"/>
      <c r="AO1295" s="7"/>
      <c r="AP1295" s="7"/>
      <c r="AQ1295" s="7"/>
      <c r="AR1295" s="7"/>
      <c r="AS1295" s="7"/>
      <c r="AT1295" s="7"/>
      <c r="AU1295" s="3"/>
      <c r="AV1295" s="3"/>
      <c r="AW1295" s="3"/>
      <c r="AX1295" s="3"/>
      <c r="AY1295" s="3"/>
    </row>
    <row r="1296" spans="1:51" ht="16.5" customHeight="1">
      <c r="A1296" s="3"/>
      <c r="B1296" s="3"/>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7"/>
      <c r="AK1296" s="7"/>
      <c r="AL1296" s="7"/>
      <c r="AM1296" s="7"/>
      <c r="AN1296" s="7"/>
      <c r="AO1296" s="7"/>
      <c r="AP1296" s="7"/>
      <c r="AQ1296" s="7"/>
      <c r="AR1296" s="7"/>
      <c r="AS1296" s="7"/>
      <c r="AT1296" s="7"/>
      <c r="AU1296" s="3"/>
      <c r="AV1296" s="3"/>
      <c r="AW1296" s="3"/>
      <c r="AX1296" s="3"/>
      <c r="AY1296" s="3"/>
    </row>
    <row r="1297" spans="1:51" ht="16.5" customHeight="1">
      <c r="A1297" s="3"/>
      <c r="B1297" s="3"/>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7"/>
      <c r="AK1297" s="7"/>
      <c r="AL1297" s="7"/>
      <c r="AM1297" s="7"/>
      <c r="AN1297" s="7"/>
      <c r="AO1297" s="7"/>
      <c r="AP1297" s="7"/>
      <c r="AQ1297" s="7"/>
      <c r="AR1297" s="7"/>
      <c r="AS1297" s="7"/>
      <c r="AT1297" s="7"/>
      <c r="AU1297" s="3"/>
      <c r="AV1297" s="3"/>
      <c r="AW1297" s="3"/>
      <c r="AX1297" s="3"/>
      <c r="AY1297" s="3"/>
    </row>
    <row r="1298" spans="1:51" ht="16.5" customHeight="1">
      <c r="A1298" s="3"/>
      <c r="B1298" s="3"/>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7"/>
      <c r="AK1298" s="7"/>
      <c r="AL1298" s="7"/>
      <c r="AM1298" s="7"/>
      <c r="AN1298" s="7"/>
      <c r="AO1298" s="7"/>
      <c r="AP1298" s="7"/>
      <c r="AQ1298" s="7"/>
      <c r="AR1298" s="7"/>
      <c r="AS1298" s="7"/>
      <c r="AT1298" s="7"/>
      <c r="AU1298" s="3"/>
      <c r="AV1298" s="3"/>
      <c r="AW1298" s="3"/>
      <c r="AX1298" s="3"/>
      <c r="AY1298" s="3"/>
    </row>
    <row r="1299" spans="1:51" ht="16.5" customHeight="1">
      <c r="A1299" s="3"/>
      <c r="B1299" s="3"/>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7"/>
      <c r="AK1299" s="7"/>
      <c r="AL1299" s="7"/>
      <c r="AM1299" s="7"/>
      <c r="AN1299" s="7"/>
      <c r="AO1299" s="7"/>
      <c r="AP1299" s="7"/>
      <c r="AQ1299" s="7"/>
      <c r="AR1299" s="7"/>
      <c r="AS1299" s="7"/>
      <c r="AT1299" s="7"/>
      <c r="AU1299" s="3"/>
      <c r="AV1299" s="3"/>
      <c r="AW1299" s="3"/>
      <c r="AX1299" s="3"/>
      <c r="AY1299" s="3"/>
    </row>
    <row r="1300" spans="1:51" ht="16.5" customHeight="1">
      <c r="A1300" s="3"/>
      <c r="B1300" s="3"/>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7"/>
      <c r="AK1300" s="7"/>
      <c r="AL1300" s="7"/>
      <c r="AM1300" s="7"/>
      <c r="AN1300" s="7"/>
      <c r="AO1300" s="7"/>
      <c r="AP1300" s="7"/>
      <c r="AQ1300" s="7"/>
      <c r="AR1300" s="7"/>
      <c r="AS1300" s="7"/>
      <c r="AT1300" s="7"/>
      <c r="AU1300" s="3"/>
      <c r="AV1300" s="3"/>
      <c r="AW1300" s="3"/>
      <c r="AX1300" s="3"/>
      <c r="AY1300" s="3"/>
    </row>
    <row r="1301" spans="1:51" ht="16.5" customHeight="1">
      <c r="A1301" s="3"/>
      <c r="B1301" s="3"/>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7"/>
      <c r="AK1301" s="7"/>
      <c r="AL1301" s="7"/>
      <c r="AM1301" s="7"/>
      <c r="AN1301" s="7"/>
      <c r="AO1301" s="7"/>
      <c r="AP1301" s="7"/>
      <c r="AQ1301" s="7"/>
      <c r="AR1301" s="7"/>
      <c r="AS1301" s="7"/>
      <c r="AT1301" s="7"/>
      <c r="AU1301" s="3"/>
      <c r="AV1301" s="3"/>
      <c r="AW1301" s="3"/>
      <c r="AX1301" s="3"/>
      <c r="AY1301" s="3"/>
    </row>
    <row r="1302" spans="1:51" ht="16.5" customHeight="1">
      <c r="A1302" s="3"/>
      <c r="B1302" s="3"/>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7"/>
      <c r="AK1302" s="7"/>
      <c r="AL1302" s="7"/>
      <c r="AM1302" s="7"/>
      <c r="AN1302" s="7"/>
      <c r="AO1302" s="7"/>
      <c r="AP1302" s="7"/>
      <c r="AQ1302" s="7"/>
      <c r="AR1302" s="7"/>
      <c r="AS1302" s="7"/>
      <c r="AT1302" s="7"/>
      <c r="AU1302" s="3"/>
      <c r="AV1302" s="3"/>
      <c r="AW1302" s="3"/>
      <c r="AX1302" s="3"/>
      <c r="AY1302" s="3"/>
    </row>
    <row r="1303" spans="1:51" ht="16.5" customHeight="1">
      <c r="A1303" s="3"/>
      <c r="B1303" s="3"/>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7"/>
      <c r="AK1303" s="7"/>
      <c r="AL1303" s="7"/>
      <c r="AM1303" s="7"/>
      <c r="AN1303" s="7"/>
      <c r="AO1303" s="7"/>
      <c r="AP1303" s="7"/>
      <c r="AQ1303" s="7"/>
      <c r="AR1303" s="7"/>
      <c r="AS1303" s="7"/>
      <c r="AT1303" s="7"/>
      <c r="AU1303" s="3"/>
      <c r="AV1303" s="3"/>
      <c r="AW1303" s="3"/>
      <c r="AX1303" s="3"/>
      <c r="AY1303" s="3"/>
    </row>
    <row r="1304" spans="1:51" ht="16.5" customHeight="1">
      <c r="A1304" s="3"/>
      <c r="B1304" s="3"/>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7"/>
      <c r="AK1304" s="7"/>
      <c r="AL1304" s="7"/>
      <c r="AM1304" s="7"/>
      <c r="AN1304" s="7"/>
      <c r="AO1304" s="7"/>
      <c r="AP1304" s="7"/>
      <c r="AQ1304" s="7"/>
      <c r="AR1304" s="7"/>
      <c r="AS1304" s="7"/>
      <c r="AT1304" s="7"/>
      <c r="AU1304" s="3"/>
      <c r="AV1304" s="3"/>
      <c r="AW1304" s="3"/>
      <c r="AX1304" s="3"/>
      <c r="AY1304" s="3"/>
    </row>
    <row r="1305" spans="1:51" ht="16.5" customHeight="1">
      <c r="A1305" s="3"/>
      <c r="B1305" s="3"/>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7"/>
      <c r="AK1305" s="7"/>
      <c r="AL1305" s="7"/>
      <c r="AM1305" s="7"/>
      <c r="AN1305" s="7"/>
      <c r="AO1305" s="7"/>
      <c r="AP1305" s="7"/>
      <c r="AQ1305" s="7"/>
      <c r="AR1305" s="7"/>
      <c r="AS1305" s="7"/>
      <c r="AT1305" s="7"/>
      <c r="AU1305" s="3"/>
      <c r="AV1305" s="3"/>
      <c r="AW1305" s="3"/>
      <c r="AX1305" s="3"/>
      <c r="AY1305" s="3"/>
    </row>
    <row r="1306" spans="1:51" ht="16.5" customHeight="1">
      <c r="A1306" s="3"/>
      <c r="B1306" s="3"/>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7"/>
      <c r="AK1306" s="7"/>
      <c r="AL1306" s="7"/>
      <c r="AM1306" s="7"/>
      <c r="AN1306" s="7"/>
      <c r="AO1306" s="7"/>
      <c r="AP1306" s="7"/>
      <c r="AQ1306" s="7"/>
      <c r="AR1306" s="7"/>
      <c r="AS1306" s="7"/>
      <c r="AT1306" s="7"/>
      <c r="AU1306" s="3"/>
      <c r="AV1306" s="3"/>
      <c r="AW1306" s="3"/>
      <c r="AX1306" s="3"/>
      <c r="AY1306" s="3"/>
    </row>
    <row r="1307" spans="1:51" ht="16.5" customHeight="1">
      <c r="A1307" s="3"/>
      <c r="B1307" s="3"/>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7"/>
      <c r="AK1307" s="7"/>
      <c r="AL1307" s="7"/>
      <c r="AM1307" s="7"/>
      <c r="AN1307" s="7"/>
      <c r="AO1307" s="7"/>
      <c r="AP1307" s="7"/>
      <c r="AQ1307" s="7"/>
      <c r="AR1307" s="7"/>
      <c r="AS1307" s="7"/>
      <c r="AT1307" s="7"/>
      <c r="AU1307" s="3"/>
      <c r="AV1307" s="3"/>
      <c r="AW1307" s="3"/>
      <c r="AX1307" s="3"/>
      <c r="AY1307" s="3"/>
    </row>
    <row r="1308" spans="1:51" ht="16.5" customHeight="1">
      <c r="A1308" s="3"/>
      <c r="B1308" s="3"/>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7"/>
      <c r="AK1308" s="7"/>
      <c r="AL1308" s="7"/>
      <c r="AM1308" s="7"/>
      <c r="AN1308" s="7"/>
      <c r="AO1308" s="7"/>
      <c r="AP1308" s="7"/>
      <c r="AQ1308" s="7"/>
      <c r="AR1308" s="7"/>
      <c r="AS1308" s="7"/>
      <c r="AT1308" s="7"/>
      <c r="AU1308" s="3"/>
      <c r="AV1308" s="3"/>
      <c r="AW1308" s="3"/>
      <c r="AX1308" s="3"/>
      <c r="AY1308" s="3"/>
    </row>
    <row r="1309" spans="1:51" ht="16.5" customHeight="1">
      <c r="A1309" s="3"/>
      <c r="B1309" s="3"/>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7"/>
      <c r="AK1309" s="7"/>
      <c r="AL1309" s="7"/>
      <c r="AM1309" s="7"/>
      <c r="AN1309" s="7"/>
      <c r="AO1309" s="7"/>
      <c r="AP1309" s="7"/>
      <c r="AQ1309" s="7"/>
      <c r="AR1309" s="7"/>
      <c r="AS1309" s="7"/>
      <c r="AT1309" s="7"/>
      <c r="AU1309" s="3"/>
      <c r="AV1309" s="3"/>
      <c r="AW1309" s="3"/>
      <c r="AX1309" s="3"/>
      <c r="AY1309" s="3"/>
    </row>
    <row r="1310" spans="1:51" ht="16.5" customHeight="1">
      <c r="A1310" s="3"/>
      <c r="B1310" s="3"/>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7"/>
      <c r="AK1310" s="7"/>
      <c r="AL1310" s="7"/>
      <c r="AM1310" s="7"/>
      <c r="AN1310" s="7"/>
      <c r="AO1310" s="7"/>
      <c r="AP1310" s="7"/>
      <c r="AQ1310" s="7"/>
      <c r="AR1310" s="7"/>
      <c r="AS1310" s="7"/>
      <c r="AT1310" s="7"/>
      <c r="AU1310" s="3"/>
      <c r="AV1310" s="3"/>
      <c r="AW1310" s="3"/>
      <c r="AX1310" s="3"/>
      <c r="AY1310" s="3"/>
    </row>
    <row r="1311" spans="1:51" ht="16.5" customHeight="1">
      <c r="A1311" s="3"/>
      <c r="B1311" s="3"/>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7"/>
      <c r="AK1311" s="7"/>
      <c r="AL1311" s="7"/>
      <c r="AM1311" s="7"/>
      <c r="AN1311" s="7"/>
      <c r="AO1311" s="7"/>
      <c r="AP1311" s="7"/>
      <c r="AQ1311" s="7"/>
      <c r="AR1311" s="7"/>
      <c r="AS1311" s="7"/>
      <c r="AT1311" s="7"/>
      <c r="AU1311" s="3"/>
      <c r="AV1311" s="3"/>
      <c r="AW1311" s="3"/>
      <c r="AX1311" s="3"/>
      <c r="AY1311" s="3"/>
    </row>
    <row r="1312" spans="1:51" ht="16.5" customHeight="1">
      <c r="A1312" s="3"/>
      <c r="B1312" s="3"/>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7"/>
      <c r="AK1312" s="7"/>
      <c r="AL1312" s="7"/>
      <c r="AM1312" s="7"/>
      <c r="AN1312" s="7"/>
      <c r="AO1312" s="7"/>
      <c r="AP1312" s="7"/>
      <c r="AQ1312" s="7"/>
      <c r="AR1312" s="7"/>
      <c r="AS1312" s="7"/>
      <c r="AT1312" s="7"/>
      <c r="AU1312" s="3"/>
      <c r="AV1312" s="3"/>
      <c r="AW1312" s="3"/>
      <c r="AX1312" s="3"/>
      <c r="AY1312" s="3"/>
    </row>
    <row r="1313" spans="1:51" ht="16.5" customHeight="1">
      <c r="A1313" s="3"/>
      <c r="B1313" s="3"/>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7"/>
      <c r="AK1313" s="7"/>
      <c r="AL1313" s="7"/>
      <c r="AM1313" s="7"/>
      <c r="AN1313" s="7"/>
      <c r="AO1313" s="7"/>
      <c r="AP1313" s="7"/>
      <c r="AQ1313" s="7"/>
      <c r="AR1313" s="7"/>
      <c r="AS1313" s="7"/>
      <c r="AT1313" s="7"/>
      <c r="AU1313" s="3"/>
      <c r="AV1313" s="3"/>
      <c r="AW1313" s="3"/>
      <c r="AX1313" s="3"/>
      <c r="AY1313" s="3"/>
    </row>
    <row r="1314" spans="1:51" ht="16.5" customHeight="1">
      <c r="A1314" s="3"/>
      <c r="B1314" s="3"/>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7"/>
      <c r="AK1314" s="7"/>
      <c r="AL1314" s="7"/>
      <c r="AM1314" s="7"/>
      <c r="AN1314" s="7"/>
      <c r="AO1314" s="7"/>
      <c r="AP1314" s="7"/>
      <c r="AQ1314" s="7"/>
      <c r="AR1314" s="7"/>
      <c r="AS1314" s="7"/>
      <c r="AT1314" s="7"/>
      <c r="AU1314" s="3"/>
      <c r="AV1314" s="3"/>
      <c r="AW1314" s="3"/>
      <c r="AX1314" s="3"/>
      <c r="AY1314" s="3"/>
    </row>
    <row r="1315" spans="1:51" ht="16.5" customHeight="1">
      <c r="A1315" s="3"/>
      <c r="B1315" s="3"/>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7"/>
      <c r="AK1315" s="7"/>
      <c r="AL1315" s="7"/>
      <c r="AM1315" s="7"/>
      <c r="AN1315" s="7"/>
      <c r="AO1315" s="7"/>
      <c r="AP1315" s="7"/>
      <c r="AQ1315" s="7"/>
      <c r="AR1315" s="7"/>
      <c r="AS1315" s="7"/>
      <c r="AT1315" s="7"/>
      <c r="AU1315" s="3"/>
      <c r="AV1315" s="3"/>
      <c r="AW1315" s="3"/>
      <c r="AX1315" s="3"/>
      <c r="AY1315" s="3"/>
    </row>
    <row r="1316" spans="1:51" ht="16.5" customHeight="1">
      <c r="A1316" s="3"/>
      <c r="B1316" s="3"/>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7"/>
      <c r="AK1316" s="7"/>
      <c r="AL1316" s="7"/>
      <c r="AM1316" s="7"/>
      <c r="AN1316" s="7"/>
      <c r="AO1316" s="7"/>
      <c r="AP1316" s="7"/>
      <c r="AQ1316" s="7"/>
      <c r="AR1316" s="7"/>
      <c r="AS1316" s="7"/>
      <c r="AT1316" s="7"/>
      <c r="AU1316" s="3"/>
      <c r="AV1316" s="3"/>
      <c r="AW1316" s="3"/>
      <c r="AX1316" s="3"/>
      <c r="AY1316" s="3"/>
    </row>
    <row r="1317" spans="1:51" ht="16.5" customHeight="1">
      <c r="A1317" s="3"/>
      <c r="B1317" s="3"/>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7"/>
      <c r="AK1317" s="7"/>
      <c r="AL1317" s="7"/>
      <c r="AM1317" s="7"/>
      <c r="AN1317" s="7"/>
      <c r="AO1317" s="7"/>
      <c r="AP1317" s="7"/>
      <c r="AQ1317" s="7"/>
      <c r="AR1317" s="7"/>
      <c r="AS1317" s="7"/>
      <c r="AT1317" s="7"/>
      <c r="AU1317" s="3"/>
      <c r="AV1317" s="3"/>
      <c r="AW1317" s="3"/>
      <c r="AX1317" s="3"/>
      <c r="AY1317" s="3"/>
    </row>
    <row r="1318" spans="1:51" ht="16.5" customHeight="1">
      <c r="A1318" s="3"/>
      <c r="B1318" s="3"/>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7"/>
      <c r="AK1318" s="7"/>
      <c r="AL1318" s="7"/>
      <c r="AM1318" s="7"/>
      <c r="AN1318" s="7"/>
      <c r="AO1318" s="7"/>
      <c r="AP1318" s="7"/>
      <c r="AQ1318" s="7"/>
      <c r="AR1318" s="7"/>
      <c r="AS1318" s="7"/>
      <c r="AT1318" s="7"/>
      <c r="AU1318" s="3"/>
      <c r="AV1318" s="3"/>
      <c r="AW1318" s="3"/>
      <c r="AX1318" s="3"/>
      <c r="AY1318" s="3"/>
    </row>
    <row r="1319" spans="1:51" ht="16.5" customHeight="1">
      <c r="A1319" s="3"/>
      <c r="B1319" s="3"/>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7"/>
      <c r="AK1319" s="7"/>
      <c r="AL1319" s="7"/>
      <c r="AM1319" s="7"/>
      <c r="AN1319" s="7"/>
      <c r="AO1319" s="7"/>
      <c r="AP1319" s="7"/>
      <c r="AQ1319" s="7"/>
      <c r="AR1319" s="7"/>
      <c r="AS1319" s="7"/>
      <c r="AT1319" s="7"/>
      <c r="AU1319" s="3"/>
      <c r="AV1319" s="3"/>
      <c r="AW1319" s="3"/>
      <c r="AX1319" s="3"/>
      <c r="AY1319" s="3"/>
    </row>
    <row r="1320" spans="1:51" ht="16.5" customHeight="1">
      <c r="A1320" s="3"/>
      <c r="B1320" s="3"/>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7"/>
      <c r="AK1320" s="7"/>
      <c r="AL1320" s="7"/>
      <c r="AM1320" s="7"/>
      <c r="AN1320" s="7"/>
      <c r="AO1320" s="7"/>
      <c r="AP1320" s="7"/>
      <c r="AQ1320" s="7"/>
      <c r="AR1320" s="7"/>
      <c r="AS1320" s="7"/>
      <c r="AT1320" s="7"/>
      <c r="AU1320" s="3"/>
      <c r="AV1320" s="3"/>
      <c r="AW1320" s="3"/>
      <c r="AX1320" s="3"/>
      <c r="AY1320" s="3"/>
    </row>
    <row r="1321" spans="1:51" ht="16.5" customHeight="1">
      <c r="A1321" s="3"/>
      <c r="B1321" s="3"/>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7"/>
      <c r="AK1321" s="7"/>
      <c r="AL1321" s="7"/>
      <c r="AM1321" s="7"/>
      <c r="AN1321" s="7"/>
      <c r="AO1321" s="7"/>
      <c r="AP1321" s="7"/>
      <c r="AQ1321" s="7"/>
      <c r="AR1321" s="7"/>
      <c r="AS1321" s="7"/>
      <c r="AT1321" s="7"/>
      <c r="AU1321" s="3"/>
      <c r="AV1321" s="3"/>
      <c r="AW1321" s="3"/>
      <c r="AX1321" s="3"/>
      <c r="AY1321" s="3"/>
    </row>
    <row r="1322" spans="1:51" ht="16.5" customHeight="1">
      <c r="A1322" s="3"/>
      <c r="B1322" s="3"/>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7"/>
      <c r="AK1322" s="7"/>
      <c r="AL1322" s="7"/>
      <c r="AM1322" s="7"/>
      <c r="AN1322" s="7"/>
      <c r="AO1322" s="7"/>
      <c r="AP1322" s="7"/>
      <c r="AQ1322" s="7"/>
      <c r="AR1322" s="7"/>
      <c r="AS1322" s="7"/>
      <c r="AT1322" s="7"/>
      <c r="AU1322" s="3"/>
      <c r="AV1322" s="3"/>
      <c r="AW1322" s="3"/>
      <c r="AX1322" s="3"/>
      <c r="AY1322" s="3"/>
    </row>
    <row r="1323" spans="1:51" ht="16.5" customHeight="1">
      <c r="A1323" s="3"/>
      <c r="B1323" s="3"/>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7"/>
      <c r="AK1323" s="7"/>
      <c r="AL1323" s="7"/>
      <c r="AM1323" s="7"/>
      <c r="AN1323" s="7"/>
      <c r="AO1323" s="7"/>
      <c r="AP1323" s="7"/>
      <c r="AQ1323" s="7"/>
      <c r="AR1323" s="7"/>
      <c r="AS1323" s="7"/>
      <c r="AT1323" s="7"/>
      <c r="AU1323" s="3"/>
      <c r="AV1323" s="3"/>
      <c r="AW1323" s="3"/>
      <c r="AX1323" s="3"/>
      <c r="AY1323" s="3"/>
    </row>
    <row r="1324" spans="1:51" ht="16.5" customHeight="1">
      <c r="A1324" s="3"/>
      <c r="B1324" s="3"/>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7"/>
      <c r="AK1324" s="7"/>
      <c r="AL1324" s="7"/>
      <c r="AM1324" s="7"/>
      <c r="AN1324" s="7"/>
      <c r="AO1324" s="7"/>
      <c r="AP1324" s="7"/>
      <c r="AQ1324" s="7"/>
      <c r="AR1324" s="7"/>
      <c r="AS1324" s="7"/>
      <c r="AT1324" s="7"/>
      <c r="AU1324" s="3"/>
      <c r="AV1324" s="3"/>
      <c r="AW1324" s="3"/>
      <c r="AX1324" s="3"/>
      <c r="AY1324" s="3"/>
    </row>
    <row r="1325" spans="1:51" ht="16.5" customHeight="1">
      <c r="A1325" s="3"/>
      <c r="B1325" s="3"/>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7"/>
      <c r="AK1325" s="7"/>
      <c r="AL1325" s="7"/>
      <c r="AM1325" s="7"/>
      <c r="AN1325" s="7"/>
      <c r="AO1325" s="7"/>
      <c r="AP1325" s="7"/>
      <c r="AQ1325" s="7"/>
      <c r="AR1325" s="7"/>
      <c r="AS1325" s="7"/>
      <c r="AT1325" s="7"/>
      <c r="AU1325" s="3"/>
      <c r="AV1325" s="3"/>
      <c r="AW1325" s="3"/>
      <c r="AX1325" s="3"/>
      <c r="AY1325" s="3"/>
    </row>
    <row r="1326" spans="1:51" ht="16.5" customHeight="1">
      <c r="A1326" s="3"/>
      <c r="B1326" s="3"/>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7"/>
      <c r="AK1326" s="7"/>
      <c r="AL1326" s="7"/>
      <c r="AM1326" s="7"/>
      <c r="AN1326" s="7"/>
      <c r="AO1326" s="7"/>
      <c r="AP1326" s="7"/>
      <c r="AQ1326" s="7"/>
      <c r="AR1326" s="7"/>
      <c r="AS1326" s="7"/>
      <c r="AT1326" s="7"/>
      <c r="AU1326" s="3"/>
      <c r="AV1326" s="3"/>
      <c r="AW1326" s="3"/>
      <c r="AX1326" s="3"/>
      <c r="AY1326" s="3"/>
    </row>
    <row r="1327" spans="1:51" ht="16.5" customHeight="1">
      <c r="A1327" s="3"/>
      <c r="B1327" s="3"/>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7"/>
      <c r="AK1327" s="7"/>
      <c r="AL1327" s="7"/>
      <c r="AM1327" s="7"/>
      <c r="AN1327" s="7"/>
      <c r="AO1327" s="7"/>
      <c r="AP1327" s="7"/>
      <c r="AQ1327" s="7"/>
      <c r="AR1327" s="7"/>
      <c r="AS1327" s="7"/>
      <c r="AT1327" s="7"/>
      <c r="AU1327" s="3"/>
      <c r="AV1327" s="3"/>
      <c r="AW1327" s="3"/>
      <c r="AX1327" s="3"/>
      <c r="AY1327" s="3"/>
    </row>
    <row r="1328" spans="1:51" ht="16.5" customHeight="1">
      <c r="A1328" s="3"/>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7"/>
      <c r="AK1328" s="7"/>
      <c r="AL1328" s="7"/>
      <c r="AM1328" s="7"/>
      <c r="AN1328" s="7"/>
      <c r="AO1328" s="7"/>
      <c r="AP1328" s="7"/>
      <c r="AQ1328" s="7"/>
      <c r="AR1328" s="7"/>
      <c r="AS1328" s="7"/>
      <c r="AT1328" s="7"/>
      <c r="AU1328" s="3"/>
      <c r="AV1328" s="3"/>
      <c r="AW1328" s="3"/>
      <c r="AX1328" s="3"/>
      <c r="AY1328" s="3"/>
    </row>
    <row r="1329" spans="1:51" ht="16.5" customHeight="1">
      <c r="A1329" s="3"/>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7"/>
      <c r="AK1329" s="7"/>
      <c r="AL1329" s="7"/>
      <c r="AM1329" s="7"/>
      <c r="AN1329" s="7"/>
      <c r="AO1329" s="7"/>
      <c r="AP1329" s="7"/>
      <c r="AQ1329" s="7"/>
      <c r="AR1329" s="7"/>
      <c r="AS1329" s="7"/>
      <c r="AT1329" s="7"/>
      <c r="AU1329" s="3"/>
      <c r="AV1329" s="3"/>
      <c r="AW1329" s="3"/>
      <c r="AX1329" s="3"/>
      <c r="AY1329" s="3"/>
    </row>
    <row r="1330" spans="1:51" ht="16.5" customHeight="1">
      <c r="A1330" s="3"/>
      <c r="B1330" s="3"/>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7"/>
      <c r="AK1330" s="7"/>
      <c r="AL1330" s="7"/>
      <c r="AM1330" s="7"/>
      <c r="AN1330" s="7"/>
      <c r="AO1330" s="7"/>
      <c r="AP1330" s="7"/>
      <c r="AQ1330" s="7"/>
      <c r="AR1330" s="7"/>
      <c r="AS1330" s="7"/>
      <c r="AT1330" s="7"/>
      <c r="AU1330" s="3"/>
      <c r="AV1330" s="3"/>
      <c r="AW1330" s="3"/>
      <c r="AX1330" s="3"/>
      <c r="AY1330" s="3"/>
    </row>
    <row r="1331" spans="1:51" ht="16.5" customHeight="1">
      <c r="A1331" s="3"/>
      <c r="B1331" s="3"/>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7"/>
      <c r="AK1331" s="7"/>
      <c r="AL1331" s="7"/>
      <c r="AM1331" s="7"/>
      <c r="AN1331" s="7"/>
      <c r="AO1331" s="7"/>
      <c r="AP1331" s="7"/>
      <c r="AQ1331" s="7"/>
      <c r="AR1331" s="7"/>
      <c r="AS1331" s="7"/>
      <c r="AT1331" s="7"/>
      <c r="AU1331" s="3"/>
      <c r="AV1331" s="3"/>
      <c r="AW1331" s="3"/>
      <c r="AX1331" s="3"/>
      <c r="AY1331" s="3"/>
    </row>
    <row r="1332" spans="1:51" ht="16.5" customHeight="1">
      <c r="A1332" s="3"/>
      <c r="B1332" s="3"/>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7"/>
      <c r="AK1332" s="7"/>
      <c r="AL1332" s="7"/>
      <c r="AM1332" s="7"/>
      <c r="AN1332" s="7"/>
      <c r="AO1332" s="7"/>
      <c r="AP1332" s="7"/>
      <c r="AQ1332" s="7"/>
      <c r="AR1332" s="7"/>
      <c r="AS1332" s="7"/>
      <c r="AT1332" s="7"/>
      <c r="AU1332" s="3"/>
      <c r="AV1332" s="3"/>
      <c r="AW1332" s="3"/>
      <c r="AX1332" s="3"/>
      <c r="AY1332" s="3"/>
    </row>
    <row r="1333" spans="1:51" ht="16.5" customHeight="1">
      <c r="A1333" s="3"/>
      <c r="B1333" s="3"/>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7"/>
      <c r="AK1333" s="7"/>
      <c r="AL1333" s="7"/>
      <c r="AM1333" s="7"/>
      <c r="AN1333" s="7"/>
      <c r="AO1333" s="7"/>
      <c r="AP1333" s="7"/>
      <c r="AQ1333" s="7"/>
      <c r="AR1333" s="7"/>
      <c r="AS1333" s="7"/>
      <c r="AT1333" s="7"/>
      <c r="AU1333" s="3"/>
      <c r="AV1333" s="3"/>
      <c r="AW1333" s="3"/>
      <c r="AX1333" s="3"/>
      <c r="AY1333" s="3"/>
    </row>
    <row r="1334" spans="1:51" ht="16.5" customHeight="1">
      <c r="A1334" s="3"/>
      <c r="B1334" s="3"/>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7"/>
      <c r="AK1334" s="7"/>
      <c r="AL1334" s="7"/>
      <c r="AM1334" s="7"/>
      <c r="AN1334" s="7"/>
      <c r="AO1334" s="7"/>
      <c r="AP1334" s="7"/>
      <c r="AQ1334" s="7"/>
      <c r="AR1334" s="7"/>
      <c r="AS1334" s="7"/>
      <c r="AT1334" s="7"/>
      <c r="AU1334" s="3"/>
      <c r="AV1334" s="3"/>
      <c r="AW1334" s="3"/>
      <c r="AX1334" s="3"/>
      <c r="AY1334" s="3"/>
    </row>
    <row r="1335" spans="1:51" ht="16.5" customHeight="1">
      <c r="A1335" s="3"/>
      <c r="B1335" s="3"/>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7"/>
      <c r="AK1335" s="7"/>
      <c r="AL1335" s="7"/>
      <c r="AM1335" s="7"/>
      <c r="AN1335" s="7"/>
      <c r="AO1335" s="7"/>
      <c r="AP1335" s="7"/>
      <c r="AQ1335" s="7"/>
      <c r="AR1335" s="7"/>
      <c r="AS1335" s="7"/>
      <c r="AT1335" s="7"/>
      <c r="AU1335" s="3"/>
      <c r="AV1335" s="3"/>
      <c r="AW1335" s="3"/>
      <c r="AX1335" s="3"/>
      <c r="AY1335" s="3"/>
    </row>
    <row r="1336" spans="1:51" ht="16.5" customHeight="1">
      <c r="A1336" s="3"/>
      <c r="B1336" s="3"/>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7"/>
      <c r="AK1336" s="7"/>
      <c r="AL1336" s="7"/>
      <c r="AM1336" s="7"/>
      <c r="AN1336" s="7"/>
      <c r="AO1336" s="7"/>
      <c r="AP1336" s="7"/>
      <c r="AQ1336" s="7"/>
      <c r="AR1336" s="7"/>
      <c r="AS1336" s="7"/>
      <c r="AT1336" s="7"/>
      <c r="AU1336" s="3"/>
      <c r="AV1336" s="3"/>
      <c r="AW1336" s="3"/>
      <c r="AX1336" s="3"/>
      <c r="AY1336" s="3"/>
    </row>
    <row r="1337" spans="1:51" ht="16.5" customHeight="1">
      <c r="A1337" s="3"/>
      <c r="B1337" s="3"/>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7"/>
      <c r="AK1337" s="7"/>
      <c r="AL1337" s="7"/>
      <c r="AM1337" s="7"/>
      <c r="AN1337" s="7"/>
      <c r="AO1337" s="7"/>
      <c r="AP1337" s="7"/>
      <c r="AQ1337" s="7"/>
      <c r="AR1337" s="7"/>
      <c r="AS1337" s="7"/>
      <c r="AT1337" s="7"/>
      <c r="AU1337" s="3"/>
      <c r="AV1337" s="3"/>
      <c r="AW1337" s="3"/>
      <c r="AX1337" s="3"/>
      <c r="AY1337" s="3"/>
    </row>
    <row r="1338" spans="1:51" ht="16.5" customHeight="1">
      <c r="A1338" s="3"/>
      <c r="B1338" s="3"/>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7"/>
      <c r="AK1338" s="7"/>
      <c r="AL1338" s="7"/>
      <c r="AM1338" s="7"/>
      <c r="AN1338" s="7"/>
      <c r="AO1338" s="7"/>
      <c r="AP1338" s="7"/>
      <c r="AQ1338" s="7"/>
      <c r="AR1338" s="7"/>
      <c r="AS1338" s="7"/>
      <c r="AT1338" s="7"/>
      <c r="AU1338" s="3"/>
      <c r="AV1338" s="3"/>
      <c r="AW1338" s="3"/>
      <c r="AX1338" s="3"/>
      <c r="AY1338" s="3"/>
    </row>
    <row r="1339" spans="1:51" ht="16.5" customHeight="1">
      <c r="A1339" s="3"/>
      <c r="B1339" s="3"/>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7"/>
      <c r="AK1339" s="7"/>
      <c r="AL1339" s="7"/>
      <c r="AM1339" s="7"/>
      <c r="AN1339" s="7"/>
      <c r="AO1339" s="7"/>
      <c r="AP1339" s="7"/>
      <c r="AQ1339" s="7"/>
      <c r="AR1339" s="7"/>
      <c r="AS1339" s="7"/>
      <c r="AT1339" s="7"/>
      <c r="AU1339" s="3"/>
      <c r="AV1339" s="3"/>
      <c r="AW1339" s="3"/>
      <c r="AX1339" s="3"/>
      <c r="AY1339" s="3"/>
    </row>
    <row r="1340" spans="1:51" ht="16.5" customHeight="1">
      <c r="A1340" s="3"/>
      <c r="B1340" s="3"/>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7"/>
      <c r="AK1340" s="7"/>
      <c r="AL1340" s="7"/>
      <c r="AM1340" s="7"/>
      <c r="AN1340" s="7"/>
      <c r="AO1340" s="7"/>
      <c r="AP1340" s="7"/>
      <c r="AQ1340" s="7"/>
      <c r="AR1340" s="7"/>
      <c r="AS1340" s="7"/>
      <c r="AT1340" s="7"/>
      <c r="AU1340" s="3"/>
      <c r="AV1340" s="3"/>
      <c r="AW1340" s="3"/>
      <c r="AX1340" s="3"/>
      <c r="AY1340" s="3"/>
    </row>
    <row r="1341" spans="1:51" ht="16.5" customHeight="1">
      <c r="A1341" s="3"/>
      <c r="B1341" s="3"/>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7"/>
      <c r="AK1341" s="7"/>
      <c r="AL1341" s="7"/>
      <c r="AM1341" s="7"/>
      <c r="AN1341" s="7"/>
      <c r="AO1341" s="7"/>
      <c r="AP1341" s="7"/>
      <c r="AQ1341" s="7"/>
      <c r="AR1341" s="7"/>
      <c r="AS1341" s="7"/>
      <c r="AT1341" s="7"/>
      <c r="AU1341" s="3"/>
      <c r="AV1341" s="3"/>
      <c r="AW1341" s="3"/>
      <c r="AX1341" s="3"/>
      <c r="AY1341" s="3"/>
    </row>
    <row r="1342" spans="1:51" ht="16.5" customHeight="1">
      <c r="A1342" s="3"/>
      <c r="B1342" s="3"/>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7"/>
      <c r="AK1342" s="7"/>
      <c r="AL1342" s="7"/>
      <c r="AM1342" s="7"/>
      <c r="AN1342" s="7"/>
      <c r="AO1342" s="7"/>
      <c r="AP1342" s="7"/>
      <c r="AQ1342" s="7"/>
      <c r="AR1342" s="7"/>
      <c r="AS1342" s="7"/>
      <c r="AT1342" s="7"/>
      <c r="AU1342" s="3"/>
      <c r="AV1342" s="3"/>
      <c r="AW1342" s="3"/>
      <c r="AX1342" s="3"/>
      <c r="AY1342" s="3"/>
    </row>
    <row r="1343" spans="1:51" ht="16.5" customHeight="1">
      <c r="A1343" s="3"/>
      <c r="B1343" s="3"/>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7"/>
      <c r="AK1343" s="7"/>
      <c r="AL1343" s="7"/>
      <c r="AM1343" s="7"/>
      <c r="AN1343" s="7"/>
      <c r="AO1343" s="7"/>
      <c r="AP1343" s="7"/>
      <c r="AQ1343" s="7"/>
      <c r="AR1343" s="7"/>
      <c r="AS1343" s="7"/>
      <c r="AT1343" s="7"/>
      <c r="AU1343" s="3"/>
      <c r="AV1343" s="3"/>
      <c r="AW1343" s="3"/>
      <c r="AX1343" s="3"/>
      <c r="AY1343" s="3"/>
    </row>
    <row r="1344" spans="1:51" ht="16.5" customHeight="1">
      <c r="A1344" s="3"/>
      <c r="B1344" s="3"/>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7"/>
      <c r="AK1344" s="7"/>
      <c r="AL1344" s="7"/>
      <c r="AM1344" s="7"/>
      <c r="AN1344" s="7"/>
      <c r="AO1344" s="7"/>
      <c r="AP1344" s="7"/>
      <c r="AQ1344" s="7"/>
      <c r="AR1344" s="7"/>
      <c r="AS1344" s="7"/>
      <c r="AT1344" s="7"/>
      <c r="AU1344" s="3"/>
      <c r="AV1344" s="3"/>
      <c r="AW1344" s="3"/>
      <c r="AX1344" s="3"/>
      <c r="AY1344" s="3"/>
    </row>
    <row r="1345" spans="1:51" ht="16.5" customHeight="1">
      <c r="A1345" s="3"/>
      <c r="B1345" s="3"/>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7"/>
      <c r="AK1345" s="7"/>
      <c r="AL1345" s="7"/>
      <c r="AM1345" s="7"/>
      <c r="AN1345" s="7"/>
      <c r="AO1345" s="7"/>
      <c r="AP1345" s="7"/>
      <c r="AQ1345" s="7"/>
      <c r="AR1345" s="7"/>
      <c r="AS1345" s="7"/>
      <c r="AT1345" s="7"/>
      <c r="AU1345" s="3"/>
      <c r="AV1345" s="3"/>
      <c r="AW1345" s="3"/>
      <c r="AX1345" s="3"/>
      <c r="AY1345" s="3"/>
    </row>
    <row r="1346" spans="1:51" ht="16.5" customHeight="1">
      <c r="A1346" s="3"/>
      <c r="B1346" s="3"/>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7"/>
      <c r="AK1346" s="7"/>
      <c r="AL1346" s="7"/>
      <c r="AM1346" s="7"/>
      <c r="AN1346" s="7"/>
      <c r="AO1346" s="7"/>
      <c r="AP1346" s="7"/>
      <c r="AQ1346" s="7"/>
      <c r="AR1346" s="7"/>
      <c r="AS1346" s="7"/>
      <c r="AT1346" s="7"/>
      <c r="AU1346" s="3"/>
      <c r="AV1346" s="3"/>
      <c r="AW1346" s="3"/>
      <c r="AX1346" s="3"/>
      <c r="AY1346" s="3"/>
    </row>
    <row r="1347" spans="1:51" ht="16.5" customHeight="1">
      <c r="A1347" s="3"/>
      <c r="B1347" s="3"/>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7"/>
      <c r="AK1347" s="7"/>
      <c r="AL1347" s="7"/>
      <c r="AM1347" s="7"/>
      <c r="AN1347" s="7"/>
      <c r="AO1347" s="7"/>
      <c r="AP1347" s="7"/>
      <c r="AQ1347" s="7"/>
      <c r="AR1347" s="7"/>
      <c r="AS1347" s="7"/>
      <c r="AT1347" s="7"/>
      <c r="AU1347" s="3"/>
      <c r="AV1347" s="3"/>
      <c r="AW1347" s="3"/>
      <c r="AX1347" s="3"/>
      <c r="AY1347" s="3"/>
    </row>
    <row r="1348" spans="1:51" ht="16.5" customHeight="1">
      <c r="A1348" s="3"/>
      <c r="B1348" s="3"/>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7"/>
      <c r="AK1348" s="7"/>
      <c r="AL1348" s="7"/>
      <c r="AM1348" s="7"/>
      <c r="AN1348" s="7"/>
      <c r="AO1348" s="7"/>
      <c r="AP1348" s="7"/>
      <c r="AQ1348" s="7"/>
      <c r="AR1348" s="7"/>
      <c r="AS1348" s="7"/>
      <c r="AT1348" s="7"/>
      <c r="AU1348" s="3"/>
      <c r="AV1348" s="3"/>
      <c r="AW1348" s="3"/>
      <c r="AX1348" s="3"/>
      <c r="AY1348" s="3"/>
    </row>
    <row r="1349" spans="1:51" ht="16.5" customHeight="1">
      <c r="A1349" s="3"/>
      <c r="B1349" s="3"/>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7"/>
      <c r="AK1349" s="7"/>
      <c r="AL1349" s="7"/>
      <c r="AM1349" s="7"/>
      <c r="AN1349" s="7"/>
      <c r="AO1349" s="7"/>
      <c r="AP1349" s="7"/>
      <c r="AQ1349" s="7"/>
      <c r="AR1349" s="7"/>
      <c r="AS1349" s="7"/>
      <c r="AT1349" s="7"/>
      <c r="AU1349" s="3"/>
      <c r="AV1349" s="3"/>
      <c r="AW1349" s="3"/>
      <c r="AX1349" s="3"/>
      <c r="AY1349" s="3"/>
    </row>
    <row r="1350" spans="1:51" ht="16.5" customHeight="1">
      <c r="A1350" s="3"/>
      <c r="B1350" s="3"/>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7"/>
      <c r="AK1350" s="7"/>
      <c r="AL1350" s="7"/>
      <c r="AM1350" s="7"/>
      <c r="AN1350" s="7"/>
      <c r="AO1350" s="7"/>
      <c r="AP1350" s="7"/>
      <c r="AQ1350" s="7"/>
      <c r="AR1350" s="7"/>
      <c r="AS1350" s="7"/>
      <c r="AT1350" s="7"/>
      <c r="AU1350" s="3"/>
      <c r="AV1350" s="3"/>
      <c r="AW1350" s="3"/>
      <c r="AX1350" s="3"/>
      <c r="AY1350" s="3"/>
    </row>
    <row r="1351" spans="1:51" ht="16.5" customHeight="1">
      <c r="A1351" s="3"/>
      <c r="B1351" s="3"/>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7"/>
      <c r="AK1351" s="7"/>
      <c r="AL1351" s="7"/>
      <c r="AM1351" s="7"/>
      <c r="AN1351" s="7"/>
      <c r="AO1351" s="7"/>
      <c r="AP1351" s="7"/>
      <c r="AQ1351" s="7"/>
      <c r="AR1351" s="7"/>
      <c r="AS1351" s="7"/>
      <c r="AT1351" s="7"/>
      <c r="AU1351" s="3"/>
      <c r="AV1351" s="3"/>
      <c r="AW1351" s="3"/>
      <c r="AX1351" s="3"/>
      <c r="AY1351" s="3"/>
    </row>
    <row r="1352" spans="1:51" ht="16.5" customHeight="1">
      <c r="A1352" s="3"/>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7"/>
      <c r="AK1352" s="7"/>
      <c r="AL1352" s="7"/>
      <c r="AM1352" s="7"/>
      <c r="AN1352" s="7"/>
      <c r="AO1352" s="7"/>
      <c r="AP1352" s="7"/>
      <c r="AQ1352" s="7"/>
      <c r="AR1352" s="7"/>
      <c r="AS1352" s="7"/>
      <c r="AT1352" s="7"/>
      <c r="AU1352" s="3"/>
      <c r="AV1352" s="3"/>
      <c r="AW1352" s="3"/>
      <c r="AX1352" s="3"/>
      <c r="AY1352" s="3"/>
    </row>
    <row r="1353" spans="1:51" ht="16.5" customHeight="1">
      <c r="A1353" s="3"/>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7"/>
      <c r="AK1353" s="7"/>
      <c r="AL1353" s="7"/>
      <c r="AM1353" s="7"/>
      <c r="AN1353" s="7"/>
      <c r="AO1353" s="7"/>
      <c r="AP1353" s="7"/>
      <c r="AQ1353" s="7"/>
      <c r="AR1353" s="7"/>
      <c r="AS1353" s="7"/>
      <c r="AT1353" s="7"/>
      <c r="AU1353" s="3"/>
      <c r="AV1353" s="3"/>
      <c r="AW1353" s="3"/>
      <c r="AX1353" s="3"/>
      <c r="AY1353" s="3"/>
    </row>
    <row r="1354" spans="1:51" ht="16.5" customHeight="1">
      <c r="A1354" s="3"/>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7"/>
      <c r="AK1354" s="7"/>
      <c r="AL1354" s="7"/>
      <c r="AM1354" s="7"/>
      <c r="AN1354" s="7"/>
      <c r="AO1354" s="7"/>
      <c r="AP1354" s="7"/>
      <c r="AQ1354" s="7"/>
      <c r="AR1354" s="7"/>
      <c r="AS1354" s="7"/>
      <c r="AT1354" s="7"/>
      <c r="AU1354" s="3"/>
      <c r="AV1354" s="3"/>
      <c r="AW1354" s="3"/>
      <c r="AX1354" s="3"/>
      <c r="AY1354" s="3"/>
    </row>
    <row r="1355" spans="1:51" ht="16.5" customHeight="1">
      <c r="A1355" s="3"/>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7"/>
      <c r="AK1355" s="7"/>
      <c r="AL1355" s="7"/>
      <c r="AM1355" s="7"/>
      <c r="AN1355" s="7"/>
      <c r="AO1355" s="7"/>
      <c r="AP1355" s="7"/>
      <c r="AQ1355" s="7"/>
      <c r="AR1355" s="7"/>
      <c r="AS1355" s="7"/>
      <c r="AT1355" s="7"/>
      <c r="AU1355" s="3"/>
      <c r="AV1355" s="3"/>
      <c r="AW1355" s="3"/>
      <c r="AX1355" s="3"/>
      <c r="AY1355" s="3"/>
    </row>
    <row r="1356" spans="1:51" ht="16.5" customHeight="1">
      <c r="A1356" s="3"/>
      <c r="B1356" s="3"/>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7"/>
      <c r="AK1356" s="7"/>
      <c r="AL1356" s="7"/>
      <c r="AM1356" s="7"/>
      <c r="AN1356" s="7"/>
      <c r="AO1356" s="7"/>
      <c r="AP1356" s="7"/>
      <c r="AQ1356" s="7"/>
      <c r="AR1356" s="7"/>
      <c r="AS1356" s="7"/>
      <c r="AT1356" s="7"/>
      <c r="AU1356" s="3"/>
      <c r="AV1356" s="3"/>
      <c r="AW1356" s="3"/>
      <c r="AX1356" s="3"/>
      <c r="AY1356" s="3"/>
    </row>
    <row r="1357" spans="1:51" ht="16.5" customHeight="1">
      <c r="A1357" s="3"/>
      <c r="B1357" s="3"/>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7"/>
      <c r="AK1357" s="7"/>
      <c r="AL1357" s="7"/>
      <c r="AM1357" s="7"/>
      <c r="AN1357" s="7"/>
      <c r="AO1357" s="7"/>
      <c r="AP1357" s="7"/>
      <c r="AQ1357" s="7"/>
      <c r="AR1357" s="7"/>
      <c r="AS1357" s="7"/>
      <c r="AT1357" s="7"/>
      <c r="AU1357" s="3"/>
      <c r="AV1357" s="3"/>
      <c r="AW1357" s="3"/>
      <c r="AX1357" s="3"/>
      <c r="AY1357" s="3"/>
    </row>
    <row r="1358" spans="1:51" ht="16.5" customHeight="1">
      <c r="A1358" s="3"/>
      <c r="B1358" s="3"/>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7"/>
      <c r="AK1358" s="7"/>
      <c r="AL1358" s="7"/>
      <c r="AM1358" s="7"/>
      <c r="AN1358" s="7"/>
      <c r="AO1358" s="7"/>
      <c r="AP1358" s="7"/>
      <c r="AQ1358" s="7"/>
      <c r="AR1358" s="7"/>
      <c r="AS1358" s="7"/>
      <c r="AT1358" s="7"/>
      <c r="AU1358" s="3"/>
      <c r="AV1358" s="3"/>
      <c r="AW1358" s="3"/>
      <c r="AX1358" s="3"/>
      <c r="AY1358" s="3"/>
    </row>
    <row r="1359" spans="1:51" ht="16.5" customHeight="1">
      <c r="A1359" s="3"/>
      <c r="B1359" s="3"/>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7"/>
      <c r="AK1359" s="7"/>
      <c r="AL1359" s="7"/>
      <c r="AM1359" s="7"/>
      <c r="AN1359" s="7"/>
      <c r="AO1359" s="7"/>
      <c r="AP1359" s="7"/>
      <c r="AQ1359" s="7"/>
      <c r="AR1359" s="7"/>
      <c r="AS1359" s="7"/>
      <c r="AT1359" s="7"/>
      <c r="AU1359" s="3"/>
      <c r="AV1359" s="3"/>
      <c r="AW1359" s="3"/>
      <c r="AX1359" s="3"/>
      <c r="AY1359" s="3"/>
    </row>
    <row r="1360" spans="1:51" ht="16.5" customHeight="1">
      <c r="A1360" s="3"/>
      <c r="B1360" s="3"/>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7"/>
      <c r="AK1360" s="7"/>
      <c r="AL1360" s="7"/>
      <c r="AM1360" s="7"/>
      <c r="AN1360" s="7"/>
      <c r="AO1360" s="7"/>
      <c r="AP1360" s="7"/>
      <c r="AQ1360" s="7"/>
      <c r="AR1360" s="7"/>
      <c r="AS1360" s="7"/>
      <c r="AT1360" s="7"/>
      <c r="AU1360" s="3"/>
      <c r="AV1360" s="3"/>
      <c r="AW1360" s="3"/>
      <c r="AX1360" s="3"/>
      <c r="AY1360" s="3"/>
    </row>
    <row r="1361" spans="1:51" ht="16.5" customHeight="1">
      <c r="A1361" s="3"/>
      <c r="B1361" s="3"/>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7"/>
      <c r="AK1361" s="7"/>
      <c r="AL1361" s="7"/>
      <c r="AM1361" s="7"/>
      <c r="AN1361" s="7"/>
      <c r="AO1361" s="7"/>
      <c r="AP1361" s="7"/>
      <c r="AQ1361" s="7"/>
      <c r="AR1361" s="7"/>
      <c r="AS1361" s="7"/>
      <c r="AT1361" s="7"/>
      <c r="AU1361" s="3"/>
      <c r="AV1361" s="3"/>
      <c r="AW1361" s="3"/>
      <c r="AX1361" s="3"/>
      <c r="AY1361" s="3"/>
    </row>
    <row r="1362" spans="1:51" ht="16.5" customHeight="1">
      <c r="A1362" s="3"/>
      <c r="B1362" s="3"/>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7"/>
      <c r="AK1362" s="7"/>
      <c r="AL1362" s="7"/>
      <c r="AM1362" s="7"/>
      <c r="AN1362" s="7"/>
      <c r="AO1362" s="7"/>
      <c r="AP1362" s="7"/>
      <c r="AQ1362" s="7"/>
      <c r="AR1362" s="7"/>
      <c r="AS1362" s="7"/>
      <c r="AT1362" s="7"/>
      <c r="AU1362" s="3"/>
      <c r="AV1362" s="3"/>
      <c r="AW1362" s="3"/>
      <c r="AX1362" s="3"/>
      <c r="AY1362" s="3"/>
    </row>
    <row r="1363" spans="1:51" ht="16.5" customHeight="1">
      <c r="A1363" s="3"/>
      <c r="B1363" s="3"/>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7"/>
      <c r="AK1363" s="7"/>
      <c r="AL1363" s="7"/>
      <c r="AM1363" s="7"/>
      <c r="AN1363" s="7"/>
      <c r="AO1363" s="7"/>
      <c r="AP1363" s="7"/>
      <c r="AQ1363" s="7"/>
      <c r="AR1363" s="7"/>
      <c r="AS1363" s="7"/>
      <c r="AT1363" s="7"/>
      <c r="AU1363" s="3"/>
      <c r="AV1363" s="3"/>
      <c r="AW1363" s="3"/>
      <c r="AX1363" s="3"/>
      <c r="AY1363" s="3"/>
    </row>
    <row r="1364" spans="1:51" ht="16.5" customHeight="1">
      <c r="A1364" s="3"/>
      <c r="B1364" s="3"/>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7"/>
      <c r="AK1364" s="7"/>
      <c r="AL1364" s="7"/>
      <c r="AM1364" s="7"/>
      <c r="AN1364" s="7"/>
      <c r="AO1364" s="7"/>
      <c r="AP1364" s="7"/>
      <c r="AQ1364" s="7"/>
      <c r="AR1364" s="7"/>
      <c r="AS1364" s="7"/>
      <c r="AT1364" s="7"/>
      <c r="AU1364" s="3"/>
      <c r="AV1364" s="3"/>
      <c r="AW1364" s="3"/>
      <c r="AX1364" s="3"/>
      <c r="AY1364" s="3"/>
    </row>
    <row r="1365" spans="1:51" ht="16.5" customHeight="1">
      <c r="A1365" s="3"/>
      <c r="B1365" s="3"/>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7"/>
      <c r="AK1365" s="7"/>
      <c r="AL1365" s="7"/>
      <c r="AM1365" s="7"/>
      <c r="AN1365" s="7"/>
      <c r="AO1365" s="7"/>
      <c r="AP1365" s="7"/>
      <c r="AQ1365" s="7"/>
      <c r="AR1365" s="7"/>
      <c r="AS1365" s="7"/>
      <c r="AT1365" s="7"/>
      <c r="AU1365" s="3"/>
      <c r="AV1365" s="3"/>
      <c r="AW1365" s="3"/>
      <c r="AX1365" s="3"/>
      <c r="AY1365" s="3"/>
    </row>
    <row r="1366" spans="1:51" ht="16.5" customHeight="1">
      <c r="A1366" s="3"/>
      <c r="B1366" s="3"/>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7"/>
      <c r="AK1366" s="7"/>
      <c r="AL1366" s="7"/>
      <c r="AM1366" s="7"/>
      <c r="AN1366" s="7"/>
      <c r="AO1366" s="7"/>
      <c r="AP1366" s="7"/>
      <c r="AQ1366" s="7"/>
      <c r="AR1366" s="7"/>
      <c r="AS1366" s="7"/>
      <c r="AT1366" s="7"/>
      <c r="AU1366" s="3"/>
      <c r="AV1366" s="3"/>
      <c r="AW1366" s="3"/>
      <c r="AX1366" s="3"/>
      <c r="AY1366" s="3"/>
    </row>
    <row r="1367" spans="1:51" ht="16.5" customHeight="1">
      <c r="A1367" s="3"/>
      <c r="B1367" s="3"/>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7"/>
      <c r="AK1367" s="7"/>
      <c r="AL1367" s="7"/>
      <c r="AM1367" s="7"/>
      <c r="AN1367" s="7"/>
      <c r="AO1367" s="7"/>
      <c r="AP1367" s="7"/>
      <c r="AQ1367" s="7"/>
      <c r="AR1367" s="7"/>
      <c r="AS1367" s="7"/>
      <c r="AT1367" s="7"/>
      <c r="AU1367" s="3"/>
      <c r="AV1367" s="3"/>
      <c r="AW1367" s="3"/>
      <c r="AX1367" s="3"/>
      <c r="AY1367" s="3"/>
    </row>
    <row r="1368" spans="1:51" ht="16.5" customHeight="1">
      <c r="A1368" s="3"/>
      <c r="B1368" s="3"/>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7"/>
      <c r="AK1368" s="7"/>
      <c r="AL1368" s="7"/>
      <c r="AM1368" s="7"/>
      <c r="AN1368" s="7"/>
      <c r="AO1368" s="7"/>
      <c r="AP1368" s="7"/>
      <c r="AQ1368" s="7"/>
      <c r="AR1368" s="7"/>
      <c r="AS1368" s="7"/>
      <c r="AT1368" s="7"/>
      <c r="AU1368" s="3"/>
      <c r="AV1368" s="3"/>
      <c r="AW1368" s="3"/>
      <c r="AX1368" s="3"/>
      <c r="AY1368" s="3"/>
    </row>
    <row r="1369" spans="1:51" ht="16.5" customHeight="1">
      <c r="A1369" s="3"/>
      <c r="B1369" s="3"/>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7"/>
      <c r="AK1369" s="7"/>
      <c r="AL1369" s="7"/>
      <c r="AM1369" s="7"/>
      <c r="AN1369" s="7"/>
      <c r="AO1369" s="7"/>
      <c r="AP1369" s="7"/>
      <c r="AQ1369" s="7"/>
      <c r="AR1369" s="7"/>
      <c r="AS1369" s="7"/>
      <c r="AT1369" s="7"/>
      <c r="AU1369" s="3"/>
      <c r="AV1369" s="3"/>
      <c r="AW1369" s="3"/>
      <c r="AX1369" s="3"/>
      <c r="AY1369" s="3"/>
    </row>
    <row r="1370" spans="1:51" ht="16.5" customHeight="1">
      <c r="A1370" s="3"/>
      <c r="B1370" s="3"/>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7"/>
      <c r="AK1370" s="7"/>
      <c r="AL1370" s="7"/>
      <c r="AM1370" s="7"/>
      <c r="AN1370" s="7"/>
      <c r="AO1370" s="7"/>
      <c r="AP1370" s="7"/>
      <c r="AQ1370" s="7"/>
      <c r="AR1370" s="7"/>
      <c r="AS1370" s="7"/>
      <c r="AT1370" s="7"/>
      <c r="AU1370" s="3"/>
      <c r="AV1370" s="3"/>
      <c r="AW1370" s="3"/>
      <c r="AX1370" s="3"/>
      <c r="AY1370" s="3"/>
    </row>
    <row r="1371" spans="1:51" ht="16.5" customHeight="1">
      <c r="A1371" s="3"/>
      <c r="B1371" s="3"/>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7"/>
      <c r="AK1371" s="7"/>
      <c r="AL1371" s="7"/>
      <c r="AM1371" s="7"/>
      <c r="AN1371" s="7"/>
      <c r="AO1371" s="7"/>
      <c r="AP1371" s="7"/>
      <c r="AQ1371" s="7"/>
      <c r="AR1371" s="7"/>
      <c r="AS1371" s="7"/>
      <c r="AT1371" s="7"/>
      <c r="AU1371" s="3"/>
      <c r="AV1371" s="3"/>
      <c r="AW1371" s="3"/>
      <c r="AX1371" s="3"/>
      <c r="AY1371" s="3"/>
    </row>
    <row r="1372" spans="1:51" ht="16.5" customHeight="1">
      <c r="A1372" s="3"/>
      <c r="B1372" s="3"/>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7"/>
      <c r="AK1372" s="7"/>
      <c r="AL1372" s="7"/>
      <c r="AM1372" s="7"/>
      <c r="AN1372" s="7"/>
      <c r="AO1372" s="7"/>
      <c r="AP1372" s="7"/>
      <c r="AQ1372" s="7"/>
      <c r="AR1372" s="7"/>
      <c r="AS1372" s="7"/>
      <c r="AT1372" s="7"/>
      <c r="AU1372" s="3"/>
      <c r="AV1372" s="3"/>
      <c r="AW1372" s="3"/>
      <c r="AX1372" s="3"/>
      <c r="AY1372" s="3"/>
    </row>
    <row r="1373" spans="1:51" ht="16.5" customHeight="1">
      <c r="A1373" s="3"/>
      <c r="B1373" s="3"/>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7"/>
      <c r="AK1373" s="7"/>
      <c r="AL1373" s="7"/>
      <c r="AM1373" s="7"/>
      <c r="AN1373" s="7"/>
      <c r="AO1373" s="7"/>
      <c r="AP1373" s="7"/>
      <c r="AQ1373" s="7"/>
      <c r="AR1373" s="7"/>
      <c r="AS1373" s="7"/>
      <c r="AT1373" s="7"/>
      <c r="AU1373" s="3"/>
      <c r="AV1373" s="3"/>
      <c r="AW1373" s="3"/>
      <c r="AX1373" s="3"/>
      <c r="AY1373" s="3"/>
    </row>
    <row r="1374" spans="1:51" ht="16.5" customHeight="1">
      <c r="A1374" s="3"/>
      <c r="B1374" s="3"/>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7"/>
      <c r="AK1374" s="7"/>
      <c r="AL1374" s="7"/>
      <c r="AM1374" s="7"/>
      <c r="AN1374" s="7"/>
      <c r="AO1374" s="7"/>
      <c r="AP1374" s="7"/>
      <c r="AQ1374" s="7"/>
      <c r="AR1374" s="7"/>
      <c r="AS1374" s="7"/>
      <c r="AT1374" s="7"/>
      <c r="AU1374" s="3"/>
      <c r="AV1374" s="3"/>
      <c r="AW1374" s="3"/>
      <c r="AX1374" s="3"/>
      <c r="AY1374" s="3"/>
    </row>
    <row r="1375" spans="1:51" ht="16.5" customHeight="1">
      <c r="A1375" s="3"/>
      <c r="B1375" s="3"/>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7"/>
      <c r="AK1375" s="7"/>
      <c r="AL1375" s="7"/>
      <c r="AM1375" s="7"/>
      <c r="AN1375" s="7"/>
      <c r="AO1375" s="7"/>
      <c r="AP1375" s="7"/>
      <c r="AQ1375" s="7"/>
      <c r="AR1375" s="7"/>
      <c r="AS1375" s="7"/>
      <c r="AT1375" s="7"/>
      <c r="AU1375" s="3"/>
      <c r="AV1375" s="3"/>
      <c r="AW1375" s="3"/>
      <c r="AX1375" s="3"/>
      <c r="AY1375" s="3"/>
    </row>
    <row r="1376" spans="1:51" ht="16.5" customHeight="1">
      <c r="A1376" s="3"/>
      <c r="B1376" s="3"/>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7"/>
      <c r="AK1376" s="7"/>
      <c r="AL1376" s="7"/>
      <c r="AM1376" s="7"/>
      <c r="AN1376" s="7"/>
      <c r="AO1376" s="7"/>
      <c r="AP1376" s="7"/>
      <c r="AQ1376" s="7"/>
      <c r="AR1376" s="7"/>
      <c r="AS1376" s="7"/>
      <c r="AT1376" s="7"/>
      <c r="AU1376" s="3"/>
      <c r="AV1376" s="3"/>
      <c r="AW1376" s="3"/>
      <c r="AX1376" s="3"/>
      <c r="AY1376" s="3"/>
    </row>
    <row r="1377" spans="1:51" ht="16.5" customHeight="1">
      <c r="A1377" s="3"/>
      <c r="B1377" s="3"/>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7"/>
      <c r="AK1377" s="7"/>
      <c r="AL1377" s="7"/>
      <c r="AM1377" s="7"/>
      <c r="AN1377" s="7"/>
      <c r="AO1377" s="7"/>
      <c r="AP1377" s="7"/>
      <c r="AQ1377" s="7"/>
      <c r="AR1377" s="7"/>
      <c r="AS1377" s="7"/>
      <c r="AT1377" s="7"/>
      <c r="AU1377" s="3"/>
      <c r="AV1377" s="3"/>
      <c r="AW1377" s="3"/>
      <c r="AX1377" s="3"/>
      <c r="AY1377" s="3"/>
    </row>
    <row r="1378" spans="1:51" ht="16.5" customHeight="1">
      <c r="A1378" s="3"/>
      <c r="B1378" s="3"/>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7"/>
      <c r="AK1378" s="7"/>
      <c r="AL1378" s="7"/>
      <c r="AM1378" s="7"/>
      <c r="AN1378" s="7"/>
      <c r="AO1378" s="7"/>
      <c r="AP1378" s="7"/>
      <c r="AQ1378" s="7"/>
      <c r="AR1378" s="7"/>
      <c r="AS1378" s="7"/>
      <c r="AT1378" s="7"/>
      <c r="AU1378" s="3"/>
      <c r="AV1378" s="3"/>
      <c r="AW1378" s="3"/>
      <c r="AX1378" s="3"/>
      <c r="AY1378" s="3"/>
    </row>
    <row r="1379" spans="1:51" ht="16.5" customHeight="1">
      <c r="A1379" s="3"/>
      <c r="B1379" s="3"/>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7"/>
      <c r="AK1379" s="7"/>
      <c r="AL1379" s="7"/>
      <c r="AM1379" s="7"/>
      <c r="AN1379" s="7"/>
      <c r="AO1379" s="7"/>
      <c r="AP1379" s="7"/>
      <c r="AQ1379" s="7"/>
      <c r="AR1379" s="7"/>
      <c r="AS1379" s="7"/>
      <c r="AT1379" s="7"/>
      <c r="AU1379" s="3"/>
      <c r="AV1379" s="3"/>
      <c r="AW1379" s="3"/>
      <c r="AX1379" s="3"/>
      <c r="AY1379" s="3"/>
    </row>
    <row r="1380" spans="1:51" ht="16.5" customHeight="1">
      <c r="A1380" s="3"/>
      <c r="B1380" s="3"/>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7"/>
      <c r="AK1380" s="7"/>
      <c r="AL1380" s="7"/>
      <c r="AM1380" s="7"/>
      <c r="AN1380" s="7"/>
      <c r="AO1380" s="7"/>
      <c r="AP1380" s="7"/>
      <c r="AQ1380" s="7"/>
      <c r="AR1380" s="7"/>
      <c r="AS1380" s="7"/>
      <c r="AT1380" s="7"/>
      <c r="AU1380" s="3"/>
      <c r="AV1380" s="3"/>
      <c r="AW1380" s="3"/>
      <c r="AX1380" s="3"/>
      <c r="AY1380" s="3"/>
    </row>
    <row r="1381" spans="1:51" ht="16.5" customHeight="1">
      <c r="A1381" s="3"/>
      <c r="B1381" s="3"/>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7"/>
      <c r="AK1381" s="7"/>
      <c r="AL1381" s="7"/>
      <c r="AM1381" s="7"/>
      <c r="AN1381" s="7"/>
      <c r="AO1381" s="7"/>
      <c r="AP1381" s="7"/>
      <c r="AQ1381" s="7"/>
      <c r="AR1381" s="7"/>
      <c r="AS1381" s="7"/>
      <c r="AT1381" s="7"/>
      <c r="AU1381" s="3"/>
      <c r="AV1381" s="3"/>
      <c r="AW1381" s="3"/>
      <c r="AX1381" s="3"/>
      <c r="AY1381" s="3"/>
    </row>
    <row r="1382" spans="1:51" ht="16.5" customHeight="1">
      <c r="A1382" s="3"/>
      <c r="B1382" s="3"/>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7"/>
      <c r="AK1382" s="7"/>
      <c r="AL1382" s="7"/>
      <c r="AM1382" s="7"/>
      <c r="AN1382" s="7"/>
      <c r="AO1382" s="7"/>
      <c r="AP1382" s="7"/>
      <c r="AQ1382" s="7"/>
      <c r="AR1382" s="7"/>
      <c r="AS1382" s="7"/>
      <c r="AT1382" s="7"/>
      <c r="AU1382" s="3"/>
      <c r="AV1382" s="3"/>
      <c r="AW1382" s="3"/>
      <c r="AX1382" s="3"/>
      <c r="AY1382" s="3"/>
    </row>
    <row r="1383" spans="1:51" ht="16.5" customHeight="1">
      <c r="A1383" s="3"/>
      <c r="B1383" s="3"/>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7"/>
      <c r="AK1383" s="7"/>
      <c r="AL1383" s="7"/>
      <c r="AM1383" s="7"/>
      <c r="AN1383" s="7"/>
      <c r="AO1383" s="7"/>
      <c r="AP1383" s="7"/>
      <c r="AQ1383" s="7"/>
      <c r="AR1383" s="7"/>
      <c r="AS1383" s="7"/>
      <c r="AT1383" s="7"/>
      <c r="AU1383" s="3"/>
      <c r="AV1383" s="3"/>
      <c r="AW1383" s="3"/>
      <c r="AX1383" s="3"/>
      <c r="AY1383" s="3"/>
    </row>
    <row r="1384" spans="1:51" ht="16.5" customHeight="1">
      <c r="A1384" s="3"/>
      <c r="B1384" s="3"/>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7"/>
      <c r="AK1384" s="7"/>
      <c r="AL1384" s="7"/>
      <c r="AM1384" s="7"/>
      <c r="AN1384" s="7"/>
      <c r="AO1384" s="7"/>
      <c r="AP1384" s="7"/>
      <c r="AQ1384" s="7"/>
      <c r="AR1384" s="7"/>
      <c r="AS1384" s="7"/>
      <c r="AT1384" s="7"/>
      <c r="AU1384" s="3"/>
      <c r="AV1384" s="3"/>
      <c r="AW1384" s="3"/>
      <c r="AX1384" s="3"/>
      <c r="AY1384" s="3"/>
    </row>
    <row r="1385" spans="1:51" ht="16.5" customHeight="1">
      <c r="A1385" s="3"/>
      <c r="B1385" s="3"/>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7"/>
      <c r="AK1385" s="7"/>
      <c r="AL1385" s="7"/>
      <c r="AM1385" s="7"/>
      <c r="AN1385" s="7"/>
      <c r="AO1385" s="7"/>
      <c r="AP1385" s="7"/>
      <c r="AQ1385" s="7"/>
      <c r="AR1385" s="7"/>
      <c r="AS1385" s="7"/>
      <c r="AT1385" s="7"/>
      <c r="AU1385" s="3"/>
      <c r="AV1385" s="3"/>
      <c r="AW1385" s="3"/>
      <c r="AX1385" s="3"/>
      <c r="AY1385" s="3"/>
    </row>
    <row r="1386" spans="1:51" ht="16.5" customHeight="1">
      <c r="A1386" s="3"/>
      <c r="B1386" s="3"/>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7"/>
      <c r="AK1386" s="7"/>
      <c r="AL1386" s="7"/>
      <c r="AM1386" s="7"/>
      <c r="AN1386" s="7"/>
      <c r="AO1386" s="7"/>
      <c r="AP1386" s="7"/>
      <c r="AQ1386" s="7"/>
      <c r="AR1386" s="7"/>
      <c r="AS1386" s="7"/>
      <c r="AT1386" s="7"/>
      <c r="AU1386" s="3"/>
      <c r="AV1386" s="3"/>
      <c r="AW1386" s="3"/>
      <c r="AX1386" s="3"/>
      <c r="AY1386" s="3"/>
    </row>
    <row r="1387" spans="1:51" ht="16.5" customHeight="1">
      <c r="A1387" s="3"/>
      <c r="B1387" s="3"/>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7"/>
      <c r="AK1387" s="7"/>
      <c r="AL1387" s="7"/>
      <c r="AM1387" s="7"/>
      <c r="AN1387" s="7"/>
      <c r="AO1387" s="7"/>
      <c r="AP1387" s="7"/>
      <c r="AQ1387" s="7"/>
      <c r="AR1387" s="7"/>
      <c r="AS1387" s="7"/>
      <c r="AT1387" s="7"/>
      <c r="AU1387" s="3"/>
      <c r="AV1387" s="3"/>
      <c r="AW1387" s="3"/>
      <c r="AX1387" s="3"/>
      <c r="AY1387" s="3"/>
    </row>
    <row r="1388" spans="1:51" ht="16.5" customHeight="1">
      <c r="A1388" s="3"/>
      <c r="B1388" s="3"/>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7"/>
      <c r="AK1388" s="7"/>
      <c r="AL1388" s="7"/>
      <c r="AM1388" s="7"/>
      <c r="AN1388" s="7"/>
      <c r="AO1388" s="7"/>
      <c r="AP1388" s="7"/>
      <c r="AQ1388" s="7"/>
      <c r="AR1388" s="7"/>
      <c r="AS1388" s="7"/>
      <c r="AT1388" s="7"/>
      <c r="AU1388" s="3"/>
      <c r="AV1388" s="3"/>
      <c r="AW1388" s="3"/>
      <c r="AX1388" s="3"/>
      <c r="AY1388" s="3"/>
    </row>
    <row r="1389" spans="1:51" ht="16.5" customHeight="1">
      <c r="A1389" s="3"/>
      <c r="B1389" s="3"/>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7"/>
      <c r="AK1389" s="7"/>
      <c r="AL1389" s="7"/>
      <c r="AM1389" s="7"/>
      <c r="AN1389" s="7"/>
      <c r="AO1389" s="7"/>
      <c r="AP1389" s="7"/>
      <c r="AQ1389" s="7"/>
      <c r="AR1389" s="7"/>
      <c r="AS1389" s="7"/>
      <c r="AT1389" s="7"/>
      <c r="AU1389" s="3"/>
      <c r="AV1389" s="3"/>
      <c r="AW1389" s="3"/>
      <c r="AX1389" s="3"/>
      <c r="AY1389" s="3"/>
    </row>
    <row r="1390" spans="1:51" ht="16.5" customHeight="1">
      <c r="A1390" s="3"/>
      <c r="B1390" s="3"/>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7"/>
      <c r="AK1390" s="7"/>
      <c r="AL1390" s="7"/>
      <c r="AM1390" s="7"/>
      <c r="AN1390" s="7"/>
      <c r="AO1390" s="7"/>
      <c r="AP1390" s="7"/>
      <c r="AQ1390" s="7"/>
      <c r="AR1390" s="7"/>
      <c r="AS1390" s="7"/>
      <c r="AT1390" s="7"/>
      <c r="AU1390" s="3"/>
      <c r="AV1390" s="3"/>
      <c r="AW1390" s="3"/>
      <c r="AX1390" s="3"/>
      <c r="AY1390" s="3"/>
    </row>
    <row r="1391" spans="1:51" ht="16.5" customHeight="1">
      <c r="A1391" s="3"/>
      <c r="B1391" s="3"/>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7"/>
      <c r="AK1391" s="7"/>
      <c r="AL1391" s="7"/>
      <c r="AM1391" s="7"/>
      <c r="AN1391" s="7"/>
      <c r="AO1391" s="7"/>
      <c r="AP1391" s="7"/>
      <c r="AQ1391" s="7"/>
      <c r="AR1391" s="7"/>
      <c r="AS1391" s="7"/>
      <c r="AT1391" s="7"/>
      <c r="AU1391" s="3"/>
      <c r="AV1391" s="3"/>
      <c r="AW1391" s="3"/>
      <c r="AX1391" s="3"/>
      <c r="AY1391" s="3"/>
    </row>
    <row r="1392" spans="1:51" ht="16.5" customHeight="1">
      <c r="A1392" s="3"/>
      <c r="B1392" s="3"/>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7"/>
      <c r="AK1392" s="7"/>
      <c r="AL1392" s="7"/>
      <c r="AM1392" s="7"/>
      <c r="AN1392" s="7"/>
      <c r="AO1392" s="7"/>
      <c r="AP1392" s="7"/>
      <c r="AQ1392" s="7"/>
      <c r="AR1392" s="7"/>
      <c r="AS1392" s="7"/>
      <c r="AT1392" s="7"/>
      <c r="AU1392" s="3"/>
      <c r="AV1392" s="3"/>
      <c r="AW1392" s="3"/>
      <c r="AX1392" s="3"/>
      <c r="AY1392" s="3"/>
    </row>
    <row r="1393" spans="1:51" ht="16.5" customHeight="1">
      <c r="A1393" s="3"/>
      <c r="B1393" s="3"/>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7"/>
      <c r="AK1393" s="7"/>
      <c r="AL1393" s="7"/>
      <c r="AM1393" s="7"/>
      <c r="AN1393" s="7"/>
      <c r="AO1393" s="7"/>
      <c r="AP1393" s="7"/>
      <c r="AQ1393" s="7"/>
      <c r="AR1393" s="7"/>
      <c r="AS1393" s="7"/>
      <c r="AT1393" s="7"/>
      <c r="AU1393" s="3"/>
      <c r="AV1393" s="3"/>
      <c r="AW1393" s="3"/>
      <c r="AX1393" s="3"/>
      <c r="AY1393" s="3"/>
    </row>
    <row r="1394" spans="1:51" ht="16.5" customHeight="1">
      <c r="A1394" s="3"/>
      <c r="B1394" s="3"/>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7"/>
      <c r="AK1394" s="7"/>
      <c r="AL1394" s="7"/>
      <c r="AM1394" s="7"/>
      <c r="AN1394" s="7"/>
      <c r="AO1394" s="7"/>
      <c r="AP1394" s="7"/>
      <c r="AQ1394" s="7"/>
      <c r="AR1394" s="7"/>
      <c r="AS1394" s="7"/>
      <c r="AT1394" s="7"/>
      <c r="AU1394" s="3"/>
      <c r="AV1394" s="3"/>
      <c r="AW1394" s="3"/>
      <c r="AX1394" s="3"/>
      <c r="AY1394" s="3"/>
    </row>
    <row r="1395" spans="1:51" ht="16.5" customHeight="1">
      <c r="A1395" s="3"/>
      <c r="B1395" s="3"/>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7"/>
      <c r="AK1395" s="7"/>
      <c r="AL1395" s="7"/>
      <c r="AM1395" s="7"/>
      <c r="AN1395" s="7"/>
      <c r="AO1395" s="7"/>
      <c r="AP1395" s="7"/>
      <c r="AQ1395" s="7"/>
      <c r="AR1395" s="7"/>
      <c r="AS1395" s="7"/>
      <c r="AT1395" s="7"/>
      <c r="AU1395" s="3"/>
      <c r="AV1395" s="3"/>
      <c r="AW1395" s="3"/>
      <c r="AX1395" s="3"/>
      <c r="AY1395" s="3"/>
    </row>
    <row r="1396" spans="1:51" ht="16.5" customHeight="1">
      <c r="A1396" s="3"/>
      <c r="B1396" s="3"/>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7"/>
      <c r="AK1396" s="7"/>
      <c r="AL1396" s="7"/>
      <c r="AM1396" s="7"/>
      <c r="AN1396" s="7"/>
      <c r="AO1396" s="7"/>
      <c r="AP1396" s="7"/>
      <c r="AQ1396" s="7"/>
      <c r="AR1396" s="7"/>
      <c r="AS1396" s="7"/>
      <c r="AT1396" s="7"/>
      <c r="AU1396" s="3"/>
      <c r="AV1396" s="3"/>
      <c r="AW1396" s="3"/>
      <c r="AX1396" s="3"/>
      <c r="AY1396" s="3"/>
    </row>
    <row r="1397" spans="1:51" ht="16.5" customHeight="1">
      <c r="A1397" s="3"/>
      <c r="B1397" s="3"/>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7"/>
      <c r="AK1397" s="7"/>
      <c r="AL1397" s="7"/>
      <c r="AM1397" s="7"/>
      <c r="AN1397" s="7"/>
      <c r="AO1397" s="7"/>
      <c r="AP1397" s="7"/>
      <c r="AQ1397" s="7"/>
      <c r="AR1397" s="7"/>
      <c r="AS1397" s="7"/>
      <c r="AT1397" s="7"/>
      <c r="AU1397" s="3"/>
      <c r="AV1397" s="3"/>
      <c r="AW1397" s="3"/>
      <c r="AX1397" s="3"/>
      <c r="AY1397" s="3"/>
    </row>
    <row r="1398" spans="1:51" ht="16.5" customHeight="1">
      <c r="A1398" s="3"/>
      <c r="B1398" s="3"/>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7"/>
      <c r="AK1398" s="7"/>
      <c r="AL1398" s="7"/>
      <c r="AM1398" s="7"/>
      <c r="AN1398" s="7"/>
      <c r="AO1398" s="7"/>
      <c r="AP1398" s="7"/>
      <c r="AQ1398" s="7"/>
      <c r="AR1398" s="7"/>
      <c r="AS1398" s="7"/>
      <c r="AT1398" s="7"/>
      <c r="AU1398" s="3"/>
      <c r="AV1398" s="3"/>
      <c r="AW1398" s="3"/>
      <c r="AX1398" s="3"/>
      <c r="AY1398" s="3"/>
    </row>
    <row r="1399" spans="1:51" ht="16.5" customHeight="1">
      <c r="A1399" s="3"/>
      <c r="B1399" s="3"/>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7"/>
      <c r="AK1399" s="7"/>
      <c r="AL1399" s="7"/>
      <c r="AM1399" s="7"/>
      <c r="AN1399" s="7"/>
      <c r="AO1399" s="7"/>
      <c r="AP1399" s="7"/>
      <c r="AQ1399" s="7"/>
      <c r="AR1399" s="7"/>
      <c r="AS1399" s="7"/>
      <c r="AT1399" s="7"/>
      <c r="AU1399" s="3"/>
      <c r="AV1399" s="3"/>
      <c r="AW1399" s="3"/>
      <c r="AX1399" s="3"/>
      <c r="AY1399" s="3"/>
    </row>
    <row r="1400" spans="1:51" ht="16.5" customHeight="1">
      <c r="A1400" s="3"/>
      <c r="B1400" s="3"/>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7"/>
      <c r="AK1400" s="7"/>
      <c r="AL1400" s="7"/>
      <c r="AM1400" s="7"/>
      <c r="AN1400" s="7"/>
      <c r="AO1400" s="7"/>
      <c r="AP1400" s="7"/>
      <c r="AQ1400" s="7"/>
      <c r="AR1400" s="7"/>
      <c r="AS1400" s="7"/>
      <c r="AT1400" s="7"/>
      <c r="AU1400" s="3"/>
      <c r="AV1400" s="3"/>
      <c r="AW1400" s="3"/>
      <c r="AX1400" s="3"/>
      <c r="AY1400" s="3"/>
    </row>
    <row r="1401" spans="1:51" ht="16.5" customHeight="1">
      <c r="A1401" s="3"/>
      <c r="B1401" s="3"/>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7"/>
      <c r="AK1401" s="7"/>
      <c r="AL1401" s="7"/>
      <c r="AM1401" s="7"/>
      <c r="AN1401" s="7"/>
      <c r="AO1401" s="7"/>
      <c r="AP1401" s="7"/>
      <c r="AQ1401" s="7"/>
      <c r="AR1401" s="7"/>
      <c r="AS1401" s="7"/>
      <c r="AT1401" s="7"/>
      <c r="AU1401" s="3"/>
      <c r="AV1401" s="3"/>
      <c r="AW1401" s="3"/>
      <c r="AX1401" s="3"/>
      <c r="AY1401" s="3"/>
    </row>
    <row r="1402" spans="1:51" ht="16.5" customHeight="1">
      <c r="A1402" s="3"/>
      <c r="B1402" s="3"/>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7"/>
      <c r="AK1402" s="7"/>
      <c r="AL1402" s="7"/>
      <c r="AM1402" s="7"/>
      <c r="AN1402" s="7"/>
      <c r="AO1402" s="7"/>
      <c r="AP1402" s="7"/>
      <c r="AQ1402" s="7"/>
      <c r="AR1402" s="7"/>
      <c r="AS1402" s="7"/>
      <c r="AT1402" s="7"/>
      <c r="AU1402" s="3"/>
      <c r="AV1402" s="3"/>
      <c r="AW1402" s="3"/>
      <c r="AX1402" s="3"/>
      <c r="AY1402" s="3"/>
    </row>
    <row r="1403" spans="1:51" ht="16.5" customHeight="1">
      <c r="A1403" s="3"/>
      <c r="B1403" s="3"/>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7"/>
      <c r="AK1403" s="7"/>
      <c r="AL1403" s="7"/>
      <c r="AM1403" s="7"/>
      <c r="AN1403" s="7"/>
      <c r="AO1403" s="7"/>
      <c r="AP1403" s="7"/>
      <c r="AQ1403" s="7"/>
      <c r="AR1403" s="7"/>
      <c r="AS1403" s="7"/>
      <c r="AT1403" s="7"/>
      <c r="AU1403" s="3"/>
      <c r="AV1403" s="3"/>
      <c r="AW1403" s="3"/>
      <c r="AX1403" s="3"/>
      <c r="AY1403" s="3"/>
    </row>
    <row r="1404" spans="1:51" ht="16.5" customHeight="1">
      <c r="A1404" s="3"/>
      <c r="B1404" s="3"/>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7"/>
      <c r="AK1404" s="7"/>
      <c r="AL1404" s="7"/>
      <c r="AM1404" s="7"/>
      <c r="AN1404" s="7"/>
      <c r="AO1404" s="7"/>
      <c r="AP1404" s="7"/>
      <c r="AQ1404" s="7"/>
      <c r="AR1404" s="7"/>
      <c r="AS1404" s="7"/>
      <c r="AT1404" s="7"/>
      <c r="AU1404" s="3"/>
      <c r="AV1404" s="3"/>
      <c r="AW1404" s="3"/>
      <c r="AX1404" s="3"/>
      <c r="AY1404" s="3"/>
    </row>
    <row r="1405" spans="1:51" ht="16.5" customHeight="1">
      <c r="A1405" s="3"/>
      <c r="B1405" s="3"/>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7"/>
      <c r="AK1405" s="7"/>
      <c r="AL1405" s="7"/>
      <c r="AM1405" s="7"/>
      <c r="AN1405" s="7"/>
      <c r="AO1405" s="7"/>
      <c r="AP1405" s="7"/>
      <c r="AQ1405" s="7"/>
      <c r="AR1405" s="7"/>
      <c r="AS1405" s="7"/>
      <c r="AT1405" s="7"/>
      <c r="AU1405" s="3"/>
      <c r="AV1405" s="3"/>
      <c r="AW1405" s="3"/>
      <c r="AX1405" s="3"/>
      <c r="AY1405" s="3"/>
    </row>
    <row r="1406" spans="1:51" ht="16.5" customHeight="1">
      <c r="A1406" s="3"/>
      <c r="B1406" s="3"/>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7"/>
      <c r="AK1406" s="7"/>
      <c r="AL1406" s="7"/>
      <c r="AM1406" s="7"/>
      <c r="AN1406" s="7"/>
      <c r="AO1406" s="7"/>
      <c r="AP1406" s="7"/>
      <c r="AQ1406" s="7"/>
      <c r="AR1406" s="7"/>
      <c r="AS1406" s="7"/>
      <c r="AT1406" s="7"/>
      <c r="AU1406" s="3"/>
      <c r="AV1406" s="3"/>
      <c r="AW1406" s="3"/>
      <c r="AX1406" s="3"/>
      <c r="AY1406" s="3"/>
    </row>
    <row r="1407" spans="1:51" ht="16.5" customHeight="1">
      <c r="A1407" s="3"/>
      <c r="B1407" s="3"/>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7"/>
      <c r="AK1407" s="7"/>
      <c r="AL1407" s="7"/>
      <c r="AM1407" s="7"/>
      <c r="AN1407" s="7"/>
      <c r="AO1407" s="7"/>
      <c r="AP1407" s="7"/>
      <c r="AQ1407" s="7"/>
      <c r="AR1407" s="7"/>
      <c r="AS1407" s="7"/>
      <c r="AT1407" s="7"/>
      <c r="AU1407" s="3"/>
      <c r="AV1407" s="3"/>
      <c r="AW1407" s="3"/>
      <c r="AX1407" s="3"/>
      <c r="AY1407" s="3"/>
    </row>
    <row r="1408" spans="1:51" ht="16.5" customHeight="1">
      <c r="A1408" s="3"/>
      <c r="B1408" s="3"/>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7"/>
      <c r="AK1408" s="7"/>
      <c r="AL1408" s="7"/>
      <c r="AM1408" s="7"/>
      <c r="AN1408" s="7"/>
      <c r="AO1408" s="7"/>
      <c r="AP1408" s="7"/>
      <c r="AQ1408" s="7"/>
      <c r="AR1408" s="7"/>
      <c r="AS1408" s="7"/>
      <c r="AT1408" s="7"/>
      <c r="AU1408" s="3"/>
      <c r="AV1408" s="3"/>
      <c r="AW1408" s="3"/>
      <c r="AX1408" s="3"/>
      <c r="AY1408" s="3"/>
    </row>
    <row r="1409" spans="1:51" ht="16.5" customHeight="1">
      <c r="A1409" s="3"/>
      <c r="B1409" s="3"/>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7"/>
      <c r="AK1409" s="7"/>
      <c r="AL1409" s="7"/>
      <c r="AM1409" s="7"/>
      <c r="AN1409" s="7"/>
      <c r="AO1409" s="7"/>
      <c r="AP1409" s="7"/>
      <c r="AQ1409" s="7"/>
      <c r="AR1409" s="7"/>
      <c r="AS1409" s="7"/>
      <c r="AT1409" s="7"/>
      <c r="AU1409" s="3"/>
      <c r="AV1409" s="3"/>
      <c r="AW1409" s="3"/>
      <c r="AX1409" s="3"/>
      <c r="AY1409" s="3"/>
    </row>
    <row r="1410" spans="1:51" ht="16.5" customHeight="1">
      <c r="A1410" s="3"/>
      <c r="B1410" s="3"/>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7"/>
      <c r="AK1410" s="7"/>
      <c r="AL1410" s="7"/>
      <c r="AM1410" s="7"/>
      <c r="AN1410" s="7"/>
      <c r="AO1410" s="7"/>
      <c r="AP1410" s="7"/>
      <c r="AQ1410" s="7"/>
      <c r="AR1410" s="7"/>
      <c r="AS1410" s="7"/>
      <c r="AT1410" s="7"/>
      <c r="AU1410" s="3"/>
      <c r="AV1410" s="3"/>
      <c r="AW1410" s="3"/>
      <c r="AX1410" s="3"/>
      <c r="AY1410" s="3"/>
    </row>
    <row r="1411" spans="1:51" ht="16.5" customHeight="1">
      <c r="A1411" s="3"/>
      <c r="B1411" s="3"/>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7"/>
      <c r="AK1411" s="7"/>
      <c r="AL1411" s="7"/>
      <c r="AM1411" s="7"/>
      <c r="AN1411" s="7"/>
      <c r="AO1411" s="7"/>
      <c r="AP1411" s="7"/>
      <c r="AQ1411" s="7"/>
      <c r="AR1411" s="7"/>
      <c r="AS1411" s="7"/>
      <c r="AT1411" s="7"/>
      <c r="AU1411" s="3"/>
      <c r="AV1411" s="3"/>
      <c r="AW1411" s="3"/>
      <c r="AX1411" s="3"/>
      <c r="AY1411" s="3"/>
    </row>
    <row r="1412" spans="1:51" ht="16.5" customHeight="1">
      <c r="A1412" s="3"/>
      <c r="B1412" s="3"/>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7"/>
      <c r="AK1412" s="7"/>
      <c r="AL1412" s="7"/>
      <c r="AM1412" s="7"/>
      <c r="AN1412" s="7"/>
      <c r="AO1412" s="7"/>
      <c r="AP1412" s="7"/>
      <c r="AQ1412" s="7"/>
      <c r="AR1412" s="7"/>
      <c r="AS1412" s="7"/>
      <c r="AT1412" s="7"/>
      <c r="AU1412" s="3"/>
      <c r="AV1412" s="3"/>
      <c r="AW1412" s="3"/>
      <c r="AX1412" s="3"/>
      <c r="AY1412" s="3"/>
    </row>
    <row r="1413" spans="1:51" ht="16.5" customHeight="1">
      <c r="A1413" s="3"/>
      <c r="B1413" s="3"/>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7"/>
      <c r="AK1413" s="7"/>
      <c r="AL1413" s="7"/>
      <c r="AM1413" s="7"/>
      <c r="AN1413" s="7"/>
      <c r="AO1413" s="7"/>
      <c r="AP1413" s="7"/>
      <c r="AQ1413" s="7"/>
      <c r="AR1413" s="7"/>
      <c r="AS1413" s="7"/>
      <c r="AT1413" s="7"/>
      <c r="AU1413" s="3"/>
      <c r="AV1413" s="3"/>
      <c r="AW1413" s="3"/>
      <c r="AX1413" s="3"/>
      <c r="AY1413" s="3"/>
    </row>
    <row r="1414" spans="1:51" ht="16.5" customHeight="1">
      <c r="A1414" s="3"/>
      <c r="B1414" s="3"/>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7"/>
      <c r="AK1414" s="7"/>
      <c r="AL1414" s="7"/>
      <c r="AM1414" s="7"/>
      <c r="AN1414" s="7"/>
      <c r="AO1414" s="7"/>
      <c r="AP1414" s="7"/>
      <c r="AQ1414" s="7"/>
      <c r="AR1414" s="7"/>
      <c r="AS1414" s="7"/>
      <c r="AT1414" s="7"/>
      <c r="AU1414" s="3"/>
      <c r="AV1414" s="3"/>
      <c r="AW1414" s="3"/>
      <c r="AX1414" s="3"/>
      <c r="AY1414" s="3"/>
    </row>
    <row r="1415" spans="1:51" ht="16.5" customHeight="1">
      <c r="A1415" s="3"/>
      <c r="B1415" s="3"/>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7"/>
      <c r="AK1415" s="7"/>
      <c r="AL1415" s="7"/>
      <c r="AM1415" s="7"/>
      <c r="AN1415" s="7"/>
      <c r="AO1415" s="7"/>
      <c r="AP1415" s="7"/>
      <c r="AQ1415" s="7"/>
      <c r="AR1415" s="7"/>
      <c r="AS1415" s="7"/>
      <c r="AT1415" s="7"/>
      <c r="AU1415" s="3"/>
      <c r="AV1415" s="3"/>
      <c r="AW1415" s="3"/>
      <c r="AX1415" s="3"/>
      <c r="AY1415" s="3"/>
    </row>
    <row r="1416" spans="1:51" ht="16.5" customHeight="1">
      <c r="A1416" s="3"/>
      <c r="B1416" s="3"/>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7"/>
      <c r="AK1416" s="7"/>
      <c r="AL1416" s="7"/>
      <c r="AM1416" s="7"/>
      <c r="AN1416" s="7"/>
      <c r="AO1416" s="7"/>
      <c r="AP1416" s="7"/>
      <c r="AQ1416" s="7"/>
      <c r="AR1416" s="7"/>
      <c r="AS1416" s="7"/>
      <c r="AT1416" s="7"/>
      <c r="AU1416" s="3"/>
      <c r="AV1416" s="3"/>
      <c r="AW1416" s="3"/>
      <c r="AX1416" s="3"/>
      <c r="AY1416" s="3"/>
    </row>
    <row r="1417" spans="1:51" ht="16.5" customHeight="1">
      <c r="A1417" s="3"/>
      <c r="B1417" s="3"/>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7"/>
      <c r="AK1417" s="7"/>
      <c r="AL1417" s="7"/>
      <c r="AM1417" s="7"/>
      <c r="AN1417" s="7"/>
      <c r="AO1417" s="7"/>
      <c r="AP1417" s="7"/>
      <c r="AQ1417" s="7"/>
      <c r="AR1417" s="7"/>
      <c r="AS1417" s="7"/>
      <c r="AT1417" s="7"/>
      <c r="AU1417" s="3"/>
      <c r="AV1417" s="3"/>
      <c r="AW1417" s="3"/>
      <c r="AX1417" s="3"/>
      <c r="AY1417" s="3"/>
    </row>
    <row r="1418" spans="1:51" ht="16.5" customHeight="1">
      <c r="A1418" s="3"/>
      <c r="B1418" s="3"/>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7"/>
      <c r="AK1418" s="7"/>
      <c r="AL1418" s="7"/>
      <c r="AM1418" s="7"/>
      <c r="AN1418" s="7"/>
      <c r="AO1418" s="7"/>
      <c r="AP1418" s="7"/>
      <c r="AQ1418" s="7"/>
      <c r="AR1418" s="7"/>
      <c r="AS1418" s="7"/>
      <c r="AT1418" s="7"/>
      <c r="AU1418" s="3"/>
      <c r="AV1418" s="3"/>
      <c r="AW1418" s="3"/>
      <c r="AX1418" s="3"/>
      <c r="AY1418" s="3"/>
    </row>
    <row r="1419" spans="1:51" ht="16.5" customHeight="1">
      <c r="A1419" s="3"/>
      <c r="B1419" s="3"/>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7"/>
      <c r="AK1419" s="7"/>
      <c r="AL1419" s="7"/>
      <c r="AM1419" s="7"/>
      <c r="AN1419" s="7"/>
      <c r="AO1419" s="7"/>
      <c r="AP1419" s="7"/>
      <c r="AQ1419" s="7"/>
      <c r="AR1419" s="7"/>
      <c r="AS1419" s="7"/>
      <c r="AT1419" s="7"/>
      <c r="AU1419" s="3"/>
      <c r="AV1419" s="3"/>
      <c r="AW1419" s="3"/>
      <c r="AX1419" s="3"/>
      <c r="AY1419" s="3"/>
    </row>
    <row r="1420" spans="1:51" ht="16.5" customHeight="1">
      <c r="A1420" s="3"/>
      <c r="B1420" s="3"/>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7"/>
      <c r="AK1420" s="7"/>
      <c r="AL1420" s="7"/>
      <c r="AM1420" s="7"/>
      <c r="AN1420" s="7"/>
      <c r="AO1420" s="7"/>
      <c r="AP1420" s="7"/>
      <c r="AQ1420" s="7"/>
      <c r="AR1420" s="7"/>
      <c r="AS1420" s="7"/>
      <c r="AT1420" s="7"/>
      <c r="AU1420" s="3"/>
      <c r="AV1420" s="3"/>
      <c r="AW1420" s="3"/>
      <c r="AX1420" s="3"/>
      <c r="AY1420" s="3"/>
    </row>
    <row r="1421" spans="1:51" ht="16.5" customHeight="1">
      <c r="A1421" s="3"/>
      <c r="B1421" s="3"/>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7"/>
      <c r="AK1421" s="7"/>
      <c r="AL1421" s="7"/>
      <c r="AM1421" s="7"/>
      <c r="AN1421" s="7"/>
      <c r="AO1421" s="7"/>
      <c r="AP1421" s="7"/>
      <c r="AQ1421" s="7"/>
      <c r="AR1421" s="7"/>
      <c r="AS1421" s="7"/>
      <c r="AT1421" s="7"/>
      <c r="AU1421" s="3"/>
      <c r="AV1421" s="3"/>
      <c r="AW1421" s="3"/>
      <c r="AX1421" s="3"/>
      <c r="AY1421" s="3"/>
    </row>
    <row r="1422" spans="1:51" ht="16.5" customHeight="1">
      <c r="A1422" s="3"/>
      <c r="B1422" s="3"/>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7"/>
      <c r="AK1422" s="7"/>
      <c r="AL1422" s="7"/>
      <c r="AM1422" s="7"/>
      <c r="AN1422" s="7"/>
      <c r="AO1422" s="7"/>
      <c r="AP1422" s="7"/>
      <c r="AQ1422" s="7"/>
      <c r="AR1422" s="7"/>
      <c r="AS1422" s="7"/>
      <c r="AT1422" s="7"/>
      <c r="AU1422" s="3"/>
      <c r="AV1422" s="3"/>
      <c r="AW1422" s="3"/>
      <c r="AX1422" s="3"/>
      <c r="AY1422" s="3"/>
    </row>
    <row r="1423" spans="1:51" ht="16.5" customHeight="1">
      <c r="A1423" s="3"/>
      <c r="B1423" s="3"/>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7"/>
      <c r="AK1423" s="7"/>
      <c r="AL1423" s="7"/>
      <c r="AM1423" s="7"/>
      <c r="AN1423" s="7"/>
      <c r="AO1423" s="7"/>
      <c r="AP1423" s="7"/>
      <c r="AQ1423" s="7"/>
      <c r="AR1423" s="7"/>
      <c r="AS1423" s="7"/>
      <c r="AT1423" s="7"/>
      <c r="AU1423" s="3"/>
      <c r="AV1423" s="3"/>
      <c r="AW1423" s="3"/>
      <c r="AX1423" s="3"/>
      <c r="AY1423" s="3"/>
    </row>
    <row r="1424" spans="1:51" ht="16.5" customHeight="1">
      <c r="A1424" s="3"/>
      <c r="B1424" s="3"/>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7"/>
      <c r="AK1424" s="7"/>
      <c r="AL1424" s="7"/>
      <c r="AM1424" s="7"/>
      <c r="AN1424" s="7"/>
      <c r="AO1424" s="7"/>
      <c r="AP1424" s="7"/>
      <c r="AQ1424" s="7"/>
      <c r="AR1424" s="7"/>
      <c r="AS1424" s="7"/>
      <c r="AT1424" s="7"/>
      <c r="AU1424" s="3"/>
      <c r="AV1424" s="3"/>
      <c r="AW1424" s="3"/>
      <c r="AX1424" s="3"/>
      <c r="AY1424" s="3"/>
    </row>
    <row r="1425" spans="1:51" ht="16.5" customHeight="1">
      <c r="A1425" s="3"/>
      <c r="B1425" s="3"/>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7"/>
      <c r="AK1425" s="7"/>
      <c r="AL1425" s="7"/>
      <c r="AM1425" s="7"/>
      <c r="AN1425" s="7"/>
      <c r="AO1425" s="7"/>
      <c r="AP1425" s="7"/>
      <c r="AQ1425" s="7"/>
      <c r="AR1425" s="7"/>
      <c r="AS1425" s="7"/>
      <c r="AT1425" s="7"/>
      <c r="AU1425" s="3"/>
      <c r="AV1425" s="3"/>
      <c r="AW1425" s="3"/>
      <c r="AX1425" s="3"/>
      <c r="AY1425" s="3"/>
    </row>
    <row r="1426" spans="1:51" ht="16.5" customHeight="1">
      <c r="A1426" s="3"/>
      <c r="B1426" s="3"/>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7"/>
      <c r="AK1426" s="7"/>
      <c r="AL1426" s="7"/>
      <c r="AM1426" s="7"/>
      <c r="AN1426" s="7"/>
      <c r="AO1426" s="7"/>
      <c r="AP1426" s="7"/>
      <c r="AQ1426" s="7"/>
      <c r="AR1426" s="7"/>
      <c r="AS1426" s="7"/>
      <c r="AT1426" s="7"/>
      <c r="AU1426" s="3"/>
      <c r="AV1426" s="3"/>
      <c r="AW1426" s="3"/>
      <c r="AX1426" s="3"/>
      <c r="AY1426" s="3"/>
    </row>
    <row r="1427" spans="1:51" ht="16.5" customHeight="1">
      <c r="A1427" s="3"/>
      <c r="B1427" s="3"/>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7"/>
      <c r="AK1427" s="7"/>
      <c r="AL1427" s="7"/>
      <c r="AM1427" s="7"/>
      <c r="AN1427" s="7"/>
      <c r="AO1427" s="7"/>
      <c r="AP1427" s="7"/>
      <c r="AQ1427" s="7"/>
      <c r="AR1427" s="7"/>
      <c r="AS1427" s="7"/>
      <c r="AT1427" s="7"/>
      <c r="AU1427" s="3"/>
      <c r="AV1427" s="3"/>
      <c r="AW1427" s="3"/>
      <c r="AX1427" s="3"/>
      <c r="AY1427" s="3"/>
    </row>
    <row r="1428" spans="1:51" ht="16.5" customHeight="1">
      <c r="A1428" s="3"/>
      <c r="B1428" s="3"/>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7"/>
      <c r="AK1428" s="7"/>
      <c r="AL1428" s="7"/>
      <c r="AM1428" s="7"/>
      <c r="AN1428" s="7"/>
      <c r="AO1428" s="7"/>
      <c r="AP1428" s="7"/>
      <c r="AQ1428" s="7"/>
      <c r="AR1428" s="7"/>
      <c r="AS1428" s="7"/>
      <c r="AT1428" s="7"/>
      <c r="AU1428" s="3"/>
      <c r="AV1428" s="3"/>
      <c r="AW1428" s="3"/>
      <c r="AX1428" s="3"/>
      <c r="AY1428" s="3"/>
    </row>
    <row r="1429" spans="1:51" ht="16.5" customHeight="1">
      <c r="A1429" s="3"/>
      <c r="B1429" s="3"/>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7"/>
      <c r="AK1429" s="7"/>
      <c r="AL1429" s="7"/>
      <c r="AM1429" s="7"/>
      <c r="AN1429" s="7"/>
      <c r="AO1429" s="7"/>
      <c r="AP1429" s="7"/>
      <c r="AQ1429" s="7"/>
      <c r="AR1429" s="7"/>
      <c r="AS1429" s="7"/>
      <c r="AT1429" s="7"/>
      <c r="AU1429" s="3"/>
      <c r="AV1429" s="3"/>
      <c r="AW1429" s="3"/>
      <c r="AX1429" s="3"/>
      <c r="AY1429" s="3"/>
    </row>
    <row r="1430" spans="1:51" ht="16.5" customHeight="1">
      <c r="A1430" s="3"/>
      <c r="B1430" s="3"/>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7"/>
      <c r="AK1430" s="7"/>
      <c r="AL1430" s="7"/>
      <c r="AM1430" s="7"/>
      <c r="AN1430" s="7"/>
      <c r="AO1430" s="7"/>
      <c r="AP1430" s="7"/>
      <c r="AQ1430" s="7"/>
      <c r="AR1430" s="7"/>
      <c r="AS1430" s="7"/>
      <c r="AT1430" s="7"/>
      <c r="AU1430" s="3"/>
      <c r="AV1430" s="3"/>
      <c r="AW1430" s="3"/>
      <c r="AX1430" s="3"/>
      <c r="AY1430" s="3"/>
    </row>
    <row r="1431" spans="1:51" ht="16.5" customHeight="1">
      <c r="A1431" s="3"/>
      <c r="B1431" s="3"/>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7"/>
      <c r="AK1431" s="7"/>
      <c r="AL1431" s="7"/>
      <c r="AM1431" s="7"/>
      <c r="AN1431" s="7"/>
      <c r="AO1431" s="7"/>
      <c r="AP1431" s="7"/>
      <c r="AQ1431" s="7"/>
      <c r="AR1431" s="7"/>
      <c r="AS1431" s="7"/>
      <c r="AT1431" s="7"/>
      <c r="AU1431" s="3"/>
      <c r="AV1431" s="3"/>
      <c r="AW1431" s="3"/>
      <c r="AX1431" s="3"/>
      <c r="AY1431" s="3"/>
    </row>
    <row r="1432" spans="1:51" ht="16.5" customHeight="1">
      <c r="A1432" s="3"/>
      <c r="B1432" s="3"/>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7"/>
      <c r="AK1432" s="7"/>
      <c r="AL1432" s="7"/>
      <c r="AM1432" s="7"/>
      <c r="AN1432" s="7"/>
      <c r="AO1432" s="7"/>
      <c r="AP1432" s="7"/>
      <c r="AQ1432" s="7"/>
      <c r="AR1432" s="7"/>
      <c r="AS1432" s="7"/>
      <c r="AT1432" s="7"/>
      <c r="AU1432" s="3"/>
      <c r="AV1432" s="3"/>
      <c r="AW1432" s="3"/>
      <c r="AX1432" s="3"/>
      <c r="AY1432" s="3"/>
    </row>
    <row r="1433" spans="1:51" ht="16.5" customHeight="1">
      <c r="A1433" s="3"/>
      <c r="B1433" s="3"/>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7"/>
      <c r="AK1433" s="7"/>
      <c r="AL1433" s="7"/>
      <c r="AM1433" s="7"/>
      <c r="AN1433" s="7"/>
      <c r="AO1433" s="7"/>
      <c r="AP1433" s="7"/>
      <c r="AQ1433" s="7"/>
      <c r="AR1433" s="7"/>
      <c r="AS1433" s="7"/>
      <c r="AT1433" s="7"/>
      <c r="AU1433" s="3"/>
      <c r="AV1433" s="3"/>
      <c r="AW1433" s="3"/>
      <c r="AX1433" s="3"/>
      <c r="AY1433" s="3"/>
    </row>
    <row r="1434" spans="1:51" ht="16.5" customHeight="1">
      <c r="A1434" s="3"/>
      <c r="B1434" s="3"/>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7"/>
      <c r="AK1434" s="7"/>
      <c r="AL1434" s="7"/>
      <c r="AM1434" s="7"/>
      <c r="AN1434" s="7"/>
      <c r="AO1434" s="7"/>
      <c r="AP1434" s="7"/>
      <c r="AQ1434" s="7"/>
      <c r="AR1434" s="7"/>
      <c r="AS1434" s="7"/>
      <c r="AT1434" s="7"/>
      <c r="AU1434" s="3"/>
      <c r="AV1434" s="3"/>
      <c r="AW1434" s="3"/>
      <c r="AX1434" s="3"/>
      <c r="AY1434" s="3"/>
    </row>
    <row r="1435" spans="1:51" ht="16.5" customHeight="1">
      <c r="A1435" s="3"/>
      <c r="B1435" s="3"/>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7"/>
      <c r="AK1435" s="7"/>
      <c r="AL1435" s="7"/>
      <c r="AM1435" s="7"/>
      <c r="AN1435" s="7"/>
      <c r="AO1435" s="7"/>
      <c r="AP1435" s="7"/>
      <c r="AQ1435" s="7"/>
      <c r="AR1435" s="7"/>
      <c r="AS1435" s="7"/>
      <c r="AT1435" s="7"/>
      <c r="AU1435" s="3"/>
      <c r="AV1435" s="3"/>
      <c r="AW1435" s="3"/>
      <c r="AX1435" s="3"/>
      <c r="AY1435" s="3"/>
    </row>
    <row r="1436" spans="1:51" ht="16.5" customHeight="1">
      <c r="A1436" s="3"/>
      <c r="B1436" s="3"/>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7"/>
      <c r="AK1436" s="7"/>
      <c r="AL1436" s="7"/>
      <c r="AM1436" s="7"/>
      <c r="AN1436" s="7"/>
      <c r="AO1436" s="7"/>
      <c r="AP1436" s="7"/>
      <c r="AQ1436" s="7"/>
      <c r="AR1436" s="7"/>
      <c r="AS1436" s="7"/>
      <c r="AT1436" s="7"/>
      <c r="AU1436" s="3"/>
      <c r="AV1436" s="3"/>
      <c r="AW1436" s="3"/>
      <c r="AX1436" s="3"/>
      <c r="AY1436" s="3"/>
    </row>
    <row r="1437" spans="1:51" ht="16.5" customHeight="1">
      <c r="A1437" s="3"/>
      <c r="B1437" s="3"/>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7"/>
      <c r="AK1437" s="7"/>
      <c r="AL1437" s="7"/>
      <c r="AM1437" s="7"/>
      <c r="AN1437" s="7"/>
      <c r="AO1437" s="7"/>
      <c r="AP1437" s="7"/>
      <c r="AQ1437" s="7"/>
      <c r="AR1437" s="7"/>
      <c r="AS1437" s="7"/>
      <c r="AT1437" s="7"/>
      <c r="AU1437" s="3"/>
      <c r="AV1437" s="3"/>
      <c r="AW1437" s="3"/>
      <c r="AX1437" s="3"/>
      <c r="AY1437" s="3"/>
    </row>
    <row r="1438" spans="1:51" ht="16.5" customHeight="1">
      <c r="A1438" s="3"/>
      <c r="B1438" s="3"/>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7"/>
      <c r="AK1438" s="7"/>
      <c r="AL1438" s="7"/>
      <c r="AM1438" s="7"/>
      <c r="AN1438" s="7"/>
      <c r="AO1438" s="7"/>
      <c r="AP1438" s="7"/>
      <c r="AQ1438" s="7"/>
      <c r="AR1438" s="7"/>
      <c r="AS1438" s="7"/>
      <c r="AT1438" s="7"/>
      <c r="AU1438" s="3"/>
      <c r="AV1438" s="3"/>
      <c r="AW1438" s="3"/>
      <c r="AX1438" s="3"/>
      <c r="AY1438" s="3"/>
    </row>
    <row r="1439" spans="1:51" ht="16.5" customHeight="1">
      <c r="A1439" s="3"/>
      <c r="B1439" s="3"/>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7"/>
      <c r="AK1439" s="7"/>
      <c r="AL1439" s="7"/>
      <c r="AM1439" s="7"/>
      <c r="AN1439" s="7"/>
      <c r="AO1439" s="7"/>
      <c r="AP1439" s="7"/>
      <c r="AQ1439" s="7"/>
      <c r="AR1439" s="7"/>
      <c r="AS1439" s="7"/>
      <c r="AT1439" s="7"/>
      <c r="AU1439" s="3"/>
      <c r="AV1439" s="3"/>
      <c r="AW1439" s="3"/>
      <c r="AX1439" s="3"/>
      <c r="AY1439" s="3"/>
    </row>
    <row r="1440" spans="1:51" ht="16.5" customHeight="1">
      <c r="A1440" s="3"/>
      <c r="B1440" s="3"/>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7"/>
      <c r="AK1440" s="7"/>
      <c r="AL1440" s="7"/>
      <c r="AM1440" s="7"/>
      <c r="AN1440" s="7"/>
      <c r="AO1440" s="7"/>
      <c r="AP1440" s="7"/>
      <c r="AQ1440" s="7"/>
      <c r="AR1440" s="7"/>
      <c r="AS1440" s="7"/>
      <c r="AT1440" s="7"/>
      <c r="AU1440" s="3"/>
      <c r="AV1440" s="3"/>
      <c r="AW1440" s="3"/>
      <c r="AX1440" s="3"/>
      <c r="AY1440" s="3"/>
    </row>
    <row r="1441" spans="1:51" ht="16.5" customHeight="1">
      <c r="A1441" s="3"/>
      <c r="B1441" s="3"/>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7"/>
      <c r="AK1441" s="7"/>
      <c r="AL1441" s="7"/>
      <c r="AM1441" s="7"/>
      <c r="AN1441" s="7"/>
      <c r="AO1441" s="7"/>
      <c r="AP1441" s="7"/>
      <c r="AQ1441" s="7"/>
      <c r="AR1441" s="7"/>
      <c r="AS1441" s="7"/>
      <c r="AT1441" s="7"/>
      <c r="AU1441" s="3"/>
      <c r="AV1441" s="3"/>
      <c r="AW1441" s="3"/>
      <c r="AX1441" s="3"/>
      <c r="AY1441" s="3"/>
    </row>
    <row r="1442" spans="1:51" ht="16.5" customHeight="1">
      <c r="A1442" s="3"/>
      <c r="B1442" s="3"/>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7"/>
      <c r="AK1442" s="7"/>
      <c r="AL1442" s="7"/>
      <c r="AM1442" s="7"/>
      <c r="AN1442" s="7"/>
      <c r="AO1442" s="7"/>
      <c r="AP1442" s="7"/>
      <c r="AQ1442" s="7"/>
      <c r="AR1442" s="7"/>
      <c r="AS1442" s="7"/>
      <c r="AT1442" s="7"/>
      <c r="AU1442" s="3"/>
      <c r="AV1442" s="3"/>
      <c r="AW1442" s="3"/>
      <c r="AX1442" s="3"/>
      <c r="AY1442" s="3"/>
    </row>
    <row r="1443" spans="1:51" ht="16.5" customHeight="1">
      <c r="A1443" s="3"/>
      <c r="B1443" s="3"/>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7"/>
      <c r="AK1443" s="7"/>
      <c r="AL1443" s="7"/>
      <c r="AM1443" s="7"/>
      <c r="AN1443" s="7"/>
      <c r="AO1443" s="7"/>
      <c r="AP1443" s="7"/>
      <c r="AQ1443" s="7"/>
      <c r="AR1443" s="7"/>
      <c r="AS1443" s="7"/>
      <c r="AT1443" s="7"/>
      <c r="AU1443" s="3"/>
      <c r="AV1443" s="3"/>
      <c r="AW1443" s="3"/>
      <c r="AX1443" s="3"/>
      <c r="AY1443" s="3"/>
    </row>
    <row r="1444" spans="1:51" ht="16.5" customHeight="1">
      <c r="A1444" s="3"/>
      <c r="B1444" s="3"/>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7"/>
      <c r="AK1444" s="7"/>
      <c r="AL1444" s="7"/>
      <c r="AM1444" s="7"/>
      <c r="AN1444" s="7"/>
      <c r="AO1444" s="7"/>
      <c r="AP1444" s="7"/>
      <c r="AQ1444" s="7"/>
      <c r="AR1444" s="7"/>
      <c r="AS1444" s="7"/>
      <c r="AT1444" s="7"/>
      <c r="AU1444" s="3"/>
      <c r="AV1444" s="3"/>
      <c r="AW1444" s="3"/>
      <c r="AX1444" s="3"/>
      <c r="AY1444" s="3"/>
    </row>
    <row r="1445" spans="1:51" ht="16.5" customHeight="1">
      <c r="A1445" s="3"/>
      <c r="B1445" s="3"/>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7"/>
      <c r="AK1445" s="7"/>
      <c r="AL1445" s="7"/>
      <c r="AM1445" s="7"/>
      <c r="AN1445" s="7"/>
      <c r="AO1445" s="7"/>
      <c r="AP1445" s="7"/>
      <c r="AQ1445" s="7"/>
      <c r="AR1445" s="7"/>
      <c r="AS1445" s="7"/>
      <c r="AT1445" s="7"/>
      <c r="AU1445" s="3"/>
      <c r="AV1445" s="3"/>
      <c r="AW1445" s="3"/>
      <c r="AX1445" s="3"/>
      <c r="AY1445" s="3"/>
    </row>
    <row r="1446" spans="1:51" ht="16.5" customHeight="1">
      <c r="A1446" s="3"/>
      <c r="B1446" s="3"/>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7"/>
      <c r="AK1446" s="7"/>
      <c r="AL1446" s="7"/>
      <c r="AM1446" s="7"/>
      <c r="AN1446" s="7"/>
      <c r="AO1446" s="7"/>
      <c r="AP1446" s="7"/>
      <c r="AQ1446" s="7"/>
      <c r="AR1446" s="7"/>
      <c r="AS1446" s="7"/>
      <c r="AT1446" s="7"/>
      <c r="AU1446" s="3"/>
      <c r="AV1446" s="3"/>
      <c r="AW1446" s="3"/>
      <c r="AX1446" s="3"/>
      <c r="AY1446" s="3"/>
    </row>
    <row r="1447" spans="1:51" ht="16.5" customHeight="1">
      <c r="A1447" s="3"/>
      <c r="B1447" s="3"/>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7"/>
      <c r="AK1447" s="7"/>
      <c r="AL1447" s="7"/>
      <c r="AM1447" s="7"/>
      <c r="AN1447" s="7"/>
      <c r="AO1447" s="7"/>
      <c r="AP1447" s="7"/>
      <c r="AQ1447" s="7"/>
      <c r="AR1447" s="7"/>
      <c r="AS1447" s="7"/>
      <c r="AT1447" s="7"/>
      <c r="AU1447" s="3"/>
      <c r="AV1447" s="3"/>
      <c r="AW1447" s="3"/>
      <c r="AX1447" s="3"/>
      <c r="AY1447" s="3"/>
    </row>
    <row r="1448" spans="1:51" ht="16.5" customHeight="1">
      <c r="A1448" s="3"/>
      <c r="B1448" s="3"/>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7"/>
      <c r="AK1448" s="7"/>
      <c r="AL1448" s="7"/>
      <c r="AM1448" s="7"/>
      <c r="AN1448" s="7"/>
      <c r="AO1448" s="7"/>
      <c r="AP1448" s="7"/>
      <c r="AQ1448" s="7"/>
      <c r="AR1448" s="7"/>
      <c r="AS1448" s="7"/>
      <c r="AT1448" s="7"/>
      <c r="AU1448" s="3"/>
      <c r="AV1448" s="3"/>
      <c r="AW1448" s="3"/>
      <c r="AX1448" s="3"/>
      <c r="AY1448" s="3"/>
    </row>
    <row r="1449" spans="1:51" ht="16.5" customHeight="1">
      <c r="A1449" s="3"/>
      <c r="B1449" s="3"/>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7"/>
      <c r="AK1449" s="7"/>
      <c r="AL1449" s="7"/>
      <c r="AM1449" s="7"/>
      <c r="AN1449" s="7"/>
      <c r="AO1449" s="7"/>
      <c r="AP1449" s="7"/>
      <c r="AQ1449" s="7"/>
      <c r="AR1449" s="7"/>
      <c r="AS1449" s="7"/>
      <c r="AT1449" s="7"/>
      <c r="AU1449" s="3"/>
      <c r="AV1449" s="3"/>
      <c r="AW1449" s="3"/>
      <c r="AX1449" s="3"/>
      <c r="AY1449" s="3"/>
    </row>
    <row r="1450" spans="1:51" ht="16.5" customHeight="1">
      <c r="A1450" s="3"/>
      <c r="B1450" s="3"/>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7"/>
      <c r="AK1450" s="7"/>
      <c r="AL1450" s="7"/>
      <c r="AM1450" s="7"/>
      <c r="AN1450" s="7"/>
      <c r="AO1450" s="7"/>
      <c r="AP1450" s="7"/>
      <c r="AQ1450" s="7"/>
      <c r="AR1450" s="7"/>
      <c r="AS1450" s="7"/>
      <c r="AT1450" s="7"/>
      <c r="AU1450" s="3"/>
      <c r="AV1450" s="3"/>
      <c r="AW1450" s="3"/>
      <c r="AX1450" s="3"/>
      <c r="AY1450" s="3"/>
    </row>
    <row r="1451" spans="1:51" ht="16.5" customHeight="1">
      <c r="A1451" s="3"/>
      <c r="B1451" s="3"/>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7"/>
      <c r="AK1451" s="7"/>
      <c r="AL1451" s="7"/>
      <c r="AM1451" s="7"/>
      <c r="AN1451" s="7"/>
      <c r="AO1451" s="7"/>
      <c r="AP1451" s="7"/>
      <c r="AQ1451" s="7"/>
      <c r="AR1451" s="7"/>
      <c r="AS1451" s="7"/>
      <c r="AT1451" s="7"/>
      <c r="AU1451" s="3"/>
      <c r="AV1451" s="3"/>
      <c r="AW1451" s="3"/>
      <c r="AX1451" s="3"/>
      <c r="AY1451" s="3"/>
    </row>
    <row r="1452" spans="1:51" ht="16.5" customHeight="1">
      <c r="A1452" s="3"/>
      <c r="B1452" s="3"/>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7"/>
      <c r="AK1452" s="7"/>
      <c r="AL1452" s="7"/>
      <c r="AM1452" s="7"/>
      <c r="AN1452" s="7"/>
      <c r="AO1452" s="7"/>
      <c r="AP1452" s="7"/>
      <c r="AQ1452" s="7"/>
      <c r="AR1452" s="7"/>
      <c r="AS1452" s="7"/>
      <c r="AT1452" s="7"/>
      <c r="AU1452" s="3"/>
      <c r="AV1452" s="3"/>
      <c r="AW1452" s="3"/>
      <c r="AX1452" s="3"/>
      <c r="AY1452" s="3"/>
    </row>
    <row r="1453" spans="1:51" ht="16.5" customHeight="1">
      <c r="A1453" s="3"/>
      <c r="B1453" s="3"/>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7"/>
      <c r="AK1453" s="7"/>
      <c r="AL1453" s="7"/>
      <c r="AM1453" s="7"/>
      <c r="AN1453" s="7"/>
      <c r="AO1453" s="7"/>
      <c r="AP1453" s="7"/>
      <c r="AQ1453" s="7"/>
      <c r="AR1453" s="7"/>
      <c r="AS1453" s="7"/>
      <c r="AT1453" s="7"/>
      <c r="AU1453" s="3"/>
      <c r="AV1453" s="3"/>
      <c r="AW1453" s="3"/>
      <c r="AX1453" s="3"/>
      <c r="AY1453" s="3"/>
    </row>
    <row r="1454" spans="1:51" ht="16.5" customHeight="1">
      <c r="A1454" s="3"/>
      <c r="B1454" s="3"/>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7"/>
      <c r="AK1454" s="7"/>
      <c r="AL1454" s="7"/>
      <c r="AM1454" s="7"/>
      <c r="AN1454" s="7"/>
      <c r="AO1454" s="7"/>
      <c r="AP1454" s="7"/>
      <c r="AQ1454" s="7"/>
      <c r="AR1454" s="7"/>
      <c r="AS1454" s="7"/>
      <c r="AT1454" s="7"/>
      <c r="AU1454" s="3"/>
      <c r="AV1454" s="3"/>
      <c r="AW1454" s="3"/>
      <c r="AX1454" s="3"/>
      <c r="AY1454" s="3"/>
    </row>
    <row r="1455" spans="1:51" ht="16.5" customHeight="1">
      <c r="A1455" s="3"/>
      <c r="B1455" s="3"/>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7"/>
      <c r="AK1455" s="7"/>
      <c r="AL1455" s="7"/>
      <c r="AM1455" s="7"/>
      <c r="AN1455" s="7"/>
      <c r="AO1455" s="7"/>
      <c r="AP1455" s="7"/>
      <c r="AQ1455" s="7"/>
      <c r="AR1455" s="7"/>
      <c r="AS1455" s="7"/>
      <c r="AT1455" s="7"/>
      <c r="AU1455" s="3"/>
      <c r="AV1455" s="3"/>
      <c r="AW1455" s="3"/>
      <c r="AX1455" s="3"/>
      <c r="AY1455" s="3"/>
    </row>
    <row r="1456" spans="1:51" ht="16.5" customHeight="1">
      <c r="A1456" s="3"/>
      <c r="B1456" s="3"/>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7"/>
      <c r="AK1456" s="7"/>
      <c r="AL1456" s="7"/>
      <c r="AM1456" s="7"/>
      <c r="AN1456" s="7"/>
      <c r="AO1456" s="7"/>
      <c r="AP1456" s="7"/>
      <c r="AQ1456" s="7"/>
      <c r="AR1456" s="7"/>
      <c r="AS1456" s="7"/>
      <c r="AT1456" s="7"/>
      <c r="AU1456" s="3"/>
      <c r="AV1456" s="3"/>
      <c r="AW1456" s="3"/>
      <c r="AX1456" s="3"/>
      <c r="AY1456" s="3"/>
    </row>
    <row r="1457" spans="1:51" ht="16.5" customHeight="1">
      <c r="A1457" s="3"/>
      <c r="B1457" s="3"/>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7"/>
      <c r="AK1457" s="7"/>
      <c r="AL1457" s="7"/>
      <c r="AM1457" s="7"/>
      <c r="AN1457" s="7"/>
      <c r="AO1457" s="7"/>
      <c r="AP1457" s="7"/>
      <c r="AQ1457" s="7"/>
      <c r="AR1457" s="7"/>
      <c r="AS1457" s="7"/>
      <c r="AT1457" s="7"/>
      <c r="AU1457" s="3"/>
      <c r="AV1457" s="3"/>
      <c r="AW1457" s="3"/>
      <c r="AX1457" s="3"/>
      <c r="AY1457" s="3"/>
    </row>
    <row r="1458" spans="1:51" ht="16.5" customHeight="1">
      <c r="A1458" s="3"/>
      <c r="B1458" s="3"/>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7"/>
      <c r="AK1458" s="7"/>
      <c r="AL1458" s="7"/>
      <c r="AM1458" s="7"/>
      <c r="AN1458" s="7"/>
      <c r="AO1458" s="7"/>
      <c r="AP1458" s="7"/>
      <c r="AQ1458" s="7"/>
      <c r="AR1458" s="7"/>
      <c r="AS1458" s="7"/>
      <c r="AT1458" s="7"/>
      <c r="AU1458" s="3"/>
      <c r="AV1458" s="3"/>
      <c r="AW1458" s="3"/>
      <c r="AX1458" s="3"/>
      <c r="AY1458" s="3"/>
    </row>
    <row r="1459" spans="1:51" ht="16.5" customHeight="1">
      <c r="A1459" s="3"/>
      <c r="B1459" s="3"/>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7"/>
      <c r="AK1459" s="7"/>
      <c r="AL1459" s="7"/>
      <c r="AM1459" s="7"/>
      <c r="AN1459" s="7"/>
      <c r="AO1459" s="7"/>
      <c r="AP1459" s="7"/>
      <c r="AQ1459" s="7"/>
      <c r="AR1459" s="7"/>
      <c r="AS1459" s="7"/>
      <c r="AT1459" s="7"/>
      <c r="AU1459" s="3"/>
      <c r="AV1459" s="3"/>
      <c r="AW1459" s="3"/>
      <c r="AX1459" s="3"/>
      <c r="AY1459" s="3"/>
    </row>
    <row r="1460" spans="1:51" ht="16.5" customHeight="1">
      <c r="A1460" s="3"/>
      <c r="B1460" s="3"/>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7"/>
      <c r="AK1460" s="7"/>
      <c r="AL1460" s="7"/>
      <c r="AM1460" s="7"/>
      <c r="AN1460" s="7"/>
      <c r="AO1460" s="7"/>
      <c r="AP1460" s="7"/>
      <c r="AQ1460" s="7"/>
      <c r="AR1460" s="7"/>
      <c r="AS1460" s="7"/>
      <c r="AT1460" s="7"/>
      <c r="AU1460" s="3"/>
      <c r="AV1460" s="3"/>
      <c r="AW1460" s="3"/>
      <c r="AX1460" s="3"/>
      <c r="AY1460" s="3"/>
    </row>
    <row r="1461" spans="1:51" ht="16.5" customHeight="1">
      <c r="A1461" s="3"/>
      <c r="B1461" s="3"/>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7"/>
      <c r="AK1461" s="7"/>
      <c r="AL1461" s="7"/>
      <c r="AM1461" s="7"/>
      <c r="AN1461" s="7"/>
      <c r="AO1461" s="7"/>
      <c r="AP1461" s="7"/>
      <c r="AQ1461" s="7"/>
      <c r="AR1461" s="7"/>
      <c r="AS1461" s="7"/>
      <c r="AT1461" s="7"/>
      <c r="AU1461" s="3"/>
      <c r="AV1461" s="3"/>
      <c r="AW1461" s="3"/>
      <c r="AX1461" s="3"/>
      <c r="AY1461" s="3"/>
    </row>
    <row r="1462" spans="1:51" ht="16.5" customHeight="1">
      <c r="A1462" s="3"/>
      <c r="B1462" s="3"/>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7"/>
      <c r="AK1462" s="7"/>
      <c r="AL1462" s="7"/>
      <c r="AM1462" s="7"/>
      <c r="AN1462" s="7"/>
      <c r="AO1462" s="7"/>
      <c r="AP1462" s="7"/>
      <c r="AQ1462" s="7"/>
      <c r="AR1462" s="7"/>
      <c r="AS1462" s="7"/>
      <c r="AT1462" s="7"/>
      <c r="AU1462" s="3"/>
      <c r="AV1462" s="3"/>
      <c r="AW1462" s="3"/>
      <c r="AX1462" s="3"/>
      <c r="AY1462" s="3"/>
    </row>
    <row r="1463" spans="1:51" ht="16.5" customHeight="1">
      <c r="A1463" s="3"/>
      <c r="B1463" s="3"/>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7"/>
      <c r="AK1463" s="7"/>
      <c r="AL1463" s="7"/>
      <c r="AM1463" s="7"/>
      <c r="AN1463" s="7"/>
      <c r="AO1463" s="7"/>
      <c r="AP1463" s="7"/>
      <c r="AQ1463" s="7"/>
      <c r="AR1463" s="7"/>
      <c r="AS1463" s="7"/>
      <c r="AT1463" s="7"/>
      <c r="AU1463" s="3"/>
      <c r="AV1463" s="3"/>
      <c r="AW1463" s="3"/>
      <c r="AX1463" s="3"/>
      <c r="AY1463" s="3"/>
    </row>
    <row r="1464" spans="1:51" ht="16.5" customHeight="1">
      <c r="A1464" s="3"/>
      <c r="B1464" s="3"/>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7"/>
      <c r="AK1464" s="7"/>
      <c r="AL1464" s="7"/>
      <c r="AM1464" s="7"/>
      <c r="AN1464" s="7"/>
      <c r="AO1464" s="7"/>
      <c r="AP1464" s="7"/>
      <c r="AQ1464" s="7"/>
      <c r="AR1464" s="7"/>
      <c r="AS1464" s="7"/>
      <c r="AT1464" s="7"/>
      <c r="AU1464" s="3"/>
      <c r="AV1464" s="3"/>
      <c r="AW1464" s="3"/>
      <c r="AX1464" s="3"/>
      <c r="AY1464" s="3"/>
    </row>
    <row r="1465" spans="1:51" ht="16.5" customHeight="1">
      <c r="A1465" s="3"/>
      <c r="B1465" s="3"/>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7"/>
      <c r="AK1465" s="7"/>
      <c r="AL1465" s="7"/>
      <c r="AM1465" s="7"/>
      <c r="AN1465" s="7"/>
      <c r="AO1465" s="7"/>
      <c r="AP1465" s="7"/>
      <c r="AQ1465" s="7"/>
      <c r="AR1465" s="7"/>
      <c r="AS1465" s="7"/>
      <c r="AT1465" s="7"/>
      <c r="AU1465" s="3"/>
      <c r="AV1465" s="3"/>
      <c r="AW1465" s="3"/>
      <c r="AX1465" s="3"/>
      <c r="AY1465" s="3"/>
    </row>
    <row r="1466" spans="1:51" ht="16.5" customHeight="1">
      <c r="A1466" s="3"/>
      <c r="B1466" s="3"/>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7"/>
      <c r="AK1466" s="7"/>
      <c r="AL1466" s="7"/>
      <c r="AM1466" s="7"/>
      <c r="AN1466" s="7"/>
      <c r="AO1466" s="7"/>
      <c r="AP1466" s="7"/>
      <c r="AQ1466" s="7"/>
      <c r="AR1466" s="7"/>
      <c r="AS1466" s="7"/>
      <c r="AT1466" s="7"/>
      <c r="AU1466" s="3"/>
      <c r="AV1466" s="3"/>
      <c r="AW1466" s="3"/>
      <c r="AX1466" s="3"/>
      <c r="AY1466" s="3"/>
    </row>
    <row r="1467" spans="1:51" ht="16.5" customHeight="1">
      <c r="A1467" s="3"/>
      <c r="B1467" s="3"/>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7"/>
      <c r="AK1467" s="7"/>
      <c r="AL1467" s="7"/>
      <c r="AM1467" s="7"/>
      <c r="AN1467" s="7"/>
      <c r="AO1467" s="7"/>
      <c r="AP1467" s="7"/>
      <c r="AQ1467" s="7"/>
      <c r="AR1467" s="7"/>
      <c r="AS1467" s="7"/>
      <c r="AT1467" s="7"/>
      <c r="AU1467" s="3"/>
      <c r="AV1467" s="3"/>
      <c r="AW1467" s="3"/>
      <c r="AX1467" s="3"/>
      <c r="AY1467" s="3"/>
    </row>
    <row r="1468" spans="1:51" ht="16.5" customHeight="1">
      <c r="A1468" s="3"/>
      <c r="B1468" s="3"/>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7"/>
      <c r="AK1468" s="7"/>
      <c r="AL1468" s="7"/>
      <c r="AM1468" s="7"/>
      <c r="AN1468" s="7"/>
      <c r="AO1468" s="7"/>
      <c r="AP1468" s="7"/>
      <c r="AQ1468" s="7"/>
      <c r="AR1468" s="7"/>
      <c r="AS1468" s="7"/>
      <c r="AT1468" s="7"/>
      <c r="AU1468" s="3"/>
      <c r="AV1468" s="3"/>
      <c r="AW1468" s="3"/>
      <c r="AX1468" s="3"/>
      <c r="AY1468" s="3"/>
    </row>
    <row r="1469" spans="1:51" ht="16.5" customHeight="1">
      <c r="A1469" s="3"/>
      <c r="B1469" s="3"/>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7"/>
      <c r="AK1469" s="7"/>
      <c r="AL1469" s="7"/>
      <c r="AM1469" s="7"/>
      <c r="AN1469" s="7"/>
      <c r="AO1469" s="7"/>
      <c r="AP1469" s="7"/>
      <c r="AQ1469" s="7"/>
      <c r="AR1469" s="7"/>
      <c r="AS1469" s="7"/>
      <c r="AT1469" s="7"/>
      <c r="AU1469" s="3"/>
      <c r="AV1469" s="3"/>
      <c r="AW1469" s="3"/>
      <c r="AX1469" s="3"/>
      <c r="AY1469" s="3"/>
    </row>
    <row r="1470" spans="1:51" ht="16.5" customHeight="1">
      <c r="A1470" s="3"/>
      <c r="B1470" s="3"/>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7"/>
      <c r="AK1470" s="7"/>
      <c r="AL1470" s="7"/>
      <c r="AM1470" s="7"/>
      <c r="AN1470" s="7"/>
      <c r="AO1470" s="7"/>
      <c r="AP1470" s="7"/>
      <c r="AQ1470" s="7"/>
      <c r="AR1470" s="7"/>
      <c r="AS1470" s="7"/>
      <c r="AT1470" s="7"/>
      <c r="AU1470" s="3"/>
      <c r="AV1470" s="3"/>
      <c r="AW1470" s="3"/>
      <c r="AX1470" s="3"/>
      <c r="AY1470" s="3"/>
    </row>
    <row r="1471" spans="1:51" ht="16.5" customHeight="1">
      <c r="A1471" s="3"/>
      <c r="B1471" s="3"/>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7"/>
      <c r="AK1471" s="7"/>
      <c r="AL1471" s="7"/>
      <c r="AM1471" s="7"/>
      <c r="AN1471" s="7"/>
      <c r="AO1471" s="7"/>
      <c r="AP1471" s="7"/>
      <c r="AQ1471" s="7"/>
      <c r="AR1471" s="7"/>
      <c r="AS1471" s="7"/>
      <c r="AT1471" s="7"/>
      <c r="AU1471" s="3"/>
      <c r="AV1471" s="3"/>
      <c r="AW1471" s="3"/>
      <c r="AX1471" s="3"/>
      <c r="AY1471" s="3"/>
    </row>
    <row r="1472" spans="1:51" ht="16.5" customHeight="1">
      <c r="A1472" s="3"/>
      <c r="B1472" s="3"/>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7"/>
      <c r="AK1472" s="7"/>
      <c r="AL1472" s="7"/>
      <c r="AM1472" s="7"/>
      <c r="AN1472" s="7"/>
      <c r="AO1472" s="7"/>
      <c r="AP1472" s="7"/>
      <c r="AQ1472" s="7"/>
      <c r="AR1472" s="7"/>
      <c r="AS1472" s="7"/>
      <c r="AT1472" s="7"/>
      <c r="AU1472" s="3"/>
      <c r="AV1472" s="3"/>
      <c r="AW1472" s="3"/>
      <c r="AX1472" s="3"/>
      <c r="AY1472" s="3"/>
    </row>
    <row r="1473" spans="1:51" ht="16.5" customHeight="1">
      <c r="A1473" s="3"/>
      <c r="B1473" s="3"/>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7"/>
      <c r="AK1473" s="7"/>
      <c r="AL1473" s="7"/>
      <c r="AM1473" s="7"/>
      <c r="AN1473" s="7"/>
      <c r="AO1473" s="7"/>
      <c r="AP1473" s="7"/>
      <c r="AQ1473" s="7"/>
      <c r="AR1473" s="7"/>
      <c r="AS1473" s="7"/>
      <c r="AT1473" s="7"/>
      <c r="AU1473" s="3"/>
      <c r="AV1473" s="3"/>
      <c r="AW1473" s="3"/>
      <c r="AX1473" s="3"/>
      <c r="AY1473" s="3"/>
    </row>
    <row r="1474" spans="1:51" ht="16.5" customHeight="1">
      <c r="A1474" s="3"/>
      <c r="B1474" s="3"/>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7"/>
      <c r="AK1474" s="7"/>
      <c r="AL1474" s="7"/>
      <c r="AM1474" s="7"/>
      <c r="AN1474" s="7"/>
      <c r="AO1474" s="7"/>
      <c r="AP1474" s="7"/>
      <c r="AQ1474" s="7"/>
      <c r="AR1474" s="7"/>
      <c r="AS1474" s="7"/>
      <c r="AT1474" s="7"/>
      <c r="AU1474" s="3"/>
      <c r="AV1474" s="3"/>
      <c r="AW1474" s="3"/>
      <c r="AX1474" s="3"/>
      <c r="AY1474" s="3"/>
    </row>
    <row r="1475" spans="1:51" ht="16.5" customHeight="1">
      <c r="A1475" s="3"/>
      <c r="B1475" s="3"/>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7"/>
      <c r="AK1475" s="7"/>
      <c r="AL1475" s="7"/>
      <c r="AM1475" s="7"/>
      <c r="AN1475" s="7"/>
      <c r="AO1475" s="7"/>
      <c r="AP1475" s="7"/>
      <c r="AQ1475" s="7"/>
      <c r="AR1475" s="7"/>
      <c r="AS1475" s="7"/>
      <c r="AT1475" s="7"/>
      <c r="AU1475" s="3"/>
      <c r="AV1475" s="3"/>
      <c r="AW1475" s="3"/>
      <c r="AX1475" s="3"/>
      <c r="AY1475" s="3"/>
    </row>
    <row r="1476" spans="1:51" ht="16.5" customHeight="1">
      <c r="A1476" s="3"/>
      <c r="B1476" s="3"/>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7"/>
      <c r="AK1476" s="7"/>
      <c r="AL1476" s="7"/>
      <c r="AM1476" s="7"/>
      <c r="AN1476" s="7"/>
      <c r="AO1476" s="7"/>
      <c r="AP1476" s="7"/>
      <c r="AQ1476" s="7"/>
      <c r="AR1476" s="7"/>
      <c r="AS1476" s="7"/>
      <c r="AT1476" s="7"/>
      <c r="AU1476" s="3"/>
      <c r="AV1476" s="3"/>
      <c r="AW1476" s="3"/>
      <c r="AX1476" s="3"/>
      <c r="AY1476" s="3"/>
    </row>
    <row r="1477" spans="1:51" ht="16.5" customHeight="1">
      <c r="A1477" s="3"/>
      <c r="B1477" s="3"/>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7"/>
      <c r="AK1477" s="7"/>
      <c r="AL1477" s="7"/>
      <c r="AM1477" s="7"/>
      <c r="AN1477" s="7"/>
      <c r="AO1477" s="7"/>
      <c r="AP1477" s="7"/>
      <c r="AQ1477" s="7"/>
      <c r="AR1477" s="7"/>
      <c r="AS1477" s="7"/>
      <c r="AT1477" s="7"/>
      <c r="AU1477" s="3"/>
      <c r="AV1477" s="3"/>
      <c r="AW1477" s="3"/>
      <c r="AX1477" s="3"/>
      <c r="AY1477" s="3"/>
    </row>
    <row r="1478" spans="1:51" ht="16.5" customHeight="1">
      <c r="A1478" s="3"/>
      <c r="B1478" s="3"/>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7"/>
      <c r="AK1478" s="7"/>
      <c r="AL1478" s="7"/>
      <c r="AM1478" s="7"/>
      <c r="AN1478" s="7"/>
      <c r="AO1478" s="7"/>
      <c r="AP1478" s="7"/>
      <c r="AQ1478" s="7"/>
      <c r="AR1478" s="7"/>
      <c r="AS1478" s="7"/>
      <c r="AT1478" s="7"/>
      <c r="AU1478" s="3"/>
      <c r="AV1478" s="3"/>
      <c r="AW1478" s="3"/>
      <c r="AX1478" s="3"/>
      <c r="AY1478" s="3"/>
    </row>
    <row r="1479" spans="1:51" ht="16.5" customHeight="1">
      <c r="A1479" s="3"/>
      <c r="B1479" s="3"/>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7"/>
      <c r="AK1479" s="7"/>
      <c r="AL1479" s="7"/>
      <c r="AM1479" s="7"/>
      <c r="AN1479" s="7"/>
      <c r="AO1479" s="7"/>
      <c r="AP1479" s="7"/>
      <c r="AQ1479" s="7"/>
      <c r="AR1479" s="7"/>
      <c r="AS1479" s="7"/>
      <c r="AT1479" s="7"/>
      <c r="AU1479" s="3"/>
      <c r="AV1479" s="3"/>
      <c r="AW1479" s="3"/>
      <c r="AX1479" s="3"/>
      <c r="AY1479" s="3"/>
    </row>
    <row r="1480" spans="1:51" ht="16.5" customHeight="1">
      <c r="A1480" s="3"/>
      <c r="B1480" s="3"/>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7"/>
      <c r="AK1480" s="7"/>
      <c r="AL1480" s="7"/>
      <c r="AM1480" s="7"/>
      <c r="AN1480" s="7"/>
      <c r="AO1480" s="7"/>
      <c r="AP1480" s="7"/>
      <c r="AQ1480" s="7"/>
      <c r="AR1480" s="7"/>
      <c r="AS1480" s="7"/>
      <c r="AT1480" s="7"/>
      <c r="AU1480" s="3"/>
      <c r="AV1480" s="3"/>
      <c r="AW1480" s="3"/>
      <c r="AX1480" s="3"/>
      <c r="AY1480" s="3"/>
    </row>
    <row r="1481" spans="1:51" ht="16.5" customHeight="1">
      <c r="A1481" s="3"/>
      <c r="B1481" s="3"/>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7"/>
      <c r="AK1481" s="7"/>
      <c r="AL1481" s="7"/>
      <c r="AM1481" s="7"/>
      <c r="AN1481" s="7"/>
      <c r="AO1481" s="7"/>
      <c r="AP1481" s="7"/>
      <c r="AQ1481" s="7"/>
      <c r="AR1481" s="7"/>
      <c r="AS1481" s="7"/>
      <c r="AT1481" s="7"/>
      <c r="AU1481" s="3"/>
      <c r="AV1481" s="3"/>
      <c r="AW1481" s="3"/>
      <c r="AX1481" s="3"/>
      <c r="AY1481" s="3"/>
    </row>
    <row r="1482" spans="1:51" ht="16.5" customHeight="1">
      <c r="A1482" s="3"/>
      <c r="B1482" s="3"/>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7"/>
      <c r="AK1482" s="7"/>
      <c r="AL1482" s="7"/>
      <c r="AM1482" s="7"/>
      <c r="AN1482" s="7"/>
      <c r="AO1482" s="7"/>
      <c r="AP1482" s="7"/>
      <c r="AQ1482" s="7"/>
      <c r="AR1482" s="7"/>
      <c r="AS1482" s="7"/>
      <c r="AT1482" s="7"/>
      <c r="AU1482" s="3"/>
      <c r="AV1482" s="3"/>
      <c r="AW1482" s="3"/>
      <c r="AX1482" s="3"/>
      <c r="AY1482" s="3"/>
    </row>
    <row r="1483" spans="1:51" ht="16.5" customHeight="1">
      <c r="A1483" s="3"/>
      <c r="B1483" s="3"/>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7"/>
      <c r="AK1483" s="7"/>
      <c r="AL1483" s="7"/>
      <c r="AM1483" s="7"/>
      <c r="AN1483" s="7"/>
      <c r="AO1483" s="7"/>
      <c r="AP1483" s="7"/>
      <c r="AQ1483" s="7"/>
      <c r="AR1483" s="7"/>
      <c r="AS1483" s="7"/>
      <c r="AT1483" s="7"/>
      <c r="AU1483" s="3"/>
      <c r="AV1483" s="3"/>
      <c r="AW1483" s="3"/>
      <c r="AX1483" s="3"/>
      <c r="AY1483" s="3"/>
    </row>
    <row r="1484" spans="1:51" ht="16.5" customHeight="1">
      <c r="A1484" s="3"/>
      <c r="B1484" s="3"/>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7"/>
      <c r="AK1484" s="7"/>
      <c r="AL1484" s="7"/>
      <c r="AM1484" s="7"/>
      <c r="AN1484" s="7"/>
      <c r="AO1484" s="7"/>
      <c r="AP1484" s="7"/>
      <c r="AQ1484" s="7"/>
      <c r="AR1484" s="7"/>
      <c r="AS1484" s="7"/>
      <c r="AT1484" s="7"/>
      <c r="AU1484" s="3"/>
      <c r="AV1484" s="3"/>
      <c r="AW1484" s="3"/>
      <c r="AX1484" s="3"/>
      <c r="AY1484" s="3"/>
    </row>
    <row r="1485" spans="1:51" ht="16.5" customHeight="1">
      <c r="A1485" s="3"/>
      <c r="B1485" s="3"/>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7"/>
      <c r="AK1485" s="7"/>
      <c r="AL1485" s="7"/>
      <c r="AM1485" s="7"/>
      <c r="AN1485" s="7"/>
      <c r="AO1485" s="7"/>
      <c r="AP1485" s="7"/>
      <c r="AQ1485" s="7"/>
      <c r="AR1485" s="7"/>
      <c r="AS1485" s="7"/>
      <c r="AT1485" s="7"/>
      <c r="AU1485" s="3"/>
      <c r="AV1485" s="3"/>
      <c r="AW1485" s="3"/>
      <c r="AX1485" s="3"/>
      <c r="AY1485" s="3"/>
    </row>
    <row r="1486" spans="1:51" ht="16.5" customHeight="1">
      <c r="A1486" s="3"/>
      <c r="B1486" s="3"/>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7"/>
      <c r="AK1486" s="7"/>
      <c r="AL1486" s="7"/>
      <c r="AM1486" s="7"/>
      <c r="AN1486" s="7"/>
      <c r="AO1486" s="7"/>
      <c r="AP1486" s="7"/>
      <c r="AQ1486" s="7"/>
      <c r="AR1486" s="7"/>
      <c r="AS1486" s="7"/>
      <c r="AT1486" s="7"/>
      <c r="AU1486" s="3"/>
      <c r="AV1486" s="3"/>
      <c r="AW1486" s="3"/>
      <c r="AX1486" s="3"/>
      <c r="AY1486" s="3"/>
    </row>
    <row r="1487" spans="1:51" ht="16.5" customHeight="1">
      <c r="A1487" s="3"/>
      <c r="B1487" s="3"/>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7"/>
      <c r="AK1487" s="7"/>
      <c r="AL1487" s="7"/>
      <c r="AM1487" s="7"/>
      <c r="AN1487" s="7"/>
      <c r="AO1487" s="7"/>
      <c r="AP1487" s="7"/>
      <c r="AQ1487" s="7"/>
      <c r="AR1487" s="7"/>
      <c r="AS1487" s="7"/>
      <c r="AT1487" s="7"/>
      <c r="AU1487" s="3"/>
      <c r="AV1487" s="3"/>
      <c r="AW1487" s="3"/>
      <c r="AX1487" s="3"/>
      <c r="AY1487" s="3"/>
    </row>
    <row r="1488" spans="1:51" ht="16.5" customHeight="1">
      <c r="A1488" s="3"/>
      <c r="B1488" s="3"/>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7"/>
      <c r="AK1488" s="7"/>
      <c r="AL1488" s="7"/>
      <c r="AM1488" s="7"/>
      <c r="AN1488" s="7"/>
      <c r="AO1488" s="7"/>
      <c r="AP1488" s="7"/>
      <c r="AQ1488" s="7"/>
      <c r="AR1488" s="7"/>
      <c r="AS1488" s="7"/>
      <c r="AT1488" s="7"/>
      <c r="AU1488" s="3"/>
      <c r="AV1488" s="3"/>
      <c r="AW1488" s="3"/>
      <c r="AX1488" s="3"/>
      <c r="AY1488" s="3"/>
    </row>
    <row r="1489" spans="1:51" ht="16.5" customHeight="1">
      <c r="A1489" s="3"/>
      <c r="B1489" s="3"/>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7"/>
      <c r="AK1489" s="7"/>
      <c r="AL1489" s="7"/>
      <c r="AM1489" s="7"/>
      <c r="AN1489" s="7"/>
      <c r="AO1489" s="7"/>
      <c r="AP1489" s="7"/>
      <c r="AQ1489" s="7"/>
      <c r="AR1489" s="7"/>
      <c r="AS1489" s="7"/>
      <c r="AT1489" s="7"/>
      <c r="AU1489" s="3"/>
      <c r="AV1489" s="3"/>
      <c r="AW1489" s="3"/>
      <c r="AX1489" s="3"/>
      <c r="AY1489" s="3"/>
    </row>
    <row r="1490" spans="1:51" ht="16.5" customHeight="1">
      <c r="A1490" s="3"/>
      <c r="B1490" s="3"/>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7"/>
      <c r="AK1490" s="7"/>
      <c r="AL1490" s="7"/>
      <c r="AM1490" s="7"/>
      <c r="AN1490" s="7"/>
      <c r="AO1490" s="7"/>
      <c r="AP1490" s="7"/>
      <c r="AQ1490" s="7"/>
      <c r="AR1490" s="7"/>
      <c r="AS1490" s="7"/>
      <c r="AT1490" s="7"/>
      <c r="AU1490" s="3"/>
      <c r="AV1490" s="3"/>
      <c r="AW1490" s="3"/>
      <c r="AX1490" s="3"/>
      <c r="AY1490" s="3"/>
    </row>
    <row r="1491" spans="1:51" ht="16.5" customHeight="1">
      <c r="A1491" s="3"/>
      <c r="B1491" s="3"/>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7"/>
      <c r="AK1491" s="7"/>
      <c r="AL1491" s="7"/>
      <c r="AM1491" s="7"/>
      <c r="AN1491" s="7"/>
      <c r="AO1491" s="7"/>
      <c r="AP1491" s="7"/>
      <c r="AQ1491" s="7"/>
      <c r="AR1491" s="7"/>
      <c r="AS1491" s="7"/>
      <c r="AT1491" s="7"/>
      <c r="AU1491" s="3"/>
      <c r="AV1491" s="3"/>
      <c r="AW1491" s="3"/>
      <c r="AX1491" s="3"/>
      <c r="AY1491" s="3"/>
    </row>
    <row r="1492" spans="1:51" ht="16.5" customHeight="1">
      <c r="A1492" s="3"/>
      <c r="B1492" s="3"/>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7"/>
      <c r="AK1492" s="7"/>
      <c r="AL1492" s="7"/>
      <c r="AM1492" s="7"/>
      <c r="AN1492" s="7"/>
      <c r="AO1492" s="7"/>
      <c r="AP1492" s="7"/>
      <c r="AQ1492" s="7"/>
      <c r="AR1492" s="7"/>
      <c r="AS1492" s="7"/>
      <c r="AT1492" s="7"/>
      <c r="AU1492" s="3"/>
      <c r="AV1492" s="3"/>
      <c r="AW1492" s="3"/>
      <c r="AX1492" s="3"/>
      <c r="AY1492" s="3"/>
    </row>
    <row r="1493" spans="1:51" ht="16.5" customHeight="1">
      <c r="A1493" s="3"/>
      <c r="B1493" s="3"/>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7"/>
      <c r="AK1493" s="7"/>
      <c r="AL1493" s="7"/>
      <c r="AM1493" s="7"/>
      <c r="AN1493" s="7"/>
      <c r="AO1493" s="7"/>
      <c r="AP1493" s="7"/>
      <c r="AQ1493" s="7"/>
      <c r="AR1493" s="7"/>
      <c r="AS1493" s="7"/>
      <c r="AT1493" s="7"/>
      <c r="AU1493" s="3"/>
      <c r="AV1493" s="3"/>
      <c r="AW1493" s="3"/>
      <c r="AX1493" s="3"/>
      <c r="AY1493" s="3"/>
    </row>
    <row r="1494" spans="1:51" ht="16.5" customHeight="1">
      <c r="A1494" s="3"/>
      <c r="B1494" s="3"/>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7"/>
      <c r="AK1494" s="7"/>
      <c r="AL1494" s="7"/>
      <c r="AM1494" s="7"/>
      <c r="AN1494" s="7"/>
      <c r="AO1494" s="7"/>
      <c r="AP1494" s="7"/>
      <c r="AQ1494" s="7"/>
      <c r="AR1494" s="7"/>
      <c r="AS1494" s="7"/>
      <c r="AT1494" s="7"/>
      <c r="AU1494" s="3"/>
      <c r="AV1494" s="3"/>
      <c r="AW1494" s="3"/>
      <c r="AX1494" s="3"/>
      <c r="AY1494" s="3"/>
    </row>
    <row r="1495" spans="1:51" ht="16.5" customHeight="1">
      <c r="A1495" s="3"/>
      <c r="B1495" s="3"/>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7"/>
      <c r="AK1495" s="7"/>
      <c r="AL1495" s="7"/>
      <c r="AM1495" s="7"/>
      <c r="AN1495" s="7"/>
      <c r="AO1495" s="7"/>
      <c r="AP1495" s="7"/>
      <c r="AQ1495" s="7"/>
      <c r="AR1495" s="7"/>
      <c r="AS1495" s="7"/>
      <c r="AT1495" s="7"/>
      <c r="AU1495" s="3"/>
      <c r="AV1495" s="3"/>
      <c r="AW1495" s="3"/>
      <c r="AX1495" s="3"/>
      <c r="AY1495" s="3"/>
    </row>
    <row r="1496" spans="1:51" ht="16.5" customHeight="1">
      <c r="A1496" s="3"/>
      <c r="B1496" s="3"/>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7"/>
      <c r="AK1496" s="7"/>
      <c r="AL1496" s="7"/>
      <c r="AM1496" s="7"/>
      <c r="AN1496" s="7"/>
      <c r="AO1496" s="7"/>
      <c r="AP1496" s="7"/>
      <c r="AQ1496" s="7"/>
      <c r="AR1496" s="7"/>
      <c r="AS1496" s="7"/>
      <c r="AT1496" s="7"/>
      <c r="AU1496" s="3"/>
      <c r="AV1496" s="3"/>
      <c r="AW1496" s="3"/>
      <c r="AX1496" s="3"/>
      <c r="AY1496" s="3"/>
    </row>
    <row r="1497" spans="1:51" ht="16.5" customHeight="1">
      <c r="A1497" s="3"/>
      <c r="B1497" s="3"/>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7"/>
      <c r="AK1497" s="7"/>
      <c r="AL1497" s="7"/>
      <c r="AM1497" s="7"/>
      <c r="AN1497" s="7"/>
      <c r="AO1497" s="7"/>
      <c r="AP1497" s="7"/>
      <c r="AQ1497" s="7"/>
      <c r="AR1497" s="7"/>
      <c r="AS1497" s="7"/>
      <c r="AT1497" s="7"/>
      <c r="AU1497" s="3"/>
      <c r="AV1497" s="3"/>
      <c r="AW1497" s="3"/>
      <c r="AX1497" s="3"/>
      <c r="AY1497" s="3"/>
    </row>
    <row r="1498" spans="1:51" ht="16.5" customHeight="1">
      <c r="A1498" s="3"/>
      <c r="B1498" s="3"/>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7"/>
      <c r="AK1498" s="7"/>
      <c r="AL1498" s="7"/>
      <c r="AM1498" s="7"/>
      <c r="AN1498" s="7"/>
      <c r="AO1498" s="7"/>
      <c r="AP1498" s="7"/>
      <c r="AQ1498" s="7"/>
      <c r="AR1498" s="7"/>
      <c r="AS1498" s="7"/>
      <c r="AT1498" s="7"/>
      <c r="AU1498" s="3"/>
      <c r="AV1498" s="3"/>
      <c r="AW1498" s="3"/>
      <c r="AX1498" s="3"/>
      <c r="AY1498" s="3"/>
    </row>
    <row r="1499" spans="1:51" ht="16.5" customHeight="1">
      <c r="A1499" s="3"/>
      <c r="B1499" s="3"/>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7"/>
      <c r="AK1499" s="7"/>
      <c r="AL1499" s="7"/>
      <c r="AM1499" s="7"/>
      <c r="AN1499" s="7"/>
      <c r="AO1499" s="7"/>
      <c r="AP1499" s="7"/>
      <c r="AQ1499" s="7"/>
      <c r="AR1499" s="7"/>
      <c r="AS1499" s="7"/>
      <c r="AT1499" s="7"/>
      <c r="AU1499" s="3"/>
      <c r="AV1499" s="3"/>
      <c r="AW1499" s="3"/>
      <c r="AX1499" s="3"/>
      <c r="AY1499" s="3"/>
    </row>
    <row r="1500" spans="1:51" ht="16.5" customHeight="1">
      <c r="A1500" s="3"/>
      <c r="B1500" s="3"/>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7"/>
      <c r="AK1500" s="7"/>
      <c r="AL1500" s="7"/>
      <c r="AM1500" s="7"/>
      <c r="AN1500" s="7"/>
      <c r="AO1500" s="7"/>
      <c r="AP1500" s="7"/>
      <c r="AQ1500" s="7"/>
      <c r="AR1500" s="7"/>
      <c r="AS1500" s="7"/>
      <c r="AT1500" s="7"/>
      <c r="AU1500" s="3"/>
      <c r="AV1500" s="3"/>
      <c r="AW1500" s="3"/>
      <c r="AX1500" s="3"/>
      <c r="AY1500" s="3"/>
    </row>
    <row r="1501" spans="1:51" ht="16.5" customHeight="1">
      <c r="A1501" s="3"/>
      <c r="B1501" s="3"/>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7"/>
      <c r="AK1501" s="7"/>
      <c r="AL1501" s="7"/>
      <c r="AM1501" s="7"/>
      <c r="AN1501" s="7"/>
      <c r="AO1501" s="7"/>
      <c r="AP1501" s="7"/>
      <c r="AQ1501" s="7"/>
      <c r="AR1501" s="7"/>
      <c r="AS1501" s="7"/>
      <c r="AT1501" s="7"/>
      <c r="AU1501" s="3"/>
      <c r="AV1501" s="3"/>
      <c r="AW1501" s="3"/>
      <c r="AX1501" s="3"/>
      <c r="AY1501" s="3"/>
    </row>
    <row r="1502" spans="1:51" ht="16.5" customHeight="1">
      <c r="A1502" s="3"/>
      <c r="B1502" s="3"/>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7"/>
      <c r="AK1502" s="7"/>
      <c r="AL1502" s="7"/>
      <c r="AM1502" s="7"/>
      <c r="AN1502" s="7"/>
      <c r="AO1502" s="7"/>
      <c r="AP1502" s="7"/>
      <c r="AQ1502" s="7"/>
      <c r="AR1502" s="7"/>
      <c r="AS1502" s="7"/>
      <c r="AT1502" s="7"/>
      <c r="AU1502" s="3"/>
      <c r="AV1502" s="3"/>
      <c r="AW1502" s="3"/>
      <c r="AX1502" s="3"/>
      <c r="AY1502" s="3"/>
    </row>
    <row r="1503" spans="1:51" ht="16.5" customHeight="1">
      <c r="A1503" s="3"/>
      <c r="B1503" s="3"/>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7"/>
      <c r="AK1503" s="7"/>
      <c r="AL1503" s="7"/>
      <c r="AM1503" s="7"/>
      <c r="AN1503" s="7"/>
      <c r="AO1503" s="7"/>
      <c r="AP1503" s="7"/>
      <c r="AQ1503" s="7"/>
      <c r="AR1503" s="7"/>
      <c r="AS1503" s="7"/>
      <c r="AT1503" s="7"/>
      <c r="AU1503" s="3"/>
      <c r="AV1503" s="3"/>
      <c r="AW1503" s="3"/>
      <c r="AX1503" s="3"/>
      <c r="AY1503" s="3"/>
    </row>
    <row r="1504" spans="1:51" ht="16.5" customHeight="1">
      <c r="A1504" s="3"/>
      <c r="B1504" s="3"/>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7"/>
      <c r="AK1504" s="7"/>
      <c r="AL1504" s="7"/>
      <c r="AM1504" s="7"/>
      <c r="AN1504" s="7"/>
      <c r="AO1504" s="7"/>
      <c r="AP1504" s="7"/>
      <c r="AQ1504" s="7"/>
      <c r="AR1504" s="7"/>
      <c r="AS1504" s="7"/>
      <c r="AT1504" s="7"/>
      <c r="AU1504" s="3"/>
      <c r="AV1504" s="3"/>
      <c r="AW1504" s="3"/>
      <c r="AX1504" s="3"/>
      <c r="AY1504" s="3"/>
    </row>
    <row r="1505" spans="1:51" ht="16.5" customHeight="1">
      <c r="A1505" s="3"/>
      <c r="B1505" s="3"/>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7"/>
      <c r="AK1505" s="7"/>
      <c r="AL1505" s="7"/>
      <c r="AM1505" s="7"/>
      <c r="AN1505" s="7"/>
      <c r="AO1505" s="7"/>
      <c r="AP1505" s="7"/>
      <c r="AQ1505" s="7"/>
      <c r="AR1505" s="7"/>
      <c r="AS1505" s="7"/>
      <c r="AT1505" s="7"/>
      <c r="AU1505" s="3"/>
      <c r="AV1505" s="3"/>
      <c r="AW1505" s="3"/>
      <c r="AX1505" s="3"/>
      <c r="AY1505" s="3"/>
    </row>
    <row r="1506" spans="1:51" ht="16.5" customHeight="1">
      <c r="A1506" s="3"/>
      <c r="B1506" s="3"/>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7"/>
      <c r="AK1506" s="7"/>
      <c r="AL1506" s="7"/>
      <c r="AM1506" s="7"/>
      <c r="AN1506" s="7"/>
      <c r="AO1506" s="7"/>
      <c r="AP1506" s="7"/>
      <c r="AQ1506" s="7"/>
      <c r="AR1506" s="7"/>
      <c r="AS1506" s="7"/>
      <c r="AT1506" s="7"/>
      <c r="AU1506" s="3"/>
      <c r="AV1506" s="3"/>
      <c r="AW1506" s="3"/>
      <c r="AX1506" s="3"/>
      <c r="AY1506" s="3"/>
    </row>
    <row r="1507" spans="1:51" ht="16.5" customHeight="1">
      <c r="A1507" s="3"/>
      <c r="B1507" s="3"/>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7"/>
      <c r="AK1507" s="7"/>
      <c r="AL1507" s="7"/>
      <c r="AM1507" s="7"/>
      <c r="AN1507" s="7"/>
      <c r="AO1507" s="7"/>
      <c r="AP1507" s="7"/>
      <c r="AQ1507" s="7"/>
      <c r="AR1507" s="7"/>
      <c r="AS1507" s="7"/>
      <c r="AT1507" s="7"/>
      <c r="AU1507" s="3"/>
      <c r="AV1507" s="3"/>
      <c r="AW1507" s="3"/>
      <c r="AX1507" s="3"/>
      <c r="AY1507" s="3"/>
    </row>
    <row r="1508" spans="1:51" ht="16.5" customHeight="1">
      <c r="A1508" s="3"/>
      <c r="B1508" s="3"/>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7"/>
      <c r="AK1508" s="7"/>
      <c r="AL1508" s="7"/>
      <c r="AM1508" s="7"/>
      <c r="AN1508" s="7"/>
      <c r="AO1508" s="7"/>
      <c r="AP1508" s="7"/>
      <c r="AQ1508" s="7"/>
      <c r="AR1508" s="7"/>
      <c r="AS1508" s="7"/>
      <c r="AT1508" s="7"/>
      <c r="AU1508" s="3"/>
      <c r="AV1508" s="3"/>
      <c r="AW1508" s="3"/>
      <c r="AX1508" s="3"/>
      <c r="AY1508" s="3"/>
    </row>
    <row r="1509" spans="1:51" ht="16.5" customHeight="1">
      <c r="A1509" s="3"/>
      <c r="B1509" s="3"/>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7"/>
      <c r="AK1509" s="7"/>
      <c r="AL1509" s="7"/>
      <c r="AM1509" s="7"/>
      <c r="AN1509" s="7"/>
      <c r="AO1509" s="7"/>
      <c r="AP1509" s="7"/>
      <c r="AQ1509" s="7"/>
      <c r="AR1509" s="7"/>
      <c r="AS1509" s="7"/>
      <c r="AT1509" s="7"/>
      <c r="AU1509" s="3"/>
      <c r="AV1509" s="3"/>
      <c r="AW1509" s="3"/>
      <c r="AX1509" s="3"/>
      <c r="AY1509" s="3"/>
    </row>
    <row r="1510" spans="1:51" ht="16.5" customHeight="1">
      <c r="A1510" s="3"/>
      <c r="B1510" s="3"/>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7"/>
      <c r="AK1510" s="7"/>
      <c r="AL1510" s="7"/>
      <c r="AM1510" s="7"/>
      <c r="AN1510" s="7"/>
      <c r="AO1510" s="7"/>
      <c r="AP1510" s="7"/>
      <c r="AQ1510" s="7"/>
      <c r="AR1510" s="7"/>
      <c r="AS1510" s="7"/>
      <c r="AT1510" s="7"/>
      <c r="AU1510" s="3"/>
      <c r="AV1510" s="3"/>
      <c r="AW1510" s="3"/>
      <c r="AX1510" s="3"/>
      <c r="AY1510" s="3"/>
    </row>
    <row r="1511" spans="1:51" ht="16.5" customHeight="1">
      <c r="A1511" s="3"/>
      <c r="B1511" s="3"/>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7"/>
      <c r="AK1511" s="7"/>
      <c r="AL1511" s="7"/>
      <c r="AM1511" s="7"/>
      <c r="AN1511" s="7"/>
      <c r="AO1511" s="7"/>
      <c r="AP1511" s="7"/>
      <c r="AQ1511" s="7"/>
      <c r="AR1511" s="7"/>
      <c r="AS1511" s="7"/>
      <c r="AT1511" s="7"/>
      <c r="AU1511" s="3"/>
      <c r="AV1511" s="3"/>
      <c r="AW1511" s="3"/>
      <c r="AX1511" s="3"/>
      <c r="AY1511" s="3"/>
    </row>
    <row r="1512" spans="1:51" ht="16.5" customHeight="1">
      <c r="A1512" s="3"/>
      <c r="B1512" s="3"/>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7"/>
      <c r="AK1512" s="7"/>
      <c r="AL1512" s="7"/>
      <c r="AM1512" s="7"/>
      <c r="AN1512" s="7"/>
      <c r="AO1512" s="7"/>
      <c r="AP1512" s="7"/>
      <c r="AQ1512" s="7"/>
      <c r="AR1512" s="7"/>
      <c r="AS1512" s="7"/>
      <c r="AT1512" s="7"/>
      <c r="AU1512" s="3"/>
      <c r="AV1512" s="3"/>
      <c r="AW1512" s="3"/>
      <c r="AX1512" s="3"/>
      <c r="AY1512" s="3"/>
    </row>
    <row r="1513" spans="1:51" ht="16.5" customHeight="1">
      <c r="A1513" s="3"/>
      <c r="B1513" s="3"/>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7"/>
      <c r="AK1513" s="7"/>
      <c r="AL1513" s="7"/>
      <c r="AM1513" s="7"/>
      <c r="AN1513" s="7"/>
      <c r="AO1513" s="7"/>
      <c r="AP1513" s="7"/>
      <c r="AQ1513" s="7"/>
      <c r="AR1513" s="7"/>
      <c r="AS1513" s="7"/>
      <c r="AT1513" s="7"/>
      <c r="AU1513" s="3"/>
      <c r="AV1513" s="3"/>
      <c r="AW1513" s="3"/>
      <c r="AX1513" s="3"/>
      <c r="AY1513" s="3"/>
    </row>
    <row r="1514" spans="1:51" ht="16.5" customHeight="1">
      <c r="A1514" s="3"/>
      <c r="B1514" s="3"/>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7"/>
      <c r="AK1514" s="7"/>
      <c r="AL1514" s="7"/>
      <c r="AM1514" s="7"/>
      <c r="AN1514" s="7"/>
      <c r="AO1514" s="7"/>
      <c r="AP1514" s="7"/>
      <c r="AQ1514" s="7"/>
      <c r="AR1514" s="7"/>
      <c r="AS1514" s="7"/>
      <c r="AT1514" s="7"/>
      <c r="AU1514" s="3"/>
      <c r="AV1514" s="3"/>
      <c r="AW1514" s="3"/>
      <c r="AX1514" s="3"/>
      <c r="AY1514" s="3"/>
    </row>
    <row r="1515" spans="1:51" ht="16.5" customHeight="1">
      <c r="A1515" s="3"/>
      <c r="B1515" s="3"/>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7"/>
      <c r="AK1515" s="7"/>
      <c r="AL1515" s="7"/>
      <c r="AM1515" s="7"/>
      <c r="AN1515" s="7"/>
      <c r="AO1515" s="7"/>
      <c r="AP1515" s="7"/>
      <c r="AQ1515" s="7"/>
      <c r="AR1515" s="7"/>
      <c r="AS1515" s="7"/>
      <c r="AT1515" s="7"/>
      <c r="AU1515" s="3"/>
      <c r="AV1515" s="3"/>
      <c r="AW1515" s="3"/>
      <c r="AX1515" s="3"/>
      <c r="AY1515" s="3"/>
    </row>
    <row r="1516" spans="1:51" ht="16.5" customHeight="1">
      <c r="A1516" s="3"/>
      <c r="B1516" s="3"/>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7"/>
      <c r="AK1516" s="7"/>
      <c r="AL1516" s="7"/>
      <c r="AM1516" s="7"/>
      <c r="AN1516" s="7"/>
      <c r="AO1516" s="7"/>
      <c r="AP1516" s="7"/>
      <c r="AQ1516" s="7"/>
      <c r="AR1516" s="7"/>
      <c r="AS1516" s="7"/>
      <c r="AT1516" s="7"/>
      <c r="AU1516" s="3"/>
      <c r="AV1516" s="3"/>
      <c r="AW1516" s="3"/>
      <c r="AX1516" s="3"/>
      <c r="AY1516" s="3"/>
    </row>
    <row r="1517" spans="1:51" ht="16.5" customHeight="1">
      <c r="A1517" s="3"/>
      <c r="B1517" s="3"/>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7"/>
      <c r="AK1517" s="7"/>
      <c r="AL1517" s="7"/>
      <c r="AM1517" s="7"/>
      <c r="AN1517" s="7"/>
      <c r="AO1517" s="7"/>
      <c r="AP1517" s="7"/>
      <c r="AQ1517" s="7"/>
      <c r="AR1517" s="7"/>
      <c r="AS1517" s="7"/>
      <c r="AT1517" s="7"/>
      <c r="AU1517" s="3"/>
      <c r="AV1517" s="3"/>
      <c r="AW1517" s="3"/>
      <c r="AX1517" s="3"/>
      <c r="AY1517" s="3"/>
    </row>
    <row r="1518" spans="1:51" ht="16.5" customHeight="1">
      <c r="A1518" s="3"/>
      <c r="B1518" s="3"/>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7"/>
      <c r="AK1518" s="7"/>
      <c r="AL1518" s="7"/>
      <c r="AM1518" s="7"/>
      <c r="AN1518" s="7"/>
      <c r="AO1518" s="7"/>
      <c r="AP1518" s="7"/>
      <c r="AQ1518" s="7"/>
      <c r="AR1518" s="7"/>
      <c r="AS1518" s="7"/>
      <c r="AT1518" s="7"/>
      <c r="AU1518" s="3"/>
      <c r="AV1518" s="3"/>
      <c r="AW1518" s="3"/>
      <c r="AX1518" s="3"/>
      <c r="AY1518" s="3"/>
    </row>
    <row r="1519" spans="1:51" ht="16.5" customHeight="1">
      <c r="A1519" s="3"/>
      <c r="B1519" s="3"/>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7"/>
      <c r="AK1519" s="7"/>
      <c r="AL1519" s="7"/>
      <c r="AM1519" s="7"/>
      <c r="AN1519" s="7"/>
      <c r="AO1519" s="7"/>
      <c r="AP1519" s="7"/>
      <c r="AQ1519" s="7"/>
      <c r="AR1519" s="7"/>
      <c r="AS1519" s="7"/>
      <c r="AT1519" s="7"/>
      <c r="AU1519" s="3"/>
      <c r="AV1519" s="3"/>
      <c r="AW1519" s="3"/>
      <c r="AX1519" s="3"/>
      <c r="AY1519" s="3"/>
    </row>
    <row r="1520" spans="1:51" ht="16.5" customHeight="1">
      <c r="A1520" s="3"/>
      <c r="B1520" s="3"/>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7"/>
      <c r="AK1520" s="7"/>
      <c r="AL1520" s="7"/>
      <c r="AM1520" s="7"/>
      <c r="AN1520" s="7"/>
      <c r="AO1520" s="7"/>
      <c r="AP1520" s="7"/>
      <c r="AQ1520" s="7"/>
      <c r="AR1520" s="7"/>
      <c r="AS1520" s="7"/>
      <c r="AT1520" s="7"/>
      <c r="AU1520" s="3"/>
      <c r="AV1520" s="3"/>
      <c r="AW1520" s="3"/>
      <c r="AX1520" s="3"/>
      <c r="AY1520" s="3"/>
    </row>
    <row r="1521" spans="1:51" ht="16.5" customHeight="1">
      <c r="A1521" s="3"/>
      <c r="B1521" s="3"/>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7"/>
      <c r="AK1521" s="7"/>
      <c r="AL1521" s="7"/>
      <c r="AM1521" s="7"/>
      <c r="AN1521" s="7"/>
      <c r="AO1521" s="7"/>
      <c r="AP1521" s="7"/>
      <c r="AQ1521" s="7"/>
      <c r="AR1521" s="7"/>
      <c r="AS1521" s="7"/>
      <c r="AT1521" s="7"/>
      <c r="AU1521" s="3"/>
      <c r="AV1521" s="3"/>
      <c r="AW1521" s="3"/>
      <c r="AX1521" s="3"/>
      <c r="AY1521" s="3"/>
    </row>
    <row r="1522" spans="1:51" ht="16.5" customHeight="1">
      <c r="A1522" s="3"/>
      <c r="B1522" s="3"/>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7"/>
      <c r="AK1522" s="7"/>
      <c r="AL1522" s="7"/>
      <c r="AM1522" s="7"/>
      <c r="AN1522" s="7"/>
      <c r="AO1522" s="7"/>
      <c r="AP1522" s="7"/>
      <c r="AQ1522" s="7"/>
      <c r="AR1522" s="7"/>
      <c r="AS1522" s="7"/>
      <c r="AT1522" s="7"/>
      <c r="AU1522" s="3"/>
      <c r="AV1522" s="3"/>
      <c r="AW1522" s="3"/>
      <c r="AX1522" s="3"/>
      <c r="AY1522" s="3"/>
    </row>
    <row r="1523" spans="1:51" ht="16.5" customHeight="1">
      <c r="A1523" s="3"/>
      <c r="B1523" s="3"/>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7"/>
      <c r="AK1523" s="7"/>
      <c r="AL1523" s="7"/>
      <c r="AM1523" s="7"/>
      <c r="AN1523" s="7"/>
      <c r="AO1523" s="7"/>
      <c r="AP1523" s="7"/>
      <c r="AQ1523" s="7"/>
      <c r="AR1523" s="7"/>
      <c r="AS1523" s="7"/>
      <c r="AT1523" s="7"/>
      <c r="AU1523" s="3"/>
      <c r="AV1523" s="3"/>
      <c r="AW1523" s="3"/>
      <c r="AX1523" s="3"/>
      <c r="AY1523" s="3"/>
    </row>
    <row r="1524" spans="1:51" ht="16.5" customHeight="1">
      <c r="A1524" s="3"/>
      <c r="B1524" s="3"/>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7"/>
      <c r="AK1524" s="7"/>
      <c r="AL1524" s="7"/>
      <c r="AM1524" s="7"/>
      <c r="AN1524" s="7"/>
      <c r="AO1524" s="7"/>
      <c r="AP1524" s="7"/>
      <c r="AQ1524" s="7"/>
      <c r="AR1524" s="7"/>
      <c r="AS1524" s="7"/>
      <c r="AT1524" s="7"/>
      <c r="AU1524" s="3"/>
      <c r="AV1524" s="3"/>
      <c r="AW1524" s="3"/>
      <c r="AX1524" s="3"/>
      <c r="AY1524" s="3"/>
    </row>
    <row r="1525" spans="1:51" ht="16.5" customHeight="1">
      <c r="A1525" s="3"/>
      <c r="B1525" s="3"/>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7"/>
      <c r="AK1525" s="7"/>
      <c r="AL1525" s="7"/>
      <c r="AM1525" s="7"/>
      <c r="AN1525" s="7"/>
      <c r="AO1525" s="7"/>
      <c r="AP1525" s="7"/>
      <c r="AQ1525" s="7"/>
      <c r="AR1525" s="7"/>
      <c r="AS1525" s="7"/>
      <c r="AT1525" s="7"/>
      <c r="AU1525" s="3"/>
      <c r="AV1525" s="3"/>
      <c r="AW1525" s="3"/>
      <c r="AX1525" s="3"/>
      <c r="AY1525" s="3"/>
    </row>
    <row r="1526" spans="1:51" ht="16.5" customHeight="1">
      <c r="A1526" s="3"/>
      <c r="B1526" s="3"/>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7"/>
      <c r="AK1526" s="7"/>
      <c r="AL1526" s="7"/>
      <c r="AM1526" s="7"/>
      <c r="AN1526" s="7"/>
      <c r="AO1526" s="7"/>
      <c r="AP1526" s="7"/>
      <c r="AQ1526" s="7"/>
      <c r="AR1526" s="7"/>
      <c r="AS1526" s="7"/>
      <c r="AT1526" s="7"/>
      <c r="AU1526" s="3"/>
      <c r="AV1526" s="3"/>
      <c r="AW1526" s="3"/>
      <c r="AX1526" s="3"/>
      <c r="AY1526" s="3"/>
    </row>
    <row r="1527" spans="1:51" ht="16.5" customHeight="1">
      <c r="A1527" s="3"/>
      <c r="B1527" s="3"/>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7"/>
      <c r="AK1527" s="7"/>
      <c r="AL1527" s="7"/>
      <c r="AM1527" s="7"/>
      <c r="AN1527" s="7"/>
      <c r="AO1527" s="7"/>
      <c r="AP1527" s="7"/>
      <c r="AQ1527" s="7"/>
      <c r="AR1527" s="7"/>
      <c r="AS1527" s="7"/>
      <c r="AT1527" s="7"/>
      <c r="AU1527" s="3"/>
      <c r="AV1527" s="3"/>
      <c r="AW1527" s="3"/>
      <c r="AX1527" s="3"/>
      <c r="AY1527" s="3"/>
    </row>
    <row r="1528" spans="1:51" ht="16.5" customHeight="1">
      <c r="A1528" s="3"/>
      <c r="B1528" s="3"/>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7"/>
      <c r="AK1528" s="7"/>
      <c r="AL1528" s="7"/>
      <c r="AM1528" s="7"/>
      <c r="AN1528" s="7"/>
      <c r="AO1528" s="7"/>
      <c r="AP1528" s="7"/>
      <c r="AQ1528" s="7"/>
      <c r="AR1528" s="7"/>
      <c r="AS1528" s="7"/>
      <c r="AT1528" s="7"/>
      <c r="AU1528" s="3"/>
      <c r="AV1528" s="3"/>
      <c r="AW1528" s="3"/>
      <c r="AX1528" s="3"/>
      <c r="AY1528" s="3"/>
    </row>
    <row r="1529" spans="1:51" ht="16.5" customHeight="1">
      <c r="A1529" s="3"/>
      <c r="B1529" s="3"/>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7"/>
      <c r="AK1529" s="7"/>
      <c r="AL1529" s="7"/>
      <c r="AM1529" s="7"/>
      <c r="AN1529" s="7"/>
      <c r="AO1529" s="7"/>
      <c r="AP1529" s="7"/>
      <c r="AQ1529" s="7"/>
      <c r="AR1529" s="7"/>
      <c r="AS1529" s="7"/>
      <c r="AT1529" s="7"/>
      <c r="AU1529" s="3"/>
      <c r="AV1529" s="3"/>
      <c r="AW1529" s="3"/>
      <c r="AX1529" s="3"/>
      <c r="AY1529" s="3"/>
    </row>
    <row r="1530" spans="1:51" ht="16.5" customHeight="1">
      <c r="A1530" s="3"/>
      <c r="B1530" s="3"/>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7"/>
      <c r="AK1530" s="7"/>
      <c r="AL1530" s="7"/>
      <c r="AM1530" s="7"/>
      <c r="AN1530" s="7"/>
      <c r="AO1530" s="7"/>
      <c r="AP1530" s="7"/>
      <c r="AQ1530" s="7"/>
      <c r="AR1530" s="7"/>
      <c r="AS1530" s="7"/>
      <c r="AT1530" s="7"/>
      <c r="AU1530" s="3"/>
      <c r="AV1530" s="3"/>
      <c r="AW1530" s="3"/>
      <c r="AX1530" s="3"/>
      <c r="AY1530" s="3"/>
    </row>
    <row r="1531" spans="1:51" ht="16.5" customHeight="1">
      <c r="A1531" s="3"/>
      <c r="B1531" s="3"/>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7"/>
      <c r="AK1531" s="7"/>
      <c r="AL1531" s="7"/>
      <c r="AM1531" s="7"/>
      <c r="AN1531" s="7"/>
      <c r="AO1531" s="7"/>
      <c r="AP1531" s="7"/>
      <c r="AQ1531" s="7"/>
      <c r="AR1531" s="7"/>
      <c r="AS1531" s="7"/>
      <c r="AT1531" s="7"/>
      <c r="AU1531" s="3"/>
      <c r="AV1531" s="3"/>
      <c r="AW1531" s="3"/>
      <c r="AX1531" s="3"/>
      <c r="AY1531" s="3"/>
    </row>
    <row r="1532" spans="1:51" ht="16.5" customHeight="1">
      <c r="A1532" s="3"/>
      <c r="B1532" s="3"/>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7"/>
      <c r="AK1532" s="7"/>
      <c r="AL1532" s="7"/>
      <c r="AM1532" s="7"/>
      <c r="AN1532" s="7"/>
      <c r="AO1532" s="7"/>
      <c r="AP1532" s="7"/>
      <c r="AQ1532" s="7"/>
      <c r="AR1532" s="7"/>
      <c r="AS1532" s="7"/>
      <c r="AT1532" s="7"/>
      <c r="AU1532" s="3"/>
      <c r="AV1532" s="3"/>
      <c r="AW1532" s="3"/>
      <c r="AX1532" s="3"/>
      <c r="AY1532" s="3"/>
    </row>
    <row r="1533" spans="1:51" ht="16.5" customHeight="1">
      <c r="A1533" s="3"/>
      <c r="B1533" s="3"/>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7"/>
      <c r="AK1533" s="7"/>
      <c r="AL1533" s="7"/>
      <c r="AM1533" s="7"/>
      <c r="AN1533" s="7"/>
      <c r="AO1533" s="7"/>
      <c r="AP1533" s="7"/>
      <c r="AQ1533" s="7"/>
      <c r="AR1533" s="7"/>
      <c r="AS1533" s="7"/>
      <c r="AT1533" s="7"/>
      <c r="AU1533" s="3"/>
      <c r="AV1533" s="3"/>
      <c r="AW1533" s="3"/>
      <c r="AX1533" s="3"/>
      <c r="AY1533" s="3"/>
    </row>
    <row r="1534" spans="1:51" ht="16.5" customHeight="1">
      <c r="A1534" s="3"/>
      <c r="B1534" s="3"/>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7"/>
      <c r="AK1534" s="7"/>
      <c r="AL1534" s="7"/>
      <c r="AM1534" s="7"/>
      <c r="AN1534" s="7"/>
      <c r="AO1534" s="7"/>
      <c r="AP1534" s="7"/>
      <c r="AQ1534" s="7"/>
      <c r="AR1534" s="7"/>
      <c r="AS1534" s="7"/>
      <c r="AT1534" s="7"/>
      <c r="AU1534" s="3"/>
      <c r="AV1534" s="3"/>
      <c r="AW1534" s="3"/>
      <c r="AX1534" s="3"/>
      <c r="AY1534" s="3"/>
    </row>
    <row r="1535" spans="1:51" ht="16.5" customHeight="1">
      <c r="A1535" s="3"/>
      <c r="B1535" s="3"/>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7"/>
      <c r="AK1535" s="7"/>
      <c r="AL1535" s="7"/>
      <c r="AM1535" s="7"/>
      <c r="AN1535" s="7"/>
      <c r="AO1535" s="7"/>
      <c r="AP1535" s="7"/>
      <c r="AQ1535" s="7"/>
      <c r="AR1535" s="7"/>
      <c r="AS1535" s="7"/>
      <c r="AT1535" s="7"/>
      <c r="AU1535" s="3"/>
      <c r="AV1535" s="3"/>
      <c r="AW1535" s="3"/>
      <c r="AX1535" s="3"/>
      <c r="AY1535" s="3"/>
    </row>
    <row r="1536" spans="1:51" ht="16.5" customHeight="1">
      <c r="A1536" s="3"/>
      <c r="B1536" s="3"/>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7"/>
      <c r="AK1536" s="7"/>
      <c r="AL1536" s="7"/>
      <c r="AM1536" s="7"/>
      <c r="AN1536" s="7"/>
      <c r="AO1536" s="7"/>
      <c r="AP1536" s="7"/>
      <c r="AQ1536" s="7"/>
      <c r="AR1536" s="7"/>
      <c r="AS1536" s="7"/>
      <c r="AT1536" s="7"/>
      <c r="AU1536" s="3"/>
      <c r="AV1536" s="3"/>
      <c r="AW1536" s="3"/>
      <c r="AX1536" s="3"/>
      <c r="AY1536" s="3"/>
    </row>
    <row r="1537" spans="1:51" ht="16.5" customHeight="1">
      <c r="A1537" s="3"/>
      <c r="B1537" s="3"/>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7"/>
      <c r="AK1537" s="7"/>
      <c r="AL1537" s="7"/>
      <c r="AM1537" s="7"/>
      <c r="AN1537" s="7"/>
      <c r="AO1537" s="7"/>
      <c r="AP1537" s="7"/>
      <c r="AQ1537" s="7"/>
      <c r="AR1537" s="7"/>
      <c r="AS1537" s="7"/>
      <c r="AT1537" s="7"/>
      <c r="AU1537" s="3"/>
      <c r="AV1537" s="3"/>
      <c r="AW1537" s="3"/>
      <c r="AX1537" s="3"/>
      <c r="AY1537" s="3"/>
    </row>
    <row r="1538" spans="1:51" ht="16.5" customHeight="1">
      <c r="A1538" s="3"/>
      <c r="B1538" s="3"/>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7"/>
      <c r="AK1538" s="7"/>
      <c r="AL1538" s="7"/>
      <c r="AM1538" s="7"/>
      <c r="AN1538" s="7"/>
      <c r="AO1538" s="7"/>
      <c r="AP1538" s="7"/>
      <c r="AQ1538" s="7"/>
      <c r="AR1538" s="7"/>
      <c r="AS1538" s="7"/>
      <c r="AT1538" s="7"/>
      <c r="AU1538" s="3"/>
      <c r="AV1538" s="3"/>
      <c r="AW1538" s="3"/>
      <c r="AX1538" s="3"/>
      <c r="AY1538" s="3"/>
    </row>
    <row r="1539" spans="1:51" ht="16.5" customHeight="1">
      <c r="A1539" s="3"/>
      <c r="B1539" s="3"/>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7"/>
      <c r="AK1539" s="7"/>
      <c r="AL1539" s="7"/>
      <c r="AM1539" s="7"/>
      <c r="AN1539" s="7"/>
      <c r="AO1539" s="7"/>
      <c r="AP1539" s="7"/>
      <c r="AQ1539" s="7"/>
      <c r="AR1539" s="7"/>
      <c r="AS1539" s="7"/>
      <c r="AT1539" s="7"/>
      <c r="AU1539" s="3"/>
      <c r="AV1539" s="3"/>
      <c r="AW1539" s="3"/>
      <c r="AX1539" s="3"/>
      <c r="AY1539" s="3"/>
    </row>
    <row r="1540" spans="1:51" ht="16.5" customHeight="1">
      <c r="A1540" s="3"/>
      <c r="B1540" s="3"/>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7"/>
      <c r="AK1540" s="7"/>
      <c r="AL1540" s="7"/>
      <c r="AM1540" s="7"/>
      <c r="AN1540" s="7"/>
      <c r="AO1540" s="7"/>
      <c r="AP1540" s="7"/>
      <c r="AQ1540" s="7"/>
      <c r="AR1540" s="7"/>
      <c r="AS1540" s="7"/>
      <c r="AT1540" s="7"/>
      <c r="AU1540" s="3"/>
      <c r="AV1540" s="3"/>
      <c r="AW1540" s="3"/>
      <c r="AX1540" s="3"/>
      <c r="AY1540" s="3"/>
    </row>
    <row r="1541" spans="1:51" ht="16.5" customHeight="1">
      <c r="A1541" s="3"/>
      <c r="B1541" s="3"/>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7"/>
      <c r="AK1541" s="7"/>
      <c r="AL1541" s="7"/>
      <c r="AM1541" s="7"/>
      <c r="AN1541" s="7"/>
      <c r="AO1541" s="7"/>
      <c r="AP1541" s="7"/>
      <c r="AQ1541" s="7"/>
      <c r="AR1541" s="7"/>
      <c r="AS1541" s="7"/>
      <c r="AT1541" s="7"/>
      <c r="AU1541" s="3"/>
      <c r="AV1541" s="3"/>
      <c r="AW1541" s="3"/>
      <c r="AX1541" s="3"/>
      <c r="AY1541" s="3"/>
    </row>
    <row r="1542" spans="1:51" ht="16.5" customHeight="1">
      <c r="A1542" s="3"/>
      <c r="B1542" s="3"/>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7"/>
      <c r="AK1542" s="7"/>
      <c r="AL1542" s="7"/>
      <c r="AM1542" s="7"/>
      <c r="AN1542" s="7"/>
      <c r="AO1542" s="7"/>
      <c r="AP1542" s="7"/>
      <c r="AQ1542" s="7"/>
      <c r="AR1542" s="7"/>
      <c r="AS1542" s="7"/>
      <c r="AT1542" s="7"/>
      <c r="AU1542" s="3"/>
      <c r="AV1542" s="3"/>
      <c r="AW1542" s="3"/>
      <c r="AX1542" s="3"/>
      <c r="AY1542" s="3"/>
    </row>
    <row r="1543" spans="1:51" ht="16.5" customHeight="1">
      <c r="A1543" s="3"/>
      <c r="B1543" s="3"/>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7"/>
      <c r="AK1543" s="7"/>
      <c r="AL1543" s="7"/>
      <c r="AM1543" s="7"/>
      <c r="AN1543" s="7"/>
      <c r="AO1543" s="7"/>
      <c r="AP1543" s="7"/>
      <c r="AQ1543" s="7"/>
      <c r="AR1543" s="7"/>
      <c r="AS1543" s="7"/>
      <c r="AT1543" s="7"/>
      <c r="AU1543" s="3"/>
      <c r="AV1543" s="3"/>
      <c r="AW1543" s="3"/>
      <c r="AX1543" s="3"/>
      <c r="AY1543" s="3"/>
    </row>
    <row r="1544" spans="1:51" ht="16.5" customHeight="1">
      <c r="A1544" s="3"/>
      <c r="B1544" s="3"/>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7"/>
      <c r="AK1544" s="7"/>
      <c r="AL1544" s="7"/>
      <c r="AM1544" s="7"/>
      <c r="AN1544" s="7"/>
      <c r="AO1544" s="7"/>
      <c r="AP1544" s="7"/>
      <c r="AQ1544" s="7"/>
      <c r="AR1544" s="7"/>
      <c r="AS1544" s="7"/>
      <c r="AT1544" s="7"/>
      <c r="AU1544" s="3"/>
      <c r="AV1544" s="3"/>
      <c r="AW1544" s="3"/>
      <c r="AX1544" s="3"/>
      <c r="AY1544" s="3"/>
    </row>
    <row r="1545" spans="1:51" ht="16.5" customHeight="1">
      <c r="A1545" s="3"/>
      <c r="B1545" s="3"/>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7"/>
      <c r="AK1545" s="7"/>
      <c r="AL1545" s="7"/>
      <c r="AM1545" s="7"/>
      <c r="AN1545" s="7"/>
      <c r="AO1545" s="7"/>
      <c r="AP1545" s="7"/>
      <c r="AQ1545" s="7"/>
      <c r="AR1545" s="7"/>
      <c r="AS1545" s="7"/>
      <c r="AT1545" s="7"/>
      <c r="AU1545" s="3"/>
      <c r="AV1545" s="3"/>
      <c r="AW1545" s="3"/>
      <c r="AX1545" s="3"/>
      <c r="AY1545" s="3"/>
    </row>
    <row r="1546" spans="1:51" ht="16.5" customHeight="1">
      <c r="A1546" s="3"/>
      <c r="B1546" s="3"/>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7"/>
      <c r="AK1546" s="7"/>
      <c r="AL1546" s="7"/>
      <c r="AM1546" s="7"/>
      <c r="AN1546" s="7"/>
      <c r="AO1546" s="7"/>
      <c r="AP1546" s="7"/>
      <c r="AQ1546" s="7"/>
      <c r="AR1546" s="7"/>
      <c r="AS1546" s="7"/>
      <c r="AT1546" s="7"/>
      <c r="AU1546" s="3"/>
      <c r="AV1546" s="3"/>
      <c r="AW1546" s="3"/>
      <c r="AX1546" s="3"/>
      <c r="AY1546" s="3"/>
    </row>
    <row r="1547" spans="1:51" ht="16.5" customHeight="1">
      <c r="A1547" s="3"/>
      <c r="B1547" s="3"/>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7"/>
      <c r="AK1547" s="7"/>
      <c r="AL1547" s="7"/>
      <c r="AM1547" s="7"/>
      <c r="AN1547" s="7"/>
      <c r="AO1547" s="7"/>
      <c r="AP1547" s="7"/>
      <c r="AQ1547" s="7"/>
      <c r="AR1547" s="7"/>
      <c r="AS1547" s="7"/>
      <c r="AT1547" s="7"/>
      <c r="AU1547" s="3"/>
      <c r="AV1547" s="3"/>
      <c r="AW1547" s="3"/>
      <c r="AX1547" s="3"/>
      <c r="AY1547" s="3"/>
    </row>
    <row r="1548" spans="1:51" ht="16.5" customHeight="1">
      <c r="A1548" s="3"/>
      <c r="B1548" s="3"/>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7"/>
      <c r="AK1548" s="7"/>
      <c r="AL1548" s="7"/>
      <c r="AM1548" s="7"/>
      <c r="AN1548" s="7"/>
      <c r="AO1548" s="7"/>
      <c r="AP1548" s="7"/>
      <c r="AQ1548" s="7"/>
      <c r="AR1548" s="7"/>
      <c r="AS1548" s="7"/>
      <c r="AT1548" s="7"/>
      <c r="AU1548" s="3"/>
      <c r="AV1548" s="3"/>
      <c r="AW1548" s="3"/>
      <c r="AX1548" s="3"/>
      <c r="AY1548" s="3"/>
    </row>
    <row r="1549" spans="1:51" ht="16.5" customHeight="1">
      <c r="A1549" s="3"/>
      <c r="B1549" s="3"/>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7"/>
      <c r="AK1549" s="7"/>
      <c r="AL1549" s="7"/>
      <c r="AM1549" s="7"/>
      <c r="AN1549" s="7"/>
      <c r="AO1549" s="7"/>
      <c r="AP1549" s="7"/>
      <c r="AQ1549" s="7"/>
      <c r="AR1549" s="7"/>
      <c r="AS1549" s="7"/>
      <c r="AT1549" s="7"/>
      <c r="AU1549" s="3"/>
      <c r="AV1549" s="3"/>
      <c r="AW1549" s="3"/>
      <c r="AX1549" s="3"/>
      <c r="AY1549" s="3"/>
    </row>
    <row r="1550" spans="1:51" ht="16.5" customHeight="1">
      <c r="A1550" s="3"/>
      <c r="B1550" s="3"/>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7"/>
      <c r="AK1550" s="7"/>
      <c r="AL1550" s="7"/>
      <c r="AM1550" s="7"/>
      <c r="AN1550" s="7"/>
      <c r="AO1550" s="7"/>
      <c r="AP1550" s="7"/>
      <c r="AQ1550" s="7"/>
      <c r="AR1550" s="7"/>
      <c r="AS1550" s="7"/>
      <c r="AT1550" s="7"/>
      <c r="AU1550" s="3"/>
      <c r="AV1550" s="3"/>
      <c r="AW1550" s="3"/>
      <c r="AX1550" s="3"/>
      <c r="AY1550" s="3"/>
    </row>
    <row r="1551" spans="1:51" ht="16.5" customHeight="1">
      <c r="A1551" s="3"/>
      <c r="B1551" s="3"/>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7"/>
      <c r="AK1551" s="7"/>
      <c r="AL1551" s="7"/>
      <c r="AM1551" s="7"/>
      <c r="AN1551" s="7"/>
      <c r="AO1551" s="7"/>
      <c r="AP1551" s="7"/>
      <c r="AQ1551" s="7"/>
      <c r="AR1551" s="7"/>
      <c r="AS1551" s="7"/>
      <c r="AT1551" s="7"/>
      <c r="AU1551" s="3"/>
      <c r="AV1551" s="3"/>
      <c r="AW1551" s="3"/>
      <c r="AX1551" s="3"/>
      <c r="AY1551" s="3"/>
    </row>
    <row r="1552" spans="1:51" ht="16.5" customHeight="1">
      <c r="A1552" s="3"/>
      <c r="B1552" s="3"/>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7"/>
      <c r="AK1552" s="7"/>
      <c r="AL1552" s="7"/>
      <c r="AM1552" s="7"/>
      <c r="AN1552" s="7"/>
      <c r="AO1552" s="7"/>
      <c r="AP1552" s="7"/>
      <c r="AQ1552" s="7"/>
      <c r="AR1552" s="7"/>
      <c r="AS1552" s="7"/>
      <c r="AT1552" s="7"/>
      <c r="AU1552" s="3"/>
      <c r="AV1552" s="3"/>
      <c r="AW1552" s="3"/>
      <c r="AX1552" s="3"/>
      <c r="AY1552" s="3"/>
    </row>
    <row r="1553" spans="1:51" ht="16.5" customHeight="1">
      <c r="A1553" s="3"/>
      <c r="B1553" s="3"/>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7"/>
      <c r="AK1553" s="7"/>
      <c r="AL1553" s="7"/>
      <c r="AM1553" s="7"/>
      <c r="AN1553" s="7"/>
      <c r="AO1553" s="7"/>
      <c r="AP1553" s="7"/>
      <c r="AQ1553" s="7"/>
      <c r="AR1553" s="7"/>
      <c r="AS1553" s="7"/>
      <c r="AT1553" s="7"/>
      <c r="AU1553" s="3"/>
      <c r="AV1553" s="3"/>
      <c r="AW1553" s="3"/>
      <c r="AX1553" s="3"/>
      <c r="AY1553" s="3"/>
    </row>
    <row r="1554" spans="1:51" ht="16.5" customHeight="1">
      <c r="A1554" s="3"/>
      <c r="B1554" s="3"/>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7"/>
      <c r="AK1554" s="7"/>
      <c r="AL1554" s="7"/>
      <c r="AM1554" s="7"/>
      <c r="AN1554" s="7"/>
      <c r="AO1554" s="7"/>
      <c r="AP1554" s="7"/>
      <c r="AQ1554" s="7"/>
      <c r="AR1554" s="7"/>
      <c r="AS1554" s="7"/>
      <c r="AT1554" s="7"/>
      <c r="AU1554" s="3"/>
      <c r="AV1554" s="3"/>
      <c r="AW1554" s="3"/>
      <c r="AX1554" s="3"/>
      <c r="AY1554" s="3"/>
    </row>
    <row r="1555" spans="1:51" ht="16.5" customHeight="1">
      <c r="A1555" s="3"/>
      <c r="B1555" s="3"/>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7"/>
      <c r="AK1555" s="7"/>
      <c r="AL1555" s="7"/>
      <c r="AM1555" s="7"/>
      <c r="AN1555" s="7"/>
      <c r="AO1555" s="7"/>
      <c r="AP1555" s="7"/>
      <c r="AQ1555" s="7"/>
      <c r="AR1555" s="7"/>
      <c r="AS1555" s="7"/>
      <c r="AT1555" s="7"/>
      <c r="AU1555" s="3"/>
      <c r="AV1555" s="3"/>
      <c r="AW1555" s="3"/>
      <c r="AX1555" s="3"/>
      <c r="AY1555" s="3"/>
    </row>
    <row r="1556" spans="1:51" ht="16.5" customHeight="1">
      <c r="A1556" s="3"/>
      <c r="B1556" s="3"/>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7"/>
      <c r="AK1556" s="7"/>
      <c r="AL1556" s="7"/>
      <c r="AM1556" s="7"/>
      <c r="AN1556" s="7"/>
      <c r="AO1556" s="7"/>
      <c r="AP1556" s="7"/>
      <c r="AQ1556" s="7"/>
      <c r="AR1556" s="7"/>
      <c r="AS1556" s="7"/>
      <c r="AT1556" s="7"/>
      <c r="AU1556" s="3"/>
      <c r="AV1556" s="3"/>
      <c r="AW1556" s="3"/>
      <c r="AX1556" s="3"/>
      <c r="AY1556" s="3"/>
    </row>
    <row r="1557" spans="1:51" ht="16.5" customHeight="1">
      <c r="A1557" s="3"/>
      <c r="B1557" s="3"/>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7"/>
      <c r="AK1557" s="7"/>
      <c r="AL1557" s="7"/>
      <c r="AM1557" s="7"/>
      <c r="AN1557" s="7"/>
      <c r="AO1557" s="7"/>
      <c r="AP1557" s="7"/>
      <c r="AQ1557" s="7"/>
      <c r="AR1557" s="7"/>
      <c r="AS1557" s="7"/>
      <c r="AT1557" s="7"/>
      <c r="AU1557" s="3"/>
      <c r="AV1557" s="3"/>
      <c r="AW1557" s="3"/>
      <c r="AX1557" s="3"/>
      <c r="AY1557" s="3"/>
    </row>
    <row r="1558" spans="1:51" ht="16.5" customHeight="1">
      <c r="A1558" s="3"/>
      <c r="B1558" s="3"/>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7"/>
      <c r="AK1558" s="7"/>
      <c r="AL1558" s="7"/>
      <c r="AM1558" s="7"/>
      <c r="AN1558" s="7"/>
      <c r="AO1558" s="7"/>
      <c r="AP1558" s="7"/>
      <c r="AQ1558" s="7"/>
      <c r="AR1558" s="7"/>
      <c r="AS1558" s="7"/>
      <c r="AT1558" s="7"/>
      <c r="AU1558" s="3"/>
      <c r="AV1558" s="3"/>
      <c r="AW1558" s="3"/>
      <c r="AX1558" s="3"/>
      <c r="AY1558" s="3"/>
    </row>
    <row r="1559" spans="1:51" ht="16.5" customHeight="1">
      <c r="A1559" s="3"/>
      <c r="B1559" s="3"/>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7"/>
      <c r="AK1559" s="7"/>
      <c r="AL1559" s="7"/>
      <c r="AM1559" s="7"/>
      <c r="AN1559" s="7"/>
      <c r="AO1559" s="7"/>
      <c r="AP1559" s="7"/>
      <c r="AQ1559" s="7"/>
      <c r="AR1559" s="7"/>
      <c r="AS1559" s="7"/>
      <c r="AT1559" s="7"/>
      <c r="AU1559" s="3"/>
      <c r="AV1559" s="3"/>
      <c r="AW1559" s="3"/>
      <c r="AX1559" s="3"/>
      <c r="AY1559" s="3"/>
    </row>
    <row r="1560" spans="1:51" ht="16.5" customHeight="1">
      <c r="A1560" s="3"/>
      <c r="B1560" s="3"/>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7"/>
      <c r="AK1560" s="7"/>
      <c r="AL1560" s="7"/>
      <c r="AM1560" s="7"/>
      <c r="AN1560" s="7"/>
      <c r="AO1560" s="7"/>
      <c r="AP1560" s="7"/>
      <c r="AQ1560" s="7"/>
      <c r="AR1560" s="7"/>
      <c r="AS1560" s="7"/>
      <c r="AT1560" s="7"/>
      <c r="AU1560" s="3"/>
      <c r="AV1560" s="3"/>
      <c r="AW1560" s="3"/>
      <c r="AX1560" s="3"/>
      <c r="AY1560" s="3"/>
    </row>
    <row r="1561" spans="1:51" ht="16.5" customHeight="1">
      <c r="A1561" s="3"/>
      <c r="B1561" s="3"/>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7"/>
      <c r="AK1561" s="7"/>
      <c r="AL1561" s="7"/>
      <c r="AM1561" s="7"/>
      <c r="AN1561" s="7"/>
      <c r="AO1561" s="7"/>
      <c r="AP1561" s="7"/>
      <c r="AQ1561" s="7"/>
      <c r="AR1561" s="7"/>
      <c r="AS1561" s="7"/>
      <c r="AT1561" s="7"/>
      <c r="AU1561" s="3"/>
      <c r="AV1561" s="3"/>
      <c r="AW1561" s="3"/>
      <c r="AX1561" s="3"/>
      <c r="AY1561" s="3"/>
    </row>
    <row r="1562" spans="1:51" ht="16.5" customHeight="1">
      <c r="A1562" s="3"/>
      <c r="B1562" s="3"/>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7"/>
      <c r="AK1562" s="7"/>
      <c r="AL1562" s="7"/>
      <c r="AM1562" s="7"/>
      <c r="AN1562" s="7"/>
      <c r="AO1562" s="7"/>
      <c r="AP1562" s="7"/>
      <c r="AQ1562" s="7"/>
      <c r="AR1562" s="7"/>
      <c r="AS1562" s="7"/>
      <c r="AT1562" s="7"/>
      <c r="AU1562" s="3"/>
      <c r="AV1562" s="3"/>
      <c r="AW1562" s="3"/>
      <c r="AX1562" s="3"/>
      <c r="AY1562" s="3"/>
    </row>
    <row r="1563" spans="1:51" ht="16.5" customHeight="1">
      <c r="A1563" s="3"/>
      <c r="B1563" s="3"/>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7"/>
      <c r="AK1563" s="7"/>
      <c r="AL1563" s="7"/>
      <c r="AM1563" s="7"/>
      <c r="AN1563" s="7"/>
      <c r="AO1563" s="7"/>
      <c r="AP1563" s="7"/>
      <c r="AQ1563" s="7"/>
      <c r="AR1563" s="7"/>
      <c r="AS1563" s="7"/>
      <c r="AT1563" s="7"/>
      <c r="AU1563" s="3"/>
      <c r="AV1563" s="3"/>
      <c r="AW1563" s="3"/>
      <c r="AX1563" s="3"/>
      <c r="AY1563" s="3"/>
    </row>
    <row r="1564" spans="1:51" ht="16.5" customHeight="1">
      <c r="A1564" s="3"/>
      <c r="B1564" s="3"/>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7"/>
      <c r="AK1564" s="7"/>
      <c r="AL1564" s="7"/>
      <c r="AM1564" s="7"/>
      <c r="AN1564" s="7"/>
      <c r="AO1564" s="7"/>
      <c r="AP1564" s="7"/>
      <c r="AQ1564" s="7"/>
      <c r="AR1564" s="7"/>
      <c r="AS1564" s="7"/>
      <c r="AT1564" s="7"/>
      <c r="AU1564" s="3"/>
      <c r="AV1564" s="3"/>
      <c r="AW1564" s="3"/>
      <c r="AX1564" s="3"/>
      <c r="AY1564" s="3"/>
    </row>
    <row r="1565" spans="1:51" ht="16.5" customHeight="1">
      <c r="A1565" s="3"/>
      <c r="B1565" s="3"/>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7"/>
      <c r="AK1565" s="7"/>
      <c r="AL1565" s="7"/>
      <c r="AM1565" s="7"/>
      <c r="AN1565" s="7"/>
      <c r="AO1565" s="7"/>
      <c r="AP1565" s="7"/>
      <c r="AQ1565" s="7"/>
      <c r="AR1565" s="7"/>
      <c r="AS1565" s="7"/>
      <c r="AT1565" s="7"/>
      <c r="AU1565" s="3"/>
      <c r="AV1565" s="3"/>
      <c r="AW1565" s="3"/>
      <c r="AX1565" s="3"/>
      <c r="AY1565" s="3"/>
    </row>
    <row r="1566" spans="1:51" ht="16.5" customHeight="1">
      <c r="A1566" s="3"/>
      <c r="B1566" s="3"/>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7"/>
      <c r="AK1566" s="7"/>
      <c r="AL1566" s="7"/>
      <c r="AM1566" s="7"/>
      <c r="AN1566" s="7"/>
      <c r="AO1566" s="7"/>
      <c r="AP1566" s="7"/>
      <c r="AQ1566" s="7"/>
      <c r="AR1566" s="7"/>
      <c r="AS1566" s="7"/>
      <c r="AT1566" s="7"/>
      <c r="AU1566" s="3"/>
      <c r="AV1566" s="3"/>
      <c r="AW1566" s="3"/>
      <c r="AX1566" s="3"/>
      <c r="AY1566" s="3"/>
    </row>
    <row r="1567" spans="1:51" ht="16.5" customHeight="1">
      <c r="A1567" s="3"/>
      <c r="B1567" s="3"/>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7"/>
      <c r="AK1567" s="7"/>
      <c r="AL1567" s="7"/>
      <c r="AM1567" s="7"/>
      <c r="AN1567" s="7"/>
      <c r="AO1567" s="7"/>
      <c r="AP1567" s="7"/>
      <c r="AQ1567" s="7"/>
      <c r="AR1567" s="7"/>
      <c r="AS1567" s="7"/>
      <c r="AT1567" s="7"/>
      <c r="AU1567" s="3"/>
      <c r="AV1567" s="3"/>
      <c r="AW1567" s="3"/>
      <c r="AX1567" s="3"/>
      <c r="AY1567" s="3"/>
    </row>
    <row r="1568" spans="1:51" ht="16.5" customHeight="1">
      <c r="A1568" s="3"/>
      <c r="B1568" s="3"/>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7"/>
      <c r="AK1568" s="7"/>
      <c r="AL1568" s="7"/>
      <c r="AM1568" s="7"/>
      <c r="AN1568" s="7"/>
      <c r="AO1568" s="7"/>
      <c r="AP1568" s="7"/>
      <c r="AQ1568" s="7"/>
      <c r="AR1568" s="7"/>
      <c r="AS1568" s="7"/>
      <c r="AT1568" s="7"/>
      <c r="AU1568" s="3"/>
      <c r="AV1568" s="3"/>
      <c r="AW1568" s="3"/>
      <c r="AX1568" s="3"/>
      <c r="AY1568" s="3"/>
    </row>
    <row r="1569" spans="1:51" ht="16.5" customHeight="1">
      <c r="A1569" s="3"/>
      <c r="B1569" s="3"/>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7"/>
      <c r="AK1569" s="7"/>
      <c r="AL1569" s="7"/>
      <c r="AM1569" s="7"/>
      <c r="AN1569" s="7"/>
      <c r="AO1569" s="7"/>
      <c r="AP1569" s="7"/>
      <c r="AQ1569" s="7"/>
      <c r="AR1569" s="7"/>
      <c r="AS1569" s="7"/>
      <c r="AT1569" s="7"/>
      <c r="AU1569" s="3"/>
      <c r="AV1569" s="3"/>
      <c r="AW1569" s="3"/>
      <c r="AX1569" s="3"/>
      <c r="AY1569" s="3"/>
    </row>
    <row r="1570" spans="1:51" ht="16.5" customHeight="1">
      <c r="A1570" s="3"/>
      <c r="B1570" s="3"/>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7"/>
      <c r="AK1570" s="7"/>
      <c r="AL1570" s="7"/>
      <c r="AM1570" s="7"/>
      <c r="AN1570" s="7"/>
      <c r="AO1570" s="7"/>
      <c r="AP1570" s="7"/>
      <c r="AQ1570" s="7"/>
      <c r="AR1570" s="7"/>
      <c r="AS1570" s="7"/>
      <c r="AT1570" s="7"/>
      <c r="AU1570" s="3"/>
      <c r="AV1570" s="3"/>
      <c r="AW1570" s="3"/>
      <c r="AX1570" s="3"/>
      <c r="AY1570" s="3"/>
    </row>
    <row r="1571" spans="1:51" ht="16.5" customHeight="1">
      <c r="A1571" s="3"/>
      <c r="B1571" s="3"/>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7"/>
      <c r="AK1571" s="7"/>
      <c r="AL1571" s="7"/>
      <c r="AM1571" s="7"/>
      <c r="AN1571" s="7"/>
      <c r="AO1571" s="7"/>
      <c r="AP1571" s="7"/>
      <c r="AQ1571" s="7"/>
      <c r="AR1571" s="7"/>
      <c r="AS1571" s="7"/>
      <c r="AT1571" s="7"/>
      <c r="AU1571" s="3"/>
      <c r="AV1571" s="3"/>
      <c r="AW1571" s="3"/>
      <c r="AX1571" s="3"/>
      <c r="AY1571" s="3"/>
    </row>
    <row r="1572" spans="1:51" ht="16.5" customHeight="1">
      <c r="A1572" s="3"/>
      <c r="B1572" s="3"/>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7"/>
      <c r="AK1572" s="7"/>
      <c r="AL1572" s="7"/>
      <c r="AM1572" s="7"/>
      <c r="AN1572" s="7"/>
      <c r="AO1572" s="7"/>
      <c r="AP1572" s="7"/>
      <c r="AQ1572" s="7"/>
      <c r="AR1572" s="7"/>
      <c r="AS1572" s="7"/>
      <c r="AT1572" s="7"/>
      <c r="AU1572" s="3"/>
      <c r="AV1572" s="3"/>
      <c r="AW1572" s="3"/>
      <c r="AX1572" s="3"/>
      <c r="AY1572" s="3"/>
    </row>
    <row r="1573" spans="1:51" ht="16.5" customHeight="1">
      <c r="A1573" s="3"/>
      <c r="B1573" s="3"/>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7"/>
      <c r="AK1573" s="7"/>
      <c r="AL1573" s="7"/>
      <c r="AM1573" s="7"/>
      <c r="AN1573" s="7"/>
      <c r="AO1573" s="7"/>
      <c r="AP1573" s="7"/>
      <c r="AQ1573" s="7"/>
      <c r="AR1573" s="7"/>
      <c r="AS1573" s="7"/>
      <c r="AT1573" s="7"/>
      <c r="AU1573" s="3"/>
      <c r="AV1573" s="3"/>
      <c r="AW1573" s="3"/>
      <c r="AX1573" s="3"/>
      <c r="AY1573" s="3"/>
    </row>
    <row r="1574" spans="1:51" ht="16.5" customHeight="1">
      <c r="A1574" s="3"/>
      <c r="B1574" s="3"/>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7"/>
      <c r="AK1574" s="7"/>
      <c r="AL1574" s="7"/>
      <c r="AM1574" s="7"/>
      <c r="AN1574" s="7"/>
      <c r="AO1574" s="7"/>
      <c r="AP1574" s="7"/>
      <c r="AQ1574" s="7"/>
      <c r="AR1574" s="7"/>
      <c r="AS1574" s="7"/>
      <c r="AT1574" s="7"/>
      <c r="AU1574" s="3"/>
      <c r="AV1574" s="3"/>
      <c r="AW1574" s="3"/>
      <c r="AX1574" s="3"/>
      <c r="AY1574" s="3"/>
    </row>
    <row r="1575" spans="1:51" ht="16.5" customHeight="1">
      <c r="A1575" s="3"/>
      <c r="B1575" s="3"/>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7"/>
      <c r="AK1575" s="7"/>
      <c r="AL1575" s="7"/>
      <c r="AM1575" s="7"/>
      <c r="AN1575" s="7"/>
      <c r="AO1575" s="7"/>
      <c r="AP1575" s="7"/>
      <c r="AQ1575" s="7"/>
      <c r="AR1575" s="7"/>
      <c r="AS1575" s="7"/>
      <c r="AT1575" s="7"/>
      <c r="AU1575" s="3"/>
      <c r="AV1575" s="3"/>
      <c r="AW1575" s="3"/>
      <c r="AX1575" s="3"/>
      <c r="AY1575" s="3"/>
    </row>
    <row r="1576" spans="1:51" ht="16.5" customHeight="1">
      <c r="A1576" s="3"/>
      <c r="B1576" s="3"/>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7"/>
      <c r="AK1576" s="7"/>
      <c r="AL1576" s="7"/>
      <c r="AM1576" s="7"/>
      <c r="AN1576" s="7"/>
      <c r="AO1576" s="7"/>
      <c r="AP1576" s="7"/>
      <c r="AQ1576" s="7"/>
      <c r="AR1576" s="7"/>
      <c r="AS1576" s="7"/>
      <c r="AT1576" s="7"/>
      <c r="AU1576" s="3"/>
      <c r="AV1576" s="3"/>
      <c r="AW1576" s="3"/>
      <c r="AX1576" s="3"/>
      <c r="AY1576" s="3"/>
    </row>
    <row r="1577" spans="1:51" ht="16.5" customHeight="1">
      <c r="A1577" s="3"/>
      <c r="B1577" s="3"/>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7"/>
      <c r="AK1577" s="7"/>
      <c r="AL1577" s="7"/>
      <c r="AM1577" s="7"/>
      <c r="AN1577" s="7"/>
      <c r="AO1577" s="7"/>
      <c r="AP1577" s="7"/>
      <c r="AQ1577" s="7"/>
      <c r="AR1577" s="7"/>
      <c r="AS1577" s="7"/>
      <c r="AT1577" s="7"/>
      <c r="AU1577" s="3"/>
      <c r="AV1577" s="3"/>
      <c r="AW1577" s="3"/>
      <c r="AX1577" s="3"/>
      <c r="AY1577" s="3"/>
    </row>
    <row r="1578" spans="1:51" ht="16.5" customHeight="1">
      <c r="A1578" s="3"/>
      <c r="B1578" s="3"/>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7"/>
      <c r="AK1578" s="7"/>
      <c r="AL1578" s="7"/>
      <c r="AM1578" s="7"/>
      <c r="AN1578" s="7"/>
      <c r="AO1578" s="7"/>
      <c r="AP1578" s="7"/>
      <c r="AQ1578" s="7"/>
      <c r="AR1578" s="7"/>
      <c r="AS1578" s="7"/>
      <c r="AT1578" s="7"/>
      <c r="AU1578" s="3"/>
      <c r="AV1578" s="3"/>
      <c r="AW1578" s="3"/>
      <c r="AX1578" s="3"/>
      <c r="AY1578" s="3"/>
    </row>
    <row r="1579" spans="1:51" ht="16.5" customHeight="1">
      <c r="A1579" s="3"/>
      <c r="B1579" s="3"/>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7"/>
      <c r="AK1579" s="7"/>
      <c r="AL1579" s="7"/>
      <c r="AM1579" s="7"/>
      <c r="AN1579" s="7"/>
      <c r="AO1579" s="7"/>
      <c r="AP1579" s="7"/>
      <c r="AQ1579" s="7"/>
      <c r="AR1579" s="7"/>
      <c r="AS1579" s="7"/>
      <c r="AT1579" s="7"/>
      <c r="AU1579" s="3"/>
      <c r="AV1579" s="3"/>
      <c r="AW1579" s="3"/>
      <c r="AX1579" s="3"/>
      <c r="AY1579" s="3"/>
    </row>
    <row r="1580" spans="1:51" ht="16.5" customHeight="1">
      <c r="A1580" s="3"/>
      <c r="B1580" s="3"/>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7"/>
      <c r="AK1580" s="7"/>
      <c r="AL1580" s="7"/>
      <c r="AM1580" s="7"/>
      <c r="AN1580" s="7"/>
      <c r="AO1580" s="7"/>
      <c r="AP1580" s="7"/>
      <c r="AQ1580" s="7"/>
      <c r="AR1580" s="7"/>
      <c r="AS1580" s="7"/>
      <c r="AT1580" s="7"/>
      <c r="AU1580" s="3"/>
      <c r="AV1580" s="3"/>
      <c r="AW1580" s="3"/>
      <c r="AX1580" s="3"/>
      <c r="AY1580" s="3"/>
    </row>
    <row r="1581" spans="1:51" ht="16.5" customHeight="1">
      <c r="A1581" s="3"/>
      <c r="B1581" s="3"/>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7"/>
      <c r="AK1581" s="7"/>
      <c r="AL1581" s="7"/>
      <c r="AM1581" s="7"/>
      <c r="AN1581" s="7"/>
      <c r="AO1581" s="7"/>
      <c r="AP1581" s="7"/>
      <c r="AQ1581" s="7"/>
      <c r="AR1581" s="7"/>
      <c r="AS1581" s="7"/>
      <c r="AT1581" s="7"/>
      <c r="AU1581" s="3"/>
      <c r="AV1581" s="3"/>
      <c r="AW1581" s="3"/>
      <c r="AX1581" s="3"/>
      <c r="AY1581" s="3"/>
    </row>
  </sheetData>
  <hyperlinks>
    <hyperlink ref="V2" r:id="rId1" display="http://www.ms.ro/2020/06/10/decese-1356-1360/" xr:uid="{00000000-0004-0000-0000-000000000000}"/>
    <hyperlink ref="V3" r:id="rId2" display="http://www.ms.ro/2020/06/10/decese-1356-1360/" xr:uid="{00000000-0004-0000-0000-000001000000}"/>
    <hyperlink ref="V4" r:id="rId3" display="http://www.ms.ro/2020/06/09/decese-1346-1353/" xr:uid="{00000000-0004-0000-0000-000002000000}"/>
    <hyperlink ref="V5" r:id="rId4" display="http://www.ms.ro/2020/06/09/decese-1340-1343/" xr:uid="{00000000-0004-0000-0000-000003000000}"/>
    <hyperlink ref="V6" r:id="rId5" display="http://www.ms.ro/2020/06/08/decese-1335-1339/" xr:uid="{00000000-0004-0000-0000-000004000000}"/>
    <hyperlink ref="V7" r:id="rId6" display="http://www.ms.ro/2020/06/05/decese-1306-1308/" xr:uid="{00000000-0004-0000-0000-000005000000}"/>
    <hyperlink ref="V8" r:id="rId7" display="http://www.ms.ro/2020/06/04/decese-1300-1305/" xr:uid="{00000000-0004-0000-0000-000006000000}"/>
    <hyperlink ref="V9" r:id="rId8" display="http://www.ms.ro/2020/06/03/decese-1289-1296/" xr:uid="{00000000-0004-0000-0000-000007000000}"/>
    <hyperlink ref="V10" r:id="rId9" display="http://www.ms.ro/2020/06/03/decese-1289-1296/" xr:uid="{00000000-0004-0000-0000-000008000000}"/>
    <hyperlink ref="V11" r:id="rId10" display="http://www.ms.ro/2020/06/02/decese-1280-1288/" xr:uid="{00000000-0004-0000-0000-000009000000}"/>
    <hyperlink ref="V12" r:id="rId11" display="http://www.ms.ro/2020/05/30/decese-1249-1253/" xr:uid="{00000000-0004-0000-0000-00000A000000}"/>
    <hyperlink ref="V13" r:id="rId12" display="http://www.ms.ro/2020/05/30/decese-1249-1253/" xr:uid="{00000000-0004-0000-0000-00000B000000}"/>
    <hyperlink ref="V14" r:id="rId13" display="http://www.ms.ro/2020/05/29/decese-1236-1238/" xr:uid="{00000000-0004-0000-0000-00000C000000}"/>
    <hyperlink ref="V15" r:id="rId14" display="http://www.ms.ro/2020/05/29/decese-1236-1238/" xr:uid="{00000000-0004-0000-0000-00000D000000}"/>
    <hyperlink ref="V16" r:id="rId15" display="http://www.ms.ro/2020/05/25/decese-1198-1202/" xr:uid="{00000000-0004-0000-0000-00000E000000}"/>
    <hyperlink ref="V17" r:id="rId16" display="http://www.ms.ro/2020/05/25/decese-1198-1202/" xr:uid="{00000000-0004-0000-0000-00000F000000}"/>
    <hyperlink ref="V18" r:id="rId17" display="http://www.ms.ro/2020/05/22/decese-1160-1166/" xr:uid="{00000000-0004-0000-0000-000010000000}"/>
    <hyperlink ref="V19" r:id="rId18" display="http://www.ms.ro/2020/05/22/decese-1160-1166/" xr:uid="{00000000-0004-0000-0000-000011000000}"/>
    <hyperlink ref="V20" r:id="rId19" display="http://www.ms.ro/2020/05/22/decese-1157-1159/" xr:uid="{00000000-0004-0000-0000-000012000000}"/>
    <hyperlink ref="V21" r:id="rId20" display="http://www.ms.ro/2020/05/20/decese-1138-1141/" xr:uid="{00000000-0004-0000-0000-000013000000}"/>
    <hyperlink ref="V22" r:id="rId21" display="http://www.ms.ro/2020/05/19/decese-1127-1137/" xr:uid="{00000000-0004-0000-0000-000014000000}"/>
    <hyperlink ref="V23" r:id="rId22" display="http://www.ms.ro/2020/05/19/decese-1121-1124/" xr:uid="{00000000-0004-0000-0000-000015000000}"/>
    <hyperlink ref="V24" r:id="rId23" display="http://www.ms.ro/2020/05/18/decese-1108-1120/" xr:uid="{00000000-0004-0000-0000-000016000000}"/>
    <hyperlink ref="V25" r:id="rId24" display="http://www.ms.ro/2020/05/18/decese-1108-1120/" xr:uid="{00000000-0004-0000-0000-000017000000}"/>
    <hyperlink ref="V26" r:id="rId25" display="http://www.ms.ro/2020/05/18/decese-1108-1120/" xr:uid="{00000000-0004-0000-0000-000018000000}"/>
    <hyperlink ref="V27" r:id="rId26" display="http://www.ms.ro/2020/05/18/decese-1108-1120/" xr:uid="{00000000-0004-0000-0000-000019000000}"/>
    <hyperlink ref="V28" r:id="rId27" display="http://www.ms.ro/2020/05/14/decese/" xr:uid="{00000000-0004-0000-0000-00001A000000}"/>
    <hyperlink ref="V29" r:id="rId28" display="http://www.ms.ro/2020/05/14/decese-1037-1046/" xr:uid="{00000000-0004-0000-0000-00001B000000}"/>
    <hyperlink ref="V30" r:id="rId29" display="http://www.ms.ro/2020/05/13/decese-1017-1030/" xr:uid="{00000000-0004-0000-0000-00001C000000}"/>
    <hyperlink ref="V31" r:id="rId30" display="http://www.ms.ro/2020/05/13/decese-1017-1030/" xr:uid="{00000000-0004-0000-0000-00001D000000}"/>
    <hyperlink ref="V32" r:id="rId31" display="http://www.ms.ro/2020/05/12/decese-992-1002/" xr:uid="{00000000-0004-0000-0000-00001E000000}"/>
    <hyperlink ref="V33" r:id="rId32" display="http://www.ms.ro/2020/05/12/decese-992-1002/" xr:uid="{00000000-0004-0000-0000-00001F000000}"/>
    <hyperlink ref="V34" r:id="rId33" display="http://www.ms.ro/2020/05/11/decese-973-982/" xr:uid="{00000000-0004-0000-0000-000020000000}"/>
    <hyperlink ref="V35" r:id="rId34" display="http://www.ms.ro/2020/05/11/decese-962-972/" xr:uid="{00000000-0004-0000-0000-000021000000}"/>
    <hyperlink ref="V36" r:id="rId35" display="http://www.ms.ro/2020/05/11/decese-962-972/" xr:uid="{00000000-0004-0000-0000-000022000000}"/>
    <hyperlink ref="V37" r:id="rId36" display="http://www.ms.ro/2020/05/09/decese-937-939/" xr:uid="{00000000-0004-0000-0000-000023000000}"/>
    <hyperlink ref="V38" r:id="rId37" display="http://www.ms.ro/2020/05/07/decese-887-888/" xr:uid="{00000000-0004-0000-0000-000024000000}"/>
    <hyperlink ref="V39" r:id="rId38" display="http://www.ms.ro/2020/05/06/decese-842-854/" xr:uid="{00000000-0004-0000-0000-000025000000}"/>
    <hyperlink ref="V40" r:id="rId39" display="http://www.ms.ro/2020/05/06/decese-842-854/" xr:uid="{00000000-0004-0000-0000-000026000000}"/>
    <hyperlink ref="V41" r:id="rId40" display="http://www.ms.ro/2020/05/05/decese-828-841/" xr:uid="{00000000-0004-0000-0000-000027000000}"/>
    <hyperlink ref="V42" r:id="rId41" display="http://www.ms.ro/2020/05/05/decese-828-841/" xr:uid="{00000000-0004-0000-0000-000028000000}"/>
    <hyperlink ref="V43" r:id="rId42" display="http://www.ms.ro/2020/05/05/decese-828-841/" xr:uid="{00000000-0004-0000-0000-000029000000}"/>
    <hyperlink ref="V44" r:id="rId43" display="http://www.ms.ro/2020/05/04/decese-804-818/" xr:uid="{00000000-0004-0000-0000-00002A000000}"/>
    <hyperlink ref="V45" r:id="rId44" display="http://www.ms.ro/2020/05/04/decese-804-818/" xr:uid="{00000000-0004-0000-0000-00002B000000}"/>
    <hyperlink ref="V46" r:id="rId45" display="http://www.ms.ro/2020/05/02/decese-756-771/" xr:uid="{00000000-0004-0000-0000-00002C000000}"/>
    <hyperlink ref="V47" r:id="rId46" display="http://www.ms.ro/2020/04/29/decese-689-693/" xr:uid="{00000000-0004-0000-0000-00002D000000}"/>
    <hyperlink ref="V48" r:id="rId47" display="http://www.ms.ro/2020/04/29/decese-689-693/" xr:uid="{00000000-0004-0000-0000-00002E000000}"/>
    <hyperlink ref="V49" r:id="rId48" display="http://www.ms.ro/2020/04/29/decese-689-693/" xr:uid="{00000000-0004-0000-0000-00002F000000}"/>
    <hyperlink ref="V50" r:id="rId49" display="http://www.ms.ro/2020/04/29/decese-664-675/" xr:uid="{00000000-0004-0000-0000-000030000000}"/>
    <hyperlink ref="V51" r:id="rId50" display="http://www.ms.ro/2020/04/29/decese-664-675/" xr:uid="{00000000-0004-0000-0000-000031000000}"/>
    <hyperlink ref="V52" r:id="rId51" display="http://www.ms.ro/2020/04/29/decese-664-675/" xr:uid="{00000000-0004-0000-0000-000032000000}"/>
    <hyperlink ref="V53" r:id="rId52" display="http://www.ms.ro/2020/04/29/decese-664-675/" xr:uid="{00000000-0004-0000-0000-000033000000}"/>
    <hyperlink ref="V54" r:id="rId53" display="http://www.ms.ro/2020/04/27/decese-632-641/" xr:uid="{00000000-0004-0000-0000-000034000000}"/>
    <hyperlink ref="V55" r:id="rId54" display="http://www.ms.ro/2020/04/27/decese-632-641/" xr:uid="{00000000-0004-0000-0000-000035000000}"/>
    <hyperlink ref="V56" r:id="rId55" display="http://www.ms.ro/2020/04/27/decese-632-641/" xr:uid="{00000000-0004-0000-0000-000036000000}"/>
    <hyperlink ref="V57" r:id="rId56" display="http://www.ms.ro/2020/04/27/decese-632-641/" xr:uid="{00000000-0004-0000-0000-000037000000}"/>
    <hyperlink ref="V58" r:id="rId57" display="http://www.ms.ro/2020/04/25/decese-580-601/" xr:uid="{00000000-0004-0000-0000-000038000000}"/>
    <hyperlink ref="V59" r:id="rId58" display="http://www.ms.ro/2020/04/22/decese-499-507/" xr:uid="{00000000-0004-0000-0000-000039000000}"/>
    <hyperlink ref="V60" r:id="rId59" display="http://www.ms.ro/2020/04/22/decese-499-507/" xr:uid="{00000000-0004-0000-0000-00003A000000}"/>
    <hyperlink ref="V61" r:id="rId60" display="http://www.ms.ro/2020/04/21/decese-483-498/" xr:uid="{00000000-0004-0000-0000-00003B000000}"/>
    <hyperlink ref="V62" r:id="rId61" display="http://www.ms.ro/2020/04/20/decese-452-460/" xr:uid="{00000000-0004-0000-0000-00003C000000}"/>
    <hyperlink ref="V63" r:id="rId62" display="http://www.ms.ro/2020/04/19/decese-435-445/" xr:uid="{00000000-0004-0000-0000-00003D000000}"/>
    <hyperlink ref="V64" r:id="rId63" display="http://www.ms.ro/2020/04/19/decese-435-445/" xr:uid="{00000000-0004-0000-0000-00003E000000}"/>
    <hyperlink ref="V65" r:id="rId64" display="http://www.ms.ro/2020/04/17/decese-401-411/" xr:uid="{00000000-0004-0000-0000-00003F000000}"/>
    <hyperlink ref="V66" r:id="rId65" display="http://www.ms.ro/2020/04/14/decese-347-351/" xr:uid="{00000000-0004-0000-0000-000040000000}"/>
    <hyperlink ref="V67" r:id="rId66" display="http://www.ms.ro/2020/04/12/decese-291-306/" xr:uid="{00000000-0004-0000-0000-000041000000}"/>
    <hyperlink ref="V68" r:id="rId67" display="http://www.ms.ro/2020/04/11/decese-283-290/" xr:uid="{00000000-0004-0000-0000-000042000000}"/>
    <hyperlink ref="V69" r:id="rId68" display="http://www.ms.ro/2020/04/11/decese-271-282/" xr:uid="{00000000-0004-0000-0000-000043000000}"/>
    <hyperlink ref="V70" r:id="rId69" display="http://www.ms.ro/2020/04/10/decese-258-265/" xr:uid="{00000000-0004-0000-0000-000044000000}"/>
    <hyperlink ref="V71" r:id="rId70" display="http://www.ms.ro/2020/04/10/deces-249-257/" xr:uid="{00000000-0004-0000-0000-000045000000}"/>
    <hyperlink ref="V72" r:id="rId71" display="http://www.ms.ro/2020/04/09/decese-230-246/" xr:uid="{00000000-0004-0000-0000-000046000000}"/>
    <hyperlink ref="V73" r:id="rId72" display="http://www.ms.ro/2020/04/09/decese-230-246/" xr:uid="{00000000-0004-0000-0000-000047000000}"/>
    <hyperlink ref="V74" r:id="rId73" display="http://www.ms.ro/2020/04/09/deces-228-229/" xr:uid="{00000000-0004-0000-0000-000048000000}"/>
    <hyperlink ref="V75" r:id="rId74" display="http://www.ms.ro/2020/04/09/decese-221-227/" xr:uid="{00000000-0004-0000-0000-000049000000}"/>
    <hyperlink ref="V76" r:id="rId75" display="http://www.ms.ro/2020/04/09/decese-221-227/" xr:uid="{00000000-0004-0000-0000-00004A000000}"/>
    <hyperlink ref="V77" r:id="rId76" display="http://www.ms.ro/2020/04/08/deces-216-220/" xr:uid="{00000000-0004-0000-0000-00004B000000}"/>
    <hyperlink ref="V78" r:id="rId77" display="http://www.ms.ro/2020/04/08/deces-211-215/" xr:uid="{00000000-0004-0000-0000-00004C000000}"/>
    <hyperlink ref="V79" r:id="rId78" display="http://www.ms.ro/2020/04/08/deces-198-205/" xr:uid="{00000000-0004-0000-0000-00004D000000}"/>
    <hyperlink ref="V80" r:id="rId79" display="http://www.ms.ro/2020/04/08/deces-198-205/" xr:uid="{00000000-0004-0000-0000-00004E000000}"/>
    <hyperlink ref="V81" r:id="rId80" display="http://www.ms.ro/2020/04/08/deces-198-205/" xr:uid="{00000000-0004-0000-0000-00004F000000}"/>
    <hyperlink ref="V82" r:id="rId81" display="http://www.ms.ro/2020/04/07/deces-177-182/" xr:uid="{00000000-0004-0000-0000-000050000000}"/>
    <hyperlink ref="V83" r:id="rId82" display="http://www.ms.ro/2020/04/04/decese-141-146/" xr:uid="{00000000-0004-0000-0000-000051000000}"/>
    <hyperlink ref="V84" r:id="rId83" display="http://www.ms.ro/2020/04/04/deces-134-141/" xr:uid="{00000000-0004-0000-0000-000052000000}"/>
    <hyperlink ref="V85" r:id="rId84" display="http://www.ms.ro/2020/04/04/deces-134-141/" xr:uid="{00000000-0004-0000-0000-000053000000}"/>
    <hyperlink ref="V86" r:id="rId85" display="http://www.ms.ro/2020/04/03/deces-117-118/" xr:uid="{00000000-0004-0000-0000-000054000000}"/>
    <hyperlink ref="V87" r:id="rId86" display="http://www.ms.ro/2020/04/02/decese-95-107/" xr:uid="{00000000-0004-0000-0000-000055000000}"/>
    <hyperlink ref="V88" r:id="rId87" display="http://www.ms.ro/2020/04/02/decese-95-107/" xr:uid="{00000000-0004-0000-0000-000056000000}"/>
    <hyperlink ref="V89" r:id="rId88" display="http://www.ms.ro/2020/04/01/deces-91-92/" xr:uid="{00000000-0004-0000-0000-000057000000}"/>
    <hyperlink ref="V90" r:id="rId89" display="http://www.ms.ro/2020/04/01/deces-91-92/" xr:uid="{00000000-0004-0000-0000-000058000000}"/>
    <hyperlink ref="V91" r:id="rId90" display="http://www.ms.ro/2020/04/01/deces-87-90/" xr:uid="{00000000-0004-0000-0000-000059000000}"/>
    <hyperlink ref="V92" r:id="rId91" display="http://www.ms.ro/2020/04/01/decese-83-85/" xr:uid="{00000000-0004-0000-0000-00005A000000}"/>
    <hyperlink ref="V93" r:id="rId92" display="http://www.ms.ro/2020/04/01/decese-83-85/" xr:uid="{00000000-0004-0000-0000-00005B000000}"/>
    <hyperlink ref="V94" r:id="rId93" display="http://www.ms.ro/2020/03/31/deces-79/" xr:uid="{00000000-0004-0000-0000-00005C000000}"/>
    <hyperlink ref="V95" r:id="rId94" display="http://www.ms.ro/2020/03/27/al-25-lea-deces-al-unei-persoane-infectate-cu-noul-coronavirus/" xr:uid="{00000000-0004-0000-0000-00005D000000}"/>
    <hyperlink ref="V96" r:id="rId95" display="http://www.ms.ro/2020/03/23/al-saptelea-deces-al-unui-pacient-infectat-cu-noul-coronavirus/" xr:uid="{00000000-0004-0000-0000-00005E000000}"/>
    <hyperlink ref="V97" r:id="rId96" display="http://www.ms.ro/2020/03/22/buletin-informativ-22-03-2020/" xr:uid="{00000000-0004-0000-0000-00005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pane ySplit="1" topLeftCell="A2" activePane="bottomLeft" state="frozen"/>
      <selection pane="bottomLeft" activeCell="B3" sqref="B3"/>
    </sheetView>
  </sheetViews>
  <sheetFormatPr defaultColWidth="14.453125" defaultRowHeight="15.75" customHeight="1"/>
  <cols>
    <col min="4" max="4" width="24.08984375" customWidth="1"/>
  </cols>
  <sheetData>
    <row r="1" spans="1:5">
      <c r="A1" s="8" t="s">
        <v>0</v>
      </c>
      <c r="B1" s="9" t="s">
        <v>1</v>
      </c>
      <c r="C1" s="9" t="s">
        <v>2</v>
      </c>
      <c r="D1" s="9" t="s">
        <v>3</v>
      </c>
      <c r="E1" s="9" t="s">
        <v>4</v>
      </c>
    </row>
    <row r="2" spans="1:5" ht="15.75" customHeight="1">
      <c r="A2" s="10"/>
      <c r="C2" s="11"/>
    </row>
    <row r="3" spans="1:5" ht="15.75" customHeight="1">
      <c r="A3" s="12"/>
      <c r="C3" s="11"/>
    </row>
    <row r="4" spans="1:5" ht="15.75" customHeight="1">
      <c r="A4" s="12"/>
      <c r="C4" s="11"/>
    </row>
    <row r="5" spans="1:5" ht="15.75" customHeight="1">
      <c r="A5" s="12"/>
      <c r="C5" s="11"/>
    </row>
    <row r="6" spans="1:5" ht="15.75" customHeight="1">
      <c r="A6" s="12"/>
      <c r="C6" s="11"/>
    </row>
    <row r="7" spans="1:5" ht="15.75" customHeight="1">
      <c r="A7" s="12"/>
      <c r="C7" s="11"/>
    </row>
    <row r="8" spans="1:5" ht="15.75" customHeight="1">
      <c r="A8" s="12"/>
      <c r="C8" s="11"/>
    </row>
    <row r="9" spans="1:5" ht="15.75" customHeight="1">
      <c r="A9" s="12"/>
      <c r="C9" s="11"/>
    </row>
    <row r="10" spans="1:5" ht="15.75" customHeight="1">
      <c r="A10" s="12"/>
      <c r="C10" s="11"/>
    </row>
    <row r="11" spans="1:5" ht="15.75" customHeight="1">
      <c r="A11" s="12"/>
      <c r="C11" s="11"/>
    </row>
    <row r="12" spans="1:5" ht="15.75" customHeight="1">
      <c r="A12" s="12"/>
      <c r="C12" s="11"/>
    </row>
    <row r="13" spans="1:5" ht="15.75" customHeight="1">
      <c r="A13" s="12"/>
      <c r="C13" s="11"/>
    </row>
    <row r="14" spans="1:5" ht="15.75" customHeight="1">
      <c r="A14" s="12"/>
      <c r="C14" s="11"/>
    </row>
    <row r="15" spans="1:5" ht="15.75" customHeight="1">
      <c r="A15" s="12"/>
      <c r="C15" s="11"/>
    </row>
    <row r="16" spans="1:5" ht="15.75" customHeight="1">
      <c r="A16" s="12"/>
      <c r="C16" s="11"/>
    </row>
    <row r="17" spans="1:3" ht="15.75" customHeight="1">
      <c r="A17" s="12"/>
      <c r="C17" s="11"/>
    </row>
    <row r="18" spans="1:3" ht="15.75" customHeight="1">
      <c r="A18" s="12"/>
      <c r="C18" s="11"/>
    </row>
    <row r="19" spans="1:3" ht="15.75" customHeight="1">
      <c r="A19" s="12"/>
      <c r="C19" s="11"/>
    </row>
    <row r="20" spans="1:3" ht="15.75" customHeight="1">
      <c r="A20" s="12"/>
      <c r="C20" s="11"/>
    </row>
    <row r="21" spans="1:3" ht="15.75" customHeight="1">
      <c r="A21" s="12"/>
      <c r="C21" s="11"/>
    </row>
    <row r="22" spans="1:3" ht="15.75" customHeight="1">
      <c r="A22" s="12"/>
      <c r="C22" s="11"/>
    </row>
    <row r="23" spans="1:3" ht="15.75" customHeight="1">
      <c r="A23" s="12"/>
      <c r="C23" s="11"/>
    </row>
    <row r="24" spans="1:3" ht="15.75" customHeight="1">
      <c r="A24" s="12"/>
      <c r="C24" s="11"/>
    </row>
    <row r="25" spans="1:3" ht="15.75" customHeight="1">
      <c r="A25" s="12"/>
      <c r="C25" s="11"/>
    </row>
    <row r="26" spans="1:3" ht="15.75" customHeight="1">
      <c r="A26" s="12"/>
      <c r="C26" s="11"/>
    </row>
    <row r="27" spans="1:3" ht="15.75" customHeight="1">
      <c r="A27" s="12"/>
      <c r="C27" s="11"/>
    </row>
    <row r="28" spans="1:3" ht="15.75" customHeight="1">
      <c r="A28" s="12"/>
      <c r="C28" s="11"/>
    </row>
    <row r="29" spans="1:3" ht="15.75" customHeight="1">
      <c r="A29" s="12"/>
      <c r="C29" s="11"/>
    </row>
    <row r="30" spans="1:3" ht="15.75" customHeight="1">
      <c r="A30" s="12"/>
      <c r="C30" s="11"/>
    </row>
    <row r="31" spans="1:3" ht="15.75" customHeight="1">
      <c r="A31" s="12"/>
      <c r="C31" s="11"/>
    </row>
    <row r="32" spans="1:3" ht="15.75" customHeight="1">
      <c r="A32" s="12"/>
      <c r="C32" s="11"/>
    </row>
    <row r="33" spans="1:3" ht="15.75" customHeight="1">
      <c r="A33" s="12"/>
      <c r="C33" s="11"/>
    </row>
    <row r="34" spans="1:3" ht="15.75" customHeight="1">
      <c r="A34" s="12"/>
      <c r="C34" s="11"/>
    </row>
    <row r="35" spans="1:3" ht="15.75" customHeight="1">
      <c r="A35" s="12"/>
      <c r="C35" s="11"/>
    </row>
    <row r="36" spans="1:3" ht="15.75" customHeight="1">
      <c r="A36" s="12"/>
      <c r="C36" s="11"/>
    </row>
    <row r="37" spans="1:3" ht="15.75" customHeight="1">
      <c r="A37" s="12"/>
      <c r="C37" s="11"/>
    </row>
    <row r="38" spans="1:3" ht="15.75" customHeight="1">
      <c r="A38" s="12"/>
      <c r="C38" s="11"/>
    </row>
    <row r="39" spans="1:3" ht="15.75" customHeight="1">
      <c r="A39" s="12"/>
      <c r="C39" s="11"/>
    </row>
    <row r="40" spans="1:3" ht="12.5">
      <c r="A40" s="12"/>
      <c r="C40" s="11"/>
    </row>
    <row r="41" spans="1:3" ht="12.5">
      <c r="A41" s="12"/>
      <c r="C41" s="11"/>
    </row>
    <row r="42" spans="1:3" ht="12.5">
      <c r="A42" s="12"/>
      <c r="C42" s="11"/>
    </row>
    <row r="43" spans="1:3" ht="12.5">
      <c r="A43" s="12"/>
      <c r="C43" s="11"/>
    </row>
    <row r="44" spans="1:3" ht="12.5">
      <c r="A44" s="12"/>
      <c r="C44" s="11"/>
    </row>
    <row r="45" spans="1:3" ht="12.5">
      <c r="A45" s="12"/>
      <c r="C45" s="11"/>
    </row>
    <row r="46" spans="1:3" ht="12.5">
      <c r="A46" s="12"/>
      <c r="C46" s="11"/>
    </row>
    <row r="47" spans="1:3" ht="12.5">
      <c r="A47" s="12"/>
      <c r="C47" s="11"/>
    </row>
    <row r="48" spans="1:3" ht="12.5">
      <c r="A48" s="12"/>
      <c r="C48" s="11"/>
    </row>
    <row r="49" spans="1:3" ht="12.5">
      <c r="A49" s="12"/>
      <c r="C49" s="11"/>
    </row>
    <row r="50" spans="1:3" ht="12.5">
      <c r="A50" s="12"/>
      <c r="C50" s="11"/>
    </row>
    <row r="51" spans="1:3" ht="12.5">
      <c r="A51" s="12"/>
      <c r="C51" s="11"/>
    </row>
    <row r="52" spans="1:3" ht="12.5">
      <c r="A52" s="12"/>
      <c r="C52" s="11"/>
    </row>
    <row r="53" spans="1:3" ht="12.5">
      <c r="A53" s="12"/>
      <c r="C53" s="11"/>
    </row>
    <row r="54" spans="1:3" ht="12.5">
      <c r="A54" s="12"/>
      <c r="C54" s="11"/>
    </row>
    <row r="55" spans="1:3" ht="12.5">
      <c r="A55" s="12"/>
      <c r="C55" s="11"/>
    </row>
    <row r="56" spans="1:3" ht="12.5">
      <c r="A56" s="12"/>
      <c r="C56" s="11"/>
    </row>
    <row r="57" spans="1:3" ht="12.5">
      <c r="A57" s="12"/>
      <c r="C57" s="11"/>
    </row>
    <row r="58" spans="1:3" ht="12.5">
      <c r="A58" s="12"/>
      <c r="C58" s="11"/>
    </row>
    <row r="59" spans="1:3" ht="12.5">
      <c r="A59" s="12"/>
      <c r="C59" s="11"/>
    </row>
    <row r="60" spans="1:3" ht="12.5">
      <c r="A60" s="12"/>
      <c r="C60" s="11"/>
    </row>
    <row r="61" spans="1:3" ht="12.5">
      <c r="A61" s="12"/>
      <c r="C61" s="11"/>
    </row>
    <row r="62" spans="1:3" ht="12.5">
      <c r="A62" s="12"/>
      <c r="C62" s="11"/>
    </row>
    <row r="63" spans="1:3" ht="12.5">
      <c r="A63" s="12"/>
      <c r="C63" s="11"/>
    </row>
    <row r="64" spans="1:3" ht="12.5">
      <c r="A64" s="12"/>
      <c r="C64" s="11"/>
    </row>
    <row r="65" spans="1:3" ht="12.5">
      <c r="A65" s="12"/>
      <c r="C65" s="11"/>
    </row>
    <row r="66" spans="1:3" ht="12.5">
      <c r="A66" s="12"/>
      <c r="C66" s="11"/>
    </row>
    <row r="67" spans="1:3" ht="12.5">
      <c r="A67" s="12"/>
      <c r="C67" s="11"/>
    </row>
    <row r="68" spans="1:3" ht="12.5">
      <c r="A68" s="12"/>
      <c r="C68" s="11"/>
    </row>
    <row r="69" spans="1:3" ht="12.5">
      <c r="A69" s="12"/>
      <c r="C69" s="11"/>
    </row>
    <row r="70" spans="1:3" ht="12.5">
      <c r="A70" s="12"/>
      <c r="C70" s="11"/>
    </row>
    <row r="71" spans="1:3" ht="12.5">
      <c r="A71" s="12"/>
      <c r="C71" s="11"/>
    </row>
    <row r="72" spans="1:3" ht="12.5">
      <c r="A72" s="12"/>
      <c r="C72" s="11"/>
    </row>
    <row r="73" spans="1:3" ht="12.5">
      <c r="A73" s="12"/>
      <c r="C73" s="11"/>
    </row>
    <row r="74" spans="1:3" ht="12.5">
      <c r="A74" s="12"/>
      <c r="C74" s="11"/>
    </row>
    <row r="75" spans="1:3" ht="12.5">
      <c r="A75" s="12"/>
      <c r="C75" s="11"/>
    </row>
    <row r="76" spans="1:3" ht="12.5">
      <c r="A76" s="12"/>
      <c r="C76" s="11"/>
    </row>
    <row r="77" spans="1:3" ht="12.5">
      <c r="A77" s="12"/>
      <c r="C77" s="11"/>
    </row>
    <row r="78" spans="1:3" ht="12.5">
      <c r="A78" s="12"/>
      <c r="C78" s="11"/>
    </row>
    <row r="79" spans="1:3" ht="12.5">
      <c r="A79" s="12"/>
      <c r="C79" s="11"/>
    </row>
    <row r="80" spans="1:3" ht="12.5">
      <c r="A80" s="12"/>
      <c r="C80" s="11"/>
    </row>
    <row r="81" spans="1:3" ht="12.5">
      <c r="A81" s="12"/>
      <c r="C81" s="11"/>
    </row>
    <row r="82" spans="1:3" ht="12.5">
      <c r="A82" s="12"/>
      <c r="C82" s="11"/>
    </row>
    <row r="83" spans="1:3" ht="12.5">
      <c r="A83" s="12"/>
      <c r="C83" s="11"/>
    </row>
    <row r="84" spans="1:3" ht="12.5">
      <c r="A84" s="12"/>
      <c r="C84" s="11"/>
    </row>
    <row r="85" spans="1:3" ht="12.5">
      <c r="A85" s="12"/>
      <c r="C85" s="11"/>
    </row>
    <row r="86" spans="1:3" ht="12.5">
      <c r="A86" s="12"/>
      <c r="C86" s="11"/>
    </row>
    <row r="87" spans="1:3" ht="12.5">
      <c r="A87" s="12"/>
      <c r="C87" s="11"/>
    </row>
    <row r="88" spans="1:3" ht="12.5">
      <c r="A88" s="12"/>
      <c r="C88" s="11"/>
    </row>
    <row r="89" spans="1:3" ht="12.5">
      <c r="A89" s="12"/>
      <c r="C89" s="11"/>
    </row>
    <row r="90" spans="1:3" ht="12.5">
      <c r="A90" s="12"/>
      <c r="C90" s="11"/>
    </row>
    <row r="91" spans="1:3" ht="12.5">
      <c r="A91" s="12"/>
      <c r="C91" s="11"/>
    </row>
    <row r="92" spans="1:3" ht="12.5">
      <c r="A92" s="12"/>
      <c r="C92" s="11"/>
    </row>
    <row r="93" spans="1:3" ht="12.5">
      <c r="A93" s="12"/>
      <c r="C93" s="11"/>
    </row>
    <row r="94" spans="1:3" ht="12.5">
      <c r="A94" s="12"/>
      <c r="C94" s="11"/>
    </row>
    <row r="95" spans="1:3" ht="12.5">
      <c r="A95" s="12"/>
      <c r="C95" s="11"/>
    </row>
    <row r="96" spans="1:3" ht="12.5">
      <c r="A96" s="12"/>
      <c r="C96" s="11"/>
    </row>
    <row r="97" spans="1:3" ht="12.5">
      <c r="A97" s="12"/>
      <c r="C97" s="11"/>
    </row>
    <row r="98" spans="1:3" ht="12.5">
      <c r="A98" s="12"/>
      <c r="C98" s="11"/>
    </row>
    <row r="99" spans="1:3" ht="12.5">
      <c r="A99" s="12"/>
      <c r="C99" s="11"/>
    </row>
    <row r="100" spans="1:3" ht="12.5">
      <c r="A100" s="12"/>
      <c r="C100" s="11"/>
    </row>
    <row r="101" spans="1:3" ht="12.5">
      <c r="A101" s="12"/>
      <c r="C101" s="11"/>
    </row>
    <row r="102" spans="1:3" ht="12.5">
      <c r="A102" s="12"/>
      <c r="C102" s="11"/>
    </row>
    <row r="103" spans="1:3" ht="12.5">
      <c r="A103" s="12"/>
      <c r="C103" s="11"/>
    </row>
    <row r="104" spans="1:3" ht="12.5">
      <c r="A104" s="12"/>
      <c r="C104" s="11"/>
    </row>
    <row r="105" spans="1:3" ht="12.5">
      <c r="A105" s="12"/>
      <c r="C105" s="11"/>
    </row>
    <row r="106" spans="1:3" ht="12.5">
      <c r="A106" s="12"/>
      <c r="C106" s="11"/>
    </row>
    <row r="107" spans="1:3" ht="12.5">
      <c r="A107" s="12"/>
      <c r="C107" s="11"/>
    </row>
    <row r="108" spans="1:3" ht="12.5">
      <c r="A108" s="12"/>
      <c r="C108" s="11"/>
    </row>
    <row r="109" spans="1:3" ht="12.5">
      <c r="A109" s="12"/>
      <c r="C109" s="11"/>
    </row>
    <row r="110" spans="1:3" ht="12.5">
      <c r="A110" s="12"/>
      <c r="C110" s="11"/>
    </row>
    <row r="111" spans="1:3" ht="12.5">
      <c r="A111" s="12"/>
      <c r="C111" s="11"/>
    </row>
    <row r="112" spans="1:3" ht="12.5">
      <c r="A112" s="12"/>
      <c r="C112" s="11"/>
    </row>
    <row r="113" spans="1:3" ht="12.5">
      <c r="A113" s="12"/>
      <c r="C113" s="11"/>
    </row>
    <row r="114" spans="1:3" ht="12.5">
      <c r="A114" s="12"/>
      <c r="C114" s="11"/>
    </row>
    <row r="115" spans="1:3" ht="12.5">
      <c r="A115" s="12"/>
      <c r="C115" s="11"/>
    </row>
    <row r="116" spans="1:3" ht="12.5">
      <c r="A116" s="12"/>
      <c r="C116" s="11"/>
    </row>
    <row r="117" spans="1:3" ht="12.5">
      <c r="A117" s="12"/>
      <c r="C117" s="11"/>
    </row>
    <row r="118" spans="1:3" ht="12.5">
      <c r="A118" s="12"/>
      <c r="C118" s="11"/>
    </row>
    <row r="119" spans="1:3" ht="12.5">
      <c r="A119" s="12"/>
      <c r="C119" s="11"/>
    </row>
    <row r="120" spans="1:3" ht="12.5">
      <c r="A120" s="12"/>
      <c r="C120" s="11"/>
    </row>
    <row r="121" spans="1:3" ht="12.5">
      <c r="A121" s="12"/>
      <c r="C121" s="11"/>
    </row>
    <row r="122" spans="1:3" ht="12.5">
      <c r="A122" s="12"/>
      <c r="C122" s="11"/>
    </row>
    <row r="123" spans="1:3" ht="12.5">
      <c r="A123" s="12"/>
      <c r="C123" s="11"/>
    </row>
    <row r="124" spans="1:3" ht="12.5">
      <c r="A124" s="12"/>
      <c r="C124" s="11"/>
    </row>
    <row r="125" spans="1:3" ht="12.5">
      <c r="A125" s="12"/>
      <c r="C125" s="11"/>
    </row>
    <row r="126" spans="1:3" ht="12.5">
      <c r="A126" s="12"/>
      <c r="C126" s="11"/>
    </row>
    <row r="127" spans="1:3" ht="12.5">
      <c r="A127" s="12"/>
      <c r="C127" s="11"/>
    </row>
    <row r="128" spans="1:3" ht="12.5">
      <c r="A128" s="12"/>
      <c r="C128" s="11"/>
    </row>
    <row r="129" spans="1:3" ht="12.5">
      <c r="A129" s="12"/>
      <c r="C129" s="11"/>
    </row>
    <row r="130" spans="1:3" ht="12.5">
      <c r="A130" s="12"/>
      <c r="C130" s="11"/>
    </row>
    <row r="131" spans="1:3" ht="12.5">
      <c r="A131" s="12"/>
      <c r="C131" s="11"/>
    </row>
    <row r="132" spans="1:3" ht="12.5">
      <c r="A132" s="12"/>
      <c r="C132" s="11"/>
    </row>
    <row r="133" spans="1:3" ht="12.5">
      <c r="A133" s="12"/>
      <c r="C133" s="11"/>
    </row>
    <row r="134" spans="1:3" ht="12.5">
      <c r="A134" s="12"/>
      <c r="C134" s="11"/>
    </row>
    <row r="135" spans="1:3" ht="12.5">
      <c r="A135" s="12"/>
      <c r="C135" s="11"/>
    </row>
    <row r="136" spans="1:3" ht="12.5">
      <c r="A136" s="12"/>
      <c r="C136" s="11"/>
    </row>
    <row r="137" spans="1:3" ht="12.5">
      <c r="A137" s="12"/>
      <c r="C137" s="11"/>
    </row>
    <row r="138" spans="1:3" ht="12.5">
      <c r="A138" s="12"/>
      <c r="C138" s="11"/>
    </row>
    <row r="139" spans="1:3" ht="12.5">
      <c r="A139" s="12"/>
      <c r="C139" s="11"/>
    </row>
    <row r="140" spans="1:3" ht="12.5">
      <c r="A140" s="12"/>
      <c r="C140" s="11"/>
    </row>
    <row r="141" spans="1:3" ht="12.5">
      <c r="A141" s="12"/>
      <c r="C141" s="11"/>
    </row>
    <row r="142" spans="1:3" ht="12.5">
      <c r="A142" s="12"/>
      <c r="C142" s="11"/>
    </row>
    <row r="143" spans="1:3" ht="12.5">
      <c r="A143" s="12"/>
      <c r="C143" s="11"/>
    </row>
    <row r="144" spans="1:3" ht="12.5">
      <c r="A144" s="12"/>
      <c r="C144" s="11"/>
    </row>
    <row r="145" spans="1:3" ht="12.5">
      <c r="A145" s="12"/>
      <c r="C145" s="11"/>
    </row>
    <row r="146" spans="1:3" ht="12.5">
      <c r="A146" s="12"/>
      <c r="C146" s="11"/>
    </row>
    <row r="147" spans="1:3" ht="12.5">
      <c r="A147" s="12"/>
      <c r="C147" s="11"/>
    </row>
    <row r="148" spans="1:3" ht="12.5">
      <c r="A148" s="12"/>
      <c r="C148" s="11"/>
    </row>
    <row r="149" spans="1:3" ht="12.5">
      <c r="A149" s="12"/>
      <c r="C149" s="11"/>
    </row>
    <row r="150" spans="1:3" ht="12.5">
      <c r="A150" s="12"/>
      <c r="C150" s="11"/>
    </row>
    <row r="151" spans="1:3" ht="12.5">
      <c r="A151" s="12"/>
      <c r="C151" s="11"/>
    </row>
    <row r="152" spans="1:3" ht="12.5">
      <c r="A152" s="12"/>
      <c r="C152" s="11"/>
    </row>
    <row r="153" spans="1:3" ht="12.5">
      <c r="A153" s="12"/>
      <c r="C153" s="11"/>
    </row>
    <row r="154" spans="1:3" ht="12.5">
      <c r="A154" s="12"/>
      <c r="C154" s="11"/>
    </row>
    <row r="155" spans="1:3" ht="12.5">
      <c r="A155" s="12"/>
      <c r="C155" s="11"/>
    </row>
    <row r="156" spans="1:3" ht="12.5">
      <c r="A156" s="12"/>
      <c r="C156" s="11"/>
    </row>
    <row r="157" spans="1:3" ht="12.5">
      <c r="A157" s="12"/>
      <c r="C157" s="11"/>
    </row>
    <row r="158" spans="1:3" ht="12.5">
      <c r="A158" s="12"/>
      <c r="C158" s="11"/>
    </row>
    <row r="159" spans="1:3" ht="12.5">
      <c r="A159" s="12"/>
      <c r="C159" s="11"/>
    </row>
    <row r="160" spans="1:3" ht="12.5">
      <c r="A160" s="12"/>
      <c r="C160" s="11"/>
    </row>
    <row r="161" spans="1:3" ht="12.5">
      <c r="A161" s="12"/>
      <c r="C161" s="11"/>
    </row>
    <row r="162" spans="1:3" ht="12.5">
      <c r="A162" s="12"/>
      <c r="C162" s="11"/>
    </row>
    <row r="163" spans="1:3" ht="12.5">
      <c r="A163" s="12"/>
      <c r="C163" s="11"/>
    </row>
    <row r="164" spans="1:3" ht="12.5">
      <c r="A164" s="12"/>
      <c r="C164" s="11"/>
    </row>
    <row r="165" spans="1:3" ht="12.5">
      <c r="A165" s="12"/>
      <c r="C165" s="11"/>
    </row>
    <row r="166" spans="1:3" ht="12.5">
      <c r="A166" s="12"/>
      <c r="C166" s="11"/>
    </row>
    <row r="167" spans="1:3" ht="12.5">
      <c r="A167" s="12"/>
      <c r="C167" s="11"/>
    </row>
    <row r="168" spans="1:3" ht="12.5">
      <c r="A168" s="12"/>
      <c r="C168" s="11"/>
    </row>
    <row r="169" spans="1:3" ht="12.5">
      <c r="A169" s="12"/>
      <c r="C169" s="11"/>
    </row>
    <row r="170" spans="1:3" ht="12.5">
      <c r="A170" s="12"/>
      <c r="C170" s="11"/>
    </row>
    <row r="171" spans="1:3" ht="12.5">
      <c r="A171" s="12"/>
      <c r="C171" s="11"/>
    </row>
    <row r="172" spans="1:3" ht="12.5">
      <c r="A172" s="12"/>
      <c r="C172" s="11"/>
    </row>
    <row r="173" spans="1:3" ht="12.5">
      <c r="A173" s="12"/>
      <c r="C173" s="11"/>
    </row>
    <row r="174" spans="1:3" ht="12.5">
      <c r="A174" s="12"/>
      <c r="C174" s="11"/>
    </row>
    <row r="175" spans="1:3" ht="12.5">
      <c r="A175" s="12"/>
      <c r="C175" s="11"/>
    </row>
    <row r="176" spans="1:3" ht="12.5">
      <c r="A176" s="12"/>
      <c r="C176" s="11"/>
    </row>
    <row r="177" spans="1:3" ht="12.5">
      <c r="A177" s="12"/>
      <c r="C177" s="11"/>
    </row>
    <row r="178" spans="1:3" ht="12.5">
      <c r="A178" s="12"/>
      <c r="C178" s="11"/>
    </row>
    <row r="179" spans="1:3" ht="12.5">
      <c r="A179" s="12"/>
      <c r="C179" s="11"/>
    </row>
    <row r="180" spans="1:3" ht="12.5">
      <c r="A180" s="12"/>
      <c r="C180" s="11"/>
    </row>
    <row r="181" spans="1:3" ht="12.5">
      <c r="A181" s="12"/>
      <c r="C181" s="11"/>
    </row>
    <row r="182" spans="1:3" ht="12.5">
      <c r="A182" s="12"/>
      <c r="C182" s="11"/>
    </row>
    <row r="183" spans="1:3" ht="12.5">
      <c r="A183" s="12"/>
      <c r="C183" s="11"/>
    </row>
    <row r="184" spans="1:3" ht="12.5">
      <c r="A184" s="12"/>
      <c r="C184" s="11"/>
    </row>
    <row r="185" spans="1:3" ht="12.5">
      <c r="A185" s="12"/>
      <c r="C185" s="11"/>
    </row>
    <row r="186" spans="1:3" ht="12.5">
      <c r="A186" s="12"/>
      <c r="C186" s="11"/>
    </row>
    <row r="187" spans="1:3" ht="12.5">
      <c r="A187" s="12"/>
      <c r="C187" s="11"/>
    </row>
    <row r="188" spans="1:3" ht="12.5">
      <c r="A188" s="12"/>
      <c r="C188" s="11"/>
    </row>
    <row r="189" spans="1:3" ht="12.5">
      <c r="A189" s="12"/>
      <c r="C189" s="11"/>
    </row>
    <row r="190" spans="1:3" ht="12.5">
      <c r="A190" s="12"/>
      <c r="C190" s="11"/>
    </row>
    <row r="191" spans="1:3" ht="12.5">
      <c r="A191" s="12"/>
      <c r="C191" s="11"/>
    </row>
    <row r="192" spans="1:3" ht="12.5">
      <c r="A192" s="12"/>
      <c r="C192" s="11"/>
    </row>
    <row r="193" spans="1:3" ht="12.5">
      <c r="A193" s="12"/>
      <c r="C193" s="11"/>
    </row>
    <row r="194" spans="1:3" ht="12.5">
      <c r="A194" s="12"/>
      <c r="C194" s="11"/>
    </row>
    <row r="195" spans="1:3" ht="12.5">
      <c r="A195" s="12"/>
      <c r="C195" s="11"/>
    </row>
    <row r="196" spans="1:3" ht="12.5">
      <c r="A196" s="12"/>
      <c r="C196" s="11"/>
    </row>
    <row r="197" spans="1:3" ht="12.5">
      <c r="A197" s="12"/>
      <c r="C197" s="11"/>
    </row>
    <row r="198" spans="1:3" ht="12.5">
      <c r="A198" s="12"/>
      <c r="C198" s="11"/>
    </row>
    <row r="199" spans="1:3" ht="12.5">
      <c r="A199" s="12"/>
      <c r="C199" s="11"/>
    </row>
    <row r="200" spans="1:3" ht="12.5">
      <c r="A200" s="12"/>
      <c r="C200" s="11"/>
    </row>
    <row r="201" spans="1:3" ht="12.5">
      <c r="A201" s="12"/>
      <c r="C201" s="11"/>
    </row>
    <row r="202" spans="1:3" ht="12.5">
      <c r="A202" s="12"/>
      <c r="C202" s="11"/>
    </row>
    <row r="203" spans="1:3" ht="12.5">
      <c r="A203" s="12"/>
      <c r="C203" s="11"/>
    </row>
    <row r="204" spans="1:3" ht="12.5">
      <c r="A204" s="12"/>
      <c r="C204" s="11"/>
    </row>
    <row r="205" spans="1:3" ht="12.5">
      <c r="A205" s="12"/>
      <c r="C205" s="11"/>
    </row>
    <row r="206" spans="1:3" ht="12.5">
      <c r="A206" s="12"/>
      <c r="C206" s="11"/>
    </row>
    <row r="207" spans="1:3" ht="12.5">
      <c r="A207" s="12"/>
      <c r="C207" s="11"/>
    </row>
    <row r="208" spans="1:3" ht="12.5">
      <c r="A208" s="12"/>
      <c r="C208" s="11"/>
    </row>
    <row r="209" spans="1:3" ht="12.5">
      <c r="A209" s="12"/>
      <c r="C209" s="11"/>
    </row>
    <row r="210" spans="1:3" ht="12.5">
      <c r="A210" s="12"/>
      <c r="C210" s="11"/>
    </row>
    <row r="211" spans="1:3" ht="12.5">
      <c r="A211" s="12"/>
      <c r="C211" s="11"/>
    </row>
    <row r="212" spans="1:3" ht="12.5">
      <c r="A212" s="12"/>
      <c r="C212" s="11"/>
    </row>
    <row r="213" spans="1:3" ht="12.5">
      <c r="A213" s="12"/>
      <c r="C213" s="11"/>
    </row>
    <row r="214" spans="1:3" ht="12.5">
      <c r="A214" s="12"/>
      <c r="C214" s="11"/>
    </row>
    <row r="215" spans="1:3" ht="12.5">
      <c r="A215" s="12"/>
      <c r="C215" s="11"/>
    </row>
    <row r="216" spans="1:3" ht="12.5">
      <c r="A216" s="12"/>
      <c r="C216" s="11"/>
    </row>
    <row r="217" spans="1:3" ht="12.5">
      <c r="A217" s="12"/>
      <c r="C217" s="11"/>
    </row>
    <row r="218" spans="1:3" ht="12.5">
      <c r="A218" s="12"/>
      <c r="C218" s="11"/>
    </row>
    <row r="219" spans="1:3" ht="12.5">
      <c r="A219" s="12"/>
      <c r="C219" s="11"/>
    </row>
    <row r="220" spans="1:3" ht="12.5">
      <c r="A220" s="12"/>
      <c r="C220" s="11"/>
    </row>
    <row r="221" spans="1:3" ht="12.5">
      <c r="A221" s="12"/>
      <c r="C221" s="11"/>
    </row>
    <row r="222" spans="1:3" ht="12.5">
      <c r="A222" s="12"/>
      <c r="C222" s="11"/>
    </row>
    <row r="223" spans="1:3" ht="12.5">
      <c r="A223" s="12"/>
      <c r="C223" s="11"/>
    </row>
    <row r="224" spans="1:3" ht="12.5">
      <c r="A224" s="12"/>
      <c r="C224" s="11"/>
    </row>
    <row r="225" spans="1:3" ht="12.5">
      <c r="A225" s="12"/>
      <c r="C225" s="11"/>
    </row>
    <row r="226" spans="1:3" ht="12.5">
      <c r="A226" s="12"/>
      <c r="C226" s="11"/>
    </row>
    <row r="227" spans="1:3" ht="12.5">
      <c r="A227" s="12"/>
      <c r="C227" s="11"/>
    </row>
    <row r="228" spans="1:3" ht="12.5">
      <c r="A228" s="12"/>
      <c r="C228" s="11"/>
    </row>
    <row r="229" spans="1:3" ht="12.5">
      <c r="A229" s="12"/>
      <c r="C229" s="11"/>
    </row>
    <row r="230" spans="1:3" ht="12.5">
      <c r="A230" s="12"/>
      <c r="C230" s="11"/>
    </row>
    <row r="231" spans="1:3" ht="12.5">
      <c r="A231" s="12"/>
      <c r="C231" s="11"/>
    </row>
    <row r="232" spans="1:3" ht="12.5">
      <c r="A232" s="12"/>
      <c r="C232" s="11"/>
    </row>
    <row r="233" spans="1:3" ht="12.5">
      <c r="A233" s="12"/>
      <c r="C233" s="11"/>
    </row>
    <row r="234" spans="1:3" ht="12.5">
      <c r="A234" s="12"/>
      <c r="C234" s="11"/>
    </row>
    <row r="235" spans="1:3" ht="12.5">
      <c r="A235" s="12"/>
      <c r="C235" s="11"/>
    </row>
    <row r="236" spans="1:3" ht="12.5">
      <c r="A236" s="12"/>
      <c r="C236" s="11"/>
    </row>
    <row r="237" spans="1:3" ht="12.5">
      <c r="A237" s="12"/>
      <c r="C237" s="11"/>
    </row>
    <row r="238" spans="1:3" ht="12.5">
      <c r="A238" s="12"/>
      <c r="C238" s="11"/>
    </row>
    <row r="239" spans="1:3" ht="12.5">
      <c r="A239" s="12"/>
      <c r="C239" s="11"/>
    </row>
    <row r="240" spans="1:3" ht="12.5">
      <c r="A240" s="12"/>
      <c r="C240" s="11"/>
    </row>
    <row r="241" spans="1:3" ht="12.5">
      <c r="A241" s="12"/>
      <c r="C241" s="11"/>
    </row>
    <row r="242" spans="1:3" ht="12.5">
      <c r="A242" s="12"/>
      <c r="C242" s="11"/>
    </row>
    <row r="243" spans="1:3" ht="12.5">
      <c r="A243" s="12"/>
      <c r="C243" s="11"/>
    </row>
    <row r="244" spans="1:3" ht="12.5">
      <c r="A244" s="12"/>
      <c r="C244" s="11"/>
    </row>
    <row r="245" spans="1:3" ht="12.5">
      <c r="A245" s="12"/>
      <c r="C245" s="11"/>
    </row>
    <row r="246" spans="1:3" ht="12.5">
      <c r="A246" s="12"/>
      <c r="C246" s="11"/>
    </row>
    <row r="247" spans="1:3" ht="12.5">
      <c r="A247" s="12"/>
      <c r="C247" s="11"/>
    </row>
    <row r="248" spans="1:3" ht="12.5">
      <c r="A248" s="12"/>
      <c r="C248" s="11"/>
    </row>
    <row r="249" spans="1:3" ht="12.5">
      <c r="A249" s="12"/>
      <c r="C249" s="11"/>
    </row>
    <row r="250" spans="1:3" ht="12.5">
      <c r="A250" s="12"/>
      <c r="C250" s="11"/>
    </row>
    <row r="251" spans="1:3" ht="12.5">
      <c r="A251" s="12"/>
      <c r="C251" s="11"/>
    </row>
    <row r="252" spans="1:3" ht="12.5">
      <c r="A252" s="12"/>
      <c r="C252" s="11"/>
    </row>
    <row r="253" spans="1:3" ht="12.5">
      <c r="A253" s="12"/>
      <c r="C253" s="11"/>
    </row>
    <row r="254" spans="1:3" ht="12.5">
      <c r="A254" s="12"/>
      <c r="C254" s="11"/>
    </row>
    <row r="255" spans="1:3" ht="12.5">
      <c r="A255" s="12"/>
      <c r="C255" s="11"/>
    </row>
    <row r="256" spans="1:3" ht="12.5">
      <c r="A256" s="12"/>
      <c r="C256" s="11"/>
    </row>
    <row r="257" spans="1:3" ht="12.5">
      <c r="A257" s="12"/>
      <c r="C257" s="11"/>
    </row>
    <row r="258" spans="1:3" ht="12.5">
      <c r="A258" s="12"/>
      <c r="C258" s="11"/>
    </row>
    <row r="259" spans="1:3" ht="12.5">
      <c r="A259" s="12"/>
      <c r="C259" s="11"/>
    </row>
    <row r="260" spans="1:3" ht="12.5">
      <c r="A260" s="12"/>
      <c r="C260" s="11"/>
    </row>
    <row r="261" spans="1:3" ht="12.5">
      <c r="A261" s="12"/>
      <c r="C261" s="11"/>
    </row>
    <row r="262" spans="1:3" ht="12.5">
      <c r="A262" s="12"/>
      <c r="C262" s="11"/>
    </row>
    <row r="263" spans="1:3" ht="12.5">
      <c r="A263" s="12"/>
      <c r="C263" s="11"/>
    </row>
    <row r="264" spans="1:3" ht="12.5">
      <c r="A264" s="12"/>
      <c r="C264" s="11"/>
    </row>
    <row r="265" spans="1:3" ht="12.5">
      <c r="A265" s="12"/>
      <c r="C265" s="11"/>
    </row>
    <row r="266" spans="1:3" ht="12.5">
      <c r="A266" s="12"/>
      <c r="C266" s="11"/>
    </row>
    <row r="267" spans="1:3" ht="12.5">
      <c r="A267" s="12"/>
      <c r="C267" s="11"/>
    </row>
    <row r="268" spans="1:3" ht="12.5">
      <c r="A268" s="12"/>
      <c r="C268" s="11"/>
    </row>
    <row r="269" spans="1:3" ht="12.5">
      <c r="A269" s="12"/>
      <c r="C269" s="11"/>
    </row>
    <row r="270" spans="1:3" ht="12.5">
      <c r="A270" s="12"/>
      <c r="C270" s="11"/>
    </row>
    <row r="271" spans="1:3" ht="12.5">
      <c r="A271" s="12"/>
      <c r="C271" s="11"/>
    </row>
    <row r="272" spans="1:3" ht="12.5">
      <c r="A272" s="12"/>
      <c r="C272" s="11"/>
    </row>
    <row r="273" spans="1:3" ht="12.5">
      <c r="A273" s="12"/>
      <c r="C273" s="11"/>
    </row>
    <row r="274" spans="1:3" ht="12.5">
      <c r="A274" s="12"/>
      <c r="C274" s="11"/>
    </row>
    <row r="275" spans="1:3" ht="12.5">
      <c r="A275" s="12"/>
      <c r="C275" s="11"/>
    </row>
    <row r="276" spans="1:3" ht="12.5">
      <c r="A276" s="12"/>
      <c r="C276" s="11"/>
    </row>
    <row r="277" spans="1:3" ht="12.5">
      <c r="A277" s="12"/>
      <c r="C277" s="11"/>
    </row>
    <row r="278" spans="1:3" ht="12.5">
      <c r="A278" s="12"/>
      <c r="C278" s="11"/>
    </row>
    <row r="279" spans="1:3" ht="12.5">
      <c r="A279" s="12"/>
      <c r="C279" s="11"/>
    </row>
    <row r="280" spans="1:3" ht="12.5">
      <c r="A280" s="12"/>
      <c r="C280" s="11"/>
    </row>
    <row r="281" spans="1:3" ht="12.5">
      <c r="A281" s="12"/>
      <c r="C281" s="11"/>
    </row>
    <row r="282" spans="1:3" ht="12.5">
      <c r="A282" s="12"/>
      <c r="C282" s="11"/>
    </row>
    <row r="283" spans="1:3" ht="12.5">
      <c r="A283" s="12"/>
      <c r="C283" s="11"/>
    </row>
    <row r="284" spans="1:3" ht="12.5">
      <c r="A284" s="12"/>
      <c r="C284" s="11"/>
    </row>
    <row r="285" spans="1:3" ht="12.5">
      <c r="A285" s="12"/>
      <c r="C285" s="11"/>
    </row>
    <row r="286" spans="1:3" ht="12.5">
      <c r="A286" s="12"/>
      <c r="C286" s="11"/>
    </row>
    <row r="287" spans="1:3" ht="12.5">
      <c r="A287" s="12"/>
      <c r="C287" s="11"/>
    </row>
    <row r="288" spans="1:3" ht="12.5">
      <c r="A288" s="12"/>
      <c r="C288" s="11"/>
    </row>
    <row r="289" spans="1:3" ht="12.5">
      <c r="A289" s="12"/>
      <c r="C289" s="11"/>
    </row>
    <row r="290" spans="1:3" ht="12.5">
      <c r="A290" s="12"/>
      <c r="C290" s="11"/>
    </row>
    <row r="291" spans="1:3" ht="12.5">
      <c r="A291" s="12"/>
      <c r="C291" s="11"/>
    </row>
    <row r="292" spans="1:3" ht="12.5">
      <c r="A292" s="12"/>
      <c r="C292" s="11"/>
    </row>
    <row r="293" spans="1:3" ht="12.5">
      <c r="A293" s="12"/>
      <c r="C293" s="11"/>
    </row>
    <row r="294" spans="1:3" ht="12.5">
      <c r="A294" s="12"/>
      <c r="C294" s="11"/>
    </row>
    <row r="295" spans="1:3" ht="12.5">
      <c r="A295" s="12"/>
      <c r="C295" s="11"/>
    </row>
    <row r="296" spans="1:3" ht="12.5">
      <c r="A296" s="12"/>
      <c r="C296" s="11"/>
    </row>
    <row r="297" spans="1:3" ht="12.5">
      <c r="A297" s="12"/>
      <c r="C297" s="11"/>
    </row>
    <row r="298" spans="1:3" ht="12.5">
      <c r="A298" s="12"/>
      <c r="C298" s="11"/>
    </row>
    <row r="299" spans="1:3" ht="12.5">
      <c r="A299" s="12"/>
      <c r="C299" s="11"/>
    </row>
    <row r="300" spans="1:3" ht="12.5">
      <c r="A300" s="12"/>
      <c r="C300" s="11"/>
    </row>
    <row r="301" spans="1:3" ht="12.5">
      <c r="A301" s="12"/>
      <c r="C301" s="11"/>
    </row>
    <row r="302" spans="1:3" ht="12.5">
      <c r="A302" s="12"/>
      <c r="C302" s="11"/>
    </row>
    <row r="303" spans="1:3" ht="12.5">
      <c r="A303" s="12"/>
      <c r="C303" s="11"/>
    </row>
    <row r="304" spans="1:3" ht="12.5">
      <c r="A304" s="12"/>
      <c r="C304" s="11"/>
    </row>
    <row r="305" spans="1:3" ht="12.5">
      <c r="A305" s="12"/>
      <c r="C305" s="11"/>
    </row>
    <row r="306" spans="1:3" ht="12.5">
      <c r="A306" s="12"/>
      <c r="C306" s="11"/>
    </row>
    <row r="307" spans="1:3" ht="12.5">
      <c r="A307" s="12"/>
      <c r="C307" s="11"/>
    </row>
    <row r="308" spans="1:3" ht="12.5">
      <c r="A308" s="12"/>
      <c r="C308" s="11"/>
    </row>
    <row r="309" spans="1:3" ht="12.5">
      <c r="A309" s="12"/>
      <c r="C309" s="11"/>
    </row>
    <row r="310" spans="1:3" ht="12.5">
      <c r="A310" s="12"/>
      <c r="C310" s="11"/>
    </row>
    <row r="311" spans="1:3" ht="12.5">
      <c r="A311" s="12"/>
      <c r="C311" s="11"/>
    </row>
    <row r="312" spans="1:3" ht="12.5">
      <c r="A312" s="12"/>
      <c r="C312" s="11"/>
    </row>
    <row r="313" spans="1:3" ht="12.5">
      <c r="A313" s="12"/>
      <c r="C313" s="11"/>
    </row>
    <row r="314" spans="1:3" ht="12.5">
      <c r="A314" s="12"/>
      <c r="C314" s="11"/>
    </row>
    <row r="315" spans="1:3" ht="12.5">
      <c r="A315" s="12"/>
      <c r="C315" s="11"/>
    </row>
    <row r="316" spans="1:3" ht="12.5">
      <c r="A316" s="12"/>
      <c r="C316" s="11"/>
    </row>
    <row r="317" spans="1:3" ht="12.5">
      <c r="A317" s="12"/>
      <c r="C317" s="11"/>
    </row>
    <row r="318" spans="1:3" ht="12.5">
      <c r="A318" s="12"/>
      <c r="C318" s="11"/>
    </row>
    <row r="319" spans="1:3" ht="12.5">
      <c r="A319" s="12"/>
      <c r="C319" s="11"/>
    </row>
    <row r="320" spans="1:3" ht="12.5">
      <c r="A320" s="12"/>
      <c r="C320" s="11"/>
    </row>
    <row r="321" spans="1:3" ht="12.5">
      <c r="A321" s="12"/>
      <c r="C321" s="11"/>
    </row>
    <row r="322" spans="1:3" ht="12.5">
      <c r="A322" s="12"/>
      <c r="C322" s="11"/>
    </row>
    <row r="323" spans="1:3" ht="12.5">
      <c r="A323" s="12"/>
      <c r="C323" s="11"/>
    </row>
    <row r="324" spans="1:3" ht="12.5">
      <c r="A324" s="12"/>
      <c r="C324" s="11"/>
    </row>
    <row r="325" spans="1:3" ht="12.5">
      <c r="A325" s="12"/>
      <c r="C325" s="11"/>
    </row>
    <row r="326" spans="1:3" ht="12.5">
      <c r="A326" s="12"/>
      <c r="C326" s="11"/>
    </row>
    <row r="327" spans="1:3" ht="12.5">
      <c r="A327" s="12"/>
      <c r="C327" s="11"/>
    </row>
    <row r="328" spans="1:3" ht="12.5">
      <c r="A328" s="12"/>
      <c r="C328" s="11"/>
    </row>
    <row r="329" spans="1:3" ht="12.5">
      <c r="A329" s="12"/>
      <c r="C329" s="11"/>
    </row>
    <row r="330" spans="1:3" ht="12.5">
      <c r="A330" s="12"/>
      <c r="C330" s="11"/>
    </row>
    <row r="331" spans="1:3" ht="12.5">
      <c r="A331" s="12"/>
      <c r="C331" s="11"/>
    </row>
    <row r="332" spans="1:3" ht="12.5">
      <c r="A332" s="12"/>
      <c r="C332" s="11"/>
    </row>
    <row r="333" spans="1:3" ht="12.5">
      <c r="A333" s="12"/>
      <c r="C333" s="11"/>
    </row>
    <row r="334" spans="1:3" ht="12.5">
      <c r="A334" s="12"/>
      <c r="C334" s="11"/>
    </row>
    <row r="335" spans="1:3" ht="12.5">
      <c r="A335" s="12"/>
      <c r="C335" s="11"/>
    </row>
    <row r="336" spans="1:3" ht="12.5">
      <c r="A336" s="12"/>
      <c r="C336" s="11"/>
    </row>
    <row r="337" spans="1:3" ht="12.5">
      <c r="A337" s="12"/>
      <c r="C337" s="11"/>
    </row>
    <row r="338" spans="1:3" ht="12.5">
      <c r="A338" s="12"/>
      <c r="C338" s="11"/>
    </row>
    <row r="339" spans="1:3" ht="12.5">
      <c r="A339" s="12"/>
      <c r="C339" s="11"/>
    </row>
    <row r="340" spans="1:3" ht="12.5">
      <c r="A340" s="12"/>
      <c r="C340" s="11"/>
    </row>
    <row r="341" spans="1:3" ht="12.5">
      <c r="A341" s="12"/>
      <c r="C341" s="11"/>
    </row>
    <row r="342" spans="1:3" ht="12.5">
      <c r="A342" s="12"/>
      <c r="C342" s="11"/>
    </row>
    <row r="343" spans="1:3" ht="12.5">
      <c r="A343" s="12"/>
      <c r="C343" s="11"/>
    </row>
    <row r="344" spans="1:3" ht="12.5">
      <c r="A344" s="12"/>
      <c r="C344" s="11"/>
    </row>
    <row r="345" spans="1:3" ht="12.5">
      <c r="A345" s="12"/>
      <c r="C345" s="11"/>
    </row>
    <row r="346" spans="1:3" ht="12.5">
      <c r="A346" s="12"/>
      <c r="C346" s="11"/>
    </row>
    <row r="347" spans="1:3" ht="12.5">
      <c r="A347" s="12"/>
      <c r="C347" s="11"/>
    </row>
    <row r="348" spans="1:3" ht="12.5">
      <c r="A348" s="12"/>
      <c r="C348" s="11"/>
    </row>
    <row r="349" spans="1:3" ht="12.5">
      <c r="A349" s="12"/>
      <c r="C349" s="11"/>
    </row>
    <row r="350" spans="1:3" ht="12.5">
      <c r="A350" s="12"/>
      <c r="C350" s="11"/>
    </row>
    <row r="351" spans="1:3" ht="12.5">
      <c r="A351" s="12"/>
      <c r="C351" s="11"/>
    </row>
    <row r="352" spans="1:3" ht="12.5">
      <c r="A352" s="12"/>
      <c r="C352" s="11"/>
    </row>
    <row r="353" spans="1:3" ht="12.5">
      <c r="A353" s="12"/>
      <c r="C353" s="11"/>
    </row>
    <row r="354" spans="1:3" ht="12.5">
      <c r="A354" s="12"/>
      <c r="C354" s="11"/>
    </row>
    <row r="355" spans="1:3" ht="12.5">
      <c r="A355" s="12"/>
      <c r="C355" s="11"/>
    </row>
    <row r="356" spans="1:3" ht="12.5">
      <c r="A356" s="12"/>
      <c r="C356" s="11"/>
    </row>
    <row r="357" spans="1:3" ht="12.5">
      <c r="A357" s="12"/>
      <c r="C357" s="11"/>
    </row>
    <row r="358" spans="1:3" ht="12.5">
      <c r="A358" s="12"/>
      <c r="C358" s="11"/>
    </row>
    <row r="359" spans="1:3" ht="12.5">
      <c r="A359" s="12"/>
      <c r="C359" s="11"/>
    </row>
    <row r="360" spans="1:3" ht="12.5">
      <c r="A360" s="12"/>
      <c r="C360" s="11"/>
    </row>
    <row r="361" spans="1:3" ht="12.5">
      <c r="A361" s="12"/>
      <c r="C361" s="11"/>
    </row>
    <row r="362" spans="1:3" ht="12.5">
      <c r="A362" s="12"/>
      <c r="C362" s="11"/>
    </row>
    <row r="363" spans="1:3" ht="12.5">
      <c r="A363" s="12"/>
      <c r="C363" s="11"/>
    </row>
    <row r="364" spans="1:3" ht="12.5">
      <c r="A364" s="12"/>
      <c r="C364" s="11"/>
    </row>
    <row r="365" spans="1:3" ht="12.5">
      <c r="A365" s="12"/>
      <c r="C365" s="11"/>
    </row>
    <row r="366" spans="1:3" ht="12.5">
      <c r="A366" s="12"/>
      <c r="C366" s="11"/>
    </row>
    <row r="367" spans="1:3" ht="12.5">
      <c r="A367" s="12"/>
      <c r="C367" s="11"/>
    </row>
    <row r="368" spans="1:3" ht="12.5">
      <c r="A368" s="12"/>
      <c r="C368" s="11"/>
    </row>
    <row r="369" spans="1:3" ht="12.5">
      <c r="A369" s="12"/>
      <c r="C369" s="11"/>
    </row>
    <row r="370" spans="1:3" ht="12.5">
      <c r="A370" s="12"/>
      <c r="C370" s="11"/>
    </row>
    <row r="371" spans="1:3" ht="12.5">
      <c r="A371" s="12"/>
      <c r="C371" s="11"/>
    </row>
    <row r="372" spans="1:3" ht="12.5">
      <c r="A372" s="12"/>
      <c r="C372" s="11"/>
    </row>
    <row r="373" spans="1:3" ht="12.5">
      <c r="A373" s="12"/>
      <c r="C373" s="11"/>
    </row>
    <row r="374" spans="1:3" ht="12.5">
      <c r="A374" s="12"/>
      <c r="C374" s="11"/>
    </row>
    <row r="375" spans="1:3" ht="12.5">
      <c r="A375" s="12"/>
      <c r="C375" s="11"/>
    </row>
    <row r="376" spans="1:3" ht="12.5">
      <c r="A376" s="12"/>
      <c r="C376" s="11"/>
    </row>
    <row r="377" spans="1:3" ht="12.5">
      <c r="A377" s="12"/>
      <c r="C377" s="11"/>
    </row>
    <row r="378" spans="1:3" ht="12.5">
      <c r="A378" s="12"/>
      <c r="C378" s="11"/>
    </row>
    <row r="379" spans="1:3" ht="12.5">
      <c r="A379" s="12"/>
      <c r="C379" s="11"/>
    </row>
    <row r="380" spans="1:3" ht="12.5">
      <c r="A380" s="12"/>
      <c r="C380" s="11"/>
    </row>
    <row r="381" spans="1:3" ht="12.5">
      <c r="A381" s="12"/>
      <c r="C381" s="11"/>
    </row>
    <row r="382" spans="1:3" ht="12.5">
      <c r="A382" s="12"/>
      <c r="C382" s="11"/>
    </row>
    <row r="383" spans="1:3" ht="12.5">
      <c r="A383" s="12"/>
      <c r="C383" s="11"/>
    </row>
    <row r="384" spans="1:3" ht="12.5">
      <c r="A384" s="12"/>
      <c r="C384" s="11"/>
    </row>
    <row r="385" spans="1:3" ht="12.5">
      <c r="A385" s="12"/>
      <c r="C385" s="11"/>
    </row>
    <row r="386" spans="1:3" ht="12.5">
      <c r="A386" s="12"/>
      <c r="C386" s="11"/>
    </row>
    <row r="387" spans="1:3" ht="12.5">
      <c r="A387" s="12"/>
      <c r="C387" s="11"/>
    </row>
    <row r="388" spans="1:3" ht="12.5">
      <c r="A388" s="12"/>
      <c r="C388" s="11"/>
    </row>
    <row r="389" spans="1:3" ht="12.5">
      <c r="A389" s="12"/>
      <c r="C389" s="11"/>
    </row>
    <row r="390" spans="1:3" ht="12.5">
      <c r="A390" s="12"/>
      <c r="C390" s="11"/>
    </row>
    <row r="391" spans="1:3" ht="12.5">
      <c r="A391" s="12"/>
      <c r="C391" s="11"/>
    </row>
    <row r="392" spans="1:3" ht="12.5">
      <c r="A392" s="12"/>
      <c r="C392" s="11"/>
    </row>
    <row r="393" spans="1:3" ht="12.5">
      <c r="A393" s="12"/>
      <c r="C393" s="11"/>
    </row>
    <row r="394" spans="1:3" ht="12.5">
      <c r="A394" s="12"/>
      <c r="C394" s="11"/>
    </row>
    <row r="395" spans="1:3" ht="12.5">
      <c r="A395" s="12"/>
      <c r="C395" s="11"/>
    </row>
    <row r="396" spans="1:3" ht="12.5">
      <c r="A396" s="12"/>
      <c r="C396" s="11"/>
    </row>
    <row r="397" spans="1:3" ht="12.5">
      <c r="A397" s="12"/>
      <c r="C397" s="11"/>
    </row>
    <row r="398" spans="1:3" ht="12.5">
      <c r="A398" s="12"/>
      <c r="C398" s="11"/>
    </row>
    <row r="399" spans="1:3" ht="12.5">
      <c r="A399" s="12"/>
      <c r="C399" s="11"/>
    </row>
    <row r="400" spans="1:3" ht="12.5">
      <c r="A400" s="12"/>
      <c r="C400" s="11"/>
    </row>
    <row r="401" spans="1:3" ht="12.5">
      <c r="A401" s="12"/>
      <c r="C401" s="11"/>
    </row>
    <row r="402" spans="1:3" ht="12.5">
      <c r="A402" s="12"/>
      <c r="C402" s="11"/>
    </row>
    <row r="403" spans="1:3" ht="12.5">
      <c r="A403" s="12"/>
      <c r="C403" s="11"/>
    </row>
    <row r="404" spans="1:3" ht="12.5">
      <c r="A404" s="12"/>
      <c r="C404" s="11"/>
    </row>
    <row r="405" spans="1:3" ht="12.5">
      <c r="A405" s="12"/>
      <c r="C405" s="11"/>
    </row>
    <row r="406" spans="1:3" ht="12.5">
      <c r="A406" s="12"/>
      <c r="C406" s="11"/>
    </row>
    <row r="407" spans="1:3" ht="12.5">
      <c r="A407" s="12"/>
      <c r="C407" s="11"/>
    </row>
    <row r="408" spans="1:3" ht="12.5">
      <c r="A408" s="12"/>
      <c r="C408" s="11"/>
    </row>
    <row r="409" spans="1:3" ht="12.5">
      <c r="A409" s="12"/>
      <c r="C409" s="11"/>
    </row>
    <row r="410" spans="1:3" ht="12.5">
      <c r="A410" s="12"/>
      <c r="C410" s="11"/>
    </row>
    <row r="411" spans="1:3" ht="12.5">
      <c r="A411" s="12"/>
      <c r="C411" s="11"/>
    </row>
    <row r="412" spans="1:3" ht="12.5">
      <c r="A412" s="12"/>
      <c r="C412" s="11"/>
    </row>
    <row r="413" spans="1:3" ht="12.5">
      <c r="A413" s="12"/>
      <c r="C413" s="11"/>
    </row>
    <row r="414" spans="1:3" ht="12.5">
      <c r="A414" s="12"/>
      <c r="C414" s="11"/>
    </row>
    <row r="415" spans="1:3" ht="12.5">
      <c r="A415" s="12"/>
      <c r="C415" s="11"/>
    </row>
    <row r="416" spans="1:3" ht="12.5">
      <c r="A416" s="12"/>
      <c r="C416" s="11"/>
    </row>
    <row r="417" spans="1:3" ht="12.5">
      <c r="A417" s="12"/>
      <c r="C417" s="11"/>
    </row>
    <row r="418" spans="1:3" ht="12.5">
      <c r="A418" s="12"/>
      <c r="C418" s="11"/>
    </row>
    <row r="419" spans="1:3" ht="12.5">
      <c r="A419" s="12"/>
      <c r="C419" s="11"/>
    </row>
    <row r="420" spans="1:3" ht="12.5">
      <c r="A420" s="12"/>
      <c r="C420" s="11"/>
    </row>
    <row r="421" spans="1:3" ht="12.5">
      <c r="A421" s="12"/>
      <c r="C421" s="11"/>
    </row>
    <row r="422" spans="1:3" ht="12.5">
      <c r="A422" s="12"/>
      <c r="C422" s="11"/>
    </row>
    <row r="423" spans="1:3" ht="12.5">
      <c r="A423" s="12"/>
      <c r="C423" s="11"/>
    </row>
    <row r="424" spans="1:3" ht="12.5">
      <c r="A424" s="12"/>
      <c r="C424" s="11"/>
    </row>
    <row r="425" spans="1:3" ht="12.5">
      <c r="A425" s="12"/>
      <c r="C425" s="11"/>
    </row>
    <row r="426" spans="1:3" ht="12.5">
      <c r="A426" s="12"/>
      <c r="C426" s="11"/>
    </row>
    <row r="427" spans="1:3" ht="12.5">
      <c r="A427" s="12"/>
      <c r="C427" s="11"/>
    </row>
    <row r="428" spans="1:3" ht="12.5">
      <c r="A428" s="12"/>
      <c r="C428" s="11"/>
    </row>
    <row r="429" spans="1:3" ht="12.5">
      <c r="A429" s="12"/>
      <c r="C429" s="11"/>
    </row>
    <row r="430" spans="1:3" ht="12.5">
      <c r="A430" s="12"/>
      <c r="C430" s="11"/>
    </row>
    <row r="431" spans="1:3" ht="12.5">
      <c r="A431" s="12"/>
      <c r="C431" s="11"/>
    </row>
    <row r="432" spans="1:3" ht="12.5">
      <c r="A432" s="12"/>
      <c r="C432" s="11"/>
    </row>
    <row r="433" spans="1:3" ht="12.5">
      <c r="A433" s="12"/>
      <c r="C433" s="11"/>
    </row>
    <row r="434" spans="1:3" ht="12.5">
      <c r="A434" s="12"/>
      <c r="C434" s="11"/>
    </row>
    <row r="435" spans="1:3" ht="12.5">
      <c r="A435" s="12"/>
      <c r="C435" s="11"/>
    </row>
    <row r="436" spans="1:3" ht="12.5">
      <c r="A436" s="12"/>
      <c r="C436" s="11"/>
    </row>
    <row r="437" spans="1:3" ht="12.5">
      <c r="A437" s="12"/>
      <c r="C437" s="11"/>
    </row>
    <row r="438" spans="1:3" ht="12.5">
      <c r="A438" s="12"/>
      <c r="C438" s="11"/>
    </row>
    <row r="439" spans="1:3" ht="12.5">
      <c r="A439" s="12"/>
      <c r="C439" s="11"/>
    </row>
    <row r="440" spans="1:3" ht="12.5">
      <c r="A440" s="12"/>
      <c r="C440" s="11"/>
    </row>
    <row r="441" spans="1:3" ht="12.5">
      <c r="A441" s="12"/>
      <c r="C441" s="11"/>
    </row>
    <row r="442" spans="1:3" ht="12.5">
      <c r="A442" s="12"/>
      <c r="C442" s="11"/>
    </row>
    <row r="443" spans="1:3" ht="12.5">
      <c r="A443" s="12"/>
      <c r="C443" s="11"/>
    </row>
    <row r="444" spans="1:3" ht="12.5">
      <c r="A444" s="12"/>
      <c r="C444" s="11"/>
    </row>
    <row r="445" spans="1:3" ht="12.5">
      <c r="A445" s="12"/>
      <c r="C445" s="11"/>
    </row>
    <row r="446" spans="1:3" ht="12.5">
      <c r="A446" s="12"/>
      <c r="C446" s="11"/>
    </row>
    <row r="447" spans="1:3" ht="12.5">
      <c r="A447" s="12"/>
      <c r="C447" s="11"/>
    </row>
    <row r="448" spans="1:3" ht="12.5">
      <c r="A448" s="12"/>
      <c r="C448" s="11"/>
    </row>
    <row r="449" spans="1:3" ht="12.5">
      <c r="A449" s="12"/>
      <c r="C449" s="11"/>
    </row>
    <row r="450" spans="1:3" ht="12.5">
      <c r="A450" s="12"/>
      <c r="C450" s="11"/>
    </row>
    <row r="451" spans="1:3" ht="12.5">
      <c r="A451" s="12"/>
      <c r="C451" s="11"/>
    </row>
    <row r="452" spans="1:3" ht="12.5">
      <c r="A452" s="12"/>
      <c r="C452" s="11"/>
    </row>
    <row r="453" spans="1:3" ht="12.5">
      <c r="A453" s="12"/>
      <c r="C453" s="11"/>
    </row>
    <row r="454" spans="1:3" ht="12.5">
      <c r="A454" s="12"/>
      <c r="C454" s="11"/>
    </row>
    <row r="455" spans="1:3" ht="12.5">
      <c r="A455" s="12"/>
      <c r="C455" s="11"/>
    </row>
    <row r="456" spans="1:3" ht="12.5">
      <c r="A456" s="12"/>
      <c r="C456" s="11"/>
    </row>
    <row r="457" spans="1:3" ht="12.5">
      <c r="A457" s="12"/>
      <c r="C457" s="11"/>
    </row>
    <row r="458" spans="1:3" ht="12.5">
      <c r="A458" s="12"/>
      <c r="C458" s="11"/>
    </row>
    <row r="459" spans="1:3" ht="12.5">
      <c r="A459" s="12"/>
      <c r="C459" s="11"/>
    </row>
    <row r="460" spans="1:3" ht="12.5">
      <c r="A460" s="12"/>
      <c r="C460" s="11"/>
    </row>
    <row r="461" spans="1:3" ht="12.5">
      <c r="A461" s="12"/>
      <c r="C461" s="11"/>
    </row>
    <row r="462" spans="1:3" ht="12.5">
      <c r="A462" s="12"/>
      <c r="C462" s="11"/>
    </row>
    <row r="463" spans="1:3" ht="12.5">
      <c r="A463" s="12"/>
      <c r="C463" s="11"/>
    </row>
    <row r="464" spans="1:3" ht="12.5">
      <c r="A464" s="12"/>
      <c r="C464" s="11"/>
    </row>
    <row r="465" spans="1:3" ht="12.5">
      <c r="A465" s="12"/>
      <c r="C465" s="11"/>
    </row>
    <row r="466" spans="1:3" ht="12.5">
      <c r="A466" s="12"/>
      <c r="C466" s="11"/>
    </row>
    <row r="467" spans="1:3" ht="12.5">
      <c r="A467" s="12"/>
      <c r="C467" s="11"/>
    </row>
    <row r="468" spans="1:3" ht="12.5">
      <c r="A468" s="12"/>
      <c r="C468" s="11"/>
    </row>
    <row r="469" spans="1:3" ht="12.5">
      <c r="A469" s="12"/>
      <c r="C469" s="11"/>
    </row>
    <row r="470" spans="1:3" ht="12.5">
      <c r="A470" s="12"/>
      <c r="C470" s="11"/>
    </row>
    <row r="471" spans="1:3" ht="12.5">
      <c r="A471" s="12"/>
      <c r="C471" s="11"/>
    </row>
    <row r="472" spans="1:3" ht="12.5">
      <c r="A472" s="12"/>
      <c r="C472" s="11"/>
    </row>
    <row r="473" spans="1:3" ht="12.5">
      <c r="A473" s="12"/>
      <c r="C473" s="11"/>
    </row>
    <row r="474" spans="1:3" ht="12.5">
      <c r="A474" s="12"/>
      <c r="C474" s="11"/>
    </row>
    <row r="475" spans="1:3" ht="12.5">
      <c r="A475" s="12"/>
      <c r="C475" s="11"/>
    </row>
    <row r="476" spans="1:3" ht="12.5">
      <c r="A476" s="12"/>
      <c r="C476" s="11"/>
    </row>
    <row r="477" spans="1:3" ht="12.5">
      <c r="A477" s="12"/>
      <c r="C477" s="11"/>
    </row>
    <row r="478" spans="1:3" ht="12.5">
      <c r="A478" s="12"/>
      <c r="C478" s="11"/>
    </row>
    <row r="479" spans="1:3" ht="12.5">
      <c r="A479" s="12"/>
      <c r="C479" s="11"/>
    </row>
    <row r="480" spans="1:3" ht="12.5">
      <c r="A480" s="12"/>
      <c r="C480" s="11"/>
    </row>
    <row r="481" spans="1:3" ht="12.5">
      <c r="A481" s="12"/>
      <c r="C481" s="11"/>
    </row>
    <row r="482" spans="1:3" ht="12.5">
      <c r="A482" s="12"/>
      <c r="C482" s="11"/>
    </row>
    <row r="483" spans="1:3" ht="12.5">
      <c r="A483" s="12"/>
      <c r="C483" s="11"/>
    </row>
    <row r="484" spans="1:3" ht="12.5">
      <c r="A484" s="12"/>
      <c r="C484" s="11"/>
    </row>
    <row r="485" spans="1:3" ht="12.5">
      <c r="A485" s="12"/>
      <c r="C485" s="11"/>
    </row>
    <row r="486" spans="1:3" ht="12.5">
      <c r="A486" s="12"/>
      <c r="C486" s="11"/>
    </row>
    <row r="487" spans="1:3" ht="12.5">
      <c r="A487" s="12"/>
      <c r="C487" s="11"/>
    </row>
    <row r="488" spans="1:3" ht="12.5">
      <c r="A488" s="12"/>
      <c r="C488" s="11"/>
    </row>
    <row r="489" spans="1:3" ht="12.5">
      <c r="A489" s="12"/>
      <c r="C489" s="11"/>
    </row>
    <row r="490" spans="1:3" ht="12.5">
      <c r="A490" s="12"/>
      <c r="C490" s="11"/>
    </row>
    <row r="491" spans="1:3" ht="12.5">
      <c r="A491" s="12"/>
      <c r="C491" s="11"/>
    </row>
    <row r="492" spans="1:3" ht="12.5">
      <c r="A492" s="12"/>
      <c r="C492" s="11"/>
    </row>
    <row r="493" spans="1:3" ht="12.5">
      <c r="A493" s="12"/>
      <c r="C493" s="11"/>
    </row>
    <row r="494" spans="1:3" ht="12.5">
      <c r="A494" s="12"/>
      <c r="C494" s="11"/>
    </row>
    <row r="495" spans="1:3" ht="12.5">
      <c r="A495" s="12"/>
      <c r="C495" s="11"/>
    </row>
    <row r="496" spans="1:3" ht="12.5">
      <c r="A496" s="12"/>
      <c r="C496" s="11"/>
    </row>
    <row r="497" spans="1:3" ht="12.5">
      <c r="A497" s="12"/>
      <c r="C497" s="11"/>
    </row>
    <row r="498" spans="1:3" ht="12.5">
      <c r="A498" s="12"/>
      <c r="C498" s="11"/>
    </row>
    <row r="499" spans="1:3" ht="12.5">
      <c r="A499" s="12"/>
      <c r="C499" s="11"/>
    </row>
    <row r="500" spans="1:3" ht="12.5">
      <c r="A500" s="12"/>
      <c r="C500" s="11"/>
    </row>
    <row r="501" spans="1:3" ht="12.5">
      <c r="A501" s="12"/>
      <c r="C501" s="11"/>
    </row>
    <row r="502" spans="1:3" ht="12.5">
      <c r="A502" s="12"/>
      <c r="C502" s="11"/>
    </row>
    <row r="503" spans="1:3" ht="12.5">
      <c r="A503" s="12"/>
      <c r="C503" s="11"/>
    </row>
    <row r="504" spans="1:3" ht="12.5">
      <c r="A504" s="12"/>
      <c r="C504" s="11"/>
    </row>
    <row r="505" spans="1:3" ht="12.5">
      <c r="A505" s="12"/>
      <c r="C505" s="11"/>
    </row>
    <row r="506" spans="1:3" ht="12.5">
      <c r="A506" s="12"/>
      <c r="C506" s="11"/>
    </row>
    <row r="507" spans="1:3" ht="12.5">
      <c r="A507" s="12"/>
      <c r="C507" s="11"/>
    </row>
    <row r="508" spans="1:3" ht="12.5">
      <c r="A508" s="12"/>
      <c r="C508" s="11"/>
    </row>
    <row r="509" spans="1:3" ht="12.5">
      <c r="A509" s="12"/>
      <c r="C509" s="11"/>
    </row>
    <row r="510" spans="1:3" ht="12.5">
      <c r="A510" s="12"/>
      <c r="C510" s="11"/>
    </row>
    <row r="511" spans="1:3" ht="12.5">
      <c r="A511" s="12"/>
      <c r="C511" s="11"/>
    </row>
    <row r="512" spans="1:3" ht="12.5">
      <c r="A512" s="12"/>
      <c r="C512" s="11"/>
    </row>
    <row r="513" spans="1:3" ht="12.5">
      <c r="A513" s="12"/>
      <c r="C513" s="11"/>
    </row>
    <row r="514" spans="1:3" ht="12.5">
      <c r="A514" s="12"/>
      <c r="C514" s="11"/>
    </row>
    <row r="515" spans="1:3" ht="12.5">
      <c r="A515" s="12"/>
      <c r="C515" s="11"/>
    </row>
    <row r="516" spans="1:3" ht="12.5">
      <c r="A516" s="12"/>
      <c r="C516" s="11"/>
    </row>
    <row r="517" spans="1:3" ht="12.5">
      <c r="A517" s="12"/>
      <c r="C517" s="11"/>
    </row>
    <row r="518" spans="1:3" ht="12.5">
      <c r="A518" s="12"/>
      <c r="C518" s="11"/>
    </row>
    <row r="519" spans="1:3" ht="12.5">
      <c r="A519" s="12"/>
      <c r="C519" s="11"/>
    </row>
    <row r="520" spans="1:3" ht="12.5">
      <c r="A520" s="12"/>
      <c r="C520" s="11"/>
    </row>
    <row r="521" spans="1:3" ht="12.5">
      <c r="A521" s="12"/>
      <c r="C521" s="11"/>
    </row>
    <row r="522" spans="1:3" ht="12.5">
      <c r="A522" s="12"/>
      <c r="C522" s="11"/>
    </row>
    <row r="523" spans="1:3" ht="12.5">
      <c r="A523" s="12"/>
      <c r="C523" s="11"/>
    </row>
    <row r="524" spans="1:3" ht="12.5">
      <c r="A524" s="12"/>
      <c r="C524" s="11"/>
    </row>
    <row r="525" spans="1:3" ht="12.5">
      <c r="A525" s="12"/>
      <c r="C525" s="11"/>
    </row>
    <row r="526" spans="1:3" ht="12.5">
      <c r="A526" s="12"/>
      <c r="C526" s="11"/>
    </row>
    <row r="527" spans="1:3" ht="12.5">
      <c r="A527" s="12"/>
      <c r="C527" s="11"/>
    </row>
    <row r="528" spans="1:3" ht="12.5">
      <c r="A528" s="12"/>
      <c r="C528" s="11"/>
    </row>
    <row r="529" spans="1:3" ht="12.5">
      <c r="A529" s="12"/>
      <c r="C529" s="11"/>
    </row>
    <row r="530" spans="1:3" ht="12.5">
      <c r="A530" s="12"/>
      <c r="C530" s="11"/>
    </row>
    <row r="531" spans="1:3" ht="12.5">
      <c r="A531" s="12"/>
      <c r="C531" s="11"/>
    </row>
    <row r="532" spans="1:3" ht="12.5">
      <c r="A532" s="12"/>
      <c r="C532" s="11"/>
    </row>
    <row r="533" spans="1:3" ht="12.5">
      <c r="A533" s="12"/>
      <c r="C533" s="11"/>
    </row>
    <row r="534" spans="1:3" ht="12.5">
      <c r="A534" s="12"/>
      <c r="C534" s="11"/>
    </row>
    <row r="535" spans="1:3" ht="12.5">
      <c r="A535" s="12"/>
      <c r="C535" s="11"/>
    </row>
    <row r="536" spans="1:3" ht="12.5">
      <c r="A536" s="12"/>
      <c r="C536" s="11"/>
    </row>
    <row r="537" spans="1:3" ht="12.5">
      <c r="A537" s="12"/>
      <c r="C537" s="11"/>
    </row>
    <row r="538" spans="1:3" ht="12.5">
      <c r="A538" s="12"/>
      <c r="C538" s="11"/>
    </row>
    <row r="539" spans="1:3" ht="12.5">
      <c r="A539" s="12"/>
      <c r="C539" s="11"/>
    </row>
    <row r="540" spans="1:3" ht="12.5">
      <c r="A540" s="12"/>
      <c r="C540" s="11"/>
    </row>
    <row r="541" spans="1:3" ht="12.5">
      <c r="A541" s="12"/>
      <c r="C541" s="11"/>
    </row>
    <row r="542" spans="1:3" ht="12.5">
      <c r="A542" s="12"/>
      <c r="C542" s="11"/>
    </row>
    <row r="543" spans="1:3" ht="12.5">
      <c r="A543" s="12"/>
      <c r="C543" s="11"/>
    </row>
    <row r="544" spans="1:3" ht="12.5">
      <c r="A544" s="12"/>
      <c r="C544" s="11"/>
    </row>
    <row r="545" spans="1:3" ht="12.5">
      <c r="A545" s="12"/>
      <c r="C545" s="11"/>
    </row>
    <row r="546" spans="1:3" ht="12.5">
      <c r="A546" s="12"/>
      <c r="C546" s="11"/>
    </row>
    <row r="547" spans="1:3" ht="12.5">
      <c r="A547" s="12"/>
      <c r="C547" s="11"/>
    </row>
    <row r="548" spans="1:3" ht="12.5">
      <c r="A548" s="12"/>
      <c r="C548" s="11"/>
    </row>
    <row r="549" spans="1:3" ht="12.5">
      <c r="A549" s="12"/>
      <c r="C549" s="11"/>
    </row>
    <row r="550" spans="1:3" ht="12.5">
      <c r="A550" s="12"/>
      <c r="C550" s="11"/>
    </row>
    <row r="551" spans="1:3" ht="12.5">
      <c r="A551" s="12"/>
      <c r="C551" s="11"/>
    </row>
    <row r="552" spans="1:3" ht="12.5">
      <c r="A552" s="12"/>
      <c r="C552" s="11"/>
    </row>
    <row r="553" spans="1:3" ht="12.5">
      <c r="A553" s="12"/>
      <c r="C553" s="11"/>
    </row>
    <row r="554" spans="1:3" ht="12.5">
      <c r="A554" s="12"/>
      <c r="C554" s="11"/>
    </row>
    <row r="555" spans="1:3" ht="12.5">
      <c r="A555" s="12"/>
      <c r="C555" s="11"/>
    </row>
    <row r="556" spans="1:3" ht="12.5">
      <c r="A556" s="12"/>
      <c r="C556" s="11"/>
    </row>
    <row r="557" spans="1:3" ht="12.5">
      <c r="A557" s="12"/>
      <c r="C557" s="11"/>
    </row>
    <row r="558" spans="1:3" ht="12.5">
      <c r="A558" s="12"/>
      <c r="C558" s="11"/>
    </row>
    <row r="559" spans="1:3" ht="12.5">
      <c r="A559" s="12"/>
      <c r="C559" s="11"/>
    </row>
    <row r="560" spans="1:3" ht="12.5">
      <c r="A560" s="12"/>
      <c r="C560" s="11"/>
    </row>
    <row r="561" spans="1:3" ht="12.5">
      <c r="A561" s="12"/>
      <c r="C561" s="11"/>
    </row>
    <row r="562" spans="1:3" ht="12.5">
      <c r="A562" s="12"/>
      <c r="C562" s="11"/>
    </row>
    <row r="563" spans="1:3" ht="12.5">
      <c r="A563" s="12"/>
      <c r="C563" s="11"/>
    </row>
    <row r="564" spans="1:3" ht="12.5">
      <c r="A564" s="12"/>
      <c r="C564" s="11"/>
    </row>
    <row r="565" spans="1:3" ht="12.5">
      <c r="A565" s="12"/>
      <c r="C565" s="11"/>
    </row>
    <row r="566" spans="1:3" ht="12.5">
      <c r="A566" s="12"/>
      <c r="C566" s="11"/>
    </row>
    <row r="567" spans="1:3" ht="12.5">
      <c r="A567" s="12"/>
      <c r="C567" s="11"/>
    </row>
    <row r="568" spans="1:3" ht="12.5">
      <c r="A568" s="12"/>
      <c r="C568" s="11"/>
    </row>
    <row r="569" spans="1:3" ht="12.5">
      <c r="A569" s="12"/>
      <c r="C569" s="11"/>
    </row>
    <row r="570" spans="1:3" ht="12.5">
      <c r="A570" s="12"/>
      <c r="C570" s="11"/>
    </row>
    <row r="571" spans="1:3" ht="12.5">
      <c r="A571" s="12"/>
      <c r="C571" s="11"/>
    </row>
    <row r="572" spans="1:3" ht="12.5">
      <c r="A572" s="12"/>
      <c r="C572" s="11"/>
    </row>
    <row r="573" spans="1:3" ht="12.5">
      <c r="A573" s="12"/>
      <c r="C573" s="11"/>
    </row>
    <row r="574" spans="1:3" ht="12.5">
      <c r="A574" s="12"/>
      <c r="C574" s="11"/>
    </row>
    <row r="575" spans="1:3" ht="12.5">
      <c r="A575" s="12"/>
      <c r="C575" s="11"/>
    </row>
    <row r="576" spans="1:3" ht="12.5">
      <c r="A576" s="12"/>
      <c r="C576" s="11"/>
    </row>
    <row r="577" spans="1:3" ht="12.5">
      <c r="A577" s="12"/>
      <c r="C577" s="11"/>
    </row>
    <row r="578" spans="1:3" ht="12.5">
      <c r="A578" s="12"/>
      <c r="C578" s="11"/>
    </row>
    <row r="579" spans="1:3" ht="12.5">
      <c r="A579" s="12"/>
      <c r="C579" s="11"/>
    </row>
    <row r="580" spans="1:3" ht="12.5">
      <c r="A580" s="12"/>
      <c r="C580" s="11"/>
    </row>
    <row r="581" spans="1:3" ht="12.5">
      <c r="A581" s="12"/>
      <c r="C581" s="11"/>
    </row>
    <row r="582" spans="1:3" ht="12.5">
      <c r="A582" s="12"/>
      <c r="C582" s="11"/>
    </row>
    <row r="583" spans="1:3" ht="12.5">
      <c r="A583" s="12"/>
      <c r="C583" s="11"/>
    </row>
    <row r="584" spans="1:3" ht="12.5">
      <c r="A584" s="12"/>
      <c r="C584" s="11"/>
    </row>
    <row r="585" spans="1:3" ht="12.5">
      <c r="A585" s="12"/>
      <c r="C585" s="11"/>
    </row>
    <row r="586" spans="1:3" ht="12.5">
      <c r="A586" s="12"/>
      <c r="C586" s="11"/>
    </row>
    <row r="587" spans="1:3" ht="12.5">
      <c r="A587" s="12"/>
      <c r="C587" s="11"/>
    </row>
    <row r="588" spans="1:3" ht="12.5">
      <c r="A588" s="12"/>
      <c r="C588" s="11"/>
    </row>
    <row r="589" spans="1:3" ht="12.5">
      <c r="A589" s="12"/>
      <c r="C589" s="11"/>
    </row>
    <row r="590" spans="1:3" ht="12.5">
      <c r="A590" s="12"/>
      <c r="C590" s="11"/>
    </row>
    <row r="591" spans="1:3" ht="12.5">
      <c r="A591" s="12"/>
      <c r="C591" s="11"/>
    </row>
    <row r="592" spans="1:3" ht="12.5">
      <c r="A592" s="12"/>
      <c r="C592" s="11"/>
    </row>
    <row r="593" spans="1:3" ht="12.5">
      <c r="A593" s="12"/>
      <c r="C593" s="11"/>
    </row>
    <row r="594" spans="1:3" ht="12.5">
      <c r="A594" s="12"/>
      <c r="C594" s="11"/>
    </row>
    <row r="595" spans="1:3" ht="12.5">
      <c r="A595" s="12"/>
      <c r="C595" s="11"/>
    </row>
    <row r="596" spans="1:3" ht="12.5">
      <c r="A596" s="12"/>
      <c r="C596" s="11"/>
    </row>
    <row r="597" spans="1:3" ht="12.5">
      <c r="A597" s="12"/>
      <c r="C597" s="11"/>
    </row>
    <row r="598" spans="1:3" ht="12.5">
      <c r="A598" s="12"/>
      <c r="C598" s="11"/>
    </row>
    <row r="599" spans="1:3" ht="12.5">
      <c r="A599" s="12"/>
      <c r="C599" s="11"/>
    </row>
    <row r="600" spans="1:3" ht="12.5">
      <c r="A600" s="12"/>
      <c r="C600" s="11"/>
    </row>
    <row r="601" spans="1:3" ht="12.5">
      <c r="A601" s="12"/>
      <c r="C601" s="11"/>
    </row>
    <row r="602" spans="1:3" ht="12.5">
      <c r="A602" s="12"/>
      <c r="C602" s="11"/>
    </row>
    <row r="603" spans="1:3" ht="12.5">
      <c r="A603" s="12"/>
      <c r="C603" s="11"/>
    </row>
    <row r="604" spans="1:3" ht="12.5">
      <c r="A604" s="12"/>
      <c r="C604" s="11"/>
    </row>
    <row r="605" spans="1:3" ht="12.5">
      <c r="A605" s="12"/>
      <c r="C605" s="11"/>
    </row>
    <row r="606" spans="1:3" ht="12.5">
      <c r="A606" s="12"/>
      <c r="C606" s="11"/>
    </row>
    <row r="607" spans="1:3" ht="12.5">
      <c r="A607" s="12"/>
      <c r="C607" s="11"/>
    </row>
    <row r="608" spans="1:3" ht="12.5">
      <c r="A608" s="12"/>
      <c r="C608" s="11"/>
    </row>
    <row r="609" spans="1:3" ht="12.5">
      <c r="A609" s="12"/>
      <c r="C609" s="11"/>
    </row>
    <row r="610" spans="1:3" ht="12.5">
      <c r="A610" s="12"/>
      <c r="C610" s="11"/>
    </row>
    <row r="611" spans="1:3" ht="12.5">
      <c r="A611" s="12"/>
      <c r="C611" s="11"/>
    </row>
    <row r="612" spans="1:3" ht="12.5">
      <c r="A612" s="12"/>
      <c r="C612" s="11"/>
    </row>
    <row r="613" spans="1:3" ht="12.5">
      <c r="A613" s="12"/>
      <c r="C613" s="11"/>
    </row>
    <row r="614" spans="1:3" ht="12.5">
      <c r="A614" s="12"/>
      <c r="C614" s="11"/>
    </row>
    <row r="615" spans="1:3" ht="12.5">
      <c r="A615" s="12"/>
      <c r="C615" s="11"/>
    </row>
    <row r="616" spans="1:3" ht="12.5">
      <c r="A616" s="12"/>
      <c r="C616" s="11"/>
    </row>
    <row r="617" spans="1:3" ht="12.5">
      <c r="A617" s="12"/>
      <c r="C617" s="11"/>
    </row>
    <row r="618" spans="1:3" ht="12.5">
      <c r="A618" s="12"/>
      <c r="C618" s="11"/>
    </row>
    <row r="619" spans="1:3" ht="12.5">
      <c r="A619" s="12"/>
      <c r="C619" s="11"/>
    </row>
    <row r="620" spans="1:3" ht="12.5">
      <c r="A620" s="12"/>
      <c r="C620" s="11"/>
    </row>
    <row r="621" spans="1:3" ht="12.5">
      <c r="A621" s="12"/>
      <c r="C621" s="11"/>
    </row>
    <row r="622" spans="1:3" ht="12.5">
      <c r="A622" s="12"/>
      <c r="C622" s="11"/>
    </row>
    <row r="623" spans="1:3" ht="12.5">
      <c r="A623" s="12"/>
      <c r="C623" s="11"/>
    </row>
    <row r="624" spans="1:3" ht="12.5">
      <c r="A624" s="12"/>
      <c r="C624" s="11"/>
    </row>
    <row r="625" spans="1:3" ht="12.5">
      <c r="A625" s="12"/>
      <c r="C625" s="11"/>
    </row>
    <row r="626" spans="1:3" ht="12.5">
      <c r="A626" s="12"/>
      <c r="C626" s="11"/>
    </row>
    <row r="627" spans="1:3" ht="12.5">
      <c r="A627" s="12"/>
      <c r="C627" s="11"/>
    </row>
    <row r="628" spans="1:3" ht="12.5">
      <c r="A628" s="12"/>
      <c r="C628" s="11"/>
    </row>
    <row r="629" spans="1:3" ht="12.5">
      <c r="A629" s="12"/>
      <c r="C629" s="11"/>
    </row>
    <row r="630" spans="1:3" ht="12.5">
      <c r="A630" s="12"/>
      <c r="C630" s="11"/>
    </row>
    <row r="631" spans="1:3" ht="12.5">
      <c r="A631" s="12"/>
      <c r="C631" s="11"/>
    </row>
    <row r="632" spans="1:3" ht="12.5">
      <c r="A632" s="12"/>
      <c r="C632" s="11"/>
    </row>
    <row r="633" spans="1:3" ht="12.5">
      <c r="A633" s="12"/>
      <c r="C633" s="11"/>
    </row>
    <row r="634" spans="1:3" ht="12.5">
      <c r="A634" s="12"/>
      <c r="C634" s="11"/>
    </row>
    <row r="635" spans="1:3" ht="12.5">
      <c r="A635" s="12"/>
      <c r="C635" s="11"/>
    </row>
    <row r="636" spans="1:3" ht="12.5">
      <c r="A636" s="12"/>
      <c r="C636" s="11"/>
    </row>
    <row r="637" spans="1:3" ht="12.5">
      <c r="A637" s="12"/>
      <c r="C637" s="11"/>
    </row>
    <row r="638" spans="1:3" ht="12.5">
      <c r="A638" s="12"/>
      <c r="C638" s="11"/>
    </row>
    <row r="639" spans="1:3" ht="12.5">
      <c r="A639" s="12"/>
      <c r="C639" s="11"/>
    </row>
    <row r="640" spans="1:3" ht="12.5">
      <c r="A640" s="12"/>
      <c r="C640" s="11"/>
    </row>
    <row r="641" spans="1:3" ht="12.5">
      <c r="A641" s="12"/>
      <c r="C641" s="11"/>
    </row>
    <row r="642" spans="1:3" ht="12.5">
      <c r="A642" s="12"/>
      <c r="C642" s="11"/>
    </row>
    <row r="643" spans="1:3" ht="12.5">
      <c r="A643" s="12"/>
      <c r="C643" s="11"/>
    </row>
    <row r="644" spans="1:3" ht="12.5">
      <c r="A644" s="12"/>
      <c r="C644" s="11"/>
    </row>
    <row r="645" spans="1:3" ht="12.5">
      <c r="A645" s="12"/>
      <c r="C645" s="11"/>
    </row>
    <row r="646" spans="1:3" ht="12.5">
      <c r="A646" s="12"/>
      <c r="C646" s="11"/>
    </row>
    <row r="647" spans="1:3" ht="12.5">
      <c r="A647" s="12"/>
      <c r="C647" s="11"/>
    </row>
    <row r="648" spans="1:3" ht="12.5">
      <c r="A648" s="12"/>
      <c r="C648" s="11"/>
    </row>
    <row r="649" spans="1:3" ht="12.5">
      <c r="A649" s="12"/>
      <c r="C649" s="11"/>
    </row>
    <row r="650" spans="1:3" ht="12.5">
      <c r="A650" s="12"/>
      <c r="C650" s="11"/>
    </row>
    <row r="651" spans="1:3" ht="12.5">
      <c r="A651" s="12"/>
      <c r="C651" s="11"/>
    </row>
    <row r="652" spans="1:3" ht="12.5">
      <c r="A652" s="12"/>
      <c r="C652" s="11"/>
    </row>
    <row r="653" spans="1:3" ht="12.5">
      <c r="A653" s="12"/>
      <c r="C653" s="11"/>
    </row>
    <row r="654" spans="1:3" ht="12.5">
      <c r="A654" s="12"/>
      <c r="C654" s="11"/>
    </row>
    <row r="655" spans="1:3" ht="12.5">
      <c r="A655" s="12"/>
      <c r="C655" s="11"/>
    </row>
    <row r="656" spans="1:3" ht="12.5">
      <c r="A656" s="12"/>
      <c r="C656" s="11"/>
    </row>
    <row r="657" spans="1:3" ht="12.5">
      <c r="A657" s="12"/>
      <c r="C657" s="11"/>
    </row>
    <row r="658" spans="1:3" ht="12.5">
      <c r="A658" s="12"/>
      <c r="C658" s="11"/>
    </row>
    <row r="659" spans="1:3" ht="12.5">
      <c r="A659" s="12"/>
      <c r="C659" s="11"/>
    </row>
    <row r="660" spans="1:3" ht="12.5">
      <c r="A660" s="12"/>
      <c r="C660" s="11"/>
    </row>
    <row r="661" spans="1:3" ht="12.5">
      <c r="A661" s="12"/>
      <c r="C661" s="11"/>
    </row>
    <row r="662" spans="1:3" ht="12.5">
      <c r="A662" s="12"/>
      <c r="C662" s="11"/>
    </row>
    <row r="663" spans="1:3" ht="12.5">
      <c r="A663" s="12"/>
      <c r="C663" s="11"/>
    </row>
    <row r="664" spans="1:3" ht="12.5">
      <c r="A664" s="12"/>
      <c r="C664" s="11"/>
    </row>
    <row r="665" spans="1:3" ht="12.5">
      <c r="A665" s="12"/>
      <c r="C665" s="11"/>
    </row>
    <row r="666" spans="1:3" ht="12.5">
      <c r="A666" s="12"/>
      <c r="C666" s="11"/>
    </row>
    <row r="667" spans="1:3" ht="12.5">
      <c r="A667" s="12"/>
      <c r="C667" s="11"/>
    </row>
    <row r="668" spans="1:3" ht="12.5">
      <c r="A668" s="12"/>
      <c r="C668" s="11"/>
    </row>
    <row r="669" spans="1:3" ht="12.5">
      <c r="A669" s="12"/>
      <c r="C669" s="11"/>
    </row>
    <row r="670" spans="1:3" ht="12.5">
      <c r="A670" s="12"/>
      <c r="C670" s="11"/>
    </row>
    <row r="671" spans="1:3" ht="12.5">
      <c r="A671" s="12"/>
      <c r="C671" s="11"/>
    </row>
    <row r="672" spans="1:3" ht="12.5">
      <c r="A672" s="12"/>
      <c r="C672" s="11"/>
    </row>
    <row r="673" spans="1:3" ht="12.5">
      <c r="A673" s="12"/>
      <c r="C673" s="11"/>
    </row>
    <row r="674" spans="1:3" ht="12.5">
      <c r="A674" s="12"/>
      <c r="C674" s="11"/>
    </row>
    <row r="675" spans="1:3" ht="12.5">
      <c r="A675" s="12"/>
      <c r="C675" s="11"/>
    </row>
    <row r="676" spans="1:3" ht="12.5">
      <c r="A676" s="12"/>
      <c r="C676" s="11"/>
    </row>
    <row r="677" spans="1:3" ht="12.5">
      <c r="A677" s="12"/>
      <c r="C677" s="11"/>
    </row>
    <row r="678" spans="1:3" ht="12.5">
      <c r="A678" s="12"/>
      <c r="C678" s="11"/>
    </row>
    <row r="679" spans="1:3" ht="12.5">
      <c r="A679" s="12"/>
      <c r="C679" s="11"/>
    </row>
    <row r="680" spans="1:3" ht="12.5">
      <c r="A680" s="12"/>
      <c r="C680" s="11"/>
    </row>
    <row r="681" spans="1:3" ht="12.5">
      <c r="A681" s="12"/>
      <c r="C681" s="11"/>
    </row>
    <row r="682" spans="1:3" ht="12.5">
      <c r="A682" s="12"/>
      <c r="C682" s="11"/>
    </row>
    <row r="683" spans="1:3" ht="12.5">
      <c r="A683" s="12"/>
      <c r="C683" s="11"/>
    </row>
    <row r="684" spans="1:3" ht="12.5">
      <c r="A684" s="12"/>
      <c r="C684" s="11"/>
    </row>
    <row r="685" spans="1:3" ht="12.5">
      <c r="A685" s="12"/>
      <c r="C685" s="11"/>
    </row>
    <row r="686" spans="1:3" ht="12.5">
      <c r="A686" s="12"/>
      <c r="C686" s="11"/>
    </row>
    <row r="687" spans="1:3" ht="12.5">
      <c r="A687" s="12"/>
      <c r="C687" s="11"/>
    </row>
    <row r="688" spans="1:3" ht="12.5">
      <c r="A688" s="12"/>
      <c r="C688" s="11"/>
    </row>
    <row r="689" spans="1:3" ht="12.5">
      <c r="A689" s="12"/>
      <c r="C689" s="11"/>
    </row>
    <row r="690" spans="1:3" ht="12.5">
      <c r="A690" s="12"/>
      <c r="C690" s="11"/>
    </row>
    <row r="691" spans="1:3" ht="12.5">
      <c r="A691" s="12"/>
      <c r="C691" s="11"/>
    </row>
    <row r="692" spans="1:3" ht="12.5">
      <c r="A692" s="12"/>
      <c r="C692" s="11"/>
    </row>
    <row r="693" spans="1:3" ht="12.5">
      <c r="A693" s="12"/>
      <c r="C693" s="11"/>
    </row>
    <row r="694" spans="1:3" ht="12.5">
      <c r="A694" s="12"/>
      <c r="C694" s="11"/>
    </row>
    <row r="695" spans="1:3" ht="12.5">
      <c r="A695" s="12"/>
      <c r="C695" s="11"/>
    </row>
    <row r="696" spans="1:3" ht="12.5">
      <c r="A696" s="12"/>
      <c r="C696" s="11"/>
    </row>
    <row r="697" spans="1:3" ht="12.5">
      <c r="A697" s="12"/>
      <c r="C697" s="11"/>
    </row>
    <row r="698" spans="1:3" ht="12.5">
      <c r="A698" s="12"/>
      <c r="C698" s="11"/>
    </row>
    <row r="699" spans="1:3" ht="12.5">
      <c r="A699" s="12"/>
      <c r="C699" s="11"/>
    </row>
    <row r="700" spans="1:3" ht="12.5">
      <c r="A700" s="12"/>
      <c r="C700" s="11"/>
    </row>
    <row r="701" spans="1:3" ht="12.5">
      <c r="A701" s="12"/>
      <c r="C701" s="11"/>
    </row>
    <row r="702" spans="1:3" ht="12.5">
      <c r="A702" s="12"/>
      <c r="C702" s="11"/>
    </row>
    <row r="703" spans="1:3" ht="12.5">
      <c r="A703" s="12"/>
      <c r="C703" s="11"/>
    </row>
    <row r="704" spans="1:3" ht="12.5">
      <c r="A704" s="12"/>
      <c r="C704" s="11"/>
    </row>
    <row r="705" spans="1:3" ht="12.5">
      <c r="A705" s="12"/>
      <c r="C705" s="11"/>
    </row>
    <row r="706" spans="1:3" ht="12.5">
      <c r="A706" s="12"/>
      <c r="C706" s="11"/>
    </row>
    <row r="707" spans="1:3" ht="12.5">
      <c r="A707" s="12"/>
      <c r="C707" s="11"/>
    </row>
    <row r="708" spans="1:3" ht="12.5">
      <c r="A708" s="12"/>
      <c r="C708" s="11"/>
    </row>
    <row r="709" spans="1:3" ht="12.5">
      <c r="A709" s="12"/>
      <c r="C709" s="11"/>
    </row>
    <row r="710" spans="1:3" ht="12.5">
      <c r="A710" s="12"/>
      <c r="C710" s="11"/>
    </row>
    <row r="711" spans="1:3" ht="12.5">
      <c r="A711" s="12"/>
      <c r="C711" s="11"/>
    </row>
    <row r="712" spans="1:3" ht="12.5">
      <c r="A712" s="12"/>
      <c r="C712" s="11"/>
    </row>
    <row r="713" spans="1:3" ht="12.5">
      <c r="A713" s="12"/>
      <c r="C713" s="11"/>
    </row>
    <row r="714" spans="1:3" ht="12.5">
      <c r="A714" s="12"/>
      <c r="C714" s="11"/>
    </row>
    <row r="715" spans="1:3" ht="12.5">
      <c r="A715" s="12"/>
      <c r="C715" s="11"/>
    </row>
    <row r="716" spans="1:3" ht="12.5">
      <c r="A716" s="12"/>
      <c r="C716" s="11"/>
    </row>
    <row r="717" spans="1:3" ht="12.5">
      <c r="A717" s="12"/>
      <c r="C717" s="11"/>
    </row>
    <row r="718" spans="1:3" ht="12.5">
      <c r="A718" s="12"/>
      <c r="C718" s="11"/>
    </row>
    <row r="719" spans="1:3" ht="12.5">
      <c r="A719" s="12"/>
      <c r="C719" s="11"/>
    </row>
    <row r="720" spans="1:3" ht="12.5">
      <c r="A720" s="12"/>
      <c r="C720" s="11"/>
    </row>
    <row r="721" spans="1:3" ht="12.5">
      <c r="A721" s="12"/>
      <c r="C721" s="11"/>
    </row>
    <row r="722" spans="1:3" ht="12.5">
      <c r="A722" s="12"/>
      <c r="C722" s="11"/>
    </row>
    <row r="723" spans="1:3" ht="12.5">
      <c r="A723" s="12"/>
      <c r="C723" s="11"/>
    </row>
    <row r="724" spans="1:3" ht="12.5">
      <c r="A724" s="12"/>
      <c r="C724" s="11"/>
    </row>
    <row r="725" spans="1:3" ht="12.5">
      <c r="A725" s="12"/>
      <c r="C725" s="11"/>
    </row>
    <row r="726" spans="1:3" ht="12.5">
      <c r="A726" s="12"/>
      <c r="C726" s="11"/>
    </row>
    <row r="727" spans="1:3" ht="12.5">
      <c r="A727" s="12"/>
      <c r="C727" s="11"/>
    </row>
    <row r="728" spans="1:3" ht="12.5">
      <c r="A728" s="12"/>
      <c r="C728" s="11"/>
    </row>
    <row r="729" spans="1:3" ht="12.5">
      <c r="A729" s="12"/>
      <c r="C729" s="11"/>
    </row>
    <row r="730" spans="1:3" ht="12.5">
      <c r="A730" s="12"/>
      <c r="C730" s="11"/>
    </row>
    <row r="731" spans="1:3" ht="12.5">
      <c r="A731" s="12"/>
      <c r="C731" s="11"/>
    </row>
    <row r="732" spans="1:3" ht="12.5">
      <c r="A732" s="12"/>
      <c r="C732" s="11"/>
    </row>
    <row r="733" spans="1:3" ht="12.5">
      <c r="A733" s="12"/>
      <c r="C733" s="11"/>
    </row>
    <row r="734" spans="1:3" ht="12.5">
      <c r="A734" s="12"/>
      <c r="C734" s="11"/>
    </row>
    <row r="735" spans="1:3" ht="12.5">
      <c r="A735" s="12"/>
      <c r="C735" s="11"/>
    </row>
    <row r="736" spans="1:3" ht="12.5">
      <c r="A736" s="12"/>
      <c r="C736" s="11"/>
    </row>
    <row r="737" spans="1:3" ht="12.5">
      <c r="A737" s="12"/>
      <c r="C737" s="11"/>
    </row>
    <row r="738" spans="1:3" ht="12.5">
      <c r="A738" s="12"/>
      <c r="C738" s="11"/>
    </row>
    <row r="739" spans="1:3" ht="12.5">
      <c r="A739" s="12"/>
      <c r="C739" s="11"/>
    </row>
    <row r="740" spans="1:3" ht="12.5">
      <c r="A740" s="12"/>
      <c r="C740" s="11"/>
    </row>
    <row r="741" spans="1:3" ht="12.5">
      <c r="A741" s="12"/>
      <c r="C741" s="11"/>
    </row>
    <row r="742" spans="1:3" ht="12.5">
      <c r="A742" s="12"/>
      <c r="C742" s="11"/>
    </row>
    <row r="743" spans="1:3" ht="12.5">
      <c r="A743" s="12"/>
      <c r="C743" s="11"/>
    </row>
    <row r="744" spans="1:3" ht="12.5">
      <c r="A744" s="12"/>
      <c r="C744" s="11"/>
    </row>
    <row r="745" spans="1:3" ht="12.5">
      <c r="A745" s="12"/>
      <c r="C745" s="11"/>
    </row>
    <row r="746" spans="1:3" ht="12.5">
      <c r="A746" s="12"/>
      <c r="C746" s="11"/>
    </row>
    <row r="747" spans="1:3" ht="12.5">
      <c r="A747" s="12"/>
      <c r="C747" s="11"/>
    </row>
    <row r="748" spans="1:3" ht="12.5">
      <c r="A748" s="12"/>
      <c r="C748" s="11"/>
    </row>
    <row r="749" spans="1:3" ht="12.5">
      <c r="A749" s="12"/>
      <c r="C749" s="11"/>
    </row>
    <row r="750" spans="1:3" ht="12.5">
      <c r="A750" s="12"/>
      <c r="C750" s="11"/>
    </row>
    <row r="751" spans="1:3" ht="12.5">
      <c r="A751" s="12"/>
      <c r="C751" s="11"/>
    </row>
    <row r="752" spans="1:3" ht="12.5">
      <c r="A752" s="12"/>
      <c r="C752" s="11"/>
    </row>
    <row r="753" spans="1:3" ht="12.5">
      <c r="A753" s="12"/>
      <c r="C753" s="11"/>
    </row>
    <row r="754" spans="1:3" ht="12.5">
      <c r="A754" s="12"/>
      <c r="C754" s="11"/>
    </row>
    <row r="755" spans="1:3" ht="12.5">
      <c r="A755" s="12"/>
      <c r="C755" s="11"/>
    </row>
    <row r="756" spans="1:3" ht="12.5">
      <c r="A756" s="12"/>
      <c r="C756" s="11"/>
    </row>
    <row r="757" spans="1:3" ht="12.5">
      <c r="A757" s="12"/>
      <c r="C757" s="11"/>
    </row>
    <row r="758" spans="1:3" ht="12.5">
      <c r="A758" s="12"/>
      <c r="C758" s="11"/>
    </row>
    <row r="759" spans="1:3" ht="12.5">
      <c r="A759" s="12"/>
      <c r="C759" s="11"/>
    </row>
    <row r="760" spans="1:3" ht="12.5">
      <c r="A760" s="12"/>
      <c r="C760" s="11"/>
    </row>
    <row r="761" spans="1:3" ht="12.5">
      <c r="A761" s="12"/>
      <c r="C761" s="11"/>
    </row>
    <row r="762" spans="1:3" ht="12.5">
      <c r="A762" s="12"/>
      <c r="C762" s="11"/>
    </row>
    <row r="763" spans="1:3" ht="12.5">
      <c r="A763" s="12"/>
      <c r="C763" s="11"/>
    </row>
    <row r="764" spans="1:3" ht="12.5">
      <c r="A764" s="12"/>
      <c r="C764" s="11"/>
    </row>
    <row r="765" spans="1:3" ht="12.5">
      <c r="A765" s="12"/>
      <c r="C765" s="11"/>
    </row>
    <row r="766" spans="1:3" ht="12.5">
      <c r="A766" s="12"/>
      <c r="C766" s="11"/>
    </row>
    <row r="767" spans="1:3" ht="12.5">
      <c r="A767" s="12"/>
      <c r="C767" s="11"/>
    </row>
    <row r="768" spans="1:3" ht="12.5">
      <c r="A768" s="12"/>
      <c r="C768" s="11"/>
    </row>
    <row r="769" spans="1:3" ht="12.5">
      <c r="A769" s="12"/>
      <c r="C769" s="11"/>
    </row>
    <row r="770" spans="1:3" ht="12.5">
      <c r="A770" s="12"/>
      <c r="C770" s="11"/>
    </row>
    <row r="771" spans="1:3" ht="12.5">
      <c r="A771" s="12"/>
      <c r="C771" s="11"/>
    </row>
    <row r="772" spans="1:3" ht="12.5">
      <c r="A772" s="12"/>
      <c r="C772" s="11"/>
    </row>
    <row r="773" spans="1:3" ht="12.5">
      <c r="A773" s="12"/>
      <c r="C773" s="11"/>
    </row>
    <row r="774" spans="1:3" ht="12.5">
      <c r="A774" s="12"/>
      <c r="C774" s="11"/>
    </row>
    <row r="775" spans="1:3" ht="12.5">
      <c r="A775" s="12"/>
      <c r="C775" s="11"/>
    </row>
    <row r="776" spans="1:3" ht="12.5">
      <c r="A776" s="12"/>
      <c r="C776" s="11"/>
    </row>
    <row r="777" spans="1:3" ht="12.5">
      <c r="A777" s="12"/>
      <c r="C777" s="11"/>
    </row>
    <row r="778" spans="1:3" ht="12.5">
      <c r="A778" s="12"/>
      <c r="C778" s="11"/>
    </row>
    <row r="779" spans="1:3" ht="12.5">
      <c r="A779" s="12"/>
      <c r="C779" s="11"/>
    </row>
    <row r="780" spans="1:3" ht="12.5">
      <c r="A780" s="12"/>
      <c r="C780" s="11"/>
    </row>
    <row r="781" spans="1:3" ht="12.5">
      <c r="A781" s="12"/>
      <c r="C781" s="11"/>
    </row>
    <row r="782" spans="1:3" ht="12.5">
      <c r="A782" s="12"/>
      <c r="C782" s="11"/>
    </row>
    <row r="783" spans="1:3" ht="12.5">
      <c r="A783" s="12"/>
      <c r="C783" s="11"/>
    </row>
    <row r="784" spans="1:3" ht="12.5">
      <c r="A784" s="12"/>
      <c r="C784" s="11"/>
    </row>
    <row r="785" spans="1:3" ht="12.5">
      <c r="A785" s="12"/>
      <c r="C785" s="11"/>
    </row>
    <row r="786" spans="1:3" ht="12.5">
      <c r="A786" s="12"/>
      <c r="C786" s="11"/>
    </row>
    <row r="787" spans="1:3" ht="12.5">
      <c r="A787" s="12"/>
      <c r="C787" s="11"/>
    </row>
    <row r="788" spans="1:3" ht="12.5">
      <c r="A788" s="12"/>
      <c r="C788" s="11"/>
    </row>
    <row r="789" spans="1:3" ht="12.5">
      <c r="A789" s="12"/>
      <c r="C789" s="11"/>
    </row>
    <row r="790" spans="1:3" ht="12.5">
      <c r="A790" s="12"/>
      <c r="C790" s="11"/>
    </row>
    <row r="791" spans="1:3" ht="12.5">
      <c r="A791" s="12"/>
      <c r="C791" s="11"/>
    </row>
    <row r="792" spans="1:3" ht="12.5">
      <c r="A792" s="12"/>
      <c r="C792" s="11"/>
    </row>
    <row r="793" spans="1:3" ht="12.5">
      <c r="A793" s="12"/>
      <c r="C793" s="11"/>
    </row>
    <row r="794" spans="1:3" ht="12.5">
      <c r="A794" s="12"/>
      <c r="C794" s="11"/>
    </row>
    <row r="795" spans="1:3" ht="12.5">
      <c r="A795" s="12"/>
      <c r="C795" s="11"/>
    </row>
    <row r="796" spans="1:3" ht="12.5">
      <c r="A796" s="12"/>
      <c r="C796" s="11"/>
    </row>
    <row r="797" spans="1:3" ht="12.5">
      <c r="A797" s="12"/>
      <c r="C797" s="11"/>
    </row>
    <row r="798" spans="1:3" ht="12.5">
      <c r="A798" s="12"/>
      <c r="C798" s="11"/>
    </row>
    <row r="799" spans="1:3" ht="12.5">
      <c r="A799" s="12"/>
      <c r="C799" s="11"/>
    </row>
    <row r="800" spans="1:3" ht="12.5">
      <c r="A800" s="12"/>
      <c r="C800" s="11"/>
    </row>
    <row r="801" spans="1:3" ht="12.5">
      <c r="A801" s="12"/>
      <c r="C801" s="11"/>
    </row>
    <row r="802" spans="1:3" ht="12.5">
      <c r="A802" s="12"/>
      <c r="C802" s="11"/>
    </row>
    <row r="803" spans="1:3" ht="12.5">
      <c r="A803" s="12"/>
      <c r="C803" s="11"/>
    </row>
    <row r="804" spans="1:3" ht="12.5">
      <c r="A804" s="12"/>
      <c r="C804" s="11"/>
    </row>
    <row r="805" spans="1:3" ht="12.5">
      <c r="A805" s="12"/>
      <c r="C805" s="11"/>
    </row>
    <row r="806" spans="1:3" ht="12.5">
      <c r="A806" s="12"/>
      <c r="C806" s="11"/>
    </row>
    <row r="807" spans="1:3" ht="12.5">
      <c r="A807" s="12"/>
      <c r="C807" s="11"/>
    </row>
    <row r="808" spans="1:3" ht="12.5">
      <c r="A808" s="12"/>
      <c r="C808" s="11"/>
    </row>
    <row r="809" spans="1:3" ht="12.5">
      <c r="A809" s="12"/>
      <c r="C809" s="11"/>
    </row>
    <row r="810" spans="1:3" ht="12.5">
      <c r="A810" s="12"/>
      <c r="C810" s="11"/>
    </row>
    <row r="811" spans="1:3" ht="12.5">
      <c r="A811" s="12"/>
      <c r="C811" s="11"/>
    </row>
    <row r="812" spans="1:3" ht="12.5">
      <c r="A812" s="12"/>
      <c r="C812" s="11"/>
    </row>
    <row r="813" spans="1:3" ht="12.5">
      <c r="A813" s="12"/>
      <c r="C813" s="11"/>
    </row>
    <row r="814" spans="1:3" ht="12.5">
      <c r="A814" s="12"/>
      <c r="C814" s="11"/>
    </row>
    <row r="815" spans="1:3" ht="12.5">
      <c r="A815" s="12"/>
      <c r="C815" s="11"/>
    </row>
    <row r="816" spans="1:3" ht="12.5">
      <c r="A816" s="12"/>
      <c r="C816" s="11"/>
    </row>
    <row r="817" spans="1:3" ht="12.5">
      <c r="A817" s="12"/>
      <c r="C817" s="11"/>
    </row>
    <row r="818" spans="1:3" ht="12.5">
      <c r="A818" s="12"/>
      <c r="C818" s="11"/>
    </row>
    <row r="819" spans="1:3" ht="12.5">
      <c r="A819" s="12"/>
      <c r="C819" s="11"/>
    </row>
    <row r="820" spans="1:3" ht="12.5">
      <c r="A820" s="12"/>
      <c r="C820" s="11"/>
    </row>
    <row r="821" spans="1:3" ht="12.5">
      <c r="A821" s="12"/>
      <c r="C821" s="11"/>
    </row>
    <row r="822" spans="1:3" ht="12.5">
      <c r="A822" s="12"/>
      <c r="C822" s="11"/>
    </row>
    <row r="823" spans="1:3" ht="12.5">
      <c r="A823" s="12"/>
      <c r="C823" s="11"/>
    </row>
    <row r="824" spans="1:3" ht="12.5">
      <c r="A824" s="12"/>
      <c r="C824" s="11"/>
    </row>
    <row r="825" spans="1:3" ht="12.5">
      <c r="A825" s="12"/>
      <c r="C825" s="11"/>
    </row>
    <row r="826" spans="1:3" ht="12.5">
      <c r="A826" s="12"/>
      <c r="C826" s="11"/>
    </row>
    <row r="827" spans="1:3" ht="12.5">
      <c r="A827" s="12"/>
      <c r="C827" s="11"/>
    </row>
    <row r="828" spans="1:3" ht="12.5">
      <c r="A828" s="12"/>
      <c r="C828" s="11"/>
    </row>
    <row r="829" spans="1:3" ht="12.5">
      <c r="A829" s="12"/>
      <c r="C829" s="11"/>
    </row>
    <row r="830" spans="1:3" ht="12.5">
      <c r="A830" s="12"/>
      <c r="C830" s="11"/>
    </row>
    <row r="831" spans="1:3" ht="12.5">
      <c r="A831" s="12"/>
      <c r="C831" s="11"/>
    </row>
    <row r="832" spans="1:3" ht="12.5">
      <c r="A832" s="12"/>
      <c r="C832" s="11"/>
    </row>
    <row r="833" spans="1:3" ht="12.5">
      <c r="A833" s="12"/>
      <c r="C833" s="11"/>
    </row>
    <row r="834" spans="1:3" ht="12.5">
      <c r="A834" s="12"/>
      <c r="C834" s="11"/>
    </row>
    <row r="835" spans="1:3" ht="12.5">
      <c r="A835" s="12"/>
      <c r="C835" s="11"/>
    </row>
    <row r="836" spans="1:3" ht="12.5">
      <c r="A836" s="12"/>
      <c r="C836" s="11"/>
    </row>
    <row r="837" spans="1:3" ht="12.5">
      <c r="A837" s="12"/>
      <c r="C837" s="11"/>
    </row>
    <row r="838" spans="1:3" ht="12.5">
      <c r="A838" s="12"/>
      <c r="C838" s="11"/>
    </row>
    <row r="839" spans="1:3" ht="12.5">
      <c r="A839" s="12"/>
      <c r="C839" s="11"/>
    </row>
    <row r="840" spans="1:3" ht="12.5">
      <c r="A840" s="12"/>
      <c r="C840" s="11"/>
    </row>
    <row r="841" spans="1:3" ht="12.5">
      <c r="A841" s="12"/>
      <c r="C841" s="11"/>
    </row>
    <row r="842" spans="1:3" ht="12.5">
      <c r="A842" s="12"/>
      <c r="C842" s="11"/>
    </row>
    <row r="843" spans="1:3" ht="12.5">
      <c r="A843" s="12"/>
      <c r="C843" s="11"/>
    </row>
    <row r="844" spans="1:3" ht="12.5">
      <c r="A844" s="12"/>
      <c r="C844" s="11"/>
    </row>
    <row r="845" spans="1:3" ht="12.5">
      <c r="A845" s="12"/>
      <c r="C845" s="11"/>
    </row>
    <row r="846" spans="1:3" ht="12.5">
      <c r="A846" s="12"/>
      <c r="C846" s="11"/>
    </row>
    <row r="847" spans="1:3" ht="12.5">
      <c r="A847" s="12"/>
      <c r="C847" s="11"/>
    </row>
    <row r="848" spans="1:3" ht="12.5">
      <c r="A848" s="12"/>
      <c r="C848" s="11"/>
    </row>
    <row r="849" spans="1:3" ht="12.5">
      <c r="A849" s="12"/>
      <c r="C849" s="11"/>
    </row>
    <row r="850" spans="1:3" ht="12.5">
      <c r="A850" s="12"/>
      <c r="C850" s="11"/>
    </row>
    <row r="851" spans="1:3" ht="12.5">
      <c r="A851" s="12"/>
      <c r="C851" s="11"/>
    </row>
    <row r="852" spans="1:3" ht="12.5">
      <c r="A852" s="12"/>
      <c r="C852" s="11"/>
    </row>
    <row r="853" spans="1:3" ht="12.5">
      <c r="A853" s="12"/>
      <c r="C853" s="11"/>
    </row>
    <row r="854" spans="1:3" ht="12.5">
      <c r="A854" s="12"/>
      <c r="C854" s="11"/>
    </row>
    <row r="855" spans="1:3" ht="12.5">
      <c r="A855" s="12"/>
      <c r="C855" s="11"/>
    </row>
    <row r="856" spans="1:3" ht="12.5">
      <c r="A856" s="12"/>
      <c r="C856" s="11"/>
    </row>
    <row r="857" spans="1:3" ht="12.5">
      <c r="A857" s="12"/>
      <c r="C857" s="11"/>
    </row>
    <row r="858" spans="1:3" ht="12.5">
      <c r="A858" s="12"/>
      <c r="C858" s="11"/>
    </row>
    <row r="859" spans="1:3" ht="12.5">
      <c r="A859" s="12"/>
      <c r="C859" s="11"/>
    </row>
    <row r="860" spans="1:3" ht="12.5">
      <c r="A860" s="12"/>
      <c r="C860" s="11"/>
    </row>
    <row r="861" spans="1:3" ht="12.5">
      <c r="A861" s="12"/>
      <c r="C861" s="11"/>
    </row>
    <row r="862" spans="1:3" ht="12.5">
      <c r="A862" s="12"/>
      <c r="C862" s="11"/>
    </row>
    <row r="863" spans="1:3" ht="12.5">
      <c r="A863" s="12"/>
      <c r="C863" s="11"/>
    </row>
    <row r="864" spans="1:3" ht="12.5">
      <c r="A864" s="12"/>
      <c r="C864" s="11"/>
    </row>
    <row r="865" spans="1:3" ht="12.5">
      <c r="A865" s="12"/>
      <c r="C865" s="11"/>
    </row>
    <row r="866" spans="1:3" ht="12.5">
      <c r="A866" s="12"/>
      <c r="C866" s="11"/>
    </row>
    <row r="867" spans="1:3" ht="12.5">
      <c r="A867" s="12"/>
      <c r="C867" s="11"/>
    </row>
    <row r="868" spans="1:3" ht="12.5">
      <c r="A868" s="12"/>
      <c r="C868" s="11"/>
    </row>
    <row r="869" spans="1:3" ht="12.5">
      <c r="A869" s="12"/>
      <c r="C869" s="11"/>
    </row>
    <row r="870" spans="1:3" ht="12.5">
      <c r="A870" s="12"/>
      <c r="C870" s="11"/>
    </row>
    <row r="871" spans="1:3" ht="12.5">
      <c r="A871" s="12"/>
      <c r="C871" s="11"/>
    </row>
    <row r="872" spans="1:3" ht="12.5">
      <c r="A872" s="12"/>
      <c r="C872" s="11"/>
    </row>
    <row r="873" spans="1:3" ht="12.5">
      <c r="A873" s="12"/>
      <c r="C873" s="11"/>
    </row>
    <row r="874" spans="1:3" ht="12.5">
      <c r="A874" s="12"/>
      <c r="C874" s="11"/>
    </row>
    <row r="875" spans="1:3" ht="12.5">
      <c r="A875" s="12"/>
      <c r="C875" s="11"/>
    </row>
    <row r="876" spans="1:3" ht="12.5">
      <c r="A876" s="12"/>
      <c r="C876" s="11"/>
    </row>
    <row r="877" spans="1:3" ht="12.5">
      <c r="A877" s="12"/>
      <c r="C877" s="11"/>
    </row>
    <row r="878" spans="1:3" ht="12.5">
      <c r="A878" s="12"/>
      <c r="C878" s="11"/>
    </row>
    <row r="879" spans="1:3" ht="12.5">
      <c r="A879" s="12"/>
      <c r="C879" s="11"/>
    </row>
    <row r="880" spans="1:3" ht="12.5">
      <c r="A880" s="12"/>
      <c r="C880" s="11"/>
    </row>
    <row r="881" spans="1:3" ht="12.5">
      <c r="A881" s="12"/>
      <c r="C881" s="11"/>
    </row>
    <row r="882" spans="1:3" ht="12.5">
      <c r="A882" s="12"/>
      <c r="C882" s="11"/>
    </row>
    <row r="883" spans="1:3" ht="12.5">
      <c r="A883" s="12"/>
      <c r="C883" s="11"/>
    </row>
    <row r="884" spans="1:3" ht="12.5">
      <c r="A884" s="12"/>
      <c r="C884" s="11"/>
    </row>
    <row r="885" spans="1:3" ht="12.5">
      <c r="A885" s="12"/>
      <c r="C885" s="11"/>
    </row>
    <row r="886" spans="1:3" ht="12.5">
      <c r="A886" s="12"/>
      <c r="C886" s="11"/>
    </row>
    <row r="887" spans="1:3" ht="12.5">
      <c r="A887" s="12"/>
      <c r="C887" s="11"/>
    </row>
    <row r="888" spans="1:3" ht="12.5">
      <c r="A888" s="12"/>
      <c r="C888" s="11"/>
    </row>
    <row r="889" spans="1:3" ht="12.5">
      <c r="A889" s="12"/>
      <c r="C889" s="11"/>
    </row>
    <row r="890" spans="1:3" ht="12.5">
      <c r="A890" s="12"/>
      <c r="C890" s="11"/>
    </row>
    <row r="891" spans="1:3" ht="12.5">
      <c r="A891" s="12"/>
      <c r="C891" s="11"/>
    </row>
    <row r="892" spans="1:3" ht="12.5">
      <c r="A892" s="12"/>
      <c r="C892" s="11"/>
    </row>
    <row r="893" spans="1:3" ht="12.5">
      <c r="A893" s="12"/>
      <c r="C893" s="11"/>
    </row>
    <row r="894" spans="1:3" ht="12.5">
      <c r="A894" s="12"/>
      <c r="C894" s="11"/>
    </row>
    <row r="895" spans="1:3" ht="12.5">
      <c r="A895" s="12"/>
      <c r="C895" s="11"/>
    </row>
    <row r="896" spans="1:3" ht="12.5">
      <c r="A896" s="12"/>
      <c r="C896" s="11"/>
    </row>
    <row r="897" spans="1:3" ht="12.5">
      <c r="A897" s="12"/>
      <c r="C897" s="11"/>
    </row>
    <row r="898" spans="1:3" ht="12.5">
      <c r="A898" s="12"/>
      <c r="C898" s="11"/>
    </row>
    <row r="899" spans="1:3" ht="12.5">
      <c r="A899" s="12"/>
      <c r="C899" s="11"/>
    </row>
    <row r="900" spans="1:3" ht="12.5">
      <c r="A900" s="12"/>
      <c r="C900" s="11"/>
    </row>
    <row r="901" spans="1:3" ht="12.5">
      <c r="A901" s="12"/>
      <c r="C901" s="11"/>
    </row>
    <row r="902" spans="1:3" ht="12.5">
      <c r="A902" s="12"/>
      <c r="C902" s="11"/>
    </row>
    <row r="903" spans="1:3" ht="12.5">
      <c r="A903" s="12"/>
      <c r="C903" s="11"/>
    </row>
    <row r="904" spans="1:3" ht="12.5">
      <c r="A904" s="12"/>
      <c r="C904" s="11"/>
    </row>
    <row r="905" spans="1:3" ht="12.5">
      <c r="A905" s="12"/>
      <c r="C905" s="11"/>
    </row>
    <row r="906" spans="1:3" ht="12.5">
      <c r="A906" s="12"/>
      <c r="C906" s="11"/>
    </row>
    <row r="907" spans="1:3" ht="12.5">
      <c r="A907" s="12"/>
      <c r="C907" s="11"/>
    </row>
    <row r="908" spans="1:3" ht="12.5">
      <c r="A908" s="12"/>
      <c r="C908" s="11"/>
    </row>
    <row r="909" spans="1:3" ht="12.5">
      <c r="A909" s="12"/>
      <c r="C909" s="11"/>
    </row>
    <row r="910" spans="1:3" ht="12.5">
      <c r="A910" s="12"/>
      <c r="C910" s="11"/>
    </row>
    <row r="911" spans="1:3" ht="12.5">
      <c r="A911" s="12"/>
      <c r="C911" s="11"/>
    </row>
    <row r="912" spans="1:3" ht="12.5">
      <c r="A912" s="12"/>
      <c r="C912" s="11"/>
    </row>
    <row r="913" spans="1:3" ht="12.5">
      <c r="A913" s="12"/>
      <c r="C913" s="11"/>
    </row>
    <row r="914" spans="1:3" ht="12.5">
      <c r="A914" s="12"/>
      <c r="C914" s="11"/>
    </row>
    <row r="915" spans="1:3" ht="12.5">
      <c r="A915" s="12"/>
      <c r="C915" s="11"/>
    </row>
    <row r="916" spans="1:3" ht="12.5">
      <c r="A916" s="12"/>
      <c r="C916" s="11"/>
    </row>
    <row r="917" spans="1:3" ht="12.5">
      <c r="A917" s="12"/>
      <c r="C917" s="11"/>
    </row>
    <row r="918" spans="1:3" ht="12.5">
      <c r="A918" s="12"/>
      <c r="C918" s="11"/>
    </row>
    <row r="919" spans="1:3" ht="12.5">
      <c r="A919" s="12"/>
      <c r="C919" s="11"/>
    </row>
    <row r="920" spans="1:3" ht="12.5">
      <c r="A920" s="12"/>
      <c r="C920" s="11"/>
    </row>
    <row r="921" spans="1:3" ht="12.5">
      <c r="A921" s="12"/>
      <c r="C921" s="11"/>
    </row>
    <row r="922" spans="1:3" ht="12.5">
      <c r="A922" s="12"/>
      <c r="C922" s="11"/>
    </row>
    <row r="923" spans="1:3" ht="12.5">
      <c r="A923" s="12"/>
      <c r="C923" s="11"/>
    </row>
    <row r="924" spans="1:3" ht="12.5">
      <c r="A924" s="12"/>
      <c r="C924" s="11"/>
    </row>
    <row r="925" spans="1:3" ht="12.5">
      <c r="A925" s="12"/>
      <c r="C925" s="11"/>
    </row>
    <row r="926" spans="1:3" ht="12.5">
      <c r="A926" s="12"/>
      <c r="C926" s="11"/>
    </row>
    <row r="927" spans="1:3" ht="12.5">
      <c r="A927" s="12"/>
      <c r="C927" s="11"/>
    </row>
    <row r="928" spans="1:3" ht="12.5">
      <c r="A928" s="12"/>
      <c r="C928" s="11"/>
    </row>
    <row r="929" spans="1:3" ht="12.5">
      <c r="A929" s="12"/>
      <c r="C929" s="11"/>
    </row>
    <row r="930" spans="1:3" ht="12.5">
      <c r="A930" s="12"/>
      <c r="C930" s="11"/>
    </row>
    <row r="931" spans="1:3" ht="12.5">
      <c r="A931" s="12"/>
      <c r="C931" s="11"/>
    </row>
    <row r="932" spans="1:3" ht="12.5">
      <c r="A932" s="12"/>
      <c r="C932" s="11"/>
    </row>
    <row r="933" spans="1:3" ht="12.5">
      <c r="A933" s="12"/>
      <c r="C933" s="11"/>
    </row>
    <row r="934" spans="1:3" ht="12.5">
      <c r="A934" s="12"/>
      <c r="C934" s="11"/>
    </row>
    <row r="935" spans="1:3" ht="12.5">
      <c r="A935" s="12"/>
      <c r="C935" s="11"/>
    </row>
    <row r="936" spans="1:3" ht="12.5">
      <c r="A936" s="12"/>
      <c r="C936" s="11"/>
    </row>
    <row r="937" spans="1:3" ht="12.5">
      <c r="A937" s="12"/>
      <c r="C937" s="11"/>
    </row>
    <row r="938" spans="1:3" ht="12.5">
      <c r="A938" s="12"/>
      <c r="C938" s="11"/>
    </row>
    <row r="939" spans="1:3" ht="12.5">
      <c r="A939" s="12"/>
      <c r="C939" s="11"/>
    </row>
    <row r="940" spans="1:3" ht="12.5">
      <c r="A940" s="12"/>
      <c r="C940" s="11"/>
    </row>
    <row r="941" spans="1:3" ht="12.5">
      <c r="A941" s="12"/>
      <c r="C941" s="11"/>
    </row>
    <row r="942" spans="1:3" ht="12.5">
      <c r="A942" s="12"/>
      <c r="C942" s="11"/>
    </row>
    <row r="943" spans="1:3" ht="12.5">
      <c r="A943" s="12"/>
      <c r="C943" s="11"/>
    </row>
    <row r="944" spans="1:3" ht="12.5">
      <c r="A944" s="12"/>
      <c r="C944" s="11"/>
    </row>
    <row r="945" spans="1:3" ht="12.5">
      <c r="A945" s="12"/>
      <c r="C945" s="11"/>
    </row>
    <row r="946" spans="1:3" ht="12.5">
      <c r="A946" s="12"/>
      <c r="C946" s="11"/>
    </row>
    <row r="947" spans="1:3" ht="12.5">
      <c r="A947" s="12"/>
      <c r="C947" s="11"/>
    </row>
    <row r="948" spans="1:3" ht="12.5">
      <c r="A948" s="12"/>
      <c r="C948" s="11"/>
    </row>
    <row r="949" spans="1:3" ht="12.5">
      <c r="A949" s="12"/>
      <c r="C949" s="11"/>
    </row>
    <row r="950" spans="1:3" ht="12.5">
      <c r="A950" s="12"/>
      <c r="C950" s="11"/>
    </row>
    <row r="951" spans="1:3" ht="12.5">
      <c r="A951" s="12"/>
      <c r="C951" s="11"/>
    </row>
    <row r="952" spans="1:3" ht="12.5">
      <c r="A952" s="12"/>
      <c r="C952" s="11"/>
    </row>
    <row r="953" spans="1:3" ht="12.5">
      <c r="A953" s="12"/>
      <c r="C953" s="11"/>
    </row>
    <row r="954" spans="1:3" ht="12.5">
      <c r="A954" s="12"/>
      <c r="C954" s="11"/>
    </row>
    <row r="955" spans="1:3" ht="12.5">
      <c r="A955" s="12"/>
      <c r="C955" s="11"/>
    </row>
    <row r="956" spans="1:3" ht="12.5">
      <c r="A956" s="12"/>
      <c r="C956" s="11"/>
    </row>
    <row r="957" spans="1:3" ht="12.5">
      <c r="A957" s="12"/>
      <c r="C957" s="11"/>
    </row>
    <row r="958" spans="1:3" ht="12.5">
      <c r="A958" s="12"/>
      <c r="C958" s="11"/>
    </row>
    <row r="959" spans="1:3" ht="12.5">
      <c r="A959" s="12"/>
      <c r="C959" s="11"/>
    </row>
    <row r="960" spans="1:3" ht="12.5">
      <c r="A960" s="12"/>
      <c r="C960" s="11"/>
    </row>
    <row r="961" spans="1:3" ht="12.5">
      <c r="A961" s="12"/>
      <c r="C961" s="11"/>
    </row>
    <row r="962" spans="1:3" ht="12.5">
      <c r="A962" s="12"/>
      <c r="C962" s="11"/>
    </row>
    <row r="963" spans="1:3" ht="12.5">
      <c r="A963" s="12"/>
      <c r="C963" s="11"/>
    </row>
    <row r="964" spans="1:3" ht="12.5">
      <c r="A964" s="12"/>
      <c r="C964" s="11"/>
    </row>
    <row r="965" spans="1:3" ht="12.5">
      <c r="A965" s="12"/>
      <c r="C965" s="11"/>
    </row>
    <row r="966" spans="1:3" ht="12.5">
      <c r="A966" s="12"/>
      <c r="C966" s="11"/>
    </row>
    <row r="967" spans="1:3" ht="12.5">
      <c r="A967" s="12"/>
      <c r="C967" s="11"/>
    </row>
    <row r="968" spans="1:3" ht="12.5">
      <c r="A968" s="12"/>
      <c r="C968" s="11"/>
    </row>
    <row r="969" spans="1:3" ht="12.5">
      <c r="A969" s="12"/>
      <c r="C969" s="11"/>
    </row>
    <row r="970" spans="1:3" ht="12.5">
      <c r="A970" s="12"/>
      <c r="C970" s="11"/>
    </row>
    <row r="971" spans="1:3" ht="12.5">
      <c r="A971" s="12"/>
      <c r="C971" s="11"/>
    </row>
    <row r="972" spans="1:3" ht="12.5">
      <c r="A972" s="12"/>
      <c r="C972" s="11"/>
    </row>
    <row r="973" spans="1:3" ht="12.5">
      <c r="A973" s="12"/>
      <c r="C973" s="11"/>
    </row>
    <row r="974" spans="1:3" ht="12.5">
      <c r="A974" s="12"/>
      <c r="C974" s="11"/>
    </row>
    <row r="975" spans="1:3" ht="12.5">
      <c r="A975" s="12"/>
      <c r="C975" s="11"/>
    </row>
    <row r="976" spans="1:3" ht="12.5">
      <c r="A976" s="12"/>
      <c r="C976" s="11"/>
    </row>
    <row r="977" spans="1:3" ht="12.5">
      <c r="A977" s="12"/>
      <c r="C977" s="11"/>
    </row>
    <row r="978" spans="1:3" ht="12.5">
      <c r="A978" s="12"/>
      <c r="C978" s="11"/>
    </row>
    <row r="979" spans="1:3" ht="12.5">
      <c r="A979" s="12"/>
      <c r="C979" s="11"/>
    </row>
    <row r="980" spans="1:3" ht="12.5">
      <c r="A980" s="12"/>
      <c r="C980" s="11"/>
    </row>
    <row r="981" spans="1:3" ht="12.5">
      <c r="A981" s="12"/>
      <c r="C981" s="11"/>
    </row>
    <row r="982" spans="1:3" ht="12.5">
      <c r="A982" s="12"/>
      <c r="C982" s="11"/>
    </row>
    <row r="983" spans="1:3" ht="12.5">
      <c r="A983" s="12"/>
      <c r="C983" s="11"/>
    </row>
    <row r="984" spans="1:3" ht="12.5">
      <c r="A984" s="12"/>
      <c r="C984" s="11"/>
    </row>
    <row r="985" spans="1:3" ht="12.5">
      <c r="A985" s="12"/>
      <c r="C985" s="11"/>
    </row>
    <row r="986" spans="1:3" ht="12.5">
      <c r="A986" s="12"/>
      <c r="C986" s="11"/>
    </row>
    <row r="987" spans="1:3" ht="12.5">
      <c r="A987" s="12"/>
      <c r="C987" s="11"/>
    </row>
    <row r="988" spans="1:3" ht="12.5">
      <c r="A988" s="12"/>
      <c r="C988" s="11"/>
    </row>
    <row r="989" spans="1:3" ht="12.5">
      <c r="A989" s="12"/>
      <c r="C989" s="11"/>
    </row>
    <row r="990" spans="1:3" ht="12.5">
      <c r="A990" s="12"/>
      <c r="C990" s="11"/>
    </row>
    <row r="991" spans="1:3" ht="12.5">
      <c r="A991" s="12"/>
      <c r="C991" s="11"/>
    </row>
    <row r="992" spans="1:3" ht="12.5">
      <c r="A992" s="12"/>
      <c r="C992" s="11"/>
    </row>
    <row r="993" spans="1:3" ht="12.5">
      <c r="A993" s="12"/>
      <c r="C993" s="11"/>
    </row>
    <row r="994" spans="1:3" ht="12.5">
      <c r="A994" s="12"/>
      <c r="C994" s="11"/>
    </row>
    <row r="995" spans="1:3" ht="12.5">
      <c r="A995" s="12"/>
      <c r="C995" s="11"/>
    </row>
    <row r="996" spans="1:3" ht="12.5">
      <c r="A996" s="12"/>
      <c r="C996" s="11"/>
    </row>
    <row r="997" spans="1:3" ht="12.5">
      <c r="A997" s="12"/>
      <c r="C997" s="11"/>
    </row>
    <row r="998" spans="1:3" ht="12.5">
      <c r="A998" s="12"/>
      <c r="C998" s="11"/>
    </row>
    <row r="999" spans="1:3" ht="12.5">
      <c r="A999" s="12"/>
      <c r="C999" s="11"/>
    </row>
    <row r="1000" spans="1:3" ht="12.5">
      <c r="A1000" s="12"/>
      <c r="C1000" s="11"/>
    </row>
  </sheetData>
  <dataValidations count="1">
    <dataValidation type="list" allowBlank="1" sqref="C2:C1000" xr:uid="{00000000-0002-0000-0100-000000000000}">
      <formula1>"Diagnosticați,Vindecați,Decedați"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Cazuri individuale cu dată spec</vt:lpstr>
      <vt:lpstr>Cazuri fără dată specificată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Horvat Norbert</cp:lastModifiedBy>
  <dcterms:modified xsi:type="dcterms:W3CDTF">2020-08-27T10:12:33Z</dcterms:modified>
</cp:coreProperties>
</file>