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norbi\Website\norbitay.github.io\assets\projects\"/>
    </mc:Choice>
  </mc:AlternateContent>
  <xr:revisionPtr revIDLastSave="0" documentId="8_{58F22AA5-F047-4F6C-91FA-36CB9279FDE7}" xr6:coauthVersionLast="47" xr6:coauthVersionMax="47" xr10:uidLastSave="{00000000-0000-0000-0000-000000000000}"/>
  <bookViews>
    <workbookView xWindow="-98" yWindow="-98" windowWidth="22695" windowHeight="14476" tabRatio="593" xr2:uid="{00000000-000D-0000-FFFF-FFFF00000000}"/>
  </bookViews>
  <sheets>
    <sheet name="3-Statement LBO Case Stud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5" i="2" l="1"/>
  <c r="E345" i="2" s="1"/>
  <c r="F345" i="2" s="1"/>
  <c r="G345" i="2" s="1"/>
  <c r="H345" i="2" s="1"/>
  <c r="C254" i="2"/>
  <c r="E135" i="2"/>
  <c r="F135" i="2"/>
  <c r="G135" i="2"/>
  <c r="H135" i="2"/>
  <c r="D135" i="2"/>
  <c r="D305" i="2"/>
  <c r="E333" i="2"/>
  <c r="F333" i="2"/>
  <c r="G333" i="2"/>
  <c r="H333" i="2"/>
  <c r="D333" i="2"/>
  <c r="E318" i="2"/>
  <c r="F318" i="2"/>
  <c r="G318" i="2"/>
  <c r="H318" i="2"/>
  <c r="D318" i="2"/>
  <c r="E316" i="2"/>
  <c r="F316" i="2"/>
  <c r="G316" i="2"/>
  <c r="H316" i="2"/>
  <c r="D316" i="2"/>
  <c r="E313" i="2"/>
  <c r="F313" i="2"/>
  <c r="G313" i="2"/>
  <c r="H313" i="2"/>
  <c r="D313" i="2"/>
  <c r="D343" i="2"/>
  <c r="E343" i="2" s="1"/>
  <c r="F343" i="2" s="1"/>
  <c r="G343" i="2" s="1"/>
  <c r="H343" i="2" s="1"/>
  <c r="E305" i="2"/>
  <c r="F305" i="2"/>
  <c r="G305" i="2"/>
  <c r="H305" i="2"/>
  <c r="C240" i="2"/>
  <c r="C232" i="2"/>
  <c r="C227" i="2"/>
  <c r="C216" i="2"/>
  <c r="C215" i="2"/>
  <c r="D87" i="2"/>
  <c r="D232" i="2" s="1"/>
  <c r="D218" i="2"/>
  <c r="E218" i="2" s="1"/>
  <c r="F218" i="2" s="1"/>
  <c r="G218" i="2" s="1"/>
  <c r="H218" i="2" s="1"/>
  <c r="C56" i="2"/>
  <c r="N167" i="2"/>
  <c r="C167" i="2" s="1"/>
  <c r="C208" i="2" s="1"/>
  <c r="N168" i="2"/>
  <c r="C168" i="2" s="1"/>
  <c r="C209" i="2" s="1"/>
  <c r="N151" i="2"/>
  <c r="C151" i="2" s="1"/>
  <c r="C204" i="2" s="1"/>
  <c r="N150" i="2"/>
  <c r="C150" i="2" s="1"/>
  <c r="C203" i="2" s="1"/>
  <c r="L149" i="2"/>
  <c r="N149" i="2" s="1"/>
  <c r="C149" i="2" s="1"/>
  <c r="D304" i="2" s="1"/>
  <c r="K183" i="2"/>
  <c r="L183" i="2"/>
  <c r="M183" i="2"/>
  <c r="L172" i="2"/>
  <c r="I183" i="2"/>
  <c r="J169" i="2"/>
  <c r="N169" i="2" s="1"/>
  <c r="J176" i="2"/>
  <c r="J158" i="2"/>
  <c r="J152" i="2"/>
  <c r="C137" i="2"/>
  <c r="D197" i="2"/>
  <c r="E197" i="2"/>
  <c r="F197" i="2"/>
  <c r="G197" i="2"/>
  <c r="H197" i="2"/>
  <c r="C197" i="2"/>
  <c r="C196" i="2"/>
  <c r="C103" i="2"/>
  <c r="E88" i="2"/>
  <c r="F88" i="2" s="1"/>
  <c r="G88" i="2" s="1"/>
  <c r="H88" i="2" s="1"/>
  <c r="C93" i="2"/>
  <c r="C94" i="2" s="1"/>
  <c r="C91" i="2"/>
  <c r="D91" i="2" s="1"/>
  <c r="C21" i="2"/>
  <c r="C81" i="2"/>
  <c r="C80" i="2"/>
  <c r="C14" i="2"/>
  <c r="C15" i="2" s="1"/>
  <c r="C17" i="2" s="1"/>
  <c r="C79" i="2" s="1"/>
  <c r="D5" i="2"/>
  <c r="E5" i="2" s="1"/>
  <c r="F5" i="2" s="1"/>
  <c r="G5" i="2" s="1"/>
  <c r="H5" i="2" s="1"/>
  <c r="D141" i="2" l="1"/>
  <c r="C223" i="2"/>
  <c r="D223" i="2" s="1"/>
  <c r="E223" i="2" s="1"/>
  <c r="F223" i="2" s="1"/>
  <c r="G223" i="2" s="1"/>
  <c r="H223" i="2" s="1"/>
  <c r="C220" i="2"/>
  <c r="D220" i="2" s="1"/>
  <c r="E220" i="2" s="1"/>
  <c r="F220" i="2" s="1"/>
  <c r="G220" i="2" s="1"/>
  <c r="H220" i="2" s="1"/>
  <c r="D90" i="2"/>
  <c r="D216" i="2" s="1"/>
  <c r="D196" i="2"/>
  <c r="D198" i="2" s="1"/>
  <c r="D127" i="2" s="1"/>
  <c r="D215" i="2"/>
  <c r="C222" i="2"/>
  <c r="D222" i="2" s="1"/>
  <c r="E222" i="2" s="1"/>
  <c r="F222" i="2" s="1"/>
  <c r="G222" i="2" s="1"/>
  <c r="H222" i="2" s="1"/>
  <c r="C233" i="2"/>
  <c r="D233" i="2" s="1"/>
  <c r="D227" i="2" s="1"/>
  <c r="C205" i="2"/>
  <c r="C221" i="2"/>
  <c r="D221" i="2" s="1"/>
  <c r="E221" i="2" s="1"/>
  <c r="F221" i="2" s="1"/>
  <c r="G221" i="2" s="1"/>
  <c r="H221" i="2" s="1"/>
  <c r="E87" i="2"/>
  <c r="F87" i="2" s="1"/>
  <c r="C210" i="2"/>
  <c r="C169" i="2"/>
  <c r="C152" i="2"/>
  <c r="J160" i="2"/>
  <c r="N152" i="2"/>
  <c r="N172" i="2"/>
  <c r="C172" i="2" s="1"/>
  <c r="D172" i="2" s="1"/>
  <c r="E172" i="2" s="1"/>
  <c r="F172" i="2" s="1"/>
  <c r="G172" i="2" s="1"/>
  <c r="J178" i="2"/>
  <c r="J182" i="2" s="1"/>
  <c r="C198" i="2"/>
  <c r="E91" i="2"/>
  <c r="C99" i="2"/>
  <c r="C100" i="2" s="1"/>
  <c r="C40" i="2"/>
  <c r="D338" i="2" s="1"/>
  <c r="C35" i="2"/>
  <c r="C29" i="2"/>
  <c r="H172" i="2" l="1"/>
  <c r="D203" i="2"/>
  <c r="D150" i="2" s="1"/>
  <c r="D120" i="2" s="1"/>
  <c r="D93" i="2"/>
  <c r="D94" i="2" s="1"/>
  <c r="D346" i="2"/>
  <c r="D344" i="2"/>
  <c r="D209" i="2"/>
  <c r="D168" i="2" s="1"/>
  <c r="D123" i="2" s="1"/>
  <c r="E90" i="2"/>
  <c r="E216" i="2" s="1"/>
  <c r="E208" i="2" s="1"/>
  <c r="D247" i="2"/>
  <c r="E233" i="2"/>
  <c r="F233" i="2" s="1"/>
  <c r="D128" i="2"/>
  <c r="D246" i="2"/>
  <c r="C212" i="2"/>
  <c r="D208" i="2"/>
  <c r="D204" i="2"/>
  <c r="F232" i="2"/>
  <c r="F215" i="2"/>
  <c r="J183" i="2"/>
  <c r="E232" i="2"/>
  <c r="E215" i="2"/>
  <c r="G87" i="2"/>
  <c r="H87" i="2" s="1"/>
  <c r="C70" i="2"/>
  <c r="D309" i="2" s="1"/>
  <c r="L173" i="2"/>
  <c r="C72" i="2"/>
  <c r="L175" i="2"/>
  <c r="N175" i="2" s="1"/>
  <c r="C175" i="2" s="1"/>
  <c r="C71" i="2"/>
  <c r="D328" i="2" s="1"/>
  <c r="D334" i="2" s="1"/>
  <c r="L174" i="2"/>
  <c r="N174" i="2" s="1"/>
  <c r="C174" i="2" s="1"/>
  <c r="E196" i="2"/>
  <c r="E198" i="2" s="1"/>
  <c r="E127" i="2" s="1"/>
  <c r="C96" i="2"/>
  <c r="C97" i="2" s="1"/>
  <c r="D97" i="2" s="1"/>
  <c r="C105" i="2"/>
  <c r="F91" i="2"/>
  <c r="F90" i="2" s="1"/>
  <c r="F216" i="2" s="1"/>
  <c r="C82" i="2"/>
  <c r="C239" i="2" s="1"/>
  <c r="C241" i="2" s="1"/>
  <c r="E204" i="2" l="1"/>
  <c r="E151" i="2" s="1"/>
  <c r="D341" i="2"/>
  <c r="D342" i="2" s="1"/>
  <c r="D352" i="2"/>
  <c r="D119" i="2" s="1"/>
  <c r="D314" i="2"/>
  <c r="D317" i="2"/>
  <c r="D319" i="2" s="1"/>
  <c r="D210" i="2"/>
  <c r="E93" i="2"/>
  <c r="E94" i="2" s="1"/>
  <c r="H331" i="2"/>
  <c r="D331" i="2"/>
  <c r="F331" i="2"/>
  <c r="E331" i="2"/>
  <c r="G331" i="2"/>
  <c r="E227" i="2"/>
  <c r="E247" i="2" s="1"/>
  <c r="D167" i="2"/>
  <c r="E128" i="2"/>
  <c r="E246" i="2"/>
  <c r="D229" i="2"/>
  <c r="G229" i="2"/>
  <c r="E229" i="2"/>
  <c r="F229" i="2"/>
  <c r="H229" i="2"/>
  <c r="D151" i="2"/>
  <c r="D205" i="2"/>
  <c r="F204" i="2"/>
  <c r="F151" i="2" s="1"/>
  <c r="F208" i="2"/>
  <c r="F167" i="2" s="1"/>
  <c r="G233" i="2"/>
  <c r="F227" i="2"/>
  <c r="E209" i="2"/>
  <c r="E168" i="2" s="1"/>
  <c r="E123" i="2" s="1"/>
  <c r="E203" i="2"/>
  <c r="H215" i="2"/>
  <c r="H232" i="2"/>
  <c r="F209" i="2"/>
  <c r="F203" i="2"/>
  <c r="E167" i="2"/>
  <c r="G232" i="2"/>
  <c r="G215" i="2"/>
  <c r="F196" i="2"/>
  <c r="F198" i="2" s="1"/>
  <c r="F127" i="2" s="1"/>
  <c r="N173" i="2"/>
  <c r="C83" i="2"/>
  <c r="C75" i="2" s="1"/>
  <c r="C64" i="2" s="1"/>
  <c r="C74" i="2" s="1"/>
  <c r="C263" i="2" s="1"/>
  <c r="L156" i="2"/>
  <c r="C187" i="2" s="1"/>
  <c r="G91" i="2"/>
  <c r="G90" i="2" s="1"/>
  <c r="G216" i="2" s="1"/>
  <c r="F93" i="2"/>
  <c r="C106" i="2"/>
  <c r="C110" i="2"/>
  <c r="E97" i="2"/>
  <c r="D96" i="2"/>
  <c r="D99" i="2" s="1"/>
  <c r="E338" i="2" l="1"/>
  <c r="E344" i="2" s="1"/>
  <c r="D175" i="2"/>
  <c r="H306" i="2"/>
  <c r="H136" i="2"/>
  <c r="D212" i="2"/>
  <c r="D213" i="2" s="1"/>
  <c r="D306" i="2"/>
  <c r="D136" i="2"/>
  <c r="G306" i="2"/>
  <c r="G136" i="2"/>
  <c r="E306" i="2"/>
  <c r="E136" i="2"/>
  <c r="F306" i="2"/>
  <c r="F136" i="2"/>
  <c r="D351" i="2"/>
  <c r="D353" i="2" s="1"/>
  <c r="D108" i="2" s="1"/>
  <c r="E122" i="2"/>
  <c r="E121" i="2"/>
  <c r="D121" i="2"/>
  <c r="D169" i="2"/>
  <c r="D122" i="2"/>
  <c r="F122" i="2"/>
  <c r="F121" i="2"/>
  <c r="F247" i="2"/>
  <c r="F128" i="2"/>
  <c r="F246" i="2"/>
  <c r="E169" i="2"/>
  <c r="E210" i="2"/>
  <c r="G209" i="2"/>
  <c r="G203" i="2"/>
  <c r="E150" i="2"/>
  <c r="E205" i="2"/>
  <c r="H233" i="2"/>
  <c r="H227" i="2" s="1"/>
  <c r="G227" i="2"/>
  <c r="F205" i="2"/>
  <c r="F150" i="2"/>
  <c r="F210" i="2"/>
  <c r="F168" i="2"/>
  <c r="F123" i="2" s="1"/>
  <c r="G208" i="2"/>
  <c r="G167" i="2" s="1"/>
  <c r="G122" i="2" s="1"/>
  <c r="G204" i="2"/>
  <c r="G151" i="2" s="1"/>
  <c r="G121" i="2" s="1"/>
  <c r="H203" i="2"/>
  <c r="H209" i="2"/>
  <c r="G196" i="2"/>
  <c r="G198" i="2" s="1"/>
  <c r="G127" i="2" s="1"/>
  <c r="N176" i="2"/>
  <c r="N178" i="2" s="1"/>
  <c r="C173" i="2"/>
  <c r="C176" i="2" s="1"/>
  <c r="C178" i="2" s="1"/>
  <c r="C73" i="2"/>
  <c r="C282" i="2" s="1"/>
  <c r="N156" i="2"/>
  <c r="C156" i="2" s="1"/>
  <c r="D156" i="2" s="1"/>
  <c r="E156" i="2" s="1"/>
  <c r="F156" i="2" s="1"/>
  <c r="G156" i="2" s="1"/>
  <c r="H156" i="2" s="1"/>
  <c r="F94" i="2"/>
  <c r="C111" i="2"/>
  <c r="C112" i="2" s="1"/>
  <c r="H91" i="2"/>
  <c r="H90" i="2" s="1"/>
  <c r="H216" i="2" s="1"/>
  <c r="G93" i="2"/>
  <c r="D100" i="2"/>
  <c r="F97" i="2"/>
  <c r="E96" i="2"/>
  <c r="E99" i="2" s="1"/>
  <c r="E346" i="2" l="1"/>
  <c r="E352" i="2" s="1"/>
  <c r="E119" i="2" s="1"/>
  <c r="L180" i="2"/>
  <c r="N180" i="2" s="1"/>
  <c r="C262" i="2"/>
  <c r="F169" i="2"/>
  <c r="F120" i="2"/>
  <c r="E120" i="2"/>
  <c r="F212" i="2"/>
  <c r="G128" i="2"/>
  <c r="G246" i="2"/>
  <c r="G247" i="2"/>
  <c r="H247" i="2"/>
  <c r="E212" i="2"/>
  <c r="H168" i="2"/>
  <c r="G205" i="2"/>
  <c r="G150" i="2"/>
  <c r="H208" i="2"/>
  <c r="H167" i="2" s="1"/>
  <c r="H122" i="2" s="1"/>
  <c r="H204" i="2"/>
  <c r="H151" i="2" s="1"/>
  <c r="H121" i="2" s="1"/>
  <c r="H150" i="2"/>
  <c r="G210" i="2"/>
  <c r="G168" i="2"/>
  <c r="H93" i="2"/>
  <c r="H94" i="2" s="1"/>
  <c r="H196" i="2"/>
  <c r="H198" i="2" s="1"/>
  <c r="H127" i="2" s="1"/>
  <c r="G94" i="2"/>
  <c r="E100" i="2"/>
  <c r="G97" i="2"/>
  <c r="F96" i="2"/>
  <c r="F99" i="2" s="1"/>
  <c r="E341" i="2" l="1"/>
  <c r="E342" i="2" s="1"/>
  <c r="E175" i="2" s="1"/>
  <c r="C188" i="2"/>
  <c r="C189" i="2" s="1"/>
  <c r="C190" i="2" s="1"/>
  <c r="L157" i="2" s="1"/>
  <c r="N157" i="2" s="1"/>
  <c r="C157" i="2" s="1"/>
  <c r="D157" i="2" s="1"/>
  <c r="E157" i="2" s="1"/>
  <c r="F157" i="2" s="1"/>
  <c r="G157" i="2" s="1"/>
  <c r="H157" i="2" s="1"/>
  <c r="C264" i="2"/>
  <c r="C265" i="2" s="1"/>
  <c r="C269" i="2" s="1"/>
  <c r="F213" i="2"/>
  <c r="H120" i="2"/>
  <c r="G169" i="2"/>
  <c r="G123" i="2"/>
  <c r="G120" i="2"/>
  <c r="H123" i="2"/>
  <c r="E213" i="2"/>
  <c r="H128" i="2"/>
  <c r="H246" i="2"/>
  <c r="H169" i="2"/>
  <c r="G212" i="2"/>
  <c r="H210" i="2"/>
  <c r="H205" i="2"/>
  <c r="N182" i="2"/>
  <c r="C180" i="2"/>
  <c r="C182" i="2" s="1"/>
  <c r="F100" i="2"/>
  <c r="H97" i="2"/>
  <c r="H96" i="2" s="1"/>
  <c r="H99" i="2" s="1"/>
  <c r="C253" i="2" s="1"/>
  <c r="C255" i="2" s="1"/>
  <c r="G96" i="2"/>
  <c r="G99" i="2" s="1"/>
  <c r="C191" i="2" l="1"/>
  <c r="C192" i="2" s="1"/>
  <c r="F338" i="2"/>
  <c r="C268" i="2"/>
  <c r="C270" i="2"/>
  <c r="H212" i="2"/>
  <c r="H213" i="2" s="1"/>
  <c r="G213" i="2"/>
  <c r="H100" i="2"/>
  <c r="G100" i="2"/>
  <c r="C235" i="2" l="1"/>
  <c r="C237" i="2" s="1"/>
  <c r="H228" i="2" s="1"/>
  <c r="L155" i="2"/>
  <c r="N155" i="2" s="1"/>
  <c r="N158" i="2" s="1"/>
  <c r="N160" i="2" s="1"/>
  <c r="N183" i="2" s="1"/>
  <c r="F344" i="2"/>
  <c r="F346" i="2"/>
  <c r="C271" i="2"/>
  <c r="F228" i="2" l="1"/>
  <c r="F248" i="2" s="1"/>
  <c r="G228" i="2"/>
  <c r="G248" i="2" s="1"/>
  <c r="E228" i="2"/>
  <c r="E248" i="2" s="1"/>
  <c r="D228" i="2"/>
  <c r="D230" i="2" s="1"/>
  <c r="D102" i="2" s="1"/>
  <c r="L158" i="2"/>
  <c r="C155" i="2"/>
  <c r="D245" i="2" s="1"/>
  <c r="F341" i="2"/>
  <c r="F342" i="2" s="1"/>
  <c r="F352" i="2"/>
  <c r="F119" i="2" s="1"/>
  <c r="H248" i="2"/>
  <c r="H230" i="2"/>
  <c r="H102" i="2" s="1"/>
  <c r="E230" i="2" l="1"/>
  <c r="E102" i="2" s="1"/>
  <c r="E105" i="2" s="1"/>
  <c r="G230" i="2"/>
  <c r="G102" i="2" s="1"/>
  <c r="G105" i="2" s="1"/>
  <c r="C158" i="2"/>
  <c r="C160" i="2" s="1"/>
  <c r="C183" i="2" s="1"/>
  <c r="F230" i="2"/>
  <c r="F102" i="2" s="1"/>
  <c r="F118" i="2" s="1"/>
  <c r="D248" i="2"/>
  <c r="D249" i="2" s="1"/>
  <c r="G338" i="2"/>
  <c r="F175" i="2"/>
  <c r="D118" i="2"/>
  <c r="D105" i="2"/>
  <c r="H118" i="2"/>
  <c r="H105" i="2"/>
  <c r="E118" i="2" l="1"/>
  <c r="G118" i="2"/>
  <c r="F105" i="2"/>
  <c r="F106" i="2" s="1"/>
  <c r="G344" i="2"/>
  <c r="G346" i="2"/>
  <c r="D110" i="2"/>
  <c r="D106" i="2"/>
  <c r="D155" i="2"/>
  <c r="D158" i="2" s="1"/>
  <c r="E245" i="2"/>
  <c r="E249" i="2" s="1"/>
  <c r="H106" i="2"/>
  <c r="G106" i="2"/>
  <c r="E106" i="2"/>
  <c r="G341" i="2" l="1"/>
  <c r="G342" i="2" s="1"/>
  <c r="G352" i="2"/>
  <c r="G119" i="2" s="1"/>
  <c r="D111" i="2"/>
  <c r="D112" i="2" s="1"/>
  <c r="F245" i="2"/>
  <c r="F249" i="2" s="1"/>
  <c r="E155" i="2"/>
  <c r="E158" i="2" s="1"/>
  <c r="H338" i="2" l="1"/>
  <c r="G175" i="2"/>
  <c r="D117" i="2"/>
  <c r="D124" i="2" s="1"/>
  <c r="D130" i="2" s="1"/>
  <c r="D303" i="2" s="1"/>
  <c r="D307" i="2" s="1"/>
  <c r="D180" i="2"/>
  <c r="G245" i="2"/>
  <c r="G249" i="2" s="1"/>
  <c r="F155" i="2"/>
  <c r="F158" i="2" s="1"/>
  <c r="H346" i="2" l="1"/>
  <c r="H344" i="2"/>
  <c r="D311" i="2"/>
  <c r="D310" i="2"/>
  <c r="D324" i="2"/>
  <c r="H245" i="2"/>
  <c r="H249" i="2" s="1"/>
  <c r="H155" i="2" s="1"/>
  <c r="H158" i="2" s="1"/>
  <c r="G155" i="2"/>
  <c r="G158" i="2" s="1"/>
  <c r="H341" i="2" l="1"/>
  <c r="H342" i="2" s="1"/>
  <c r="H175" i="2" s="1"/>
  <c r="H352" i="2"/>
  <c r="H119" i="2" s="1"/>
  <c r="D133" i="2"/>
  <c r="D312" i="2"/>
  <c r="D325" i="2"/>
  <c r="D326" i="2" s="1"/>
  <c r="D330" i="2" s="1"/>
  <c r="E309" i="2" l="1"/>
  <c r="E317" i="2" s="1"/>
  <c r="E319" i="2" s="1"/>
  <c r="D173" i="2"/>
  <c r="D332" i="2"/>
  <c r="D134" i="2"/>
  <c r="D137" i="2" s="1"/>
  <c r="D139" i="2" s="1"/>
  <c r="D142" i="2" s="1"/>
  <c r="D149" i="2" s="1"/>
  <c r="E304" i="2" s="1"/>
  <c r="E314" i="2" l="1"/>
  <c r="E328" i="2"/>
  <c r="E334" i="2" s="1"/>
  <c r="D174" i="2"/>
  <c r="D176" i="2" s="1"/>
  <c r="D178" i="2" s="1"/>
  <c r="D182" i="2" s="1"/>
  <c r="D152" i="2"/>
  <c r="D160" i="2" s="1"/>
  <c r="E141" i="2"/>
  <c r="D349" i="2"/>
  <c r="D350" i="2" s="1"/>
  <c r="E351" i="2" l="1"/>
  <c r="E353" i="2" s="1"/>
  <c r="E108" i="2" s="1"/>
  <c r="E110" i="2" s="1"/>
  <c r="E111" i="2" s="1"/>
  <c r="E112" i="2" s="1"/>
  <c r="E117" i="2" s="1"/>
  <c r="E124" i="2" s="1"/>
  <c r="E130" i="2" s="1"/>
  <c r="E303" i="2" s="1"/>
  <c r="E307" i="2" s="1"/>
  <c r="D183" i="2"/>
  <c r="E180" i="2" l="1"/>
  <c r="E310" i="2"/>
  <c r="E324" i="2"/>
  <c r="E311" i="2"/>
  <c r="E312" i="2" l="1"/>
  <c r="E173" i="2" s="1"/>
  <c r="E133" i="2"/>
  <c r="E325" i="2"/>
  <c r="E326" i="2" s="1"/>
  <c r="E330" i="2" s="1"/>
  <c r="F309" i="2" l="1"/>
  <c r="E332" i="2"/>
  <c r="E134" i="2"/>
  <c r="E137" i="2" s="1"/>
  <c r="E139" i="2" s="1"/>
  <c r="E142" i="2" s="1"/>
  <c r="E149" i="2" s="1"/>
  <c r="F304" i="2" s="1"/>
  <c r="F328" i="2" l="1"/>
  <c r="F334" i="2" s="1"/>
  <c r="E174" i="2"/>
  <c r="E176" i="2" s="1"/>
  <c r="E178" i="2" s="1"/>
  <c r="E182" i="2" s="1"/>
  <c r="F141" i="2"/>
  <c r="F314" i="2"/>
  <c r="F317" i="2"/>
  <c r="F319" i="2" s="1"/>
  <c r="E349" i="2"/>
  <c r="E350" i="2" s="1"/>
  <c r="E152" i="2" l="1"/>
  <c r="E160" i="2" s="1"/>
  <c r="E183" i="2" s="1"/>
  <c r="F351" i="2"/>
  <c r="F353" i="2" s="1"/>
  <c r="F108" i="2" s="1"/>
  <c r="F110" i="2" s="1"/>
  <c r="F111" i="2" l="1"/>
  <c r="F112" i="2" s="1"/>
  <c r="F117" i="2" l="1"/>
  <c r="F124" i="2" s="1"/>
  <c r="F130" i="2" s="1"/>
  <c r="F180" i="2"/>
  <c r="F303" i="2" l="1"/>
  <c r="F307" i="2" s="1"/>
  <c r="F310" i="2" l="1"/>
  <c r="F324" i="2"/>
  <c r="F311" i="2"/>
  <c r="F312" i="2" l="1"/>
  <c r="F173" i="2" s="1"/>
  <c r="F133" i="2"/>
  <c r="F325" i="2"/>
  <c r="F326" i="2" s="1"/>
  <c r="F330" i="2" s="1"/>
  <c r="F332" i="2" l="1"/>
  <c r="F134" i="2"/>
  <c r="F137" i="2" s="1"/>
  <c r="F139" i="2" s="1"/>
  <c r="F142" i="2" s="1"/>
  <c r="F149" i="2" s="1"/>
  <c r="G304" i="2" s="1"/>
  <c r="G309" i="2"/>
  <c r="G328" i="2" l="1"/>
  <c r="G334" i="2" s="1"/>
  <c r="F174" i="2"/>
  <c r="F176" i="2" s="1"/>
  <c r="F178" i="2" s="1"/>
  <c r="F182" i="2" s="1"/>
  <c r="F349" i="2"/>
  <c r="F350" i="2" s="1"/>
  <c r="G141" i="2"/>
  <c r="G317" i="2"/>
  <c r="G319" i="2" s="1"/>
  <c r="G314" i="2"/>
  <c r="G351" i="2" l="1"/>
  <c r="G353" i="2" s="1"/>
  <c r="G108" i="2" s="1"/>
  <c r="G110" i="2" s="1"/>
  <c r="G111" i="2" s="1"/>
  <c r="G112" i="2" s="1"/>
  <c r="G117" i="2" s="1"/>
  <c r="G124" i="2" s="1"/>
  <c r="G130" i="2" s="1"/>
  <c r="F152" i="2"/>
  <c r="F160" i="2" s="1"/>
  <c r="F183" i="2" s="1"/>
  <c r="G180" i="2" l="1"/>
  <c r="G303" i="2"/>
  <c r="G307" i="2" s="1"/>
  <c r="G324" i="2" l="1"/>
  <c r="G310" i="2"/>
  <c r="G311" i="2"/>
  <c r="G312" i="2" l="1"/>
  <c r="G173" i="2" s="1"/>
  <c r="G133" i="2"/>
  <c r="G325" i="2"/>
  <c r="G326" i="2" s="1"/>
  <c r="G330" i="2" s="1"/>
  <c r="H309" i="2" l="1"/>
  <c r="G332" i="2"/>
  <c r="G134" i="2"/>
  <c r="G137" i="2" s="1"/>
  <c r="G139" i="2" s="1"/>
  <c r="G142" i="2" s="1"/>
  <c r="G149" i="2" s="1"/>
  <c r="H304" i="2" s="1"/>
  <c r="H328" i="2" l="1"/>
  <c r="H334" i="2" s="1"/>
  <c r="G174" i="2"/>
  <c r="G176" i="2" s="1"/>
  <c r="G178" i="2" s="1"/>
  <c r="G182" i="2" s="1"/>
  <c r="H141" i="2"/>
  <c r="G349" i="2"/>
  <c r="G350" i="2" s="1"/>
  <c r="H314" i="2"/>
  <c r="H317" i="2"/>
  <c r="H319" i="2" s="1"/>
  <c r="G152" i="2" l="1"/>
  <c r="G160" i="2" s="1"/>
  <c r="G183" i="2" s="1"/>
  <c r="H351" i="2"/>
  <c r="H353" i="2" s="1"/>
  <c r="H108" i="2" s="1"/>
  <c r="H110" i="2" s="1"/>
  <c r="H111" i="2" s="1"/>
  <c r="H112" i="2" s="1"/>
  <c r="H117" i="2" l="1"/>
  <c r="H124" i="2" s="1"/>
  <c r="H130" i="2" s="1"/>
  <c r="H180" i="2"/>
  <c r="H303" i="2" l="1"/>
  <c r="H307" i="2" s="1"/>
  <c r="H324" i="2" l="1"/>
  <c r="H310" i="2"/>
  <c r="H311" i="2"/>
  <c r="H312" i="2" l="1"/>
  <c r="H173" i="2" s="1"/>
  <c r="H133" i="2"/>
  <c r="H325" i="2"/>
  <c r="H326" i="2" s="1"/>
  <c r="H330" i="2" s="1"/>
  <c r="H332" i="2" l="1"/>
  <c r="H134" i="2"/>
  <c r="H137" i="2" s="1"/>
  <c r="H139" i="2" s="1"/>
  <c r="H349" i="2" l="1"/>
  <c r="H174" i="2"/>
  <c r="H176" i="2" s="1"/>
  <c r="H178" i="2" s="1"/>
  <c r="H182" i="2" s="1"/>
  <c r="H142" i="2"/>
  <c r="H350" i="2" l="1"/>
  <c r="C256" i="2"/>
  <c r="H149" i="2"/>
  <c r="H152" i="2" l="1"/>
  <c r="H160" i="2" s="1"/>
  <c r="H183" i="2" s="1"/>
  <c r="C257" i="2"/>
  <c r="C259" i="2" s="1"/>
  <c r="C275" i="2" l="1"/>
  <c r="C276" i="2"/>
  <c r="C274" i="2"/>
  <c r="C277" i="2" l="1"/>
  <c r="H282" i="2"/>
  <c r="J282" i="2" l="1"/>
  <c r="I282" i="2"/>
  <c r="C286" i="2" l="1"/>
  <c r="C29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Liu</author>
  </authors>
  <commentList>
    <comment ref="C83" authorId="0" shapeId="0" xr:uid="{1EEA0ED1-B5E9-4FEB-9EA5-43440A438857}">
      <text>
        <r>
          <rPr>
            <b/>
            <sz val="9"/>
            <color indexed="81"/>
            <rFont val="Tahoma"/>
            <family val="2"/>
          </rPr>
          <t>Eric Liu:</t>
        </r>
        <r>
          <rPr>
            <sz val="9"/>
            <color indexed="81"/>
            <rFont val="Tahoma"/>
            <family val="2"/>
          </rPr>
          <t xml:space="preserve">
How much money needed to do the deal
</t>
        </r>
      </text>
    </comment>
    <comment ref="B96" authorId="0" shapeId="0" xr:uid="{B1302FA9-2969-4820-A03F-3CDEE4800A6E}">
      <text>
        <r>
          <rPr>
            <b/>
            <sz val="9"/>
            <color indexed="81"/>
            <rFont val="Tahoma"/>
            <family val="2"/>
          </rPr>
          <t>Eric Liu:</t>
        </r>
        <r>
          <rPr>
            <sz val="9"/>
            <color indexed="81"/>
            <rFont val="Tahoma"/>
            <family val="2"/>
          </rPr>
          <t xml:space="preserve">
selling, general, and administrative expenses
</t>
        </r>
      </text>
    </comment>
    <comment ref="L147" authorId="0" shapeId="0" xr:uid="{F8D9D6E2-ABF7-4F67-A1A5-DD96F79C3C5D}">
      <text>
        <r>
          <rPr>
            <b/>
            <sz val="9"/>
            <color indexed="81"/>
            <rFont val="Tahoma"/>
            <family val="2"/>
          </rPr>
          <t>Eric Liu:</t>
        </r>
        <r>
          <rPr>
            <sz val="9"/>
            <color indexed="81"/>
            <rFont val="Tahoma"/>
            <family val="2"/>
          </rPr>
          <t xml:space="preserve">
Adjustments:
- Take out old debt and add new debt
- Take out old S/E ad add new S/E
- Capitalize finance fees
-  Adjust cash balance 
-Allocate 85% the excess to goodwill and 15% to PP&amp;E</t>
        </r>
      </text>
    </comment>
    <comment ref="J281" authorId="0" shapeId="0" xr:uid="{D5EDC39C-A48B-45AB-A438-250CB7F1862E}">
      <text>
        <r>
          <rPr>
            <b/>
            <sz val="9"/>
            <color indexed="81"/>
            <rFont val="Tahoma"/>
            <family val="2"/>
          </rPr>
          <t>Eric Liu:</t>
        </r>
        <r>
          <rPr>
            <sz val="9"/>
            <color indexed="81"/>
            <rFont val="Tahoma"/>
            <family val="2"/>
          </rPr>
          <t xml:space="preserve">
Multiple of Invested Capital
</t>
        </r>
      </text>
    </comment>
    <comment ref="B282" authorId="0" shapeId="0" xr:uid="{9C586CCF-B13A-4466-B12E-8EAF1D61EFC4}">
      <text>
        <r>
          <rPr>
            <b/>
            <sz val="9"/>
            <color indexed="81"/>
            <rFont val="Tahoma"/>
            <family val="2"/>
          </rPr>
          <t>Eric Liu:</t>
        </r>
        <r>
          <rPr>
            <sz val="9"/>
            <color indexed="81"/>
            <rFont val="Tahoma"/>
            <family val="2"/>
          </rPr>
          <t xml:space="preserve">
First Year Negatove - CF Outflow
No divdends or other cash inflow before sale
Last year cash inflow is the proportion of total selling price </t>
        </r>
      </text>
    </comment>
    <comment ref="I282" authorId="0" shapeId="0" xr:uid="{916DF108-B1BB-485E-8937-38E72A19A9F1}">
      <text>
        <r>
          <rPr>
            <b/>
            <sz val="9"/>
            <color indexed="81"/>
            <rFont val="Tahoma"/>
            <family val="2"/>
          </rPr>
          <t>Eric Liu:</t>
        </r>
        <r>
          <rPr>
            <sz val="9"/>
            <color indexed="81"/>
            <rFont val="Tahoma"/>
            <family val="2"/>
          </rPr>
          <t xml:space="preserve">
&gt; 20% threshold. Fairly good.
</t>
        </r>
      </text>
    </comment>
    <comment ref="B284" authorId="0" shapeId="0" xr:uid="{6DA7DC79-2365-4C17-A29C-388C3C79E2D5}">
      <text>
        <r>
          <rPr>
            <b/>
            <sz val="9"/>
            <color indexed="81"/>
            <rFont val="Tahoma"/>
            <family val="2"/>
          </rPr>
          <t>Eric Liu:</t>
        </r>
        <r>
          <rPr>
            <sz val="9"/>
            <color indexed="81"/>
            <rFont val="Tahoma"/>
            <family val="2"/>
          </rPr>
          <t xml:space="preserve">
Two variables
Row Input - Exit multiple
Column Iutput - Entry multiple
Output - IRR</t>
        </r>
      </text>
    </comment>
    <comment ref="C286" authorId="0" shapeId="0" xr:uid="{E4EF0321-A887-47D2-A141-27B3F3DC2AE0}">
      <text>
        <r>
          <rPr>
            <b/>
            <sz val="9"/>
            <color indexed="81"/>
            <rFont val="Tahoma"/>
            <family val="2"/>
          </rPr>
          <t>Eric Liu:</t>
        </r>
        <r>
          <rPr>
            <sz val="9"/>
            <color indexed="81"/>
            <rFont val="Tahoma"/>
            <family val="2"/>
          </rPr>
          <t xml:space="preserve">
IRR as the output
 </t>
        </r>
      </text>
    </comment>
    <comment ref="F289" authorId="0" shapeId="0" xr:uid="{2159B492-AD87-4A1B-9E3E-901D0D9631D6}">
      <text>
        <r>
          <rPr>
            <b/>
            <sz val="9"/>
            <color indexed="81"/>
            <rFont val="Tahoma"/>
            <family val="2"/>
          </rPr>
          <t>Eric Liu:</t>
        </r>
        <r>
          <rPr>
            <sz val="9"/>
            <color indexed="81"/>
            <rFont val="Tahoma"/>
            <family val="2"/>
          </rPr>
          <t xml:space="preserve">
Base case - entry and exit multiples = 9x
</t>
        </r>
      </text>
    </comment>
    <comment ref="B293" authorId="0" shapeId="0" xr:uid="{4D58A163-826E-4A23-B4EE-CDF87486C2C4}">
      <text>
        <r>
          <rPr>
            <b/>
            <sz val="9"/>
            <color indexed="81"/>
            <rFont val="Tahoma"/>
            <family val="2"/>
          </rPr>
          <t>Eric Liu:</t>
        </r>
        <r>
          <rPr>
            <sz val="9"/>
            <color indexed="81"/>
            <rFont val="Tahoma"/>
            <family val="2"/>
          </rPr>
          <t xml:space="preserve">
Two variables
Input - EBITDA multiples
Output - IRR
</t>
        </r>
      </text>
    </comment>
    <comment ref="C295" authorId="0" shapeId="0" xr:uid="{B3E7D3F2-2352-4BE3-B46A-D8413B7A4A64}">
      <text>
        <r>
          <rPr>
            <b/>
            <sz val="9"/>
            <color indexed="81"/>
            <rFont val="Tahoma"/>
            <family val="2"/>
          </rPr>
          <t>Eric Liu:</t>
        </r>
        <r>
          <rPr>
            <sz val="9"/>
            <color indexed="81"/>
            <rFont val="Tahoma"/>
            <family val="2"/>
          </rPr>
          <t xml:space="preserve">
IRR as the output
 </t>
        </r>
      </text>
    </comment>
    <comment ref="F295" authorId="0" shapeId="0" xr:uid="{D7F25696-91D8-46AA-B97F-66DFFF1C36DE}">
      <text>
        <r>
          <rPr>
            <b/>
            <sz val="9"/>
            <color indexed="81"/>
            <rFont val="Tahoma"/>
            <family val="2"/>
          </rPr>
          <t>Eric Liu:</t>
        </r>
        <r>
          <rPr>
            <sz val="9"/>
            <color indexed="81"/>
            <rFont val="Tahoma"/>
            <family val="2"/>
          </rPr>
          <t xml:space="preserve">
Base case - EBITDA Multiples = 2x
</t>
        </r>
      </text>
    </comment>
    <comment ref="B336" authorId="0" shapeId="0" xr:uid="{99DC2A88-7557-4F35-9AD2-351AE24BBF55}">
      <text>
        <r>
          <rPr>
            <b/>
            <sz val="9"/>
            <color indexed="81"/>
            <rFont val="Tahoma"/>
            <family val="2"/>
          </rPr>
          <t>Eric Liu:</t>
        </r>
        <r>
          <rPr>
            <sz val="9"/>
            <color indexed="81"/>
            <rFont val="Tahoma"/>
            <family val="2"/>
          </rPr>
          <t xml:space="preserve">
Mezzanines are going up by the amount of PIK interest 
Jonior debt, cannot prepay nor borrow Mezzanine</t>
        </r>
      </text>
    </comment>
  </commentList>
</comments>
</file>

<file path=xl/sharedStrings.xml><?xml version="1.0" encoding="utf-8"?>
<sst xmlns="http://schemas.openxmlformats.org/spreadsheetml/2006/main" count="281" uniqueCount="220">
  <si>
    <t>M&amp;A Fee</t>
  </si>
  <si>
    <t>Entry Multiple</t>
  </si>
  <si>
    <t>Exit Multiple</t>
  </si>
  <si>
    <t>Management Rollover</t>
  </si>
  <si>
    <t>Financing</t>
  </si>
  <si>
    <t>Revolver</t>
  </si>
  <si>
    <t>LTM EBITDA</t>
  </si>
  <si>
    <t>Enterprise Value</t>
  </si>
  <si>
    <t>Revolver Interest</t>
  </si>
  <si>
    <t>Term Loan Interest</t>
  </si>
  <si>
    <t>Mandatory Amortization</t>
  </si>
  <si>
    <t>Term Loan - Multiple of EBITDA</t>
  </si>
  <si>
    <t>OID - Term Loan</t>
  </si>
  <si>
    <t>Yes</t>
  </si>
  <si>
    <t>No</t>
  </si>
  <si>
    <t>Life of Incremental D&amp;A</t>
  </si>
  <si>
    <t>Sources</t>
  </si>
  <si>
    <t>Uses</t>
  </si>
  <si>
    <t>Existing Debt</t>
  </si>
  <si>
    <t>Financing Fees</t>
  </si>
  <si>
    <t xml:space="preserve">Term Loan </t>
  </si>
  <si>
    <t>Mezzanine</t>
  </si>
  <si>
    <t>Sponsor Equity</t>
  </si>
  <si>
    <t>Sponsor Ownership</t>
  </si>
  <si>
    <t>Income Statement</t>
  </si>
  <si>
    <t>COGS</t>
  </si>
  <si>
    <t>Revenue</t>
  </si>
  <si>
    <t>SG&amp;A</t>
  </si>
  <si>
    <t>EBITDA</t>
  </si>
  <si>
    <t>D&amp;A</t>
  </si>
  <si>
    <t xml:space="preserve">Interest Expense </t>
  </si>
  <si>
    <t>Tax Expense</t>
  </si>
  <si>
    <t>Net Income</t>
  </si>
  <si>
    <t>EBT</t>
  </si>
  <si>
    <t xml:space="preserve">CF from Investing Activities </t>
  </si>
  <si>
    <t xml:space="preserve">PIK Interest </t>
  </si>
  <si>
    <t>Changes in Inventory</t>
  </si>
  <si>
    <t>CapEx</t>
  </si>
  <si>
    <t xml:space="preserve">CapEx Schedule </t>
  </si>
  <si>
    <t>Balance Sheet</t>
  </si>
  <si>
    <t>Non-Current Assets</t>
  </si>
  <si>
    <t>PP&amp;E</t>
  </si>
  <si>
    <t>Goodwill</t>
  </si>
  <si>
    <t>Total Non-Current Assets</t>
  </si>
  <si>
    <t>Total Assets</t>
  </si>
  <si>
    <t>Current Liabilities</t>
  </si>
  <si>
    <t>Accrued Liabilities</t>
  </si>
  <si>
    <t>Total Non-Current Liabilities</t>
  </si>
  <si>
    <t>Total Liabilities</t>
  </si>
  <si>
    <t>Shareholders' Equity</t>
  </si>
  <si>
    <t>Adjustments</t>
  </si>
  <si>
    <t>Post-Transaction</t>
  </si>
  <si>
    <t>Adjustments to Liabilities + S/E</t>
  </si>
  <si>
    <t>Goodwill - 85%</t>
  </si>
  <si>
    <t xml:space="preserve">Net Working Capital Schedule </t>
  </si>
  <si>
    <t>Current Assets</t>
  </si>
  <si>
    <t>Total Current Assets</t>
  </si>
  <si>
    <t>Total Current Liabilities</t>
  </si>
  <si>
    <t>N/A</t>
  </si>
  <si>
    <t>Days Inventory Held</t>
  </si>
  <si>
    <t>Days Sales Outstanding</t>
  </si>
  <si>
    <t xml:space="preserve">D&amp;A Schedule </t>
  </si>
  <si>
    <t>D&amp;A - Base PP&amp;E</t>
  </si>
  <si>
    <t>D&amp;A - Incremental PP&amp;E</t>
  </si>
  <si>
    <t>Amortization of Financing Fees</t>
  </si>
  <si>
    <t>Total D&amp;A</t>
  </si>
  <si>
    <t>Incremental PP&amp;E</t>
  </si>
  <si>
    <t xml:space="preserve">PP&amp;E Schedule </t>
  </si>
  <si>
    <t>Opening Balance</t>
  </si>
  <si>
    <t>Add: CapEx</t>
  </si>
  <si>
    <t>Less: Base D&amp;A</t>
  </si>
  <si>
    <t>Less: Incremental D&amp;A</t>
  </si>
  <si>
    <t>Ending Balance</t>
  </si>
  <si>
    <t xml:space="preserve">Debt Schedule </t>
  </si>
  <si>
    <t xml:space="preserve">Cash Availible for Revolver Repayment </t>
  </si>
  <si>
    <t>Free Cash Flow</t>
  </si>
  <si>
    <t>Repayments</t>
  </si>
  <si>
    <t>Cash Availible for Revolver Repayment</t>
  </si>
  <si>
    <t>PIK Accretion</t>
  </si>
  <si>
    <t>Cash Interest Rate - Revolver</t>
  </si>
  <si>
    <t>Cash Interest Rate - Term Loan</t>
  </si>
  <si>
    <t>Total Debt</t>
  </si>
  <si>
    <t xml:space="preserve"> </t>
  </si>
  <si>
    <t>Assumptions</t>
  </si>
  <si>
    <t>Minimum Cash</t>
  </si>
  <si>
    <t>Management Options</t>
  </si>
  <si>
    <t xml:space="preserve">Tax Rate </t>
  </si>
  <si>
    <t>General</t>
  </si>
  <si>
    <t>Revolver Commitment Fee</t>
  </si>
  <si>
    <t>Term Loan</t>
  </si>
  <si>
    <t>Term Loan Mandatory Amortization</t>
  </si>
  <si>
    <t>Revolver - Multiple of EBITDA</t>
  </si>
  <si>
    <t>Revolver $ Amount</t>
  </si>
  <si>
    <t xml:space="preserve">Term Loan $ Amount </t>
  </si>
  <si>
    <t>Mazzanine</t>
  </si>
  <si>
    <t>Mazzanine - Multiple of EBITDA</t>
  </si>
  <si>
    <t>Mazzanine $ Amount</t>
  </si>
  <si>
    <t xml:space="preserve">Mazzanine - Cash Insterest  </t>
  </si>
  <si>
    <t xml:space="preserve">Mazzanine - PIK Interest </t>
  </si>
  <si>
    <t>OID - Mazzanine</t>
  </si>
  <si>
    <t xml:space="preserve">Cash Interest </t>
  </si>
  <si>
    <t>Purchsing Accounting</t>
  </si>
  <si>
    <t>Excess Allocation to PP&amp;E</t>
  </si>
  <si>
    <t>Revenue Growth</t>
  </si>
  <si>
    <t>Model Assumptions</t>
  </si>
  <si>
    <t>CapEx - % of Revenue</t>
  </si>
  <si>
    <t>Sources and Uses</t>
  </si>
  <si>
    <t>Purchasing Price</t>
  </si>
  <si>
    <t>Refinance Existing Debt</t>
  </si>
  <si>
    <t xml:space="preserve">Purchasing Price </t>
  </si>
  <si>
    <t>Finanacing Fees - Term Loan Mazzanine</t>
  </si>
  <si>
    <t>Total Uses</t>
  </si>
  <si>
    <t>Total Sources</t>
  </si>
  <si>
    <t xml:space="preserve">Amount of Equity Required </t>
  </si>
  <si>
    <t>COGS - %</t>
  </si>
  <si>
    <t xml:space="preserve">Gross Profit </t>
  </si>
  <si>
    <t>SG&amp;A -% of Revenue</t>
  </si>
  <si>
    <t>Gross Profit - % of Revenue</t>
  </si>
  <si>
    <t>Revenue Growth - % of Revenue</t>
  </si>
  <si>
    <t>D&amp;A - % of Revenue</t>
  </si>
  <si>
    <t>EBIT</t>
  </si>
  <si>
    <t>EBITDA Margin - % of Revenue</t>
  </si>
  <si>
    <t>EBIT Margin - % of Revenue</t>
  </si>
  <si>
    <t xml:space="preserve">CF Statement </t>
  </si>
  <si>
    <t>CF from Financing Activities</t>
  </si>
  <si>
    <t xml:space="preserve">CF from Operatiing Actitivities </t>
  </si>
  <si>
    <t xml:space="preserve">Changes in Acc. Receivable </t>
  </si>
  <si>
    <t>Changes in Acc. Payable</t>
  </si>
  <si>
    <t>Changes in Accrued Liabilities</t>
  </si>
  <si>
    <t>CapEx - % of Sales</t>
  </si>
  <si>
    <t>CapEx -  $ Amount</t>
  </si>
  <si>
    <t>Borrowing/(Repayment) - Revolver</t>
  </si>
  <si>
    <t xml:space="preserve">Borrowing/(Repayment) - Term Loan </t>
  </si>
  <si>
    <t>Borrowing/(Repayment) - Mazzanine</t>
  </si>
  <si>
    <t>Mandatory Amortization - Term Loan</t>
  </si>
  <si>
    <t>CF From Financing Activities</t>
  </si>
  <si>
    <t xml:space="preserve">Asset </t>
  </si>
  <si>
    <t xml:space="preserve">Cash and Cash Equivalent </t>
  </si>
  <si>
    <t xml:space="preserve">Account Receivable </t>
  </si>
  <si>
    <t xml:space="preserve">Invetory </t>
  </si>
  <si>
    <t>Liabilities</t>
  </si>
  <si>
    <t>Liabilities + Shareholder's Equity</t>
  </si>
  <si>
    <t xml:space="preserve">Current Liabilities </t>
  </si>
  <si>
    <t>Account Payable</t>
  </si>
  <si>
    <t>Total Current Liabilitis</t>
  </si>
  <si>
    <t xml:space="preserve">None Current Liabilities </t>
  </si>
  <si>
    <t>Total Liabilities + Shareholders' Equity</t>
  </si>
  <si>
    <t>Check</t>
  </si>
  <si>
    <t>Pre-Transaction</t>
  </si>
  <si>
    <t xml:space="preserve">Allocation of Exess Purchase Price </t>
  </si>
  <si>
    <t xml:space="preserve">Adjustments to Assets </t>
  </si>
  <si>
    <t xml:space="preserve">Excess Purchase Price </t>
  </si>
  <si>
    <t>Excess Allocation to Goodwill</t>
  </si>
  <si>
    <t>Curent Assets</t>
  </si>
  <si>
    <t xml:space="preserve">Inventory </t>
  </si>
  <si>
    <t xml:space="preserve">Total Cuurent Assets </t>
  </si>
  <si>
    <t xml:space="preserve">Net Working Capital </t>
  </si>
  <si>
    <t>Changes in Net Working Capital</t>
  </si>
  <si>
    <t>Days/Year</t>
  </si>
  <si>
    <t>Days Payable Outstanding</t>
  </si>
  <si>
    <t>Accrued Liabilities - % of Revenue</t>
  </si>
  <si>
    <t>D&amp;A - % of Sales</t>
  </si>
  <si>
    <t xml:space="preserve">Life of Uses </t>
  </si>
  <si>
    <t>Financing Fees - Life of Uses</t>
  </si>
  <si>
    <t>Defferred Tax Liability</t>
  </si>
  <si>
    <t xml:space="preserve">Opening Cash Balance </t>
  </si>
  <si>
    <t xml:space="preserve">Minimum Cash Balance </t>
  </si>
  <si>
    <t xml:space="preserve">Opening Balance </t>
  </si>
  <si>
    <t>Borrowings</t>
  </si>
  <si>
    <t xml:space="preserve">Repayments </t>
  </si>
  <si>
    <t xml:space="preserve">Ending Balance </t>
  </si>
  <si>
    <t>Cash Avalible for Team Loan</t>
  </si>
  <si>
    <t>Cash Avalible for Revolver Repayment</t>
  </si>
  <si>
    <t>Borrowing &amp; Repayment - Revolver</t>
  </si>
  <si>
    <t>PIK Interest Rate</t>
  </si>
  <si>
    <t>Cash Interest - $ Amount</t>
  </si>
  <si>
    <t>PIK Interest - $ Amount</t>
  </si>
  <si>
    <t>Cash Interest Rate - Mezzanine</t>
  </si>
  <si>
    <t>Cash Interest Expense</t>
  </si>
  <si>
    <t>Revolver Commiment Fees</t>
  </si>
  <si>
    <t>Revolver Commiment Fees Left</t>
  </si>
  <si>
    <t>Interest as % of Average Bal.</t>
  </si>
  <si>
    <t>Revolver Commiment $ Amount</t>
  </si>
  <si>
    <t xml:space="preserve">Revolver Commiment - Total </t>
  </si>
  <si>
    <t>Revolver Commitment - Total</t>
  </si>
  <si>
    <t xml:space="preserve">Cash Interest Expense </t>
  </si>
  <si>
    <t>Debt / EBITDA Ratio</t>
  </si>
  <si>
    <t>Total Cash interest Expense</t>
  </si>
  <si>
    <t>Total PIK Interest Expense</t>
  </si>
  <si>
    <t xml:space="preserve">Total Debt Snapshot </t>
  </si>
  <si>
    <t>Total Interest Expense</t>
  </si>
  <si>
    <t xml:space="preserve">Change in Cash </t>
  </si>
  <si>
    <t xml:space="preserve">Beginning Cash </t>
  </si>
  <si>
    <t>Ending Cash</t>
  </si>
  <si>
    <t xml:space="preserve">Exit Waterfall Schedule </t>
  </si>
  <si>
    <t>EBITDA - 2017E</t>
  </si>
  <si>
    <t xml:space="preserve">Exit Multiple </t>
  </si>
  <si>
    <t xml:space="preserve">Enterprise Value -Exit </t>
  </si>
  <si>
    <t>Less: Debt</t>
  </si>
  <si>
    <t xml:space="preserve">Add: Cash from Option Exercise </t>
  </si>
  <si>
    <t>Add: Cash from Balance Sheet</t>
  </si>
  <si>
    <t>Equity Value</t>
  </si>
  <si>
    <t>Outstanding Shares</t>
  </si>
  <si>
    <t>Total Value of Share Outstanding</t>
  </si>
  <si>
    <t>% of Ownership</t>
  </si>
  <si>
    <t>% as Total Value of Share Outstanding</t>
  </si>
  <si>
    <t>Sponsor Equity -%</t>
  </si>
  <si>
    <t>Management Rollover -%</t>
  </si>
  <si>
    <t>Management Options - %</t>
  </si>
  <si>
    <t>Proceeds</t>
  </si>
  <si>
    <t>CF to Sponsor</t>
  </si>
  <si>
    <t>IRR</t>
  </si>
  <si>
    <t>Year</t>
  </si>
  <si>
    <t>MOIC</t>
  </si>
  <si>
    <t>x</t>
  </si>
  <si>
    <t xml:space="preserve">Sensitivity Table </t>
  </si>
  <si>
    <t xml:space="preserve">Mezzanine - Multiple of EBITD </t>
  </si>
  <si>
    <t xml:space="preserve">In reference to </t>
  </si>
  <si>
    <t>Finance Interview Coach - Joshua Jia</t>
  </si>
  <si>
    <t>https://youtu.be/ZISikqdTS6w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</si>
</sst>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164" formatCode="_(* #,##0.0\x_);_(* \(#,##0.0\x\);_(* &quot;-&quot;_);_(@_)"/>
    <numFmt numFmtId="165" formatCode="_(* #,##0.0_);_(* \(#,##0.0\);_(* &quot;-&quot;_);_(@_)"/>
    <numFmt numFmtId="166" formatCode="0.0%"/>
    <numFmt numFmtId="167" formatCode="General&quot;A&quot;"/>
    <numFmt numFmtId="168" formatCode="General&quot;E&quot;"/>
    <numFmt numFmtId="169" formatCode="_(* #,##0.0_);_(* \(#,##0.0\);_(* &quot;-&quot;?_);_(@_)"/>
    <numFmt numFmtId="170" formatCode="_(* #,##0_);_(* \(#,##0\);_(* &quot;-&quot;?_);_(@_)"/>
    <numFmt numFmtId="171" formatCode="_(* #,##0.0\x_);_(* \(#,##0.0\);_(* &quot;-&quot;_);_(@_)"/>
    <numFmt numFmtId="172" formatCode="[$-F400]h:mm:ss\ AM/PM"/>
    <numFmt numFmtId="173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5A5A5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2" borderId="1" applyNumberFormat="0" applyAlignment="0" applyProtection="0"/>
    <xf numFmtId="0" fontId="1" fillId="3" borderId="0" applyNumberFormat="0" applyBorder="0" applyAlignment="0" applyProtection="0"/>
    <xf numFmtId="0" fontId="7" fillId="6" borderId="5" applyNumberFormat="0" applyAlignment="0" applyProtection="0"/>
    <xf numFmtId="0" fontId="8" fillId="7" borderId="1" applyNumberFormat="0" applyAlignment="0" applyProtection="0"/>
  </cellStyleXfs>
  <cellXfs count="73">
    <xf numFmtId="0" fontId="0" fillId="0" borderId="0" xfId="0"/>
    <xf numFmtId="41" fontId="0" fillId="0" borderId="0" xfId="0" applyNumberFormat="1"/>
    <xf numFmtId="164" fontId="0" fillId="0" borderId="0" xfId="0" applyNumberFormat="1"/>
    <xf numFmtId="9" fontId="0" fillId="0" borderId="0" xfId="0" applyNumberFormat="1"/>
    <xf numFmtId="1" fontId="0" fillId="0" borderId="0" xfId="0" applyNumberFormat="1"/>
    <xf numFmtId="165" fontId="0" fillId="0" borderId="0" xfId="0" applyNumberFormat="1"/>
    <xf numFmtId="41" fontId="2" fillId="0" borderId="0" xfId="0" applyNumberFormat="1" applyFont="1"/>
    <xf numFmtId="166" fontId="0" fillId="0" borderId="0" xfId="1" applyNumberFormat="1" applyFont="1"/>
    <xf numFmtId="166" fontId="0" fillId="0" borderId="0" xfId="0" applyNumberFormat="1"/>
    <xf numFmtId="0" fontId="0" fillId="0" borderId="2" xfId="0" applyBorder="1"/>
    <xf numFmtId="0" fontId="2" fillId="3" borderId="0" xfId="3" applyFont="1"/>
    <xf numFmtId="165" fontId="0" fillId="0" borderId="2" xfId="0" applyNumberFormat="1" applyBorder="1"/>
    <xf numFmtId="165" fontId="2" fillId="3" borderId="0" xfId="3" applyNumberFormat="1" applyFont="1"/>
    <xf numFmtId="9" fontId="0" fillId="0" borderId="0" xfId="1" applyFont="1"/>
    <xf numFmtId="0" fontId="0" fillId="0" borderId="3" xfId="0" applyBorder="1"/>
    <xf numFmtId="165" fontId="0" fillId="0" borderId="4" xfId="0" applyNumberFormat="1" applyBorder="1" applyAlignment="1">
      <alignment horizontal="right"/>
    </xf>
    <xf numFmtId="167" fontId="2" fillId="0" borderId="0" xfId="0" applyNumberFormat="1" applyFont="1"/>
    <xf numFmtId="168" fontId="2" fillId="0" borderId="0" xfId="0" applyNumberFormat="1" applyFont="1"/>
    <xf numFmtId="0" fontId="4" fillId="0" borderId="0" xfId="0" applyFont="1"/>
    <xf numFmtId="0" fontId="2" fillId="0" borderId="0" xfId="0" applyFont="1"/>
    <xf numFmtId="0" fontId="2" fillId="0" borderId="2" xfId="0" applyFont="1" applyBorder="1"/>
    <xf numFmtId="165" fontId="2" fillId="0" borderId="2" xfId="0" applyNumberFormat="1" applyFont="1" applyBorder="1"/>
    <xf numFmtId="0" fontId="2" fillId="4" borderId="0" xfId="3" applyFont="1" applyFill="1"/>
    <xf numFmtId="165" fontId="2" fillId="4" borderId="0" xfId="3" applyNumberFormat="1" applyFont="1" applyFill="1"/>
    <xf numFmtId="41" fontId="2" fillId="0" borderId="2" xfId="0" applyNumberFormat="1" applyFont="1" applyBorder="1"/>
    <xf numFmtId="0" fontId="0" fillId="0" borderId="0" xfId="0" applyAlignment="1">
      <alignment horizontal="left" indent="2"/>
    </xf>
    <xf numFmtId="0" fontId="2" fillId="5" borderId="0" xfId="3" applyFont="1" applyFill="1"/>
    <xf numFmtId="165" fontId="2" fillId="5" borderId="0" xfId="3" applyNumberFormat="1" applyFont="1" applyFill="1"/>
    <xf numFmtId="46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/>
    <xf numFmtId="0" fontId="2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46" fontId="0" fillId="0" borderId="0" xfId="0" applyNumberFormat="1" applyAlignment="1">
      <alignment horizontal="left" indent="2"/>
    </xf>
    <xf numFmtId="165" fontId="0" fillId="0" borderId="6" xfId="0" applyNumberFormat="1" applyBorder="1"/>
    <xf numFmtId="0" fontId="0" fillId="0" borderId="0" xfId="0" applyAlignment="1">
      <alignment horizontal="centerContinuous"/>
    </xf>
    <xf numFmtId="0" fontId="7" fillId="6" borderId="5" xfId="4"/>
    <xf numFmtId="165" fontId="7" fillId="6" borderId="5" xfId="4" applyNumberFormat="1"/>
    <xf numFmtId="169" fontId="2" fillId="0" borderId="2" xfId="0" applyNumberFormat="1" applyFont="1" applyBorder="1"/>
    <xf numFmtId="165" fontId="0" fillId="0" borderId="0" xfId="0" applyNumberFormat="1" applyAlignment="1">
      <alignment horizontal="left" indent="2"/>
    </xf>
    <xf numFmtId="170" fontId="0" fillId="0" borderId="0" xfId="0" applyNumberFormat="1"/>
    <xf numFmtId="41" fontId="0" fillId="0" borderId="0" xfId="0" applyNumberFormat="1" applyAlignment="1">
      <alignment horizontal="right"/>
    </xf>
    <xf numFmtId="41" fontId="0" fillId="0" borderId="2" xfId="0" applyNumberFormat="1" applyBorder="1"/>
    <xf numFmtId="0" fontId="0" fillId="0" borderId="0" xfId="1" applyNumberFormat="1" applyFont="1"/>
    <xf numFmtId="1" fontId="0" fillId="0" borderId="0" xfId="1" applyNumberFormat="1" applyFont="1"/>
    <xf numFmtId="1" fontId="0" fillId="0" borderId="2" xfId="0" applyNumberFormat="1" applyBorder="1"/>
    <xf numFmtId="41" fontId="7" fillId="6" borderId="5" xfId="4" applyNumberFormat="1"/>
    <xf numFmtId="9" fontId="2" fillId="0" borderId="0" xfId="0" applyNumberFormat="1" applyFont="1"/>
    <xf numFmtId="171" fontId="0" fillId="0" borderId="0" xfId="0" applyNumberFormat="1"/>
    <xf numFmtId="172" fontId="0" fillId="0" borderId="0" xfId="0" applyNumberFormat="1"/>
    <xf numFmtId="0" fontId="0" fillId="8" borderId="0" xfId="0" applyFill="1" applyAlignment="1">
      <alignment horizontal="left" indent="2"/>
    </xf>
    <xf numFmtId="0" fontId="0" fillId="8" borderId="0" xfId="0" applyFill="1"/>
    <xf numFmtId="41" fontId="0" fillId="8" borderId="0" xfId="0" applyNumberFormat="1" applyFill="1"/>
    <xf numFmtId="165" fontId="0" fillId="8" borderId="0" xfId="0" applyNumberFormat="1" applyFill="1"/>
    <xf numFmtId="0" fontId="2" fillId="9" borderId="0" xfId="3" applyFont="1" applyFill="1"/>
    <xf numFmtId="165" fontId="2" fillId="9" borderId="0" xfId="3" applyNumberFormat="1" applyFont="1" applyFill="1"/>
    <xf numFmtId="173" fontId="0" fillId="0" borderId="0" xfId="0" applyNumberFormat="1"/>
    <xf numFmtId="9" fontId="0" fillId="0" borderId="2" xfId="1" applyFont="1" applyBorder="1"/>
    <xf numFmtId="0" fontId="8" fillId="7" borderId="1" xfId="5"/>
    <xf numFmtId="1" fontId="8" fillId="7" borderId="1" xfId="5" applyNumberFormat="1" applyAlignment="1">
      <alignment horizontal="right"/>
    </xf>
    <xf numFmtId="41" fontId="8" fillId="7" borderId="1" xfId="5" applyNumberFormat="1" applyAlignment="1">
      <alignment horizontal="right"/>
    </xf>
    <xf numFmtId="165" fontId="8" fillId="7" borderId="1" xfId="5" applyNumberFormat="1" applyAlignment="1">
      <alignment horizontal="right"/>
    </xf>
    <xf numFmtId="164" fontId="8" fillId="7" borderId="1" xfId="5" applyNumberFormat="1" applyAlignment="1">
      <alignment horizontal="right"/>
    </xf>
    <xf numFmtId="166" fontId="0" fillId="0" borderId="7" xfId="1" applyNumberFormat="1" applyFont="1" applyBorder="1"/>
    <xf numFmtId="166" fontId="0" fillId="0" borderId="2" xfId="1" applyNumberFormat="1" applyFont="1" applyBorder="1"/>
    <xf numFmtId="166" fontId="0" fillId="0" borderId="8" xfId="1" applyNumberFormat="1" applyFont="1" applyBorder="1"/>
    <xf numFmtId="166" fontId="8" fillId="7" borderId="1" xfId="5" applyNumberFormat="1" applyAlignment="1">
      <alignment horizontal="right"/>
    </xf>
    <xf numFmtId="166" fontId="3" fillId="2" borderId="1" xfId="2" applyNumberFormat="1"/>
    <xf numFmtId="0" fontId="0" fillId="0" borderId="0" xfId="0" applyAlignment="1">
      <alignment horizontal="right"/>
    </xf>
    <xf numFmtId="166" fontId="2" fillId="9" borderId="0" xfId="1" applyNumberFormat="1" applyFont="1" applyFill="1"/>
    <xf numFmtId="166" fontId="2" fillId="9" borderId="2" xfId="1" applyNumberFormat="1" applyFont="1" applyFill="1" applyBorder="1"/>
    <xf numFmtId="0" fontId="9" fillId="0" borderId="0" xfId="0" applyFont="1"/>
  </cellXfs>
  <cellStyles count="6">
    <cellStyle name="60% - Accent3" xfId="3" builtinId="40"/>
    <cellStyle name="Calculation" xfId="5" builtinId="22"/>
    <cellStyle name="Check Cell" xfId="4" builtinId="23"/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57255-A8A6-4081-9789-395B9E7CB1B3}">
  <dimension ref="A2:W831"/>
  <sheetViews>
    <sheetView showGridLines="0"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298" sqref="C298"/>
    </sheetView>
  </sheetViews>
  <sheetFormatPr defaultRowHeight="14.25" x14ac:dyDescent="0.45"/>
  <cols>
    <col min="1" max="1" width="2.46484375" customWidth="1"/>
    <col min="2" max="2" width="39.73046875" customWidth="1"/>
    <col min="3" max="3" width="10.06640625" bestFit="1" customWidth="1"/>
    <col min="4" max="8" width="10.19921875" bestFit="1" customWidth="1"/>
  </cols>
  <sheetData>
    <row r="2" spans="1:17" x14ac:dyDescent="0.45">
      <c r="B2" t="s">
        <v>217</v>
      </c>
    </row>
    <row r="3" spans="1:17" x14ac:dyDescent="0.45">
      <c r="B3" s="72" t="s">
        <v>218</v>
      </c>
    </row>
    <row r="4" spans="1:17" x14ac:dyDescent="0.45">
      <c r="B4" s="72" t="s">
        <v>219</v>
      </c>
    </row>
    <row r="5" spans="1:17" x14ac:dyDescent="0.45">
      <c r="A5" t="s">
        <v>82</v>
      </c>
      <c r="C5" s="16">
        <v>2012</v>
      </c>
      <c r="D5" s="17">
        <f>C5+1</f>
        <v>2013</v>
      </c>
      <c r="E5" s="17">
        <f t="shared" ref="E5:H5" si="0">D5+1</f>
        <v>2014</v>
      </c>
      <c r="F5" s="17">
        <f t="shared" si="0"/>
        <v>2015</v>
      </c>
      <c r="G5" s="17">
        <f t="shared" si="0"/>
        <v>2016</v>
      </c>
      <c r="H5" s="17">
        <f t="shared" si="0"/>
        <v>2017</v>
      </c>
    </row>
    <row r="6" spans="1:17" s="9" customFormat="1" x14ac:dyDescent="0.45"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17" s="10" customFormat="1" x14ac:dyDescent="0.45">
      <c r="A7" s="10" t="s">
        <v>214</v>
      </c>
      <c r="B7" s="10" t="s">
        <v>83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x14ac:dyDescent="0.45"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7" x14ac:dyDescent="0.45">
      <c r="B9" s="18" t="s">
        <v>87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17" x14ac:dyDescent="0.45"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x14ac:dyDescent="0.45">
      <c r="B11" t="s">
        <v>1</v>
      </c>
      <c r="C11" s="2">
        <v>9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x14ac:dyDescent="0.45">
      <c r="B12" t="s">
        <v>2</v>
      </c>
      <c r="C12" s="2">
        <v>9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17" x14ac:dyDescent="0.45">
      <c r="C13" s="2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7" x14ac:dyDescent="0.45">
      <c r="B14" t="s">
        <v>6</v>
      </c>
      <c r="C14" s="4">
        <f>300</f>
        <v>300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x14ac:dyDescent="0.45">
      <c r="B15" t="s">
        <v>7</v>
      </c>
      <c r="C15" s="4">
        <f>C11*C14</f>
        <v>2700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x14ac:dyDescent="0.45">
      <c r="B16" t="s">
        <v>18</v>
      </c>
      <c r="C16" s="4">
        <v>500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2:17" x14ac:dyDescent="0.45">
      <c r="B17" s="9" t="s">
        <v>109</v>
      </c>
      <c r="C17" s="46">
        <f>C15-C16</f>
        <v>2200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2:17" x14ac:dyDescent="0.45">
      <c r="C18" s="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2:17" x14ac:dyDescent="0.45">
      <c r="B19" t="s">
        <v>84</v>
      </c>
      <c r="C19" s="4">
        <v>25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2:17" x14ac:dyDescent="0.45">
      <c r="B20" t="s">
        <v>0</v>
      </c>
      <c r="C20" s="4">
        <v>20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2:17" x14ac:dyDescent="0.45">
      <c r="B21" t="s">
        <v>23</v>
      </c>
      <c r="C21" s="13">
        <f>1-C22</f>
        <v>0.9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2:17" x14ac:dyDescent="0.45">
      <c r="B22" t="s">
        <v>3</v>
      </c>
      <c r="C22" s="13">
        <v>0.1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2:17" x14ac:dyDescent="0.45">
      <c r="B23" t="s">
        <v>85</v>
      </c>
      <c r="C23" s="13">
        <v>0.05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2:17" x14ac:dyDescent="0.45">
      <c r="B24" t="s">
        <v>86</v>
      </c>
      <c r="C24" s="13">
        <v>0.4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2:17" x14ac:dyDescent="0.45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2:17" x14ac:dyDescent="0.45">
      <c r="B26" s="18" t="s">
        <v>4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x14ac:dyDescent="0.45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2:17" x14ac:dyDescent="0.45">
      <c r="B28" t="s">
        <v>91</v>
      </c>
      <c r="C28" s="2">
        <v>0.5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2:17" x14ac:dyDescent="0.45">
      <c r="B29" t="s">
        <v>92</v>
      </c>
      <c r="C29" s="1">
        <f>C28*C14</f>
        <v>150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2:17" x14ac:dyDescent="0.45">
      <c r="B30" t="s">
        <v>8</v>
      </c>
      <c r="C30" s="3">
        <v>0.04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2:17" x14ac:dyDescent="0.45">
      <c r="B31" t="s">
        <v>184</v>
      </c>
      <c r="C31" s="1">
        <v>300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2:17" x14ac:dyDescent="0.45">
      <c r="B32" t="s">
        <v>88</v>
      </c>
      <c r="C32" s="7">
        <v>5.0000000000000001E-3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2:17" x14ac:dyDescent="0.45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2:17" x14ac:dyDescent="0.45">
      <c r="B34" t="s">
        <v>11</v>
      </c>
      <c r="C34" s="2">
        <v>4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2:17" x14ac:dyDescent="0.45">
      <c r="B35" t="s">
        <v>93</v>
      </c>
      <c r="C35" s="1">
        <f>C34*C14</f>
        <v>1200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2:17" x14ac:dyDescent="0.45">
      <c r="B36" t="s">
        <v>9</v>
      </c>
      <c r="C36" s="13">
        <v>7.0000000000000007E-2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2:17" x14ac:dyDescent="0.45">
      <c r="B37" t="s">
        <v>90</v>
      </c>
      <c r="C37" s="13">
        <v>0.01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2:17" x14ac:dyDescent="0.4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2:17" x14ac:dyDescent="0.45">
      <c r="B39" t="s">
        <v>95</v>
      </c>
      <c r="C39" s="2">
        <v>2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2:17" x14ac:dyDescent="0.45">
      <c r="B40" t="s">
        <v>96</v>
      </c>
      <c r="C40" s="1">
        <f>C39*C14</f>
        <v>600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2:17" x14ac:dyDescent="0.45">
      <c r="B41" t="s">
        <v>97</v>
      </c>
      <c r="C41" s="13">
        <v>0.1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2:17" x14ac:dyDescent="0.45">
      <c r="B42" t="s">
        <v>98</v>
      </c>
      <c r="C42" s="13">
        <v>0.05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2:17" x14ac:dyDescent="0.4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2:17" x14ac:dyDescent="0.45">
      <c r="B44" t="s">
        <v>12</v>
      </c>
      <c r="C44" s="7">
        <v>2.5000000000000001E-2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2:17" x14ac:dyDescent="0.45">
      <c r="B45" t="s">
        <v>99</v>
      </c>
      <c r="C45" s="7">
        <v>2.5000000000000001E-2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2:17" x14ac:dyDescent="0.4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2:17" x14ac:dyDescent="0.45">
      <c r="B47" t="s">
        <v>110</v>
      </c>
      <c r="C47" s="7">
        <v>2.5000000000000001E-2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2:17" x14ac:dyDescent="0.45">
      <c r="B48" t="s">
        <v>163</v>
      </c>
      <c r="C48" s="44">
        <v>10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2:23" x14ac:dyDescent="0.45">
      <c r="B49" t="s">
        <v>100</v>
      </c>
      <c r="C49" s="13">
        <v>0.01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2:23" x14ac:dyDescent="0.4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2:23" x14ac:dyDescent="0.45">
      <c r="B51" s="14" t="s">
        <v>181</v>
      </c>
      <c r="C51" s="15" t="s">
        <v>14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V51" t="s">
        <v>13</v>
      </c>
      <c r="W51" t="s">
        <v>14</v>
      </c>
    </row>
    <row r="52" spans="2:23" x14ac:dyDescent="0.4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2:23" x14ac:dyDescent="0.45">
      <c r="B53" s="18" t="s">
        <v>101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2:23" x14ac:dyDescent="0.4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2:23" x14ac:dyDescent="0.45">
      <c r="B55" t="s">
        <v>102</v>
      </c>
      <c r="C55" s="13">
        <v>0.15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2:23" x14ac:dyDescent="0.45">
      <c r="B56" t="s">
        <v>152</v>
      </c>
      <c r="C56" s="13">
        <f>1-C55</f>
        <v>0.85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2:23" x14ac:dyDescent="0.45">
      <c r="B57" t="s">
        <v>15</v>
      </c>
      <c r="C57" s="1">
        <v>15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2:23" x14ac:dyDescent="0.4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 spans="2:23" x14ac:dyDescent="0.45">
      <c r="B59" s="18" t="s">
        <v>104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spans="2:23" x14ac:dyDescent="0.45">
      <c r="B60" s="18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2:23" x14ac:dyDescent="0.45">
      <c r="B61" t="s">
        <v>103</v>
      </c>
      <c r="C61" s="3">
        <v>0.1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spans="2:23" x14ac:dyDescent="0.45">
      <c r="B62" t="s">
        <v>105</v>
      </c>
      <c r="C62" s="13">
        <v>0.03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 spans="2:23" x14ac:dyDescent="0.45">
      <c r="C63" s="13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 spans="2:23" x14ac:dyDescent="0.45">
      <c r="B64" t="s">
        <v>113</v>
      </c>
      <c r="C64" s="45">
        <f>C75-SUM(C70:C72)</f>
        <v>815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 spans="1:17" x14ac:dyDescent="0.45">
      <c r="C65" s="13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spans="1:17" s="10" customFormat="1" x14ac:dyDescent="0.45">
      <c r="A66" s="10" t="s">
        <v>214</v>
      </c>
      <c r="B66" s="10" t="s">
        <v>106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x14ac:dyDescent="0.4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 spans="1:17" x14ac:dyDescent="0.45">
      <c r="B68" s="18" t="s">
        <v>16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 spans="1:17" x14ac:dyDescent="0.4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r="70" spans="1:17" x14ac:dyDescent="0.45">
      <c r="B70" t="s">
        <v>5</v>
      </c>
      <c r="C70" s="1">
        <f>$C$29</f>
        <v>150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r="71" spans="1:17" x14ac:dyDescent="0.45">
      <c r="B71" t="s">
        <v>89</v>
      </c>
      <c r="C71" s="1">
        <f>$C$35</f>
        <v>1200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r="72" spans="1:17" x14ac:dyDescent="0.45">
      <c r="B72" t="s">
        <v>94</v>
      </c>
      <c r="C72" s="1">
        <f>$C$40</f>
        <v>600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 spans="1:17" x14ac:dyDescent="0.45">
      <c r="B73" t="s">
        <v>22</v>
      </c>
      <c r="C73" s="1">
        <f>$C$64*C21</f>
        <v>733.5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 spans="1:17" x14ac:dyDescent="0.45">
      <c r="B74" t="s">
        <v>3</v>
      </c>
      <c r="C74" s="1">
        <f>$C$64*C22</f>
        <v>81.5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 spans="1:17" x14ac:dyDescent="0.45">
      <c r="B75" s="20" t="s">
        <v>112</v>
      </c>
      <c r="C75" s="24">
        <f>C83</f>
        <v>2765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 spans="1:17" x14ac:dyDescent="0.45">
      <c r="C76" s="1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r="77" spans="1:17" x14ac:dyDescent="0.45">
      <c r="B77" s="18" t="s">
        <v>17</v>
      </c>
      <c r="C77" s="1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  <row r="78" spans="1:17" x14ac:dyDescent="0.45">
      <c r="C78" s="1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</row>
    <row r="79" spans="1:17" x14ac:dyDescent="0.45">
      <c r="B79" t="s">
        <v>107</v>
      </c>
      <c r="C79" s="1">
        <f>$C$17</f>
        <v>2200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 spans="1:17" x14ac:dyDescent="0.45">
      <c r="B80" t="s">
        <v>108</v>
      </c>
      <c r="C80" s="1">
        <f>$C$16</f>
        <v>500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 spans="1:17" x14ac:dyDescent="0.45">
      <c r="B81" t="s">
        <v>0</v>
      </c>
      <c r="C81" s="1">
        <f>$C$20</f>
        <v>20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</row>
    <row r="82" spans="1:17" x14ac:dyDescent="0.45">
      <c r="B82" t="s">
        <v>19</v>
      </c>
      <c r="C82" s="1">
        <f>C45*(C35+C40)</f>
        <v>45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</row>
    <row r="83" spans="1:17" x14ac:dyDescent="0.45">
      <c r="B83" s="20" t="s">
        <v>111</v>
      </c>
      <c r="C83" s="24">
        <f>SUM(C79:C82)</f>
        <v>2765</v>
      </c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r="84" spans="1:17" x14ac:dyDescent="0.4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  <row r="85" spans="1:17" s="22" customFormat="1" x14ac:dyDescent="0.45">
      <c r="A85" s="22" t="s">
        <v>214</v>
      </c>
      <c r="B85" s="22" t="s">
        <v>24</v>
      </c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</row>
    <row r="86" spans="1:17" x14ac:dyDescent="0.4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  <row r="87" spans="1:17" x14ac:dyDescent="0.45">
      <c r="B87" t="s">
        <v>26</v>
      </c>
      <c r="C87" s="1">
        <v>1000</v>
      </c>
      <c r="D87" s="1">
        <f>C87*(1+D88)</f>
        <v>1100</v>
      </c>
      <c r="E87" s="1">
        <f t="shared" ref="E87:H87" si="1">D87*(1+E88)</f>
        <v>1210</v>
      </c>
      <c r="F87" s="1">
        <f t="shared" si="1"/>
        <v>1331</v>
      </c>
      <c r="G87" s="1">
        <f t="shared" si="1"/>
        <v>1464.1000000000001</v>
      </c>
      <c r="H87" s="1">
        <f t="shared" si="1"/>
        <v>1610.5100000000002</v>
      </c>
      <c r="I87" s="1"/>
      <c r="J87" s="5"/>
      <c r="K87" s="5"/>
      <c r="L87" s="5"/>
      <c r="M87" s="5"/>
      <c r="N87" s="5"/>
      <c r="O87" s="5"/>
      <c r="P87" s="5"/>
      <c r="Q87" s="5"/>
    </row>
    <row r="88" spans="1:17" x14ac:dyDescent="0.45">
      <c r="B88" t="s">
        <v>118</v>
      </c>
      <c r="C88" s="5"/>
      <c r="D88" s="13">
        <v>0.1</v>
      </c>
      <c r="E88" s="13">
        <f>D88</f>
        <v>0.1</v>
      </c>
      <c r="F88" s="13">
        <f t="shared" ref="F88:H88" si="2">E88</f>
        <v>0.1</v>
      </c>
      <c r="G88" s="13">
        <f t="shared" si="2"/>
        <v>0.1</v>
      </c>
      <c r="H88" s="13">
        <f t="shared" si="2"/>
        <v>0.1</v>
      </c>
      <c r="I88" s="5"/>
      <c r="J88" s="5"/>
      <c r="K88" s="5"/>
      <c r="L88" s="5"/>
      <c r="M88" s="5"/>
      <c r="N88" s="5"/>
      <c r="O88" s="5"/>
      <c r="P88" s="5"/>
      <c r="Q88" s="5"/>
    </row>
    <row r="89" spans="1:17" x14ac:dyDescent="0.4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</row>
    <row r="90" spans="1:17" x14ac:dyDescent="0.45">
      <c r="B90" t="s">
        <v>25</v>
      </c>
      <c r="C90" s="1">
        <v>-600</v>
      </c>
      <c r="D90" s="1">
        <f>-D91*D87</f>
        <v>-660</v>
      </c>
      <c r="E90" s="1">
        <f t="shared" ref="E90:H90" si="3">-E91*E87</f>
        <v>-726</v>
      </c>
      <c r="F90" s="1">
        <f t="shared" si="3"/>
        <v>-798.6</v>
      </c>
      <c r="G90" s="1">
        <f t="shared" si="3"/>
        <v>-878.46</v>
      </c>
      <c r="H90" s="1">
        <f t="shared" si="3"/>
        <v>-966.30600000000004</v>
      </c>
      <c r="I90" s="5"/>
      <c r="J90" s="5"/>
      <c r="K90" s="5"/>
      <c r="L90" s="5"/>
      <c r="M90" s="5"/>
      <c r="N90" s="5"/>
      <c r="O90" s="5"/>
      <c r="P90" s="5"/>
      <c r="Q90" s="5"/>
    </row>
    <row r="91" spans="1:17" x14ac:dyDescent="0.45">
      <c r="B91" t="s">
        <v>114</v>
      </c>
      <c r="C91" s="13">
        <f>-C90/C87</f>
        <v>0.6</v>
      </c>
      <c r="D91" s="13">
        <f>C91</f>
        <v>0.6</v>
      </c>
      <c r="E91" s="13">
        <f t="shared" ref="E91:H91" si="4">D91</f>
        <v>0.6</v>
      </c>
      <c r="F91" s="13">
        <f t="shared" si="4"/>
        <v>0.6</v>
      </c>
      <c r="G91" s="13">
        <f t="shared" si="4"/>
        <v>0.6</v>
      </c>
      <c r="H91" s="13">
        <f t="shared" si="4"/>
        <v>0.6</v>
      </c>
      <c r="I91" s="5"/>
      <c r="J91" s="5"/>
      <c r="K91" s="5"/>
      <c r="L91" s="5"/>
      <c r="M91" s="5"/>
      <c r="N91" s="5"/>
      <c r="O91" s="5"/>
      <c r="P91" s="5"/>
      <c r="Q91" s="5"/>
    </row>
    <row r="92" spans="1:17" x14ac:dyDescent="0.4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</row>
    <row r="93" spans="1:17" x14ac:dyDescent="0.45">
      <c r="B93" t="s">
        <v>115</v>
      </c>
      <c r="C93" s="1">
        <f>SUM(C87,C90)</f>
        <v>400</v>
      </c>
      <c r="D93" s="1">
        <f t="shared" ref="D93:H93" si="5">SUM(D87,D90)</f>
        <v>440</v>
      </c>
      <c r="E93" s="1">
        <f t="shared" si="5"/>
        <v>484</v>
      </c>
      <c r="F93" s="1">
        <f t="shared" si="5"/>
        <v>532.4</v>
      </c>
      <c r="G93" s="1">
        <f t="shared" si="5"/>
        <v>585.6400000000001</v>
      </c>
      <c r="H93" s="1">
        <f t="shared" si="5"/>
        <v>644.20400000000018</v>
      </c>
      <c r="I93" s="5"/>
      <c r="J93" s="5"/>
      <c r="K93" s="5"/>
      <c r="L93" s="5"/>
      <c r="M93" s="5"/>
      <c r="N93" s="5"/>
      <c r="O93" s="5"/>
      <c r="P93" s="5"/>
      <c r="Q93" s="5"/>
    </row>
    <row r="94" spans="1:17" x14ac:dyDescent="0.45">
      <c r="B94" t="s">
        <v>117</v>
      </c>
      <c r="C94" s="13">
        <f>C93/C87</f>
        <v>0.4</v>
      </c>
      <c r="D94" s="13">
        <f t="shared" ref="D94:H94" si="6">D93/D87</f>
        <v>0.4</v>
      </c>
      <c r="E94" s="13">
        <f t="shared" si="6"/>
        <v>0.4</v>
      </c>
      <c r="F94" s="13">
        <f t="shared" si="6"/>
        <v>0.39999999999999997</v>
      </c>
      <c r="G94" s="13">
        <f t="shared" si="6"/>
        <v>0.4</v>
      </c>
      <c r="H94" s="13">
        <f t="shared" si="6"/>
        <v>0.40000000000000008</v>
      </c>
      <c r="I94" s="5"/>
      <c r="J94" s="5"/>
      <c r="K94" s="5"/>
      <c r="L94" s="5"/>
      <c r="M94" s="5"/>
      <c r="N94" s="5"/>
      <c r="O94" s="5"/>
      <c r="P94" s="5"/>
      <c r="Q94" s="5"/>
    </row>
    <row r="95" spans="1:17" x14ac:dyDescent="0.4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</row>
    <row r="96" spans="1:17" x14ac:dyDescent="0.45">
      <c r="B96" t="s">
        <v>27</v>
      </c>
      <c r="C96" s="1">
        <f>C99-C93</f>
        <v>-100</v>
      </c>
      <c r="D96" s="1">
        <f>-D97*D87</f>
        <v>-110</v>
      </c>
      <c r="E96" s="1">
        <f t="shared" ref="E96:H96" si="7">-E97*E87</f>
        <v>-121</v>
      </c>
      <c r="F96" s="1">
        <f t="shared" si="7"/>
        <v>-133.1</v>
      </c>
      <c r="G96" s="1">
        <f t="shared" si="7"/>
        <v>-146.41000000000003</v>
      </c>
      <c r="H96" s="1">
        <f t="shared" si="7"/>
        <v>-161.05100000000004</v>
      </c>
      <c r="I96" s="5"/>
      <c r="J96" s="5"/>
      <c r="K96" s="5"/>
      <c r="L96" s="5"/>
      <c r="M96" s="5"/>
      <c r="N96" s="5"/>
      <c r="O96" s="5"/>
      <c r="P96" s="5"/>
      <c r="Q96" s="5"/>
    </row>
    <row r="97" spans="2:17" x14ac:dyDescent="0.45">
      <c r="B97" t="s">
        <v>116</v>
      </c>
      <c r="C97" s="13">
        <f>-C96/C87</f>
        <v>0.1</v>
      </c>
      <c r="D97" s="13">
        <f>C97</f>
        <v>0.1</v>
      </c>
      <c r="E97" s="13">
        <f t="shared" ref="E97:H97" si="8">D97</f>
        <v>0.1</v>
      </c>
      <c r="F97" s="13">
        <f t="shared" si="8"/>
        <v>0.1</v>
      </c>
      <c r="G97" s="13">
        <f t="shared" si="8"/>
        <v>0.1</v>
      </c>
      <c r="H97" s="13">
        <f t="shared" si="8"/>
        <v>0.1</v>
      </c>
      <c r="I97" s="5"/>
      <c r="J97" s="5"/>
      <c r="K97" s="5"/>
      <c r="L97" s="5"/>
      <c r="M97" s="5"/>
      <c r="N97" s="5"/>
      <c r="O97" s="5"/>
      <c r="P97" s="5"/>
      <c r="Q97" s="5"/>
    </row>
    <row r="98" spans="2:17" x14ac:dyDescent="0.45">
      <c r="C98" s="1"/>
      <c r="D98" s="1"/>
      <c r="E98" s="1"/>
      <c r="F98" s="1"/>
      <c r="G98" s="1"/>
      <c r="H98" s="1"/>
      <c r="I98" s="5"/>
      <c r="J98" s="5"/>
      <c r="K98" s="5"/>
      <c r="L98" s="5"/>
      <c r="M98" s="5"/>
      <c r="N98" s="5"/>
      <c r="O98" s="5"/>
      <c r="P98" s="5"/>
      <c r="Q98" s="5"/>
    </row>
    <row r="99" spans="2:17" x14ac:dyDescent="0.45">
      <c r="B99" t="s">
        <v>28</v>
      </c>
      <c r="C99" s="1">
        <f>C14</f>
        <v>300</v>
      </c>
      <c r="D99" s="1">
        <f>SUM(D93,D96)</f>
        <v>330</v>
      </c>
      <c r="E99" s="1">
        <f t="shared" ref="E99:H99" si="9">SUM(E93,E96)</f>
        <v>363</v>
      </c>
      <c r="F99" s="1">
        <f t="shared" si="9"/>
        <v>399.29999999999995</v>
      </c>
      <c r="G99" s="1">
        <f t="shared" si="9"/>
        <v>439.23000000000008</v>
      </c>
      <c r="H99" s="1">
        <f t="shared" si="9"/>
        <v>483.15300000000013</v>
      </c>
      <c r="I99" s="5"/>
      <c r="J99" s="5"/>
      <c r="K99" s="5"/>
      <c r="L99" s="5"/>
      <c r="M99" s="5"/>
      <c r="N99" s="5"/>
      <c r="O99" s="5"/>
      <c r="P99" s="5"/>
      <c r="Q99" s="5"/>
    </row>
    <row r="100" spans="2:17" x14ac:dyDescent="0.45">
      <c r="B100" t="s">
        <v>121</v>
      </c>
      <c r="C100" s="13">
        <f>C99/C87</f>
        <v>0.3</v>
      </c>
      <c r="D100" s="13">
        <f t="shared" ref="D100:H100" si="10">D99/D87</f>
        <v>0.3</v>
      </c>
      <c r="E100" s="13">
        <f t="shared" si="10"/>
        <v>0.3</v>
      </c>
      <c r="F100" s="13">
        <f t="shared" si="10"/>
        <v>0.3</v>
      </c>
      <c r="G100" s="13">
        <f t="shared" si="10"/>
        <v>0.30000000000000004</v>
      </c>
      <c r="H100" s="13">
        <f t="shared" si="10"/>
        <v>0.30000000000000004</v>
      </c>
      <c r="I100" s="5"/>
      <c r="J100" s="5"/>
      <c r="K100" s="5"/>
      <c r="L100" s="5"/>
      <c r="M100" s="5"/>
      <c r="N100" s="5"/>
      <c r="O100" s="5"/>
      <c r="P100" s="5"/>
      <c r="Q100" s="5"/>
    </row>
    <row r="101" spans="2:17" x14ac:dyDescent="0.45">
      <c r="C101" s="1"/>
      <c r="D101" s="1"/>
      <c r="E101" s="1"/>
      <c r="F101" s="1"/>
      <c r="G101" s="1"/>
      <c r="H101" s="1"/>
      <c r="I101" s="5"/>
      <c r="J101" s="5"/>
      <c r="K101" s="5"/>
      <c r="L101" s="5"/>
      <c r="M101" s="5"/>
      <c r="N101" s="5"/>
      <c r="O101" s="5"/>
      <c r="P101" s="5"/>
      <c r="Q101" s="5"/>
    </row>
    <row r="102" spans="2:17" x14ac:dyDescent="0.45">
      <c r="B102" t="s">
        <v>29</v>
      </c>
      <c r="C102" s="1">
        <v>-20</v>
      </c>
      <c r="D102" s="1">
        <f>D230</f>
        <v>-40.950000000000003</v>
      </c>
      <c r="E102" s="1">
        <f t="shared" ref="E102:H102" si="11">E230</f>
        <v>-43.15</v>
      </c>
      <c r="F102" s="1">
        <f t="shared" si="11"/>
        <v>-45.57</v>
      </c>
      <c r="G102" s="1">
        <f t="shared" si="11"/>
        <v>-48.231999999999999</v>
      </c>
      <c r="H102" s="1">
        <f t="shared" si="11"/>
        <v>-51.160200000000003</v>
      </c>
      <c r="I102" s="5"/>
      <c r="J102" s="5"/>
      <c r="K102" s="5"/>
      <c r="L102" s="5"/>
      <c r="M102" s="5"/>
      <c r="N102" s="5"/>
      <c r="O102" s="5"/>
      <c r="P102" s="5"/>
      <c r="Q102" s="5"/>
    </row>
    <row r="103" spans="2:17" x14ac:dyDescent="0.45">
      <c r="B103" t="s">
        <v>119</v>
      </c>
      <c r="C103" s="13">
        <f>-C102/C87</f>
        <v>0.02</v>
      </c>
      <c r="D103" s="13"/>
      <c r="E103" s="13"/>
      <c r="F103" s="13"/>
      <c r="G103" s="13"/>
      <c r="H103" s="13"/>
      <c r="I103" s="5"/>
      <c r="J103" s="5"/>
      <c r="K103" s="5"/>
      <c r="L103" s="5"/>
      <c r="M103" s="5"/>
      <c r="N103" s="5"/>
      <c r="O103" s="5"/>
      <c r="P103" s="5"/>
      <c r="Q103" s="5"/>
    </row>
    <row r="104" spans="2:17" x14ac:dyDescent="0.45">
      <c r="C104" s="1"/>
      <c r="D104" s="1"/>
      <c r="E104" s="1"/>
      <c r="F104" s="1"/>
      <c r="G104" s="1"/>
      <c r="H104" s="1"/>
      <c r="I104" s="5"/>
      <c r="J104" s="5"/>
      <c r="K104" s="5"/>
      <c r="L104" s="5"/>
      <c r="M104" s="5"/>
      <c r="N104" s="5"/>
      <c r="O104" s="5"/>
      <c r="P104" s="5"/>
      <c r="Q104" s="5"/>
    </row>
    <row r="105" spans="2:17" x14ac:dyDescent="0.45">
      <c r="B105" t="s">
        <v>120</v>
      </c>
      <c r="C105" s="1">
        <f>SUM(C99,C102)</f>
        <v>280</v>
      </c>
      <c r="D105" s="1">
        <f t="shared" ref="D105:H105" si="12">SUM(D99,D102)</f>
        <v>289.05</v>
      </c>
      <c r="E105" s="1">
        <f t="shared" si="12"/>
        <v>319.85000000000002</v>
      </c>
      <c r="F105" s="1">
        <f t="shared" si="12"/>
        <v>353.72999999999996</v>
      </c>
      <c r="G105" s="1">
        <f t="shared" si="12"/>
        <v>390.99800000000005</v>
      </c>
      <c r="H105" s="1">
        <f t="shared" si="12"/>
        <v>431.9928000000001</v>
      </c>
      <c r="I105" s="5"/>
      <c r="J105" s="5"/>
      <c r="K105" s="5"/>
      <c r="L105" s="5"/>
      <c r="M105" s="5"/>
      <c r="N105" s="5"/>
      <c r="O105" s="5"/>
      <c r="P105" s="5"/>
      <c r="Q105" s="5"/>
    </row>
    <row r="106" spans="2:17" x14ac:dyDescent="0.45">
      <c r="B106" t="s">
        <v>122</v>
      </c>
      <c r="C106" s="13">
        <f>C105/C87</f>
        <v>0.28000000000000003</v>
      </c>
      <c r="D106" s="13">
        <f t="shared" ref="D106:H106" si="13">D105/D87</f>
        <v>0.26277272727272727</v>
      </c>
      <c r="E106" s="13">
        <f t="shared" si="13"/>
        <v>0.26433884297520666</v>
      </c>
      <c r="F106" s="13">
        <f t="shared" si="13"/>
        <v>0.26576258452291507</v>
      </c>
      <c r="G106" s="13">
        <f t="shared" si="13"/>
        <v>0.26705689502083191</v>
      </c>
      <c r="H106" s="13">
        <f t="shared" si="13"/>
        <v>0.26823354092802904</v>
      </c>
      <c r="I106" s="5"/>
      <c r="J106" s="5"/>
      <c r="K106" s="5"/>
      <c r="L106" s="5"/>
      <c r="M106" s="5"/>
      <c r="N106" s="5"/>
      <c r="O106" s="5"/>
      <c r="P106" s="5"/>
      <c r="Q106" s="5"/>
    </row>
    <row r="107" spans="2:17" x14ac:dyDescent="0.4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</row>
    <row r="108" spans="2:17" x14ac:dyDescent="0.45">
      <c r="B108" t="s">
        <v>30</v>
      </c>
      <c r="C108" s="5">
        <v>0</v>
      </c>
      <c r="D108" s="1">
        <f>D353</f>
        <v>-180.75</v>
      </c>
      <c r="E108" s="1">
        <f>E353</f>
        <v>-181.75245000000001</v>
      </c>
      <c r="F108" s="1">
        <f>F353</f>
        <v>-181.74030290000002</v>
      </c>
      <c r="G108" s="1">
        <f t="shared" ref="G108:H108" si="14">G353</f>
        <v>-178.03843562180003</v>
      </c>
      <c r="H108" s="1">
        <f t="shared" si="14"/>
        <v>-172.96835391791564</v>
      </c>
      <c r="I108" s="5"/>
      <c r="J108" s="5"/>
      <c r="K108" s="5"/>
      <c r="L108" s="5"/>
      <c r="M108" s="5"/>
      <c r="N108" s="5"/>
      <c r="O108" s="5"/>
      <c r="P108" s="5"/>
      <c r="Q108" s="5"/>
    </row>
    <row r="109" spans="2:17" x14ac:dyDescent="0.4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</row>
    <row r="110" spans="2:17" x14ac:dyDescent="0.45">
      <c r="B110" t="s">
        <v>33</v>
      </c>
      <c r="C110" s="1">
        <f>SUM(C105,C108)</f>
        <v>280</v>
      </c>
      <c r="D110" s="1">
        <f t="shared" ref="D110:H110" si="15">SUM(D105,D108)</f>
        <v>108.30000000000001</v>
      </c>
      <c r="E110" s="1">
        <f t="shared" si="15"/>
        <v>138.09755000000001</v>
      </c>
      <c r="F110" s="1">
        <f t="shared" si="15"/>
        <v>171.98969709999994</v>
      </c>
      <c r="G110" s="1">
        <f t="shared" si="15"/>
        <v>212.95956437820001</v>
      </c>
      <c r="H110" s="1">
        <f t="shared" si="15"/>
        <v>259.02444608208447</v>
      </c>
      <c r="I110" s="5"/>
      <c r="J110" s="5"/>
      <c r="K110" s="5"/>
      <c r="L110" s="5"/>
      <c r="M110" s="5"/>
      <c r="N110" s="5"/>
      <c r="O110" s="5"/>
      <c r="P110" s="5"/>
      <c r="Q110" s="5"/>
    </row>
    <row r="111" spans="2:17" x14ac:dyDescent="0.45">
      <c r="B111" t="s">
        <v>31</v>
      </c>
      <c r="C111" s="1">
        <f>C110*-$C$24</f>
        <v>-112</v>
      </c>
      <c r="D111" s="1">
        <f t="shared" ref="D111:H111" si="16">D110*-$C$24</f>
        <v>-43.320000000000007</v>
      </c>
      <c r="E111" s="1">
        <f t="shared" si="16"/>
        <v>-55.239020000000011</v>
      </c>
      <c r="F111" s="1">
        <f t="shared" si="16"/>
        <v>-68.795878839999986</v>
      </c>
      <c r="G111" s="1">
        <f t="shared" si="16"/>
        <v>-85.183825751280011</v>
      </c>
      <c r="H111" s="1">
        <f t="shared" si="16"/>
        <v>-103.60977843283379</v>
      </c>
      <c r="I111" s="5"/>
      <c r="J111" s="5"/>
      <c r="K111" s="5"/>
      <c r="L111" s="5"/>
      <c r="M111" s="5"/>
      <c r="N111" s="5"/>
      <c r="O111" s="5"/>
      <c r="P111" s="5"/>
      <c r="Q111" s="5"/>
    </row>
    <row r="112" spans="2:17" x14ac:dyDescent="0.45">
      <c r="B112" s="20" t="s">
        <v>32</v>
      </c>
      <c r="C112" s="24">
        <f>SUM(C110:C111)</f>
        <v>168</v>
      </c>
      <c r="D112" s="24">
        <f t="shared" ref="D112:H112" si="17">SUM(D110:D111)</f>
        <v>64.98</v>
      </c>
      <c r="E112" s="24">
        <f t="shared" si="17"/>
        <v>82.858530000000002</v>
      </c>
      <c r="F112" s="24">
        <f t="shared" si="17"/>
        <v>103.19381825999996</v>
      </c>
      <c r="G112" s="24">
        <f t="shared" si="17"/>
        <v>127.77573862692</v>
      </c>
      <c r="H112" s="24">
        <f t="shared" si="17"/>
        <v>155.41466764925067</v>
      </c>
      <c r="I112" s="5"/>
      <c r="J112" s="5"/>
      <c r="K112" s="5"/>
      <c r="L112" s="5"/>
      <c r="M112" s="5"/>
      <c r="N112" s="5"/>
      <c r="O112" s="5"/>
      <c r="P112" s="5"/>
      <c r="Q112" s="5"/>
    </row>
    <row r="113" spans="1:17" x14ac:dyDescent="0.4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</row>
    <row r="114" spans="1:17" s="22" customFormat="1" x14ac:dyDescent="0.45">
      <c r="A114" s="22" t="s">
        <v>214</v>
      </c>
      <c r="B114" s="22" t="s">
        <v>123</v>
      </c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</row>
    <row r="115" spans="1:17" x14ac:dyDescent="0.4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</row>
    <row r="116" spans="1:17" x14ac:dyDescent="0.45">
      <c r="B116" s="19" t="s">
        <v>125</v>
      </c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</row>
    <row r="117" spans="1:17" x14ac:dyDescent="0.45">
      <c r="B117" t="s">
        <v>32</v>
      </c>
      <c r="C117" s="1"/>
      <c r="D117" s="1">
        <f t="shared" ref="D117:H117" si="18">D112</f>
        <v>64.98</v>
      </c>
      <c r="E117" s="1">
        <f t="shared" si="18"/>
        <v>82.858530000000002</v>
      </c>
      <c r="F117" s="1">
        <f t="shared" si="18"/>
        <v>103.19381825999996</v>
      </c>
      <c r="G117" s="1">
        <f t="shared" si="18"/>
        <v>127.77573862692</v>
      </c>
      <c r="H117" s="1">
        <f t="shared" si="18"/>
        <v>155.41466764925067</v>
      </c>
      <c r="I117" s="5"/>
      <c r="J117" s="5"/>
      <c r="K117" s="5"/>
      <c r="L117" s="5"/>
      <c r="M117" s="5"/>
      <c r="N117" s="5"/>
      <c r="O117" s="5"/>
      <c r="P117" s="5"/>
      <c r="Q117" s="5"/>
    </row>
    <row r="118" spans="1:17" x14ac:dyDescent="0.45">
      <c r="B118" s="25" t="s">
        <v>29</v>
      </c>
      <c r="C118" s="1"/>
      <c r="D118" s="1">
        <f t="shared" ref="D118:H118" si="19">-D102</f>
        <v>40.950000000000003</v>
      </c>
      <c r="E118" s="1">
        <f t="shared" si="19"/>
        <v>43.15</v>
      </c>
      <c r="F118" s="1">
        <f t="shared" si="19"/>
        <v>45.57</v>
      </c>
      <c r="G118" s="1">
        <f t="shared" si="19"/>
        <v>48.231999999999999</v>
      </c>
      <c r="H118" s="1">
        <f t="shared" si="19"/>
        <v>51.160200000000003</v>
      </c>
      <c r="I118" s="5"/>
      <c r="J118" s="5"/>
      <c r="K118" s="5"/>
      <c r="L118" s="5"/>
      <c r="M118" s="5"/>
      <c r="N118" s="5"/>
      <c r="O118" s="5"/>
      <c r="P118" s="5"/>
      <c r="Q118" s="5"/>
    </row>
    <row r="119" spans="1:17" x14ac:dyDescent="0.45">
      <c r="B119" s="25" t="s">
        <v>35</v>
      </c>
      <c r="C119" s="5"/>
      <c r="D119" s="1">
        <f>-D352</f>
        <v>30</v>
      </c>
      <c r="E119" s="1">
        <f>-E352</f>
        <v>31.5</v>
      </c>
      <c r="F119" s="1">
        <f>-F352</f>
        <v>33.075000000000003</v>
      </c>
      <c r="G119" s="1">
        <f t="shared" ref="G119:H119" si="20">-G352</f>
        <v>34.728750000000005</v>
      </c>
      <c r="H119" s="1">
        <f t="shared" si="20"/>
        <v>36.465187500000006</v>
      </c>
      <c r="I119" s="5"/>
      <c r="J119" s="5"/>
      <c r="K119" s="5"/>
      <c r="L119" s="5"/>
      <c r="M119" s="5"/>
      <c r="N119" s="5"/>
      <c r="O119" s="5"/>
      <c r="P119" s="5"/>
      <c r="Q119" s="5"/>
    </row>
    <row r="120" spans="1:17" x14ac:dyDescent="0.45">
      <c r="B120" s="25" t="s">
        <v>126</v>
      </c>
      <c r="C120" s="5"/>
      <c r="D120" s="1">
        <f>C150-D150</f>
        <v>-20</v>
      </c>
      <c r="E120" s="1">
        <f t="shared" ref="E120:H120" si="21">D150-E150</f>
        <v>-22</v>
      </c>
      <c r="F120" s="1">
        <f t="shared" si="21"/>
        <v>-24.199999999999989</v>
      </c>
      <c r="G120" s="1">
        <f t="shared" si="21"/>
        <v>-26.620000000000005</v>
      </c>
      <c r="H120" s="1">
        <f t="shared" si="21"/>
        <v>-29.282000000000039</v>
      </c>
      <c r="I120" s="5"/>
      <c r="J120" s="5"/>
      <c r="K120" s="5"/>
      <c r="L120" s="5"/>
      <c r="M120" s="5"/>
      <c r="N120" s="5"/>
      <c r="O120" s="5"/>
      <c r="P120" s="5"/>
      <c r="Q120" s="5"/>
    </row>
    <row r="121" spans="1:17" x14ac:dyDescent="0.45">
      <c r="B121" s="25" t="s">
        <v>36</v>
      </c>
      <c r="C121" s="5"/>
      <c r="D121" s="1">
        <f>C151-D151</f>
        <v>-10</v>
      </c>
      <c r="E121" s="1">
        <f t="shared" ref="E121:H121" si="22">D151-E151</f>
        <v>-11</v>
      </c>
      <c r="F121" s="1">
        <f t="shared" si="22"/>
        <v>-12.099999999999994</v>
      </c>
      <c r="G121" s="1">
        <f t="shared" si="22"/>
        <v>-13.310000000000002</v>
      </c>
      <c r="H121" s="1">
        <f t="shared" si="22"/>
        <v>-14.640999999999991</v>
      </c>
      <c r="I121" s="5"/>
      <c r="J121" s="5"/>
      <c r="K121" s="5"/>
      <c r="L121" s="5"/>
      <c r="M121" s="5"/>
      <c r="N121" s="5"/>
      <c r="O121" s="5"/>
      <c r="P121" s="5"/>
      <c r="Q121" s="5"/>
    </row>
    <row r="122" spans="1:17" x14ac:dyDescent="0.45">
      <c r="B122" s="25" t="s">
        <v>127</v>
      </c>
      <c r="C122" s="5"/>
      <c r="D122" s="1">
        <f>D167-C167</f>
        <v>10</v>
      </c>
      <c r="E122" s="1">
        <f t="shared" ref="E122:H123" si="23">E167-D167</f>
        <v>11</v>
      </c>
      <c r="F122" s="1">
        <f t="shared" si="23"/>
        <v>12.099999999999994</v>
      </c>
      <c r="G122" s="1">
        <f t="shared" si="23"/>
        <v>13.310000000000002</v>
      </c>
      <c r="H122" s="1">
        <f t="shared" si="23"/>
        <v>14.640999999999991</v>
      </c>
      <c r="I122" s="5"/>
      <c r="J122" s="5"/>
      <c r="K122" s="5"/>
      <c r="L122" s="5"/>
      <c r="M122" s="5"/>
      <c r="N122" s="5"/>
      <c r="O122" s="5"/>
      <c r="P122" s="5"/>
      <c r="Q122" s="5"/>
    </row>
    <row r="123" spans="1:17" x14ac:dyDescent="0.45">
      <c r="B123" s="25" t="s">
        <v>128</v>
      </c>
      <c r="C123" s="5"/>
      <c r="D123" s="1">
        <f>D168-C168</f>
        <v>5</v>
      </c>
      <c r="E123" s="1">
        <f t="shared" si="23"/>
        <v>5.5</v>
      </c>
      <c r="F123" s="1">
        <f t="shared" si="23"/>
        <v>6.0499999999999972</v>
      </c>
      <c r="G123" s="1">
        <f t="shared" si="23"/>
        <v>6.6550000000000153</v>
      </c>
      <c r="H123" s="1">
        <f t="shared" si="23"/>
        <v>7.3205000000000098</v>
      </c>
      <c r="I123" s="5"/>
      <c r="J123" s="5"/>
      <c r="K123" s="5"/>
      <c r="L123" s="5"/>
      <c r="M123" s="5"/>
      <c r="N123" s="5"/>
      <c r="O123" s="5"/>
      <c r="P123" s="5"/>
      <c r="Q123" s="5"/>
    </row>
    <row r="124" spans="1:17" x14ac:dyDescent="0.45">
      <c r="B124" s="20" t="s">
        <v>125</v>
      </c>
      <c r="C124" s="24"/>
      <c r="D124" s="24">
        <f t="shared" ref="D124:H124" si="24">SUM(D117:D123)</f>
        <v>120.93</v>
      </c>
      <c r="E124" s="24">
        <f t="shared" si="24"/>
        <v>141.00853000000001</v>
      </c>
      <c r="F124" s="24">
        <f t="shared" si="24"/>
        <v>163.68881826000001</v>
      </c>
      <c r="G124" s="24">
        <f t="shared" si="24"/>
        <v>190.77148862692002</v>
      </c>
      <c r="H124" s="24">
        <f t="shared" si="24"/>
        <v>221.07855514925066</v>
      </c>
      <c r="I124" s="5"/>
      <c r="J124" s="5"/>
      <c r="K124" s="5"/>
      <c r="L124" s="5"/>
      <c r="M124" s="5"/>
      <c r="N124" s="5"/>
      <c r="O124" s="5"/>
      <c r="P124" s="5"/>
      <c r="Q124" s="5"/>
    </row>
    <row r="125" spans="1:17" x14ac:dyDescent="0.4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</row>
    <row r="126" spans="1:17" x14ac:dyDescent="0.45">
      <c r="B126" s="19" t="s">
        <v>34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</row>
    <row r="127" spans="1:17" x14ac:dyDescent="0.45">
      <c r="B127" t="s">
        <v>37</v>
      </c>
      <c r="C127" s="1"/>
      <c r="D127" s="1">
        <f t="shared" ref="D127:H127" si="25">D198</f>
        <v>-33</v>
      </c>
      <c r="E127" s="1">
        <f t="shared" si="25"/>
        <v>-36.299999999999997</v>
      </c>
      <c r="F127" s="1">
        <f t="shared" si="25"/>
        <v>-39.93</v>
      </c>
      <c r="G127" s="1">
        <f t="shared" si="25"/>
        <v>-43.923000000000002</v>
      </c>
      <c r="H127" s="1">
        <f t="shared" si="25"/>
        <v>-48.315300000000008</v>
      </c>
      <c r="I127" s="5"/>
      <c r="J127" s="5"/>
      <c r="K127" s="5"/>
      <c r="L127" s="5"/>
      <c r="M127" s="5"/>
      <c r="N127" s="5"/>
      <c r="O127" s="5"/>
      <c r="P127" s="5"/>
      <c r="Q127" s="5"/>
    </row>
    <row r="128" spans="1:17" x14ac:dyDescent="0.45">
      <c r="B128" s="20" t="s">
        <v>34</v>
      </c>
      <c r="C128" s="24"/>
      <c r="D128" s="24">
        <f t="shared" ref="D128:H128" si="26">D127</f>
        <v>-33</v>
      </c>
      <c r="E128" s="24">
        <f t="shared" si="26"/>
        <v>-36.299999999999997</v>
      </c>
      <c r="F128" s="24">
        <f t="shared" si="26"/>
        <v>-39.93</v>
      </c>
      <c r="G128" s="24">
        <f t="shared" si="26"/>
        <v>-43.923000000000002</v>
      </c>
      <c r="H128" s="24">
        <f t="shared" si="26"/>
        <v>-48.315300000000008</v>
      </c>
      <c r="I128" s="5"/>
      <c r="J128" s="5"/>
      <c r="K128" s="5"/>
      <c r="L128" s="5"/>
      <c r="M128" s="5"/>
      <c r="N128" s="5"/>
      <c r="O128" s="5"/>
      <c r="P128" s="5"/>
      <c r="Q128" s="5"/>
    </row>
    <row r="129" spans="1:17" x14ac:dyDescent="0.4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</row>
    <row r="130" spans="1:17" x14ac:dyDescent="0.45">
      <c r="B130" s="19" t="s">
        <v>75</v>
      </c>
      <c r="C130" s="6"/>
      <c r="D130" s="6">
        <f t="shared" ref="D130:H130" si="27">SUM(D124+D128)</f>
        <v>87.93</v>
      </c>
      <c r="E130" s="6">
        <f t="shared" si="27"/>
        <v>104.70853000000001</v>
      </c>
      <c r="F130" s="6">
        <f t="shared" si="27"/>
        <v>123.75881826</v>
      </c>
      <c r="G130" s="6">
        <f t="shared" si="27"/>
        <v>146.84848862692002</v>
      </c>
      <c r="H130" s="6">
        <f t="shared" si="27"/>
        <v>172.76325514925065</v>
      </c>
      <c r="I130" s="5"/>
      <c r="J130" s="5"/>
      <c r="K130" s="5"/>
      <c r="L130" s="5"/>
      <c r="M130" s="5"/>
      <c r="N130" s="5"/>
      <c r="O130" s="5"/>
      <c r="P130" s="5"/>
      <c r="Q130" s="5"/>
    </row>
    <row r="132" spans="1:17" x14ac:dyDescent="0.45">
      <c r="B132" s="19" t="s">
        <v>124</v>
      </c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</row>
    <row r="133" spans="1:17" x14ac:dyDescent="0.45">
      <c r="B133" s="25" t="s">
        <v>131</v>
      </c>
      <c r="C133" s="5"/>
      <c r="D133" s="1">
        <f>SUM(D310:D311)</f>
        <v>-75.930000000000007</v>
      </c>
      <c r="E133" s="1">
        <f>SUM(E310:E311)</f>
        <v>-74.069999999999993</v>
      </c>
      <c r="F133" s="1">
        <f>SUM(F310:F311)</f>
        <v>0</v>
      </c>
      <c r="G133" s="1">
        <f t="shared" ref="G133:H133" si="28">SUM(G310:G311)</f>
        <v>0</v>
      </c>
      <c r="H133" s="1">
        <f t="shared" si="28"/>
        <v>0</v>
      </c>
      <c r="I133" s="5"/>
      <c r="J133" s="5"/>
      <c r="K133" s="5"/>
      <c r="L133" s="5"/>
      <c r="M133" s="5"/>
      <c r="N133" s="5"/>
      <c r="O133" s="5"/>
      <c r="P133" s="5"/>
      <c r="Q133" s="5"/>
    </row>
    <row r="134" spans="1:17" x14ac:dyDescent="0.45">
      <c r="B134" s="25" t="s">
        <v>132</v>
      </c>
      <c r="C134" s="5"/>
      <c r="D134" s="1">
        <f>SUM(D329:D330)</f>
        <v>0</v>
      </c>
      <c r="E134" s="1">
        <f>SUM(E329:E330)</f>
        <v>-18.638530000000003</v>
      </c>
      <c r="F134" s="1">
        <f>SUM(F329:F330)</f>
        <v>-111.75881826</v>
      </c>
      <c r="G134" s="1">
        <f t="shared" ref="G134:H134" si="29">SUM(G329:G330)</f>
        <v>-134.84848862692002</v>
      </c>
      <c r="H134" s="1">
        <f t="shared" si="29"/>
        <v>-160.76325514925065</v>
      </c>
      <c r="I134" s="5"/>
      <c r="J134" s="5"/>
      <c r="K134" s="5"/>
      <c r="L134" s="5"/>
      <c r="M134" s="5"/>
      <c r="N134" s="5"/>
      <c r="O134" s="5"/>
      <c r="P134" s="5"/>
      <c r="Q134" s="5"/>
    </row>
    <row r="135" spans="1:17" x14ac:dyDescent="0.45">
      <c r="B135" s="25" t="s">
        <v>133</v>
      </c>
      <c r="C135" s="5"/>
      <c r="D135" s="5">
        <f>SUM(D339:D340)</f>
        <v>0</v>
      </c>
      <c r="E135" s="5">
        <f>SUM(E339:E340)</f>
        <v>0</v>
      </c>
      <c r="F135" s="5">
        <f>SUM(F339:F340)</f>
        <v>0</v>
      </c>
      <c r="G135" s="5">
        <f t="shared" ref="G135:H135" si="30">SUM(G339:G340)</f>
        <v>0</v>
      </c>
      <c r="H135" s="5">
        <f t="shared" si="30"/>
        <v>0</v>
      </c>
      <c r="I135" s="5"/>
      <c r="J135" s="5"/>
      <c r="K135" s="5"/>
      <c r="L135" s="5"/>
      <c r="M135" s="5"/>
      <c r="N135" s="5"/>
      <c r="O135" s="5"/>
      <c r="P135" s="5"/>
      <c r="Q135" s="5"/>
    </row>
    <row r="136" spans="1:17" x14ac:dyDescent="0.45">
      <c r="B136" s="25" t="s">
        <v>134</v>
      </c>
      <c r="C136" s="5"/>
      <c r="D136" s="1">
        <f>D331</f>
        <v>-12</v>
      </c>
      <c r="E136" s="1">
        <f>E331</f>
        <v>-12</v>
      </c>
      <c r="F136" s="1">
        <f>F331</f>
        <v>-12</v>
      </c>
      <c r="G136" s="1">
        <f t="shared" ref="G136:H136" si="31">G331</f>
        <v>-12</v>
      </c>
      <c r="H136" s="1">
        <f t="shared" si="31"/>
        <v>-12</v>
      </c>
      <c r="I136" s="5"/>
      <c r="J136" s="5"/>
      <c r="K136" s="5"/>
      <c r="L136" s="5"/>
      <c r="M136" s="5"/>
      <c r="N136" s="5"/>
      <c r="O136" s="5"/>
      <c r="P136" s="5"/>
      <c r="Q136" s="5"/>
    </row>
    <row r="137" spans="1:17" x14ac:dyDescent="0.45">
      <c r="B137" s="32" t="s">
        <v>135</v>
      </c>
      <c r="C137" s="21">
        <f>SUM(C133:C136)</f>
        <v>0</v>
      </c>
      <c r="D137" s="24">
        <f t="shared" ref="D137:H137" si="32">SUM(D133:D136)</f>
        <v>-87.93</v>
      </c>
      <c r="E137" s="24">
        <f t="shared" si="32"/>
        <v>-104.70853</v>
      </c>
      <c r="F137" s="24">
        <f t="shared" si="32"/>
        <v>-123.75881826</v>
      </c>
      <c r="G137" s="24">
        <f t="shared" si="32"/>
        <v>-146.84848862692002</v>
      </c>
      <c r="H137" s="24">
        <f t="shared" si="32"/>
        <v>-172.76325514925065</v>
      </c>
      <c r="I137" s="5"/>
      <c r="J137" s="5"/>
      <c r="K137" s="5"/>
      <c r="L137" s="5"/>
      <c r="M137" s="5"/>
      <c r="N137" s="5"/>
      <c r="O137" s="5"/>
      <c r="P137" s="5"/>
      <c r="Q137" s="5"/>
    </row>
    <row r="138" spans="1:17" x14ac:dyDescent="0.4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</row>
    <row r="139" spans="1:17" x14ac:dyDescent="0.45">
      <c r="B139" s="29" t="s">
        <v>191</v>
      </c>
      <c r="C139" s="5"/>
      <c r="D139" s="1">
        <f>SUM(D130,D137)</f>
        <v>0</v>
      </c>
      <c r="E139" s="1">
        <f t="shared" ref="E139:H139" si="33">SUM(E130,E137)</f>
        <v>0</v>
      </c>
      <c r="F139" s="1">
        <f t="shared" si="33"/>
        <v>0</v>
      </c>
      <c r="G139" s="1">
        <f t="shared" si="33"/>
        <v>0</v>
      </c>
      <c r="H139" s="1">
        <f t="shared" si="33"/>
        <v>0</v>
      </c>
      <c r="I139" s="5"/>
      <c r="J139" s="5"/>
      <c r="K139" s="5"/>
      <c r="L139" s="5"/>
      <c r="M139" s="5"/>
      <c r="N139" s="5"/>
      <c r="O139" s="5"/>
      <c r="P139" s="5"/>
      <c r="Q139" s="5"/>
    </row>
    <row r="140" spans="1:17" x14ac:dyDescent="0.45">
      <c r="B140" s="25"/>
      <c r="C140" s="5"/>
      <c r="D140" s="1"/>
      <c r="E140" s="1"/>
      <c r="F140" s="1"/>
      <c r="G140" s="1"/>
      <c r="H140" s="1"/>
      <c r="I140" s="5"/>
      <c r="J140" s="5"/>
      <c r="K140" s="5"/>
      <c r="L140" s="5"/>
      <c r="M140" s="5"/>
      <c r="N140" s="5"/>
      <c r="O140" s="5"/>
      <c r="P140" s="5"/>
      <c r="Q140" s="5"/>
    </row>
    <row r="141" spans="1:17" x14ac:dyDescent="0.45">
      <c r="B141" s="29" t="s">
        <v>192</v>
      </c>
      <c r="C141" s="5"/>
      <c r="D141" s="1">
        <f>C149</f>
        <v>25</v>
      </c>
      <c r="E141" s="1">
        <f>D142</f>
        <v>25</v>
      </c>
      <c r="F141" s="1">
        <f t="shared" ref="F141:H141" si="34">E142</f>
        <v>25</v>
      </c>
      <c r="G141" s="1">
        <f t="shared" si="34"/>
        <v>25</v>
      </c>
      <c r="H141" s="1">
        <f t="shared" si="34"/>
        <v>25</v>
      </c>
      <c r="I141" s="5"/>
      <c r="J141" s="5"/>
      <c r="K141" s="5"/>
      <c r="L141" s="5"/>
      <c r="M141" s="5"/>
      <c r="N141" s="5"/>
      <c r="O141" s="5"/>
      <c r="P141" s="5"/>
      <c r="Q141" s="5"/>
    </row>
    <row r="142" spans="1:17" x14ac:dyDescent="0.45">
      <c r="B142" s="29" t="s">
        <v>193</v>
      </c>
      <c r="C142" s="5"/>
      <c r="D142" s="1">
        <f>SUM(D139,D141)</f>
        <v>25</v>
      </c>
      <c r="E142" s="1">
        <f t="shared" ref="E142:H142" si="35">SUM(E139,E141)</f>
        <v>25</v>
      </c>
      <c r="F142" s="1">
        <f t="shared" si="35"/>
        <v>25</v>
      </c>
      <c r="G142" s="1">
        <f t="shared" si="35"/>
        <v>25</v>
      </c>
      <c r="H142" s="1">
        <f t="shared" si="35"/>
        <v>25</v>
      </c>
      <c r="I142" s="5"/>
      <c r="J142" s="5"/>
      <c r="K142" s="5"/>
      <c r="L142" s="5"/>
      <c r="M142" s="5"/>
      <c r="N142" s="5"/>
      <c r="O142" s="5"/>
      <c r="P142" s="5"/>
      <c r="Q142" s="5"/>
    </row>
    <row r="143" spans="1:17" x14ac:dyDescent="0.4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</row>
    <row r="144" spans="1:17" s="22" customFormat="1" x14ac:dyDescent="0.45">
      <c r="A144" s="22" t="s">
        <v>214</v>
      </c>
      <c r="B144" s="22" t="s">
        <v>39</v>
      </c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</row>
    <row r="145" spans="2:17" x14ac:dyDescent="0.4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</row>
    <row r="146" spans="2:17" x14ac:dyDescent="0.45">
      <c r="B146" s="18" t="s">
        <v>136</v>
      </c>
      <c r="C146" s="5"/>
      <c r="D146" s="5"/>
      <c r="E146" s="5"/>
      <c r="F146" s="5"/>
      <c r="G146" s="5"/>
      <c r="H146" s="5"/>
      <c r="I146" s="5"/>
      <c r="J146" s="36"/>
      <c r="K146" s="36">
        <v>2012</v>
      </c>
      <c r="L146" s="36"/>
      <c r="M146" s="36"/>
      <c r="N146" s="36"/>
      <c r="O146" s="36"/>
      <c r="P146" s="5"/>
    </row>
    <row r="147" spans="2:17" x14ac:dyDescent="0.45">
      <c r="C147" s="50"/>
      <c r="D147" s="5"/>
      <c r="E147" s="5"/>
      <c r="F147" s="5"/>
      <c r="G147" s="5"/>
      <c r="H147" s="5"/>
      <c r="I147" s="5"/>
      <c r="J147" s="35" t="s">
        <v>148</v>
      </c>
      <c r="K147" s="35"/>
      <c r="L147" s="35" t="s">
        <v>50</v>
      </c>
      <c r="M147" s="35"/>
      <c r="N147" s="35" t="s">
        <v>51</v>
      </c>
      <c r="O147" s="35"/>
      <c r="P147" s="5"/>
    </row>
    <row r="148" spans="2:17" x14ac:dyDescent="0.45">
      <c r="B148" s="19" t="s">
        <v>55</v>
      </c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</row>
    <row r="149" spans="2:17" x14ac:dyDescent="0.45">
      <c r="B149" s="25" t="s">
        <v>137</v>
      </c>
      <c r="C149" s="1">
        <f>N149</f>
        <v>25</v>
      </c>
      <c r="D149" s="53">
        <f>D142</f>
        <v>25</v>
      </c>
      <c r="E149" s="53">
        <f t="shared" ref="E149:H149" si="36">E142</f>
        <v>25</v>
      </c>
      <c r="F149" s="53">
        <f t="shared" si="36"/>
        <v>25</v>
      </c>
      <c r="G149" s="53">
        <f t="shared" si="36"/>
        <v>25</v>
      </c>
      <c r="H149" s="53">
        <f t="shared" si="36"/>
        <v>25</v>
      </c>
      <c r="I149" s="5"/>
      <c r="J149" s="5">
        <v>50</v>
      </c>
      <c r="K149" s="5"/>
      <c r="L149" s="5">
        <f>C19-J149</f>
        <v>-25</v>
      </c>
      <c r="M149" s="5"/>
      <c r="N149" s="5">
        <f>SUM(J149,L149)</f>
        <v>25</v>
      </c>
      <c r="O149" s="5"/>
      <c r="P149" s="5"/>
    </row>
    <row r="150" spans="2:17" x14ac:dyDescent="0.45">
      <c r="B150" s="25" t="s">
        <v>138</v>
      </c>
      <c r="C150" s="1">
        <f t="shared" ref="C150:C151" si="37">N150</f>
        <v>200</v>
      </c>
      <c r="D150" s="1">
        <f>D203</f>
        <v>220</v>
      </c>
      <c r="E150" s="1">
        <f t="shared" ref="E150:H150" si="38">E203</f>
        <v>242</v>
      </c>
      <c r="F150" s="1">
        <f t="shared" si="38"/>
        <v>266.2</v>
      </c>
      <c r="G150" s="1">
        <f t="shared" si="38"/>
        <v>292.82</v>
      </c>
      <c r="H150" s="1">
        <f t="shared" si="38"/>
        <v>322.10200000000003</v>
      </c>
      <c r="I150" s="5"/>
      <c r="J150" s="5">
        <v>200</v>
      </c>
      <c r="K150" s="5"/>
      <c r="L150" s="5">
        <v>0</v>
      </c>
      <c r="M150" s="5"/>
      <c r="N150" s="5">
        <f>SUM(J150,L150)</f>
        <v>200</v>
      </c>
      <c r="O150" s="5"/>
      <c r="P150" s="5"/>
      <c r="Q150" s="5"/>
    </row>
    <row r="151" spans="2:17" x14ac:dyDescent="0.45">
      <c r="B151" s="25" t="s">
        <v>139</v>
      </c>
      <c r="C151" s="1">
        <f t="shared" si="37"/>
        <v>100</v>
      </c>
      <c r="D151" s="1">
        <f>D204</f>
        <v>110</v>
      </c>
      <c r="E151" s="1">
        <f t="shared" ref="E151:H151" si="39">E204</f>
        <v>121</v>
      </c>
      <c r="F151" s="1">
        <f t="shared" si="39"/>
        <v>133.1</v>
      </c>
      <c r="G151" s="1">
        <f t="shared" si="39"/>
        <v>146.41</v>
      </c>
      <c r="H151" s="1">
        <f t="shared" si="39"/>
        <v>161.05099999999999</v>
      </c>
      <c r="I151" s="5"/>
      <c r="J151" s="5">
        <v>100</v>
      </c>
      <c r="K151" s="5"/>
      <c r="L151" s="5">
        <v>0</v>
      </c>
      <c r="M151" s="5"/>
      <c r="N151" s="5">
        <f>SUM(J151,L151)</f>
        <v>100</v>
      </c>
      <c r="O151" s="5"/>
      <c r="P151" s="5"/>
      <c r="Q151" s="5"/>
    </row>
    <row r="152" spans="2:17" s="9" customFormat="1" x14ac:dyDescent="0.45">
      <c r="B152" s="32" t="s">
        <v>56</v>
      </c>
      <c r="C152" s="24">
        <f>SUM(C149:C151)</f>
        <v>325</v>
      </c>
      <c r="D152" s="24">
        <f t="shared" ref="D152:H152" si="40">SUM(D149:D151)</f>
        <v>355</v>
      </c>
      <c r="E152" s="24">
        <f t="shared" si="40"/>
        <v>388</v>
      </c>
      <c r="F152" s="24">
        <f t="shared" si="40"/>
        <v>424.29999999999995</v>
      </c>
      <c r="G152" s="24">
        <f t="shared" si="40"/>
        <v>464.23</v>
      </c>
      <c r="H152" s="24">
        <f t="shared" si="40"/>
        <v>508.15300000000002</v>
      </c>
      <c r="I152" s="11"/>
      <c r="J152" s="21">
        <f>SUM(J149:J151)</f>
        <v>350</v>
      </c>
      <c r="K152" s="11"/>
      <c r="L152" s="11"/>
      <c r="M152" s="11"/>
      <c r="N152" s="21">
        <f>SUM(N149:N151)</f>
        <v>325</v>
      </c>
      <c r="O152" s="11"/>
      <c r="P152" s="11"/>
      <c r="Q152" s="11"/>
    </row>
    <row r="153" spans="2:17" x14ac:dyDescent="0.45">
      <c r="B153" s="30"/>
      <c r="C153" s="31"/>
      <c r="D153" s="31"/>
      <c r="E153" s="31"/>
      <c r="F153" s="31"/>
      <c r="G153" s="31"/>
      <c r="H153" s="31"/>
      <c r="I153" s="5"/>
      <c r="J153" s="5"/>
      <c r="K153" s="5"/>
      <c r="L153" s="5"/>
      <c r="M153" s="5"/>
      <c r="N153" s="5"/>
      <c r="O153" s="5"/>
      <c r="P153" s="5"/>
      <c r="Q153" s="5"/>
    </row>
    <row r="154" spans="2:17" x14ac:dyDescent="0.45">
      <c r="B154" s="30" t="s">
        <v>40</v>
      </c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</row>
    <row r="155" spans="2:17" x14ac:dyDescent="0.45">
      <c r="B155" s="25" t="s">
        <v>41</v>
      </c>
      <c r="C155" s="1">
        <f>N155</f>
        <v>1216.75</v>
      </c>
      <c r="D155" s="1">
        <f>D249</f>
        <v>1213.3</v>
      </c>
      <c r="E155" s="1">
        <f t="shared" ref="E155:H155" si="41">E249</f>
        <v>1210.9499999999998</v>
      </c>
      <c r="F155" s="1">
        <f t="shared" si="41"/>
        <v>1209.81</v>
      </c>
      <c r="G155" s="1">
        <f t="shared" si="41"/>
        <v>1210.001</v>
      </c>
      <c r="H155" s="1">
        <f t="shared" si="41"/>
        <v>1211.6560999999999</v>
      </c>
      <c r="I155" s="5"/>
      <c r="J155" s="5">
        <v>1000</v>
      </c>
      <c r="K155" s="5"/>
      <c r="L155" s="1">
        <f>C191</f>
        <v>216.75</v>
      </c>
      <c r="M155" s="1"/>
      <c r="N155" s="1">
        <f>SUM(J155,L155)</f>
        <v>1216.75</v>
      </c>
      <c r="O155" s="5"/>
      <c r="P155" s="5"/>
      <c r="Q155" s="5"/>
    </row>
    <row r="156" spans="2:17" x14ac:dyDescent="0.45">
      <c r="B156" s="25" t="s">
        <v>19</v>
      </c>
      <c r="C156" s="1">
        <f t="shared" ref="C156:C157" si="42">N156</f>
        <v>45</v>
      </c>
      <c r="D156" s="1">
        <f>C156+D229</f>
        <v>40.5</v>
      </c>
      <c r="E156" s="1">
        <f t="shared" ref="E156:H156" si="43">D156+E229</f>
        <v>36</v>
      </c>
      <c r="F156" s="1">
        <f t="shared" si="43"/>
        <v>31.5</v>
      </c>
      <c r="G156" s="1">
        <f t="shared" si="43"/>
        <v>27</v>
      </c>
      <c r="H156" s="1">
        <f t="shared" si="43"/>
        <v>22.5</v>
      </c>
      <c r="I156" s="5"/>
      <c r="J156" s="5">
        <v>0</v>
      </c>
      <c r="L156" s="5">
        <f>C82</f>
        <v>45</v>
      </c>
      <c r="M156" s="5"/>
      <c r="N156" s="5">
        <f>SUM(J156,L156)</f>
        <v>45</v>
      </c>
      <c r="O156" s="5"/>
      <c r="P156" s="5"/>
      <c r="Q156" s="5"/>
    </row>
    <row r="157" spans="2:17" x14ac:dyDescent="0.45">
      <c r="B157" s="25" t="s">
        <v>42</v>
      </c>
      <c r="C157" s="1">
        <f t="shared" si="42"/>
        <v>1328.25</v>
      </c>
      <c r="D157" s="1">
        <f>C157</f>
        <v>1328.25</v>
      </c>
      <c r="E157" s="1">
        <f t="shared" ref="E157:H157" si="44">D157</f>
        <v>1328.25</v>
      </c>
      <c r="F157" s="1">
        <f t="shared" si="44"/>
        <v>1328.25</v>
      </c>
      <c r="G157" s="1">
        <f t="shared" si="44"/>
        <v>1328.25</v>
      </c>
      <c r="H157" s="1">
        <f t="shared" si="44"/>
        <v>1328.25</v>
      </c>
      <c r="I157" s="5"/>
      <c r="J157" s="5">
        <v>100</v>
      </c>
      <c r="K157" s="5"/>
      <c r="L157" s="1">
        <f>C190</f>
        <v>1228.25</v>
      </c>
      <c r="M157" s="1"/>
      <c r="N157" s="1">
        <f>SUM(J157,L157)</f>
        <v>1328.25</v>
      </c>
      <c r="O157" s="5"/>
      <c r="P157" s="5"/>
      <c r="Q157" s="5"/>
    </row>
    <row r="158" spans="2:17" s="9" customFormat="1" x14ac:dyDescent="0.45">
      <c r="B158" s="32" t="s">
        <v>43</v>
      </c>
      <c r="C158" s="24">
        <f>SUM(C155:C157)</f>
        <v>2590</v>
      </c>
      <c r="D158" s="24">
        <f t="shared" ref="D158:H158" si="45">SUM(D155:D157)</f>
        <v>2582.0500000000002</v>
      </c>
      <c r="E158" s="24">
        <f t="shared" si="45"/>
        <v>2575.1999999999998</v>
      </c>
      <c r="F158" s="24">
        <f t="shared" si="45"/>
        <v>2569.56</v>
      </c>
      <c r="G158" s="24">
        <f t="shared" si="45"/>
        <v>2565.2510000000002</v>
      </c>
      <c r="H158" s="24">
        <f t="shared" si="45"/>
        <v>2562.4061000000002</v>
      </c>
      <c r="I158" s="11"/>
      <c r="J158" s="21">
        <f>SUM(J155:J157)</f>
        <v>1100</v>
      </c>
      <c r="K158" s="11"/>
      <c r="L158" s="21">
        <f>SUM(L155:L157)</f>
        <v>1490</v>
      </c>
      <c r="M158" s="11"/>
      <c r="N158" s="11">
        <f>SUM(N155:N157)</f>
        <v>2590</v>
      </c>
      <c r="O158" s="11"/>
      <c r="P158" s="11"/>
      <c r="Q158" s="11"/>
    </row>
    <row r="159" spans="2:17" x14ac:dyDescent="0.45">
      <c r="B159" s="29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</row>
    <row r="160" spans="2:17" x14ac:dyDescent="0.45">
      <c r="B160" s="19" t="s">
        <v>44</v>
      </c>
      <c r="C160" s="6">
        <f>SUM(C152,C158)</f>
        <v>2915</v>
      </c>
      <c r="D160" s="6">
        <f t="shared" ref="D160:J160" si="46">SUM(D152,D158)</f>
        <v>2937.05</v>
      </c>
      <c r="E160" s="6">
        <f t="shared" si="46"/>
        <v>2963.2</v>
      </c>
      <c r="F160" s="6">
        <f t="shared" si="46"/>
        <v>2993.8599999999997</v>
      </c>
      <c r="G160" s="6">
        <f t="shared" si="46"/>
        <v>3029.4810000000002</v>
      </c>
      <c r="H160" s="6">
        <f t="shared" si="46"/>
        <v>3070.5591000000004</v>
      </c>
      <c r="I160" s="5"/>
      <c r="J160" s="31">
        <f t="shared" si="46"/>
        <v>1450</v>
      </c>
      <c r="K160" s="5"/>
      <c r="L160" s="5"/>
      <c r="M160" s="5"/>
      <c r="N160" s="31">
        <f t="shared" ref="N160" si="47">SUM(N152,N158)</f>
        <v>2915</v>
      </c>
      <c r="O160" s="5"/>
      <c r="P160" s="5"/>
      <c r="Q160" s="5"/>
    </row>
    <row r="161" spans="2:17" x14ac:dyDescent="0.4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</row>
    <row r="162" spans="2:17" x14ac:dyDescent="0.45">
      <c r="B162" s="33" t="s">
        <v>141</v>
      </c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</row>
    <row r="163" spans="2:17" x14ac:dyDescent="0.45">
      <c r="B163" s="3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</row>
    <row r="164" spans="2:17" x14ac:dyDescent="0.45">
      <c r="B164" s="33" t="s">
        <v>140</v>
      </c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</row>
    <row r="165" spans="2:17" x14ac:dyDescent="0.45">
      <c r="B165" s="3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</row>
    <row r="166" spans="2:17" x14ac:dyDescent="0.45">
      <c r="B166" s="30" t="s">
        <v>142</v>
      </c>
      <c r="C166" s="5"/>
      <c r="D166" s="5"/>
      <c r="E166" s="5"/>
      <c r="F166" s="5"/>
      <c r="G166" s="5"/>
      <c r="H166" s="5"/>
      <c r="I166" s="5"/>
      <c r="J166" s="5"/>
      <c r="K166" s="5"/>
      <c r="L166" s="1"/>
      <c r="M166" s="1"/>
      <c r="N166" s="1"/>
      <c r="O166" s="5"/>
      <c r="P166" s="5"/>
      <c r="Q166" s="5"/>
    </row>
    <row r="167" spans="2:17" x14ac:dyDescent="0.45">
      <c r="B167" s="25" t="s">
        <v>143</v>
      </c>
      <c r="C167" s="1">
        <f>N167</f>
        <v>100</v>
      </c>
      <c r="D167" s="1">
        <f>D208</f>
        <v>110</v>
      </c>
      <c r="E167" s="1">
        <f t="shared" ref="E167:H167" si="48">E208</f>
        <v>121</v>
      </c>
      <c r="F167" s="1">
        <f t="shared" si="48"/>
        <v>133.1</v>
      </c>
      <c r="G167" s="1">
        <f t="shared" si="48"/>
        <v>146.41</v>
      </c>
      <c r="H167" s="1">
        <f t="shared" si="48"/>
        <v>161.05099999999999</v>
      </c>
      <c r="I167" s="5"/>
      <c r="J167" s="1">
        <v>100</v>
      </c>
      <c r="K167" s="5"/>
      <c r="L167" s="1">
        <v>0</v>
      </c>
      <c r="M167" s="1"/>
      <c r="N167" s="1">
        <f>SUM(J167+L167)</f>
        <v>100</v>
      </c>
      <c r="O167" s="5"/>
      <c r="P167" s="5"/>
      <c r="Q167" s="5"/>
    </row>
    <row r="168" spans="2:17" x14ac:dyDescent="0.45">
      <c r="B168" s="25" t="s">
        <v>46</v>
      </c>
      <c r="C168" s="1">
        <f>N168</f>
        <v>50</v>
      </c>
      <c r="D168" s="1">
        <f>D209</f>
        <v>55</v>
      </c>
      <c r="E168" s="1">
        <f t="shared" ref="E168:H168" si="49">E209</f>
        <v>60.5</v>
      </c>
      <c r="F168" s="1">
        <f t="shared" si="49"/>
        <v>66.55</v>
      </c>
      <c r="G168" s="1">
        <f t="shared" si="49"/>
        <v>73.205000000000013</v>
      </c>
      <c r="H168" s="1">
        <f t="shared" si="49"/>
        <v>80.525500000000022</v>
      </c>
      <c r="I168" s="5"/>
      <c r="J168" s="1">
        <v>50</v>
      </c>
      <c r="K168" s="5"/>
      <c r="L168" s="1">
        <v>0</v>
      </c>
      <c r="M168" s="1"/>
      <c r="N168" s="1">
        <f>SUM(J168+L168)</f>
        <v>50</v>
      </c>
      <c r="O168" s="5"/>
      <c r="P168" s="5"/>
      <c r="Q168" s="5"/>
    </row>
    <row r="169" spans="2:17" s="9" customFormat="1" x14ac:dyDescent="0.45">
      <c r="B169" s="32" t="s">
        <v>144</v>
      </c>
      <c r="C169" s="24">
        <f>SUM(C167:C168)</f>
        <v>150</v>
      </c>
      <c r="D169" s="24">
        <f t="shared" ref="D169:H169" si="50">SUM(D167:D168)</f>
        <v>165</v>
      </c>
      <c r="E169" s="24">
        <f t="shared" si="50"/>
        <v>181.5</v>
      </c>
      <c r="F169" s="24">
        <f t="shared" si="50"/>
        <v>199.64999999999998</v>
      </c>
      <c r="G169" s="24">
        <f t="shared" si="50"/>
        <v>219.61500000000001</v>
      </c>
      <c r="H169" s="24">
        <f t="shared" si="50"/>
        <v>241.57650000000001</v>
      </c>
      <c r="I169" s="11"/>
      <c r="J169" s="24">
        <f>SUM(J167:J168)</f>
        <v>150</v>
      </c>
      <c r="K169" s="11"/>
      <c r="L169" s="43"/>
      <c r="M169" s="43"/>
      <c r="N169" s="43">
        <f>SUM(J169+L169)</f>
        <v>150</v>
      </c>
      <c r="O169" s="11"/>
      <c r="P169" s="11"/>
      <c r="Q169" s="11"/>
    </row>
    <row r="170" spans="2:17" x14ac:dyDescent="0.45">
      <c r="B170" s="29"/>
      <c r="C170" s="5"/>
      <c r="D170" s="5"/>
      <c r="E170" s="5"/>
      <c r="F170" s="5"/>
      <c r="G170" s="5"/>
      <c r="H170" s="5"/>
      <c r="I170" s="5"/>
      <c r="J170" s="1"/>
      <c r="K170" s="5"/>
      <c r="L170" s="1"/>
      <c r="M170" s="1"/>
      <c r="N170" s="1"/>
      <c r="O170" s="5"/>
      <c r="P170" s="5"/>
      <c r="Q170" s="5"/>
    </row>
    <row r="171" spans="2:17" x14ac:dyDescent="0.45">
      <c r="B171" s="33" t="s">
        <v>145</v>
      </c>
      <c r="C171" s="5"/>
      <c r="D171" s="5"/>
      <c r="E171" s="5"/>
      <c r="F171" s="5"/>
      <c r="G171" s="5"/>
      <c r="H171" s="5"/>
      <c r="I171" s="5"/>
      <c r="J171" s="1"/>
      <c r="K171" s="5"/>
      <c r="L171" s="1"/>
      <c r="M171" s="1"/>
      <c r="N171" s="1"/>
      <c r="O171" s="5"/>
      <c r="P171" s="5"/>
      <c r="Q171" s="5"/>
    </row>
    <row r="172" spans="2:17" x14ac:dyDescent="0.45">
      <c r="B172" s="25" t="s">
        <v>18</v>
      </c>
      <c r="C172" s="1">
        <f>N172</f>
        <v>0</v>
      </c>
      <c r="D172" s="1">
        <f>C172</f>
        <v>0</v>
      </c>
      <c r="E172" s="1">
        <f t="shared" ref="E172:H172" si="51">D172</f>
        <v>0</v>
      </c>
      <c r="F172" s="1">
        <f t="shared" si="51"/>
        <v>0</v>
      </c>
      <c r="G172" s="1">
        <f t="shared" si="51"/>
        <v>0</v>
      </c>
      <c r="H172" s="1">
        <f t="shared" si="51"/>
        <v>0</v>
      </c>
      <c r="I172" s="5"/>
      <c r="J172" s="1">
        <v>500</v>
      </c>
      <c r="K172" s="5"/>
      <c r="L172" s="1">
        <f>-500</f>
        <v>-500</v>
      </c>
      <c r="M172" s="1"/>
      <c r="N172" s="1">
        <f>SUM(J172+L172)</f>
        <v>0</v>
      </c>
      <c r="O172" s="5"/>
      <c r="P172" s="5"/>
      <c r="Q172" s="5"/>
    </row>
    <row r="173" spans="2:17" x14ac:dyDescent="0.45">
      <c r="B173" s="34" t="s">
        <v>5</v>
      </c>
      <c r="C173" s="1">
        <f t="shared" ref="C173:C175" si="52">N173</f>
        <v>150</v>
      </c>
      <c r="D173" s="1">
        <f>D312</f>
        <v>74.069999999999993</v>
      </c>
      <c r="E173" s="1">
        <f>E312</f>
        <v>0</v>
      </c>
      <c r="F173" s="1">
        <f>F312</f>
        <v>0</v>
      </c>
      <c r="G173" s="1">
        <f t="shared" ref="G173:H173" si="53">G312</f>
        <v>0</v>
      </c>
      <c r="H173" s="1">
        <f t="shared" si="53"/>
        <v>0</v>
      </c>
      <c r="I173" s="5"/>
      <c r="J173" s="1">
        <v>0</v>
      </c>
      <c r="K173" s="5"/>
      <c r="L173" s="1">
        <f>$C$29</f>
        <v>150</v>
      </c>
      <c r="M173" s="1"/>
      <c r="N173" s="1">
        <f t="shared" ref="N173:N175" si="54">SUM(J173+L173)</f>
        <v>150</v>
      </c>
      <c r="O173" s="5"/>
      <c r="P173" s="5"/>
      <c r="Q173" s="5"/>
    </row>
    <row r="174" spans="2:17" s="52" customFormat="1" x14ac:dyDescent="0.45">
      <c r="B174" s="51" t="s">
        <v>89</v>
      </c>
      <c r="C174" s="53">
        <f t="shared" si="52"/>
        <v>1200</v>
      </c>
      <c r="D174" s="53">
        <f>D332</f>
        <v>1188</v>
      </c>
      <c r="E174" s="53">
        <f>E332</f>
        <v>1157.3614700000001</v>
      </c>
      <c r="F174" s="53">
        <f>F332</f>
        <v>1033.6026517400001</v>
      </c>
      <c r="G174" s="53">
        <f t="shared" ref="G174:H174" si="55">G332</f>
        <v>886.75416311308004</v>
      </c>
      <c r="H174" s="53">
        <f t="shared" si="55"/>
        <v>713.99090796382939</v>
      </c>
      <c r="I174" s="54"/>
      <c r="J174" s="53">
        <v>0</v>
      </c>
      <c r="K174" s="54"/>
      <c r="L174" s="53">
        <f>$C$35</f>
        <v>1200</v>
      </c>
      <c r="M174" s="53"/>
      <c r="N174" s="53">
        <f t="shared" si="54"/>
        <v>1200</v>
      </c>
      <c r="O174" s="54"/>
      <c r="P174" s="54"/>
      <c r="Q174" s="54"/>
    </row>
    <row r="175" spans="2:17" x14ac:dyDescent="0.45">
      <c r="B175" s="25" t="s">
        <v>21</v>
      </c>
      <c r="C175" s="1">
        <f t="shared" si="52"/>
        <v>600</v>
      </c>
      <c r="D175" s="1">
        <f>D342</f>
        <v>630</v>
      </c>
      <c r="E175" s="1">
        <f>E342</f>
        <v>661.5</v>
      </c>
      <c r="F175" s="1">
        <f>F342</f>
        <v>694.57500000000005</v>
      </c>
      <c r="G175" s="1">
        <f t="shared" ref="G175:H175" si="56">G342</f>
        <v>729.30375000000004</v>
      </c>
      <c r="H175" s="1">
        <f t="shared" si="56"/>
        <v>765.76893749999999</v>
      </c>
      <c r="I175" s="5"/>
      <c r="J175" s="1">
        <v>0</v>
      </c>
      <c r="K175" s="5"/>
      <c r="L175" s="1">
        <f>$C$40</f>
        <v>600</v>
      </c>
      <c r="M175" s="1"/>
      <c r="N175" s="1">
        <f t="shared" si="54"/>
        <v>600</v>
      </c>
      <c r="O175" s="5"/>
      <c r="P175" s="5"/>
      <c r="Q175" s="5"/>
    </row>
    <row r="176" spans="2:17" s="9" customFormat="1" x14ac:dyDescent="0.45">
      <c r="B176" s="32" t="s">
        <v>47</v>
      </c>
      <c r="C176" s="24">
        <f>SUM(C172:C175)</f>
        <v>1950</v>
      </c>
      <c r="D176" s="24">
        <f t="shared" ref="D176:J176" si="57">SUM(D172:D175)</f>
        <v>1892.07</v>
      </c>
      <c r="E176" s="24">
        <f t="shared" si="57"/>
        <v>1818.8614700000001</v>
      </c>
      <c r="F176" s="24">
        <f t="shared" si="57"/>
        <v>1728.1776517400001</v>
      </c>
      <c r="G176" s="24">
        <f t="shared" si="57"/>
        <v>1616.0579131130801</v>
      </c>
      <c r="H176" s="24">
        <f t="shared" si="57"/>
        <v>1479.7598454638294</v>
      </c>
      <c r="I176" s="11"/>
      <c r="J176" s="24">
        <f t="shared" si="57"/>
        <v>500</v>
      </c>
      <c r="K176" s="11"/>
      <c r="L176" s="43"/>
      <c r="M176" s="43"/>
      <c r="N176" s="24">
        <f t="shared" ref="N176" si="58">SUM(N172:N175)</f>
        <v>1950</v>
      </c>
      <c r="O176" s="11"/>
      <c r="P176" s="11"/>
      <c r="Q176" s="11"/>
    </row>
    <row r="177" spans="1:17" x14ac:dyDescent="0.45">
      <c r="C177" s="5"/>
      <c r="D177" s="5"/>
      <c r="E177" s="5"/>
      <c r="F177" s="5"/>
      <c r="G177" s="5"/>
      <c r="H177" s="5"/>
      <c r="I177" s="5"/>
      <c r="J177" s="5"/>
      <c r="K177" s="5"/>
      <c r="L177" s="1"/>
      <c r="M177" s="1"/>
      <c r="N177" s="1"/>
      <c r="O177" s="5"/>
      <c r="P177" s="5"/>
      <c r="Q177" s="5"/>
    </row>
    <row r="178" spans="1:17" x14ac:dyDescent="0.45">
      <c r="B178" s="19" t="s">
        <v>48</v>
      </c>
      <c r="C178" s="6">
        <f>SUM(C169,C176)</f>
        <v>2100</v>
      </c>
      <c r="D178" s="6">
        <f t="shared" ref="D178:H178" si="59">SUM(D169,D176)</f>
        <v>2057.0699999999997</v>
      </c>
      <c r="E178" s="6">
        <f t="shared" si="59"/>
        <v>2000.3614700000001</v>
      </c>
      <c r="F178" s="6">
        <f t="shared" si="59"/>
        <v>1927.82765174</v>
      </c>
      <c r="G178" s="6">
        <f t="shared" si="59"/>
        <v>1835.6729131130801</v>
      </c>
      <c r="H178" s="6">
        <f t="shared" si="59"/>
        <v>1721.3363454638293</v>
      </c>
      <c r="I178" s="1"/>
      <c r="J178" s="6">
        <f>SUM(J169,J176)</f>
        <v>650</v>
      </c>
      <c r="K178" s="31"/>
      <c r="L178" s="6"/>
      <c r="M178" s="6"/>
      <c r="N178" s="6">
        <f t="shared" ref="N178" si="60">SUM(N169,N176)</f>
        <v>2100</v>
      </c>
      <c r="O178" s="5"/>
      <c r="P178" s="5"/>
      <c r="Q178" s="5"/>
    </row>
    <row r="179" spans="1:17" x14ac:dyDescent="0.45">
      <c r="C179" s="1"/>
      <c r="D179" s="1"/>
      <c r="E179" s="1"/>
      <c r="F179" s="1"/>
      <c r="G179" s="1"/>
      <c r="H179" s="1"/>
      <c r="I179" s="1"/>
      <c r="J179" s="1"/>
      <c r="K179" s="5"/>
      <c r="L179" s="1"/>
      <c r="M179" s="1"/>
      <c r="N179" s="1"/>
      <c r="O179" s="5"/>
      <c r="P179" s="5"/>
      <c r="Q179" s="5"/>
    </row>
    <row r="180" spans="1:17" x14ac:dyDescent="0.45">
      <c r="B180" s="19" t="s">
        <v>49</v>
      </c>
      <c r="C180" s="6">
        <f t="shared" ref="C180" si="61">N180</f>
        <v>815</v>
      </c>
      <c r="D180" s="6">
        <f>C180+D112</f>
        <v>879.98</v>
      </c>
      <c r="E180" s="6">
        <f t="shared" ref="E180:H180" si="62">D180+E112</f>
        <v>962.83852999999999</v>
      </c>
      <c r="F180" s="6">
        <f t="shared" si="62"/>
        <v>1066.0323482599999</v>
      </c>
      <c r="G180" s="6">
        <f t="shared" si="62"/>
        <v>1193.8080868869199</v>
      </c>
      <c r="H180" s="6">
        <f t="shared" si="62"/>
        <v>1349.2227545361707</v>
      </c>
      <c r="I180" s="6"/>
      <c r="J180" s="6">
        <v>800</v>
      </c>
      <c r="K180" s="31"/>
      <c r="L180" s="6">
        <f>-J180+C73+C74</f>
        <v>15</v>
      </c>
      <c r="M180" s="6"/>
      <c r="N180" s="6">
        <f>SUM(J180+L180)</f>
        <v>815</v>
      </c>
      <c r="O180" s="5"/>
      <c r="P180" s="5"/>
      <c r="Q180" s="5"/>
    </row>
    <row r="181" spans="1:17" x14ac:dyDescent="0.45">
      <c r="B181" s="25"/>
      <c r="C181" s="1"/>
      <c r="D181" s="1"/>
      <c r="E181" s="1"/>
      <c r="F181" s="1"/>
      <c r="G181" s="1"/>
      <c r="H181" s="1"/>
      <c r="I181" s="1"/>
      <c r="J181" s="1"/>
      <c r="K181" s="5"/>
      <c r="L181" s="1"/>
      <c r="M181" s="1"/>
      <c r="N181" s="1"/>
      <c r="O181" s="5"/>
      <c r="P181" s="5"/>
      <c r="Q181" s="5"/>
    </row>
    <row r="182" spans="1:17" ht="14.65" thickBot="1" x14ac:dyDescent="0.5">
      <c r="B182" s="19" t="s">
        <v>146</v>
      </c>
      <c r="C182" s="6">
        <f>SUM(C178,C180)</f>
        <v>2915</v>
      </c>
      <c r="D182" s="6">
        <f t="shared" ref="D182:H182" si="63">SUM(D178,D180)</f>
        <v>2937.0499999999997</v>
      </c>
      <c r="E182" s="6">
        <f t="shared" si="63"/>
        <v>2963.2</v>
      </c>
      <c r="F182" s="6">
        <f t="shared" si="63"/>
        <v>2993.8599999999997</v>
      </c>
      <c r="G182" s="6">
        <f t="shared" si="63"/>
        <v>3029.4809999999998</v>
      </c>
      <c r="H182" s="6">
        <f t="shared" si="63"/>
        <v>3070.5590999999999</v>
      </c>
      <c r="I182" s="6"/>
      <c r="J182" s="6">
        <f>SUM(J178,J180)</f>
        <v>1450</v>
      </c>
      <c r="K182" s="5"/>
      <c r="L182" s="1"/>
      <c r="M182" s="1"/>
      <c r="N182" s="6">
        <f>SUM(N178,N180)</f>
        <v>2915</v>
      </c>
      <c r="O182" s="5"/>
      <c r="P182" s="5"/>
      <c r="Q182" s="5"/>
    </row>
    <row r="183" spans="1:17" ht="15" thickTop="1" thickBot="1" x14ac:dyDescent="0.5">
      <c r="B183" s="37" t="s">
        <v>147</v>
      </c>
      <c r="C183" s="47">
        <f>C160-C182</f>
        <v>0</v>
      </c>
      <c r="D183" s="47">
        <f t="shared" ref="D183:I183" si="64">D160-D182</f>
        <v>0</v>
      </c>
      <c r="E183" s="47">
        <f t="shared" si="64"/>
        <v>0</v>
      </c>
      <c r="F183" s="47">
        <f t="shared" si="64"/>
        <v>0</v>
      </c>
      <c r="G183" s="47">
        <f t="shared" si="64"/>
        <v>0</v>
      </c>
      <c r="H183" s="47">
        <f t="shared" si="64"/>
        <v>0</v>
      </c>
      <c r="I183" s="47">
        <f t="shared" si="64"/>
        <v>0</v>
      </c>
      <c r="J183" s="47">
        <f>J160-J182</f>
        <v>0</v>
      </c>
      <c r="K183" s="38">
        <f t="shared" ref="K183:N183" si="65">K160-K182</f>
        <v>0</v>
      </c>
      <c r="L183" s="38">
        <f t="shared" si="65"/>
        <v>0</v>
      </c>
      <c r="M183" s="38">
        <f t="shared" si="65"/>
        <v>0</v>
      </c>
      <c r="N183" s="38">
        <f t="shared" si="65"/>
        <v>0</v>
      </c>
      <c r="O183" s="5"/>
      <c r="P183" s="5"/>
      <c r="Q183" s="5"/>
    </row>
    <row r="184" spans="1:17" ht="14.65" thickTop="1" x14ac:dyDescent="0.45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</row>
    <row r="185" spans="1:17" s="26" customFormat="1" x14ac:dyDescent="0.45">
      <c r="A185" s="26" t="s">
        <v>214</v>
      </c>
      <c r="B185" s="26" t="s">
        <v>149</v>
      </c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</row>
    <row r="186" spans="1:17" x14ac:dyDescent="0.45">
      <c r="B186" s="2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</row>
    <row r="187" spans="1:17" x14ac:dyDescent="0.45">
      <c r="B187" s="40" t="s">
        <v>150</v>
      </c>
      <c r="C187" s="5">
        <f>SUM(L149,L156)</f>
        <v>20</v>
      </c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</row>
    <row r="188" spans="1:17" x14ac:dyDescent="0.45">
      <c r="B188" s="40" t="s">
        <v>52</v>
      </c>
      <c r="C188" s="5">
        <f>SUM(L172:L175,L180)</f>
        <v>1465</v>
      </c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</row>
    <row r="189" spans="1:17" s="9" customFormat="1" x14ac:dyDescent="0.45">
      <c r="B189" s="20" t="s">
        <v>151</v>
      </c>
      <c r="C189" s="39">
        <f>C188-C187</f>
        <v>1445</v>
      </c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</row>
    <row r="190" spans="1:17" x14ac:dyDescent="0.45">
      <c r="B190" t="s">
        <v>53</v>
      </c>
      <c r="C190" s="41">
        <f>C189*C56</f>
        <v>1228.25</v>
      </c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</row>
    <row r="191" spans="1:17" x14ac:dyDescent="0.45">
      <c r="B191" t="s">
        <v>41</v>
      </c>
      <c r="C191" s="41">
        <f>C189*C55</f>
        <v>216.75</v>
      </c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</row>
    <row r="192" spans="1:17" x14ac:dyDescent="0.45">
      <c r="B192" t="s">
        <v>164</v>
      </c>
      <c r="C192" s="41">
        <f>C24*C191</f>
        <v>86.7</v>
      </c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</row>
    <row r="193" spans="1:17" x14ac:dyDescent="0.45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</row>
    <row r="194" spans="1:17" s="26" customFormat="1" x14ac:dyDescent="0.45">
      <c r="A194" s="26" t="s">
        <v>214</v>
      </c>
      <c r="B194" s="26" t="s">
        <v>38</v>
      </c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</row>
    <row r="195" spans="1:17" x14ac:dyDescent="0.45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</row>
    <row r="196" spans="1:17" x14ac:dyDescent="0.45">
      <c r="B196" t="s">
        <v>26</v>
      </c>
      <c r="C196" s="1">
        <f t="shared" ref="C196:H196" si="66">C87</f>
        <v>1000</v>
      </c>
      <c r="D196" s="1">
        <f t="shared" si="66"/>
        <v>1100</v>
      </c>
      <c r="E196" s="1">
        <f t="shared" si="66"/>
        <v>1210</v>
      </c>
      <c r="F196" s="1">
        <f t="shared" si="66"/>
        <v>1331</v>
      </c>
      <c r="G196" s="1">
        <f t="shared" si="66"/>
        <v>1464.1000000000001</v>
      </c>
      <c r="H196" s="1">
        <f t="shared" si="66"/>
        <v>1610.5100000000002</v>
      </c>
      <c r="I196" s="5"/>
      <c r="J196" s="5"/>
      <c r="K196" s="5"/>
      <c r="L196" s="5"/>
      <c r="M196" s="5"/>
      <c r="N196" s="5"/>
      <c r="O196" s="5"/>
      <c r="P196" s="5"/>
      <c r="Q196" s="5"/>
    </row>
    <row r="197" spans="1:17" x14ac:dyDescent="0.45">
      <c r="B197" t="s">
        <v>129</v>
      </c>
      <c r="C197" s="13">
        <f>$C$62</f>
        <v>0.03</v>
      </c>
      <c r="D197" s="13">
        <f t="shared" ref="D197:H197" si="67">$C$62</f>
        <v>0.03</v>
      </c>
      <c r="E197" s="13">
        <f t="shared" si="67"/>
        <v>0.03</v>
      </c>
      <c r="F197" s="13">
        <f t="shared" si="67"/>
        <v>0.03</v>
      </c>
      <c r="G197" s="13">
        <f t="shared" si="67"/>
        <v>0.03</v>
      </c>
      <c r="H197" s="13">
        <f t="shared" si="67"/>
        <v>0.03</v>
      </c>
      <c r="I197" s="5"/>
      <c r="J197" s="5"/>
      <c r="K197" s="5"/>
      <c r="L197" s="5"/>
      <c r="M197" s="5"/>
      <c r="N197" s="5"/>
      <c r="O197" s="5"/>
      <c r="P197" s="5"/>
      <c r="Q197" s="5"/>
    </row>
    <row r="198" spans="1:17" x14ac:dyDescent="0.45">
      <c r="B198" s="20" t="s">
        <v>130</v>
      </c>
      <c r="C198" s="24">
        <f>-C197*C196</f>
        <v>-30</v>
      </c>
      <c r="D198" s="24">
        <f t="shared" ref="D198:H198" si="68">-D197*D196</f>
        <v>-33</v>
      </c>
      <c r="E198" s="24">
        <f t="shared" si="68"/>
        <v>-36.299999999999997</v>
      </c>
      <c r="F198" s="24">
        <f t="shared" si="68"/>
        <v>-39.93</v>
      </c>
      <c r="G198" s="24">
        <f t="shared" si="68"/>
        <v>-43.923000000000002</v>
      </c>
      <c r="H198" s="24">
        <f t="shared" si="68"/>
        <v>-48.315300000000008</v>
      </c>
      <c r="I198" s="5"/>
      <c r="J198" s="5"/>
      <c r="K198" s="5"/>
      <c r="L198" s="5"/>
      <c r="M198" s="5"/>
      <c r="N198" s="5"/>
      <c r="O198" s="5"/>
      <c r="P198" s="5"/>
      <c r="Q198" s="5"/>
    </row>
    <row r="199" spans="1:17" x14ac:dyDescent="0.45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</row>
    <row r="200" spans="1:17" s="26" customFormat="1" x14ac:dyDescent="0.45">
      <c r="A200" s="26" t="s">
        <v>214</v>
      </c>
      <c r="B200" s="26" t="s">
        <v>54</v>
      </c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</row>
    <row r="201" spans="1:17" x14ac:dyDescent="0.45">
      <c r="B201" s="28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</row>
    <row r="202" spans="1:17" x14ac:dyDescent="0.45">
      <c r="B202" s="19" t="s">
        <v>153</v>
      </c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</row>
    <row r="203" spans="1:17" x14ac:dyDescent="0.45">
      <c r="B203" s="25" t="s">
        <v>138</v>
      </c>
      <c r="C203" s="1">
        <f>C150</f>
        <v>200</v>
      </c>
      <c r="D203" s="1">
        <f>D215*D220/D218</f>
        <v>220</v>
      </c>
      <c r="E203" s="1">
        <f t="shared" ref="E203:H203" si="69">E215*E220/E218</f>
        <v>242</v>
      </c>
      <c r="F203" s="1">
        <f t="shared" si="69"/>
        <v>266.2</v>
      </c>
      <c r="G203" s="1">
        <f t="shared" si="69"/>
        <v>292.82</v>
      </c>
      <c r="H203" s="1">
        <f t="shared" si="69"/>
        <v>322.10200000000003</v>
      </c>
      <c r="I203" s="5"/>
      <c r="J203" s="5"/>
      <c r="K203" s="5"/>
      <c r="L203" s="5"/>
      <c r="M203" s="5"/>
      <c r="N203" s="5"/>
      <c r="O203" s="5"/>
      <c r="P203" s="5"/>
      <c r="Q203" s="5"/>
    </row>
    <row r="204" spans="1:17" x14ac:dyDescent="0.45">
      <c r="B204" s="25" t="s">
        <v>154</v>
      </c>
      <c r="C204" s="1">
        <f>C151</f>
        <v>100</v>
      </c>
      <c r="D204" s="1">
        <f>D216*D221/D218</f>
        <v>110</v>
      </c>
      <c r="E204" s="1">
        <f t="shared" ref="E204:H204" si="70">E216*E221/E218</f>
        <v>121</v>
      </c>
      <c r="F204" s="1">
        <f t="shared" si="70"/>
        <v>133.1</v>
      </c>
      <c r="G204" s="1">
        <f t="shared" si="70"/>
        <v>146.41</v>
      </c>
      <c r="H204" s="1">
        <f t="shared" si="70"/>
        <v>161.05099999999999</v>
      </c>
      <c r="I204" s="5"/>
      <c r="J204" s="5"/>
      <c r="K204" s="5"/>
      <c r="L204" s="5"/>
      <c r="M204" s="5"/>
      <c r="N204" s="5"/>
      <c r="O204" s="5"/>
      <c r="P204" s="5"/>
      <c r="Q204" s="5"/>
    </row>
    <row r="205" spans="1:17" x14ac:dyDescent="0.45">
      <c r="B205" s="20" t="s">
        <v>155</v>
      </c>
      <c r="C205" s="24">
        <f>SUM(C203:C204)</f>
        <v>300</v>
      </c>
      <c r="D205" s="24">
        <f t="shared" ref="D205:H205" si="71">SUM(D203:D204)</f>
        <v>330</v>
      </c>
      <c r="E205" s="24">
        <f t="shared" si="71"/>
        <v>363</v>
      </c>
      <c r="F205" s="24">
        <f t="shared" si="71"/>
        <v>399.29999999999995</v>
      </c>
      <c r="G205" s="24">
        <f t="shared" si="71"/>
        <v>439.23</v>
      </c>
      <c r="H205" s="24">
        <f t="shared" si="71"/>
        <v>483.15300000000002</v>
      </c>
      <c r="I205" s="5"/>
      <c r="J205" s="5"/>
      <c r="K205" s="5"/>
      <c r="L205" s="5"/>
      <c r="M205" s="5"/>
      <c r="N205" s="5"/>
      <c r="O205" s="5"/>
      <c r="P205" s="5"/>
      <c r="Q205" s="5"/>
    </row>
    <row r="206" spans="1:17" x14ac:dyDescent="0.45">
      <c r="C206" s="1"/>
      <c r="D206" s="1"/>
      <c r="E206" s="1"/>
      <c r="F206" s="1"/>
      <c r="G206" s="1"/>
      <c r="H206" s="1"/>
      <c r="I206" s="5"/>
      <c r="J206" s="5"/>
      <c r="K206" s="5"/>
      <c r="L206" s="5"/>
      <c r="M206" s="5"/>
      <c r="N206" s="5"/>
      <c r="O206" s="5"/>
      <c r="P206" s="5"/>
      <c r="Q206" s="5"/>
    </row>
    <row r="207" spans="1:17" x14ac:dyDescent="0.45">
      <c r="B207" s="19" t="s">
        <v>45</v>
      </c>
      <c r="C207" s="1"/>
      <c r="D207" s="1"/>
      <c r="E207" s="1"/>
      <c r="F207" s="1"/>
      <c r="G207" s="1"/>
      <c r="H207" s="1"/>
      <c r="I207" s="5"/>
      <c r="J207" s="5"/>
      <c r="K207" s="5"/>
      <c r="L207" s="5"/>
      <c r="M207" s="5"/>
      <c r="N207" s="5"/>
      <c r="O207" s="5"/>
      <c r="P207" s="5"/>
      <c r="Q207" s="5"/>
    </row>
    <row r="208" spans="1:17" x14ac:dyDescent="0.45">
      <c r="B208" s="25" t="s">
        <v>143</v>
      </c>
      <c r="C208" s="1">
        <f>C167</f>
        <v>100</v>
      </c>
      <c r="D208" s="1">
        <f>D216*D222/D218</f>
        <v>110</v>
      </c>
      <c r="E208" s="1">
        <f t="shared" ref="E208:H208" si="72">E216*E222/E218</f>
        <v>121</v>
      </c>
      <c r="F208" s="1">
        <f t="shared" si="72"/>
        <v>133.1</v>
      </c>
      <c r="G208" s="1">
        <f t="shared" si="72"/>
        <v>146.41</v>
      </c>
      <c r="H208" s="1">
        <f t="shared" si="72"/>
        <v>161.05099999999999</v>
      </c>
      <c r="I208" s="5"/>
      <c r="J208" s="5"/>
      <c r="K208" s="5"/>
      <c r="L208" s="5"/>
      <c r="M208" s="5"/>
      <c r="N208" s="5"/>
      <c r="O208" s="5"/>
      <c r="P208" s="5"/>
      <c r="Q208" s="5"/>
    </row>
    <row r="209" spans="2:17" x14ac:dyDescent="0.45">
      <c r="B209" s="25" t="s">
        <v>46</v>
      </c>
      <c r="C209" s="1">
        <f>C168</f>
        <v>50</v>
      </c>
      <c r="D209" s="1">
        <f>D215*D223</f>
        <v>55</v>
      </c>
      <c r="E209" s="1">
        <f t="shared" ref="E209:H209" si="73">E215*E223</f>
        <v>60.5</v>
      </c>
      <c r="F209" s="1">
        <f t="shared" si="73"/>
        <v>66.55</v>
      </c>
      <c r="G209" s="1">
        <f t="shared" si="73"/>
        <v>73.205000000000013</v>
      </c>
      <c r="H209" s="1">
        <f t="shared" si="73"/>
        <v>80.525500000000022</v>
      </c>
      <c r="I209" s="5"/>
      <c r="J209" s="5"/>
      <c r="K209" s="5"/>
      <c r="L209" s="5"/>
      <c r="M209" s="5"/>
      <c r="N209" s="5"/>
      <c r="O209" s="5"/>
      <c r="P209" s="5"/>
      <c r="Q209" s="5"/>
    </row>
    <row r="210" spans="2:17" x14ac:dyDescent="0.45">
      <c r="B210" s="20" t="s">
        <v>57</v>
      </c>
      <c r="C210" s="24">
        <f>SUM(C208:C209)</f>
        <v>150</v>
      </c>
      <c r="D210" s="24">
        <f t="shared" ref="D210:H210" si="74">SUM(D208:D209)</f>
        <v>165</v>
      </c>
      <c r="E210" s="24">
        <f t="shared" si="74"/>
        <v>181.5</v>
      </c>
      <c r="F210" s="24">
        <f t="shared" si="74"/>
        <v>199.64999999999998</v>
      </c>
      <c r="G210" s="24">
        <f t="shared" si="74"/>
        <v>219.61500000000001</v>
      </c>
      <c r="H210" s="24">
        <f t="shared" si="74"/>
        <v>241.57650000000001</v>
      </c>
      <c r="I210" s="5"/>
      <c r="J210" s="5"/>
      <c r="K210" s="5"/>
      <c r="L210" s="5"/>
      <c r="M210" s="5"/>
      <c r="N210" s="5"/>
      <c r="O210" s="5"/>
      <c r="P210" s="5"/>
      <c r="Q210" s="5"/>
    </row>
    <row r="211" spans="2:17" x14ac:dyDescent="0.45">
      <c r="C211" s="1"/>
      <c r="D211" s="1"/>
      <c r="E211" s="1"/>
      <c r="F211" s="1"/>
      <c r="G211" s="1"/>
      <c r="H211" s="1"/>
      <c r="I211" s="5"/>
      <c r="J211" s="5"/>
      <c r="K211" s="5"/>
      <c r="L211" s="5"/>
      <c r="M211" s="5"/>
      <c r="N211" s="5"/>
      <c r="O211" s="5"/>
      <c r="P211" s="5"/>
      <c r="Q211" s="5"/>
    </row>
    <row r="212" spans="2:17" x14ac:dyDescent="0.45">
      <c r="B212" s="19" t="s">
        <v>156</v>
      </c>
      <c r="C212" s="6">
        <f>C205-C210</f>
        <v>150</v>
      </c>
      <c r="D212" s="6">
        <f t="shared" ref="D212:H212" si="75">D205-D210</f>
        <v>165</v>
      </c>
      <c r="E212" s="6">
        <f t="shared" si="75"/>
        <v>181.5</v>
      </c>
      <c r="F212" s="6">
        <f t="shared" si="75"/>
        <v>199.64999999999998</v>
      </c>
      <c r="G212" s="6">
        <f t="shared" si="75"/>
        <v>219.61500000000001</v>
      </c>
      <c r="H212" s="6">
        <f t="shared" si="75"/>
        <v>241.57650000000001</v>
      </c>
      <c r="I212" s="5"/>
      <c r="J212" s="5"/>
      <c r="K212" s="5"/>
      <c r="L212" s="5"/>
      <c r="M212" s="5"/>
      <c r="N212" s="5"/>
      <c r="O212" s="5"/>
      <c r="P212" s="5"/>
      <c r="Q212" s="5"/>
    </row>
    <row r="213" spans="2:17" x14ac:dyDescent="0.45">
      <c r="B213" t="s">
        <v>157</v>
      </c>
      <c r="C213" s="42" t="s">
        <v>58</v>
      </c>
      <c r="D213" s="1">
        <f>C212-D212</f>
        <v>-15</v>
      </c>
      <c r="E213" s="1">
        <f t="shared" ref="E213:H213" si="76">D212-E212</f>
        <v>-16.5</v>
      </c>
      <c r="F213" s="1">
        <f t="shared" si="76"/>
        <v>-18.149999999999977</v>
      </c>
      <c r="G213" s="1">
        <f t="shared" si="76"/>
        <v>-19.965000000000032</v>
      </c>
      <c r="H213" s="1">
        <f t="shared" si="76"/>
        <v>-21.961500000000001</v>
      </c>
      <c r="I213" s="5"/>
      <c r="J213" s="5"/>
      <c r="K213" s="5"/>
      <c r="L213" s="5"/>
      <c r="M213" s="5"/>
      <c r="N213" s="5"/>
      <c r="O213" s="5"/>
      <c r="P213" s="5"/>
      <c r="Q213" s="5"/>
    </row>
    <row r="214" spans="2:17" x14ac:dyDescent="0.45">
      <c r="C214" s="1"/>
      <c r="D214" s="1"/>
      <c r="E214" s="1"/>
      <c r="F214" s="1"/>
      <c r="G214" s="1"/>
      <c r="H214" s="1"/>
      <c r="I214" s="5"/>
      <c r="J214" s="5"/>
      <c r="K214" s="5"/>
      <c r="L214" s="5"/>
      <c r="M214" s="5"/>
      <c r="N214" s="5"/>
      <c r="O214" s="5"/>
      <c r="P214" s="5"/>
      <c r="Q214" s="5"/>
    </row>
    <row r="215" spans="2:17" x14ac:dyDescent="0.45">
      <c r="B215" t="s">
        <v>26</v>
      </c>
      <c r="C215" s="1">
        <f>C87</f>
        <v>1000</v>
      </c>
      <c r="D215" s="1">
        <f t="shared" ref="D215:H215" si="77">D87</f>
        <v>1100</v>
      </c>
      <c r="E215" s="1">
        <f t="shared" si="77"/>
        <v>1210</v>
      </c>
      <c r="F215" s="1">
        <f t="shared" si="77"/>
        <v>1331</v>
      </c>
      <c r="G215" s="1">
        <f t="shared" si="77"/>
        <v>1464.1000000000001</v>
      </c>
      <c r="H215" s="1">
        <f t="shared" si="77"/>
        <v>1610.5100000000002</v>
      </c>
      <c r="I215" s="5"/>
      <c r="J215" s="5"/>
      <c r="K215" s="5"/>
      <c r="L215" s="5"/>
      <c r="M215" s="5"/>
      <c r="N215" s="5"/>
      <c r="O215" s="5"/>
      <c r="P215" s="5"/>
      <c r="Q215" s="5"/>
    </row>
    <row r="216" spans="2:17" x14ac:dyDescent="0.45">
      <c r="B216" t="s">
        <v>25</v>
      </c>
      <c r="C216" s="1">
        <f>-C90</f>
        <v>600</v>
      </c>
      <c r="D216" s="1">
        <f t="shared" ref="D216:H216" si="78">-D90</f>
        <v>660</v>
      </c>
      <c r="E216" s="1">
        <f t="shared" si="78"/>
        <v>726</v>
      </c>
      <c r="F216" s="1">
        <f t="shared" si="78"/>
        <v>798.6</v>
      </c>
      <c r="G216" s="1">
        <f t="shared" si="78"/>
        <v>878.46</v>
      </c>
      <c r="H216" s="1">
        <f t="shared" si="78"/>
        <v>966.30600000000004</v>
      </c>
      <c r="I216" s="5"/>
      <c r="J216" s="5"/>
      <c r="K216" s="5"/>
      <c r="L216" s="5"/>
      <c r="M216" s="5"/>
      <c r="N216" s="5"/>
      <c r="O216" s="5"/>
      <c r="P216" s="5"/>
      <c r="Q216" s="5"/>
    </row>
    <row r="217" spans="2:17" x14ac:dyDescent="0.45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</row>
    <row r="218" spans="2:17" x14ac:dyDescent="0.45">
      <c r="B218" t="s">
        <v>158</v>
      </c>
      <c r="C218" s="1">
        <v>365</v>
      </c>
      <c r="D218" s="1">
        <f>C218</f>
        <v>365</v>
      </c>
      <c r="E218" s="1">
        <f t="shared" ref="E218:H218" si="79">D218</f>
        <v>365</v>
      </c>
      <c r="F218" s="1">
        <f t="shared" si="79"/>
        <v>365</v>
      </c>
      <c r="G218" s="1">
        <f t="shared" si="79"/>
        <v>365</v>
      </c>
      <c r="H218" s="1">
        <f t="shared" si="79"/>
        <v>365</v>
      </c>
      <c r="I218" s="5"/>
      <c r="J218" s="5"/>
      <c r="K218" s="5"/>
      <c r="L218" s="5"/>
      <c r="M218" s="5"/>
      <c r="N218" s="5"/>
      <c r="O218" s="5"/>
      <c r="P218" s="5"/>
      <c r="Q218" s="5"/>
    </row>
    <row r="219" spans="2:17" x14ac:dyDescent="0.45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</row>
    <row r="220" spans="2:17" x14ac:dyDescent="0.45">
      <c r="B220" t="s">
        <v>60</v>
      </c>
      <c r="C220" s="1">
        <f>C203/C215*C218</f>
        <v>73</v>
      </c>
      <c r="D220" s="1">
        <f>C220</f>
        <v>73</v>
      </c>
      <c r="E220" s="1">
        <f t="shared" ref="E220:H220" si="80">D220</f>
        <v>73</v>
      </c>
      <c r="F220" s="1">
        <f t="shared" si="80"/>
        <v>73</v>
      </c>
      <c r="G220" s="1">
        <f t="shared" si="80"/>
        <v>73</v>
      </c>
      <c r="H220" s="1">
        <f t="shared" si="80"/>
        <v>73</v>
      </c>
      <c r="I220" s="5"/>
      <c r="J220" s="5"/>
      <c r="K220" s="5"/>
      <c r="L220" s="5"/>
      <c r="M220" s="5"/>
      <c r="N220" s="5"/>
      <c r="O220" s="5"/>
      <c r="P220" s="5"/>
      <c r="Q220" s="5"/>
    </row>
    <row r="221" spans="2:17" x14ac:dyDescent="0.45">
      <c r="B221" t="s">
        <v>59</v>
      </c>
      <c r="C221" s="1">
        <f>C204/C216*C218</f>
        <v>60.833333333333329</v>
      </c>
      <c r="D221" s="1">
        <f t="shared" ref="D221:H223" si="81">C221</f>
        <v>60.833333333333329</v>
      </c>
      <c r="E221" s="1">
        <f t="shared" si="81"/>
        <v>60.833333333333329</v>
      </c>
      <c r="F221" s="1">
        <f t="shared" si="81"/>
        <v>60.833333333333329</v>
      </c>
      <c r="G221" s="1">
        <f t="shared" si="81"/>
        <v>60.833333333333329</v>
      </c>
      <c r="H221" s="1">
        <f t="shared" si="81"/>
        <v>60.833333333333329</v>
      </c>
      <c r="I221" s="5"/>
      <c r="J221" s="5"/>
      <c r="K221" s="5"/>
      <c r="L221" s="5"/>
      <c r="M221" s="5"/>
      <c r="N221" s="5"/>
      <c r="O221" s="5"/>
      <c r="P221" s="5"/>
      <c r="Q221" s="5"/>
    </row>
    <row r="222" spans="2:17" x14ac:dyDescent="0.45">
      <c r="B222" t="s">
        <v>159</v>
      </c>
      <c r="C222" s="1">
        <f>C208/C216*C218</f>
        <v>60.833333333333329</v>
      </c>
      <c r="D222" s="1">
        <f t="shared" si="81"/>
        <v>60.833333333333329</v>
      </c>
      <c r="E222" s="1">
        <f t="shared" si="81"/>
        <v>60.833333333333329</v>
      </c>
      <c r="F222" s="1">
        <f t="shared" si="81"/>
        <v>60.833333333333329</v>
      </c>
      <c r="G222" s="1">
        <f t="shared" si="81"/>
        <v>60.833333333333329</v>
      </c>
      <c r="H222" s="1">
        <f t="shared" si="81"/>
        <v>60.833333333333329</v>
      </c>
      <c r="I222" s="5"/>
      <c r="J222" s="5"/>
      <c r="K222" s="5"/>
      <c r="L222" s="5"/>
      <c r="M222" s="5"/>
      <c r="N222" s="5"/>
      <c r="O222" s="5"/>
      <c r="P222" s="5"/>
      <c r="Q222" s="5"/>
    </row>
    <row r="223" spans="2:17" x14ac:dyDescent="0.45">
      <c r="B223" t="s">
        <v>160</v>
      </c>
      <c r="C223" s="13">
        <f>C209/C215</f>
        <v>0.05</v>
      </c>
      <c r="D223" s="13">
        <f t="shared" si="81"/>
        <v>0.05</v>
      </c>
      <c r="E223" s="13">
        <f t="shared" si="81"/>
        <v>0.05</v>
      </c>
      <c r="F223" s="13">
        <f t="shared" si="81"/>
        <v>0.05</v>
      </c>
      <c r="G223" s="13">
        <f t="shared" si="81"/>
        <v>0.05</v>
      </c>
      <c r="H223" s="13">
        <f t="shared" si="81"/>
        <v>0.05</v>
      </c>
      <c r="I223" s="5"/>
      <c r="J223" s="5"/>
      <c r="K223" s="5"/>
      <c r="L223" s="5"/>
      <c r="M223" s="5"/>
      <c r="N223" s="5"/>
      <c r="O223" s="5"/>
      <c r="P223" s="5"/>
      <c r="Q223" s="5"/>
    </row>
    <row r="224" spans="2:17" x14ac:dyDescent="0.45">
      <c r="C224" s="5"/>
      <c r="D224" s="1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</row>
    <row r="225" spans="1:17" s="26" customFormat="1" x14ac:dyDescent="0.45">
      <c r="A225" s="26" t="s">
        <v>214</v>
      </c>
      <c r="B225" s="26" t="s">
        <v>61</v>
      </c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</row>
    <row r="226" spans="1:17" x14ac:dyDescent="0.45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</row>
    <row r="227" spans="1:17" x14ac:dyDescent="0.45">
      <c r="B227" s="25" t="s">
        <v>62</v>
      </c>
      <c r="C227" s="1">
        <f>C102</f>
        <v>-20</v>
      </c>
      <c r="D227" s="1">
        <f>-D233*D232</f>
        <v>-22</v>
      </c>
      <c r="E227" s="1">
        <f t="shared" ref="E227:H227" si="82">-E233*E232</f>
        <v>-24.2</v>
      </c>
      <c r="F227" s="1">
        <f t="shared" si="82"/>
        <v>-26.62</v>
      </c>
      <c r="G227" s="1">
        <f t="shared" si="82"/>
        <v>-29.282000000000004</v>
      </c>
      <c r="H227" s="1">
        <f t="shared" si="82"/>
        <v>-32.210200000000007</v>
      </c>
      <c r="I227" s="5"/>
      <c r="J227" s="5"/>
      <c r="K227" s="5"/>
      <c r="L227" s="5"/>
      <c r="M227" s="5"/>
      <c r="N227" s="5"/>
      <c r="O227" s="5"/>
      <c r="P227" s="5"/>
      <c r="Q227" s="5"/>
    </row>
    <row r="228" spans="1:17" x14ac:dyDescent="0.45">
      <c r="B228" s="25" t="s">
        <v>63</v>
      </c>
      <c r="C228" s="42" t="s">
        <v>58</v>
      </c>
      <c r="D228" s="1">
        <f t="shared" ref="D228:H228" si="83">-$C$237</f>
        <v>-14.45</v>
      </c>
      <c r="E228" s="1">
        <f t="shared" si="83"/>
        <v>-14.45</v>
      </c>
      <c r="F228" s="1">
        <f t="shared" si="83"/>
        <v>-14.45</v>
      </c>
      <c r="G228" s="1">
        <f t="shared" si="83"/>
        <v>-14.45</v>
      </c>
      <c r="H228" s="1">
        <f t="shared" si="83"/>
        <v>-14.45</v>
      </c>
      <c r="I228" s="5"/>
      <c r="J228" s="5"/>
      <c r="K228" s="5"/>
      <c r="L228" s="5"/>
      <c r="M228" s="5"/>
      <c r="N228" s="5"/>
      <c r="O228" s="5"/>
      <c r="P228" s="5"/>
      <c r="Q228" s="5"/>
    </row>
    <row r="229" spans="1:17" x14ac:dyDescent="0.45">
      <c r="B229" s="25" t="s">
        <v>64</v>
      </c>
      <c r="C229" s="42" t="s">
        <v>58</v>
      </c>
      <c r="D229" s="1">
        <f t="shared" ref="D229:H229" si="84">-$C$241</f>
        <v>-4.5</v>
      </c>
      <c r="E229" s="1">
        <f t="shared" si="84"/>
        <v>-4.5</v>
      </c>
      <c r="F229" s="1">
        <f t="shared" si="84"/>
        <v>-4.5</v>
      </c>
      <c r="G229" s="1">
        <f t="shared" si="84"/>
        <v>-4.5</v>
      </c>
      <c r="H229" s="1">
        <f t="shared" si="84"/>
        <v>-4.5</v>
      </c>
      <c r="I229" s="5"/>
      <c r="J229" s="5"/>
      <c r="K229" s="5"/>
      <c r="L229" s="5"/>
      <c r="M229" s="5"/>
      <c r="N229" s="5"/>
      <c r="O229" s="5"/>
      <c r="P229" s="5"/>
      <c r="Q229" s="5"/>
    </row>
    <row r="230" spans="1:17" x14ac:dyDescent="0.45">
      <c r="B230" s="32" t="s">
        <v>65</v>
      </c>
      <c r="C230" s="24"/>
      <c r="D230" s="24">
        <f t="shared" ref="D230:H230" si="85">SUM(D227:D229)</f>
        <v>-40.950000000000003</v>
      </c>
      <c r="E230" s="24">
        <f t="shared" si="85"/>
        <v>-43.15</v>
      </c>
      <c r="F230" s="24">
        <f t="shared" si="85"/>
        <v>-45.57</v>
      </c>
      <c r="G230" s="24">
        <f t="shared" si="85"/>
        <v>-48.231999999999999</v>
      </c>
      <c r="H230" s="24">
        <f t="shared" si="85"/>
        <v>-51.160200000000003</v>
      </c>
      <c r="I230" s="5"/>
      <c r="J230" s="5"/>
      <c r="K230" s="5"/>
      <c r="L230" s="5"/>
      <c r="M230" s="5"/>
      <c r="N230" s="5"/>
      <c r="O230" s="5"/>
      <c r="P230" s="5"/>
      <c r="Q230" s="5"/>
    </row>
    <row r="231" spans="1:17" x14ac:dyDescent="0.45">
      <c r="C231" s="1"/>
      <c r="D231" s="1"/>
      <c r="E231" s="1"/>
      <c r="F231" s="1"/>
      <c r="G231" s="1"/>
      <c r="H231" s="1"/>
      <c r="I231" s="5"/>
      <c r="J231" s="5"/>
      <c r="K231" s="5"/>
      <c r="L231" s="5"/>
      <c r="M231" s="5"/>
      <c r="N231" s="5"/>
      <c r="O231" s="5"/>
      <c r="P231" s="5"/>
      <c r="Q231" s="5"/>
    </row>
    <row r="232" spans="1:17" x14ac:dyDescent="0.45">
      <c r="B232" s="25" t="s">
        <v>26</v>
      </c>
      <c r="C232" s="1">
        <f>C87</f>
        <v>1000</v>
      </c>
      <c r="D232" s="1">
        <f t="shared" ref="D232:H232" si="86">D87</f>
        <v>1100</v>
      </c>
      <c r="E232" s="1">
        <f t="shared" si="86"/>
        <v>1210</v>
      </c>
      <c r="F232" s="1">
        <f t="shared" si="86"/>
        <v>1331</v>
      </c>
      <c r="G232" s="1">
        <f t="shared" si="86"/>
        <v>1464.1000000000001</v>
      </c>
      <c r="H232" s="1">
        <f t="shared" si="86"/>
        <v>1610.5100000000002</v>
      </c>
      <c r="I232" s="5"/>
      <c r="J232" s="5"/>
      <c r="K232" s="5"/>
      <c r="L232" s="5"/>
      <c r="M232" s="5"/>
      <c r="N232" s="5"/>
      <c r="O232" s="5"/>
      <c r="P232" s="5"/>
      <c r="Q232" s="5"/>
    </row>
    <row r="233" spans="1:17" x14ac:dyDescent="0.45">
      <c r="B233" s="25" t="s">
        <v>161</v>
      </c>
      <c r="C233" s="13">
        <f>-C227/C232</f>
        <v>0.02</v>
      </c>
      <c r="D233" s="13">
        <f>C233</f>
        <v>0.02</v>
      </c>
      <c r="E233" s="13">
        <f t="shared" ref="E233:H233" si="87">D233</f>
        <v>0.02</v>
      </c>
      <c r="F233" s="13">
        <f t="shared" si="87"/>
        <v>0.02</v>
      </c>
      <c r="G233" s="13">
        <f t="shared" si="87"/>
        <v>0.02</v>
      </c>
      <c r="H233" s="13">
        <f t="shared" si="87"/>
        <v>0.02</v>
      </c>
      <c r="I233" s="5"/>
      <c r="J233" s="5"/>
      <c r="K233" s="5"/>
      <c r="L233" s="5"/>
      <c r="M233" s="5"/>
      <c r="N233" s="5"/>
      <c r="O233" s="5"/>
      <c r="P233" s="5"/>
      <c r="Q233" s="5"/>
    </row>
    <row r="234" spans="1:17" x14ac:dyDescent="0.45">
      <c r="C234" s="1"/>
      <c r="D234" s="1"/>
      <c r="E234" s="1"/>
      <c r="F234" s="1"/>
      <c r="G234" s="1"/>
      <c r="H234" s="1"/>
      <c r="I234" s="5"/>
      <c r="J234" s="5"/>
      <c r="K234" s="5"/>
      <c r="L234" s="5"/>
      <c r="M234" s="5"/>
      <c r="N234" s="5"/>
      <c r="O234" s="5"/>
      <c r="P234" s="5"/>
      <c r="Q234" s="5"/>
    </row>
    <row r="235" spans="1:17" x14ac:dyDescent="0.45">
      <c r="B235" t="s">
        <v>66</v>
      </c>
      <c r="C235" s="1">
        <f>C191</f>
        <v>216.75</v>
      </c>
      <c r="D235" s="1"/>
      <c r="E235" s="1"/>
      <c r="F235" s="1"/>
      <c r="G235" s="1"/>
      <c r="H235" s="1"/>
      <c r="I235" s="5"/>
      <c r="J235" s="5"/>
      <c r="K235" s="5"/>
      <c r="L235" s="5"/>
      <c r="M235" s="5"/>
      <c r="N235" s="5"/>
      <c r="O235" s="5"/>
      <c r="P235" s="5"/>
      <c r="Q235" s="5"/>
    </row>
    <row r="236" spans="1:17" x14ac:dyDescent="0.45">
      <c r="B236" t="s">
        <v>162</v>
      </c>
      <c r="C236" s="1">
        <v>15</v>
      </c>
      <c r="D236" s="1"/>
      <c r="E236" s="1"/>
      <c r="F236" s="1"/>
      <c r="G236" s="1"/>
      <c r="H236" s="1"/>
      <c r="I236" s="5"/>
      <c r="J236" s="5"/>
      <c r="K236" s="5"/>
      <c r="L236" s="5"/>
      <c r="M236" s="5"/>
      <c r="N236" s="5"/>
      <c r="O236" s="5"/>
      <c r="P236" s="5"/>
      <c r="Q236" s="5"/>
    </row>
    <row r="237" spans="1:17" x14ac:dyDescent="0.45">
      <c r="B237" s="9" t="s">
        <v>63</v>
      </c>
      <c r="C237" s="43">
        <f>C235/C236</f>
        <v>14.45</v>
      </c>
      <c r="D237" s="1"/>
      <c r="E237" s="1"/>
      <c r="F237" s="1"/>
      <c r="G237" s="1"/>
      <c r="H237" s="1"/>
      <c r="I237" s="5"/>
      <c r="J237" s="5"/>
      <c r="K237" s="5"/>
      <c r="L237" s="5"/>
      <c r="M237" s="5"/>
      <c r="N237" s="5"/>
      <c r="O237" s="5"/>
      <c r="P237" s="5"/>
      <c r="Q237" s="5"/>
    </row>
    <row r="238" spans="1:17" x14ac:dyDescent="0.45">
      <c r="C238" s="1"/>
      <c r="D238" s="1"/>
      <c r="E238" s="1"/>
      <c r="F238" s="1"/>
      <c r="G238" s="1"/>
      <c r="H238" s="1"/>
      <c r="I238" s="5"/>
      <c r="J238" s="5"/>
      <c r="K238" s="5"/>
      <c r="L238" s="5"/>
      <c r="M238" s="5"/>
      <c r="N238" s="5"/>
      <c r="O238" s="5"/>
      <c r="P238" s="5"/>
      <c r="Q238" s="5"/>
    </row>
    <row r="239" spans="1:17" x14ac:dyDescent="0.45">
      <c r="B239" t="s">
        <v>19</v>
      </c>
      <c r="C239" s="1">
        <f>C82</f>
        <v>45</v>
      </c>
      <c r="D239" s="1"/>
      <c r="E239" s="1"/>
      <c r="F239" s="1"/>
      <c r="G239" s="1"/>
      <c r="H239" s="1"/>
      <c r="I239" s="5"/>
      <c r="J239" s="5"/>
      <c r="K239" s="5"/>
      <c r="L239" s="5"/>
      <c r="M239" s="5"/>
      <c r="N239" s="5"/>
      <c r="O239" s="5"/>
      <c r="P239" s="5"/>
      <c r="Q239" s="5"/>
    </row>
    <row r="240" spans="1:17" x14ac:dyDescent="0.45">
      <c r="B240" t="s">
        <v>162</v>
      </c>
      <c r="C240" s="1">
        <f>C48</f>
        <v>10</v>
      </c>
      <c r="D240" s="1"/>
      <c r="E240" s="1"/>
      <c r="F240" s="1"/>
      <c r="G240" s="1"/>
      <c r="H240" s="1"/>
      <c r="I240" s="5"/>
      <c r="J240" s="5"/>
      <c r="K240" s="5"/>
      <c r="L240" s="5"/>
      <c r="M240" s="5"/>
      <c r="N240" s="5"/>
      <c r="O240" s="5"/>
      <c r="P240" s="5"/>
      <c r="Q240" s="5"/>
    </row>
    <row r="241" spans="1:17" x14ac:dyDescent="0.45">
      <c r="B241" s="9" t="s">
        <v>64</v>
      </c>
      <c r="C241" s="43">
        <f>C239/C240</f>
        <v>4.5</v>
      </c>
      <c r="D241" s="1"/>
      <c r="E241" s="1"/>
      <c r="F241" s="1"/>
      <c r="G241" s="1"/>
      <c r="H241" s="1"/>
      <c r="I241" s="5"/>
      <c r="J241" s="5"/>
      <c r="K241" s="5"/>
      <c r="L241" s="5"/>
      <c r="M241" s="5"/>
      <c r="N241" s="5"/>
      <c r="O241" s="5"/>
      <c r="P241" s="5"/>
      <c r="Q241" s="5"/>
    </row>
    <row r="242" spans="1:17" x14ac:dyDescent="0.45">
      <c r="C242" s="1"/>
      <c r="D242" s="1"/>
      <c r="E242" s="1"/>
      <c r="F242" s="1"/>
      <c r="G242" s="1"/>
      <c r="H242" s="1"/>
      <c r="I242" s="5"/>
      <c r="J242" s="5"/>
      <c r="K242" s="5"/>
      <c r="L242" s="5"/>
      <c r="M242" s="5"/>
      <c r="N242" s="5"/>
      <c r="O242" s="5"/>
      <c r="P242" s="5"/>
      <c r="Q242" s="5"/>
    </row>
    <row r="243" spans="1:17" s="26" customFormat="1" x14ac:dyDescent="0.45">
      <c r="A243" s="26" t="s">
        <v>214</v>
      </c>
      <c r="B243" s="26" t="s">
        <v>67</v>
      </c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</row>
    <row r="244" spans="1:17" x14ac:dyDescent="0.45">
      <c r="C244" s="1"/>
      <c r="D244" s="1"/>
      <c r="E244" s="1"/>
      <c r="F244" s="1"/>
      <c r="G244" s="1"/>
      <c r="H244" s="1"/>
      <c r="I244" s="5"/>
      <c r="J244" s="5"/>
      <c r="K244" s="5"/>
      <c r="L244" s="5"/>
      <c r="M244" s="5"/>
      <c r="N244" s="5"/>
      <c r="O244" s="5"/>
      <c r="P244" s="5"/>
      <c r="Q244" s="5"/>
    </row>
    <row r="245" spans="1:17" x14ac:dyDescent="0.45">
      <c r="B245" t="s">
        <v>68</v>
      </c>
      <c r="D245" s="1">
        <f>C155</f>
        <v>1216.75</v>
      </c>
      <c r="E245" s="1">
        <f>D249</f>
        <v>1213.3</v>
      </c>
      <c r="F245" s="1">
        <f t="shared" ref="F245:H245" si="88">E249</f>
        <v>1210.9499999999998</v>
      </c>
      <c r="G245" s="1">
        <f t="shared" si="88"/>
        <v>1209.81</v>
      </c>
      <c r="H245" s="1">
        <f t="shared" si="88"/>
        <v>1210.001</v>
      </c>
      <c r="I245" s="5"/>
      <c r="J245" s="5"/>
      <c r="K245" s="5"/>
      <c r="L245" s="5"/>
      <c r="M245" s="5"/>
      <c r="N245" s="5"/>
      <c r="O245" s="5"/>
      <c r="P245" s="5"/>
      <c r="Q245" s="5"/>
    </row>
    <row r="246" spans="1:17" x14ac:dyDescent="0.45">
      <c r="B246" s="25" t="s">
        <v>69</v>
      </c>
      <c r="C246" s="1"/>
      <c r="D246" s="1">
        <f t="shared" ref="D246:H246" si="89">-D127</f>
        <v>33</v>
      </c>
      <c r="E246" s="1">
        <f t="shared" si="89"/>
        <v>36.299999999999997</v>
      </c>
      <c r="F246" s="1">
        <f t="shared" si="89"/>
        <v>39.93</v>
      </c>
      <c r="G246" s="1">
        <f t="shared" si="89"/>
        <v>43.923000000000002</v>
      </c>
      <c r="H246" s="1">
        <f t="shared" si="89"/>
        <v>48.315300000000008</v>
      </c>
      <c r="I246" s="5"/>
      <c r="J246" s="5"/>
      <c r="K246" s="5"/>
      <c r="L246" s="5"/>
      <c r="M246" s="5"/>
      <c r="N246" s="5"/>
      <c r="O246" s="5"/>
      <c r="P246" s="5"/>
      <c r="Q246" s="5"/>
    </row>
    <row r="247" spans="1:17" x14ac:dyDescent="0.45">
      <c r="B247" s="25" t="s">
        <v>70</v>
      </c>
      <c r="C247" s="1"/>
      <c r="D247" s="1">
        <f t="shared" ref="D247:H247" si="90">D227</f>
        <v>-22</v>
      </c>
      <c r="E247" s="1">
        <f t="shared" si="90"/>
        <v>-24.2</v>
      </c>
      <c r="F247" s="1">
        <f t="shared" si="90"/>
        <v>-26.62</v>
      </c>
      <c r="G247" s="1">
        <f t="shared" si="90"/>
        <v>-29.282000000000004</v>
      </c>
      <c r="H247" s="1">
        <f t="shared" si="90"/>
        <v>-32.210200000000007</v>
      </c>
      <c r="I247" s="5"/>
      <c r="J247" s="5"/>
      <c r="K247" s="5"/>
      <c r="L247" s="5"/>
      <c r="M247" s="5"/>
      <c r="N247" s="5"/>
      <c r="O247" s="5"/>
      <c r="P247" s="5"/>
      <c r="Q247" s="5"/>
    </row>
    <row r="248" spans="1:17" x14ac:dyDescent="0.45">
      <c r="B248" s="25" t="s">
        <v>71</v>
      </c>
      <c r="C248" s="1"/>
      <c r="D248" s="1">
        <f t="shared" ref="D248:H248" si="91">D228</f>
        <v>-14.45</v>
      </c>
      <c r="E248" s="1">
        <f t="shared" si="91"/>
        <v>-14.45</v>
      </c>
      <c r="F248" s="1">
        <f t="shared" si="91"/>
        <v>-14.45</v>
      </c>
      <c r="G248" s="1">
        <f t="shared" si="91"/>
        <v>-14.45</v>
      </c>
      <c r="H248" s="1">
        <f t="shared" si="91"/>
        <v>-14.45</v>
      </c>
      <c r="I248" s="5"/>
      <c r="J248" s="5"/>
      <c r="K248" s="5"/>
      <c r="L248" s="5"/>
      <c r="M248" s="5"/>
      <c r="N248" s="5"/>
      <c r="O248" s="5"/>
      <c r="P248" s="5"/>
      <c r="Q248" s="5"/>
    </row>
    <row r="249" spans="1:17" x14ac:dyDescent="0.45">
      <c r="B249" s="20" t="s">
        <v>72</v>
      </c>
      <c r="C249" s="24"/>
      <c r="D249" s="24">
        <f>SUM(D245:D248)</f>
        <v>1213.3</v>
      </c>
      <c r="E249" s="24">
        <f t="shared" ref="E249:H249" si="92">SUM(E245:E248)</f>
        <v>1210.9499999999998</v>
      </c>
      <c r="F249" s="24">
        <f t="shared" si="92"/>
        <v>1209.81</v>
      </c>
      <c r="G249" s="24">
        <f t="shared" si="92"/>
        <v>1210.001</v>
      </c>
      <c r="H249" s="24">
        <f t="shared" si="92"/>
        <v>1211.6560999999999</v>
      </c>
      <c r="I249" s="5"/>
      <c r="J249" s="5"/>
      <c r="K249" s="5"/>
      <c r="L249" s="5"/>
      <c r="M249" s="5"/>
      <c r="N249" s="5"/>
      <c r="O249" s="5"/>
      <c r="P249" s="5"/>
      <c r="Q249" s="5"/>
    </row>
    <row r="250" spans="1:17" x14ac:dyDescent="0.45">
      <c r="B250" s="19"/>
      <c r="C250" s="6"/>
      <c r="D250" s="6"/>
      <c r="E250" s="6"/>
      <c r="F250" s="6"/>
      <c r="G250" s="6"/>
      <c r="H250" s="6"/>
      <c r="I250" s="5"/>
      <c r="J250" s="5"/>
      <c r="K250" s="5"/>
      <c r="L250" s="5"/>
      <c r="M250" s="5"/>
      <c r="N250" s="5"/>
      <c r="O250" s="5"/>
      <c r="P250" s="5"/>
      <c r="Q250" s="5"/>
    </row>
    <row r="251" spans="1:17" s="55" customFormat="1" x14ac:dyDescent="0.45">
      <c r="A251" s="55" t="s">
        <v>214</v>
      </c>
      <c r="B251" s="55" t="s">
        <v>194</v>
      </c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</row>
    <row r="252" spans="1:17" x14ac:dyDescent="0.45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</row>
    <row r="253" spans="1:17" x14ac:dyDescent="0.45">
      <c r="B253" t="s">
        <v>195</v>
      </c>
      <c r="C253" s="1">
        <f>$H$99</f>
        <v>483.15300000000013</v>
      </c>
      <c r="D253" s="1"/>
      <c r="E253" s="1"/>
      <c r="F253" s="1"/>
      <c r="G253" s="1"/>
      <c r="I253" s="5"/>
      <c r="J253" s="5"/>
      <c r="K253" s="5"/>
      <c r="L253" s="5"/>
      <c r="M253" s="5"/>
      <c r="N253" s="5"/>
      <c r="O253" s="5"/>
      <c r="P253" s="5"/>
      <c r="Q253" s="5"/>
    </row>
    <row r="254" spans="1:17" x14ac:dyDescent="0.45">
      <c r="B254" t="s">
        <v>196</v>
      </c>
      <c r="C254" s="2">
        <f>C12</f>
        <v>9</v>
      </c>
      <c r="D254" s="1"/>
      <c r="E254" s="1"/>
      <c r="F254" s="1"/>
      <c r="G254" s="1"/>
      <c r="H254" s="1"/>
      <c r="I254" s="5"/>
      <c r="J254" s="5"/>
      <c r="K254" s="5"/>
      <c r="L254" s="5"/>
      <c r="M254" s="5"/>
      <c r="N254" s="5"/>
      <c r="O254" s="5"/>
      <c r="P254" s="5"/>
      <c r="Q254" s="5"/>
    </row>
    <row r="255" spans="1:17" x14ac:dyDescent="0.45">
      <c r="B255" s="9" t="s">
        <v>197</v>
      </c>
      <c r="C255" s="43">
        <f>C253*C254</f>
        <v>4348.3770000000013</v>
      </c>
      <c r="D255" s="1"/>
      <c r="E255" s="1"/>
      <c r="F255" s="1"/>
      <c r="G255" s="1"/>
      <c r="H255" s="1"/>
      <c r="I255" s="5"/>
      <c r="J255" s="5"/>
      <c r="K255" s="5"/>
      <c r="L255" s="5"/>
      <c r="M255" s="5"/>
      <c r="N255" s="5"/>
      <c r="O255" s="5"/>
      <c r="P255" s="5"/>
      <c r="Q255" s="5"/>
    </row>
    <row r="256" spans="1:17" x14ac:dyDescent="0.45">
      <c r="B256" s="25" t="s">
        <v>198</v>
      </c>
      <c r="C256" s="1">
        <f>-H349</f>
        <v>-1479.7598454638294</v>
      </c>
      <c r="D256" s="1"/>
      <c r="E256" s="1"/>
      <c r="F256" s="1"/>
      <c r="G256" s="1"/>
      <c r="H256" s="1"/>
      <c r="I256" s="5"/>
      <c r="J256" s="5"/>
      <c r="K256" s="5"/>
      <c r="L256" s="5"/>
      <c r="M256" s="5"/>
      <c r="N256" s="5"/>
      <c r="O256" s="5"/>
      <c r="P256" s="5"/>
      <c r="Q256" s="5"/>
    </row>
    <row r="257" spans="2:17" x14ac:dyDescent="0.45">
      <c r="B257" s="25" t="s">
        <v>200</v>
      </c>
      <c r="C257" s="1">
        <f>H149</f>
        <v>25</v>
      </c>
      <c r="D257" s="1"/>
      <c r="E257" s="1"/>
      <c r="F257" s="1"/>
      <c r="G257" s="1"/>
      <c r="H257" s="1"/>
      <c r="I257" s="5"/>
      <c r="J257" s="5"/>
      <c r="K257" s="5"/>
      <c r="L257" s="5"/>
      <c r="M257" s="5"/>
      <c r="N257" s="5"/>
      <c r="O257" s="5"/>
      <c r="P257" s="5"/>
      <c r="Q257" s="5"/>
    </row>
    <row r="258" spans="2:17" x14ac:dyDescent="0.45">
      <c r="B258" s="25" t="s">
        <v>199</v>
      </c>
      <c r="C258" s="1"/>
      <c r="D258" s="1"/>
      <c r="E258" s="1"/>
      <c r="F258" s="1"/>
      <c r="G258" s="1"/>
      <c r="H258" s="1"/>
      <c r="I258" s="5"/>
      <c r="J258" s="5"/>
      <c r="K258" s="5"/>
      <c r="L258" s="5"/>
      <c r="M258" s="5"/>
      <c r="N258" s="5"/>
      <c r="O258" s="5"/>
      <c r="P258" s="5"/>
      <c r="Q258" s="5"/>
    </row>
    <row r="259" spans="2:17" x14ac:dyDescent="0.45">
      <c r="B259" s="20" t="s">
        <v>201</v>
      </c>
      <c r="C259" s="24">
        <f>SUM(C255:C258)</f>
        <v>2893.6171545361722</v>
      </c>
      <c r="D259" s="1"/>
      <c r="E259" s="1"/>
      <c r="F259" s="1"/>
      <c r="G259" s="1"/>
      <c r="H259" s="1"/>
      <c r="I259" s="5"/>
      <c r="J259" s="5"/>
      <c r="K259" s="5"/>
      <c r="L259" s="5"/>
      <c r="M259" s="5"/>
      <c r="N259" s="5"/>
      <c r="O259" s="5"/>
      <c r="P259" s="5"/>
      <c r="Q259" s="5"/>
    </row>
    <row r="260" spans="2:17" x14ac:dyDescent="0.45">
      <c r="C260" s="1"/>
      <c r="D260" s="1"/>
      <c r="E260" s="1"/>
      <c r="F260" s="1"/>
      <c r="G260" s="1"/>
      <c r="H260" s="1"/>
      <c r="I260" s="5"/>
      <c r="J260" s="5"/>
      <c r="K260" s="5"/>
      <c r="L260" s="5"/>
      <c r="M260" s="5"/>
      <c r="N260" s="5"/>
      <c r="O260" s="5"/>
      <c r="P260" s="5"/>
      <c r="Q260" s="5"/>
    </row>
    <row r="261" spans="2:17" x14ac:dyDescent="0.45">
      <c r="B261" s="30" t="s">
        <v>202</v>
      </c>
      <c r="C261" s="1"/>
      <c r="D261" s="1"/>
      <c r="E261" s="1"/>
      <c r="F261" s="1"/>
      <c r="G261" s="1"/>
      <c r="H261" s="1"/>
      <c r="I261" s="5"/>
      <c r="J261" s="5"/>
      <c r="K261" s="5"/>
      <c r="L261" s="5"/>
      <c r="M261" s="5"/>
      <c r="N261" s="5"/>
      <c r="O261" s="5"/>
      <c r="P261" s="5"/>
      <c r="Q261" s="5"/>
    </row>
    <row r="262" spans="2:17" x14ac:dyDescent="0.45">
      <c r="B262" s="25" t="s">
        <v>22</v>
      </c>
      <c r="C262" s="1">
        <f>C73</f>
        <v>733.5</v>
      </c>
      <c r="D262" s="1"/>
      <c r="E262" s="1"/>
      <c r="F262" s="1"/>
      <c r="G262" s="1"/>
      <c r="H262" s="1"/>
      <c r="I262" s="5"/>
      <c r="J262" s="5"/>
      <c r="K262" s="5"/>
      <c r="L262" s="5"/>
      <c r="M262" s="5"/>
      <c r="N262" s="5"/>
      <c r="O262" s="5"/>
      <c r="P262" s="5"/>
      <c r="Q262" s="5"/>
    </row>
    <row r="263" spans="2:17" x14ac:dyDescent="0.45">
      <c r="B263" s="25" t="s">
        <v>3</v>
      </c>
      <c r="C263" s="1">
        <f>C74</f>
        <v>81.5</v>
      </c>
      <c r="D263" s="1"/>
      <c r="E263" s="1"/>
      <c r="F263" s="1"/>
      <c r="G263" s="1"/>
      <c r="H263" s="1"/>
      <c r="I263" s="5"/>
      <c r="J263" s="5"/>
      <c r="K263" s="5"/>
      <c r="L263" s="5"/>
      <c r="M263" s="5"/>
      <c r="N263" s="5"/>
      <c r="O263" s="5"/>
      <c r="P263" s="5"/>
      <c r="Q263" s="5"/>
    </row>
    <row r="264" spans="2:17" x14ac:dyDescent="0.45">
      <c r="B264" s="25" t="s">
        <v>85</v>
      </c>
      <c r="C264" s="57">
        <f>SUM(C262:C263)*C23</f>
        <v>40.75</v>
      </c>
      <c r="D264" s="1"/>
      <c r="E264" s="1"/>
      <c r="F264" s="1"/>
      <c r="G264" s="1"/>
      <c r="H264" s="1"/>
      <c r="I264" s="5"/>
      <c r="J264" s="5"/>
      <c r="K264" s="5"/>
      <c r="L264" s="5"/>
      <c r="M264" s="5"/>
      <c r="N264" s="5"/>
      <c r="O264" s="5"/>
      <c r="P264" s="5"/>
      <c r="Q264" s="5"/>
    </row>
    <row r="265" spans="2:17" x14ac:dyDescent="0.45">
      <c r="B265" s="20" t="s">
        <v>203</v>
      </c>
      <c r="C265" s="24">
        <f>SUM(C262:C264)</f>
        <v>855.75</v>
      </c>
      <c r="D265" s="1"/>
      <c r="E265" s="1"/>
      <c r="F265" s="1"/>
      <c r="G265" s="1"/>
      <c r="H265" s="1"/>
      <c r="I265" s="5"/>
      <c r="J265" s="5"/>
      <c r="K265" s="5"/>
      <c r="L265" s="5"/>
      <c r="M265" s="5"/>
      <c r="N265" s="5"/>
      <c r="O265" s="5"/>
      <c r="P265" s="5"/>
      <c r="Q265" s="5"/>
    </row>
    <row r="266" spans="2:17" x14ac:dyDescent="0.45">
      <c r="C266" s="1"/>
      <c r="D266" s="1"/>
      <c r="E266" s="1"/>
      <c r="F266" s="1"/>
      <c r="G266" s="1"/>
      <c r="H266" s="1"/>
      <c r="I266" s="5"/>
      <c r="J266" s="5"/>
      <c r="K266" s="5"/>
      <c r="L266" s="5"/>
      <c r="M266" s="5"/>
      <c r="N266" s="5"/>
      <c r="O266" s="5"/>
      <c r="P266" s="5"/>
      <c r="Q266" s="5"/>
    </row>
    <row r="267" spans="2:17" x14ac:dyDescent="0.45">
      <c r="B267" s="30" t="s">
        <v>204</v>
      </c>
      <c r="C267" s="1"/>
      <c r="D267" s="1"/>
      <c r="E267" s="1"/>
      <c r="F267" s="1"/>
      <c r="G267" s="1"/>
      <c r="H267" s="1"/>
      <c r="I267" s="5"/>
      <c r="J267" s="5"/>
      <c r="K267" s="5"/>
      <c r="L267" s="5"/>
      <c r="M267" s="5"/>
      <c r="N267" s="5"/>
      <c r="O267" s="5"/>
      <c r="P267" s="5"/>
      <c r="Q267" s="5"/>
    </row>
    <row r="268" spans="2:17" x14ac:dyDescent="0.45">
      <c r="B268" s="25" t="s">
        <v>206</v>
      </c>
      <c r="C268" s="13">
        <f>C262/$C$265</f>
        <v>0.8571428571428571</v>
      </c>
      <c r="D268" s="1"/>
      <c r="E268" s="1"/>
      <c r="F268" s="1"/>
      <c r="G268" s="1"/>
      <c r="H268" s="1"/>
      <c r="I268" s="5"/>
      <c r="J268" s="5"/>
      <c r="K268" s="5"/>
      <c r="L268" s="5"/>
      <c r="M268" s="5"/>
      <c r="N268" s="5"/>
      <c r="O268" s="5"/>
      <c r="P268" s="5"/>
      <c r="Q268" s="5"/>
    </row>
    <row r="269" spans="2:17" x14ac:dyDescent="0.45">
      <c r="B269" s="25" t="s">
        <v>207</v>
      </c>
      <c r="C269" s="13">
        <f>C263/$C$265</f>
        <v>9.5238095238095233E-2</v>
      </c>
      <c r="D269" s="1"/>
      <c r="E269" s="1"/>
      <c r="F269" s="1"/>
      <c r="G269" s="1"/>
      <c r="H269" s="1"/>
      <c r="I269" s="5"/>
      <c r="J269" s="5"/>
      <c r="K269" s="5"/>
      <c r="L269" s="5"/>
      <c r="M269" s="5"/>
      <c r="N269" s="5"/>
      <c r="O269" s="5"/>
      <c r="P269" s="5"/>
      <c r="Q269" s="5"/>
    </row>
    <row r="270" spans="2:17" x14ac:dyDescent="0.45">
      <c r="B270" s="25" t="s">
        <v>208</v>
      </c>
      <c r="C270" s="13">
        <f>C264/$C$265</f>
        <v>4.7619047619047616E-2</v>
      </c>
      <c r="D270" s="1"/>
      <c r="E270" s="1"/>
      <c r="F270" s="1"/>
      <c r="G270" s="1"/>
      <c r="H270" s="1"/>
      <c r="I270" s="5"/>
      <c r="J270" s="5"/>
      <c r="K270" s="5"/>
      <c r="L270" s="5"/>
      <c r="M270" s="5"/>
      <c r="N270" s="5"/>
      <c r="O270" s="5"/>
      <c r="P270" s="5"/>
      <c r="Q270" s="5"/>
    </row>
    <row r="271" spans="2:17" x14ac:dyDescent="0.45">
      <c r="B271" s="20" t="s">
        <v>205</v>
      </c>
      <c r="C271" s="58">
        <f>SUM(C268:C270)</f>
        <v>1</v>
      </c>
      <c r="D271" s="1"/>
      <c r="E271" s="1"/>
      <c r="F271" s="1"/>
      <c r="G271" s="1"/>
      <c r="H271" s="1"/>
      <c r="I271" s="5"/>
      <c r="J271" s="5"/>
      <c r="K271" s="5"/>
      <c r="L271" s="5"/>
      <c r="M271" s="5"/>
      <c r="N271" s="5"/>
      <c r="O271" s="5"/>
      <c r="P271" s="5"/>
      <c r="Q271" s="5"/>
    </row>
    <row r="272" spans="2:17" x14ac:dyDescent="0.45">
      <c r="C272" s="1"/>
      <c r="D272" s="1"/>
      <c r="E272" s="1"/>
      <c r="F272" s="1"/>
      <c r="G272" s="1"/>
      <c r="H272" s="1"/>
      <c r="I272" s="5"/>
      <c r="J272" s="5"/>
      <c r="K272" s="5"/>
      <c r="L272" s="5"/>
      <c r="M272" s="5"/>
      <c r="N272" s="5"/>
      <c r="O272" s="5"/>
      <c r="P272" s="5"/>
      <c r="Q272" s="5"/>
    </row>
    <row r="273" spans="2:17" x14ac:dyDescent="0.45">
      <c r="B273" s="30" t="s">
        <v>209</v>
      </c>
      <c r="C273" s="1"/>
      <c r="D273" s="1"/>
      <c r="E273" s="1"/>
      <c r="F273" s="1"/>
      <c r="G273" s="1"/>
      <c r="H273" s="1"/>
      <c r="I273" s="5"/>
      <c r="J273" s="5"/>
      <c r="K273" s="5"/>
      <c r="L273" s="5"/>
      <c r="M273" s="5"/>
      <c r="N273" s="5"/>
      <c r="O273" s="5"/>
      <c r="P273" s="5"/>
      <c r="Q273" s="5"/>
    </row>
    <row r="274" spans="2:17" x14ac:dyDescent="0.45">
      <c r="B274" s="25" t="s">
        <v>22</v>
      </c>
      <c r="C274" s="1">
        <f>C268*$C$259</f>
        <v>2480.2432753167191</v>
      </c>
      <c r="D274" s="1"/>
      <c r="E274" s="1"/>
      <c r="F274" s="1"/>
      <c r="G274" s="1"/>
      <c r="H274" s="1"/>
      <c r="I274" s="5"/>
      <c r="J274" s="5"/>
      <c r="K274" s="5"/>
      <c r="L274" s="5"/>
      <c r="M274" s="5"/>
      <c r="N274" s="5"/>
      <c r="O274" s="5"/>
      <c r="P274" s="5"/>
      <c r="Q274" s="5"/>
    </row>
    <row r="275" spans="2:17" x14ac:dyDescent="0.45">
      <c r="B275" s="25" t="s">
        <v>3</v>
      </c>
      <c r="C275" s="1">
        <f>C269*$C$259</f>
        <v>275.58258614630211</v>
      </c>
      <c r="D275" s="1"/>
      <c r="E275" s="1"/>
      <c r="F275" s="1"/>
      <c r="G275" s="1"/>
      <c r="H275" s="1"/>
      <c r="I275" s="5"/>
      <c r="J275" s="5"/>
      <c r="K275" s="5"/>
      <c r="L275" s="5"/>
      <c r="M275" s="5"/>
      <c r="N275" s="5"/>
      <c r="O275" s="5"/>
      <c r="P275" s="5"/>
      <c r="Q275" s="5"/>
    </row>
    <row r="276" spans="2:17" x14ac:dyDescent="0.45">
      <c r="B276" s="25" t="s">
        <v>85</v>
      </c>
      <c r="C276" s="1">
        <f>C270*$C$259</f>
        <v>137.79129307315105</v>
      </c>
      <c r="D276" s="1"/>
      <c r="E276" s="1"/>
      <c r="F276" s="1"/>
      <c r="G276" s="1"/>
      <c r="H276" s="1"/>
      <c r="I276" s="5"/>
      <c r="J276" s="5"/>
      <c r="K276" s="5"/>
      <c r="L276" s="5"/>
      <c r="M276" s="5"/>
      <c r="N276" s="5"/>
      <c r="O276" s="5"/>
      <c r="P276" s="5"/>
      <c r="Q276" s="5"/>
    </row>
    <row r="277" spans="2:17" x14ac:dyDescent="0.45">
      <c r="B277" s="20" t="s">
        <v>203</v>
      </c>
      <c r="C277" s="43">
        <f>SUM(C274:C276)</f>
        <v>2893.6171545361722</v>
      </c>
      <c r="D277" s="1"/>
      <c r="E277" s="1"/>
      <c r="F277" s="1"/>
      <c r="G277" s="1"/>
      <c r="H277" s="1"/>
      <c r="I277" s="5"/>
      <c r="J277" s="5"/>
      <c r="K277" s="5"/>
      <c r="L277" s="5"/>
      <c r="M277" s="5"/>
      <c r="N277" s="5"/>
      <c r="O277" s="5"/>
      <c r="P277" s="5"/>
      <c r="Q277" s="5"/>
    </row>
    <row r="278" spans="2:17" x14ac:dyDescent="0.45">
      <c r="C278" s="1"/>
      <c r="D278" s="1"/>
      <c r="E278" s="1"/>
      <c r="F278" s="1"/>
      <c r="G278" s="1"/>
      <c r="H278" s="1"/>
      <c r="I278" s="5"/>
      <c r="J278" s="5"/>
      <c r="K278" s="5"/>
      <c r="L278" s="5"/>
      <c r="M278" s="5"/>
      <c r="N278" s="5"/>
      <c r="O278" s="5"/>
      <c r="P278" s="5"/>
      <c r="Q278" s="5"/>
    </row>
    <row r="279" spans="2:17" x14ac:dyDescent="0.45">
      <c r="B279" s="33" t="s">
        <v>211</v>
      </c>
      <c r="C279" s="1"/>
      <c r="D279" s="1"/>
      <c r="E279" s="1"/>
      <c r="F279" s="1"/>
      <c r="G279" s="1"/>
      <c r="H279" s="1"/>
      <c r="I279" s="5"/>
      <c r="J279" s="5"/>
      <c r="K279" s="5"/>
      <c r="L279" s="5"/>
      <c r="M279" s="5"/>
      <c r="N279" s="5"/>
      <c r="O279" s="5"/>
      <c r="P279" s="5"/>
      <c r="Q279" s="5"/>
    </row>
    <row r="280" spans="2:17" x14ac:dyDescent="0.45">
      <c r="C280" s="1"/>
      <c r="D280" s="1"/>
      <c r="E280" s="1"/>
      <c r="F280" s="1"/>
      <c r="G280" s="1"/>
      <c r="H280" s="1"/>
      <c r="I280" s="5"/>
      <c r="J280" s="5"/>
      <c r="K280" s="5"/>
      <c r="L280" s="5"/>
      <c r="M280" s="5"/>
      <c r="N280" s="5"/>
      <c r="O280" s="5"/>
      <c r="P280" s="5"/>
      <c r="Q280" s="5"/>
    </row>
    <row r="281" spans="2:17" x14ac:dyDescent="0.45">
      <c r="B281" s="59" t="s">
        <v>212</v>
      </c>
      <c r="C281" s="60">
        <v>0</v>
      </c>
      <c r="D281" s="61">
        <v>1</v>
      </c>
      <c r="E281" s="61">
        <v>2</v>
      </c>
      <c r="F281" s="61">
        <v>3</v>
      </c>
      <c r="G281" s="61">
        <v>4</v>
      </c>
      <c r="H281" s="61">
        <v>5</v>
      </c>
      <c r="I281" s="62" t="s">
        <v>211</v>
      </c>
      <c r="J281" s="62" t="s">
        <v>213</v>
      </c>
      <c r="K281" s="5"/>
      <c r="L281" s="5"/>
      <c r="M281" s="5"/>
      <c r="N281" s="5"/>
      <c r="O281" s="5"/>
      <c r="P281" s="5"/>
      <c r="Q281" s="5"/>
    </row>
    <row r="282" spans="2:17" x14ac:dyDescent="0.45">
      <c r="B282" s="59" t="s">
        <v>210</v>
      </c>
      <c r="C282" s="61">
        <f>-C73</f>
        <v>-733.5</v>
      </c>
      <c r="D282" s="61">
        <v>0</v>
      </c>
      <c r="E282" s="61">
        <v>0</v>
      </c>
      <c r="F282" s="61">
        <v>0</v>
      </c>
      <c r="G282" s="61">
        <v>0</v>
      </c>
      <c r="H282" s="61">
        <f>C274</f>
        <v>2480.2432753167191</v>
      </c>
      <c r="I282" s="67">
        <f>IRR(C282:H282)</f>
        <v>0.27590644890467142</v>
      </c>
      <c r="J282" s="63">
        <f>-H282/C282</f>
        <v>3.3813814251080014</v>
      </c>
      <c r="K282" s="5"/>
      <c r="L282" s="5"/>
      <c r="M282" s="5"/>
      <c r="N282" s="5"/>
      <c r="O282" s="5"/>
      <c r="P282" s="5"/>
      <c r="Q282" s="5"/>
    </row>
    <row r="284" spans="2:17" x14ac:dyDescent="0.45">
      <c r="B284" s="18" t="s">
        <v>211</v>
      </c>
      <c r="D284" t="s">
        <v>2</v>
      </c>
    </row>
    <row r="285" spans="2:17" x14ac:dyDescent="0.45">
      <c r="B285" s="18" t="s">
        <v>215</v>
      </c>
      <c r="D285" s="1"/>
      <c r="E285" s="1"/>
      <c r="F285" s="1"/>
      <c r="G285" s="1"/>
      <c r="H285" s="1"/>
      <c r="I285" s="5"/>
      <c r="J285" s="5"/>
      <c r="K285" s="5"/>
      <c r="L285" s="5"/>
      <c r="M285" s="5"/>
      <c r="N285" s="5"/>
      <c r="O285" s="5"/>
      <c r="P285" s="5"/>
      <c r="Q285" s="5"/>
    </row>
    <row r="286" spans="2:17" x14ac:dyDescent="0.45">
      <c r="C286" s="68">
        <f>I282</f>
        <v>0.27590644890467142</v>
      </c>
      <c r="D286" s="2">
        <v>7</v>
      </c>
      <c r="E286" s="2">
        <v>8</v>
      </c>
      <c r="F286" s="2">
        <v>9</v>
      </c>
      <c r="G286" s="2">
        <v>10</v>
      </c>
      <c r="H286" s="2">
        <v>11</v>
      </c>
    </row>
    <row r="287" spans="2:17" x14ac:dyDescent="0.45">
      <c r="B287" s="69" t="s">
        <v>1</v>
      </c>
      <c r="C287" s="2">
        <v>7</v>
      </c>
      <c r="D287" s="64">
        <f t="dataTable" ref="D287:H291" dt2D="1" dtr="1" r1="C12" r2="C11"/>
        <v>0.53347682439838184</v>
      </c>
      <c r="E287" s="65">
        <v>0.60407652234345321</v>
      </c>
      <c r="F287" s="65">
        <v>0.66407053680476613</v>
      </c>
      <c r="G287" s="65">
        <v>0.71648439798491026</v>
      </c>
      <c r="H287" s="65">
        <v>0.76318255837442828</v>
      </c>
    </row>
    <row r="288" spans="2:17" x14ac:dyDescent="0.45">
      <c r="C288" s="2">
        <v>8</v>
      </c>
      <c r="D288" s="66">
        <v>0.28853956747046827</v>
      </c>
      <c r="E288" s="7">
        <v>0.34767879947092672</v>
      </c>
      <c r="F288" s="7">
        <v>0.39795651656138031</v>
      </c>
      <c r="G288" s="7">
        <v>0.44189525238634308</v>
      </c>
      <c r="H288" s="7">
        <v>0.48105129475710129</v>
      </c>
    </row>
    <row r="289" spans="1:17" x14ac:dyDescent="0.45">
      <c r="C289" s="2">
        <v>9</v>
      </c>
      <c r="D289" s="66">
        <v>0.17630782336152806</v>
      </c>
      <c r="E289" s="7">
        <v>0.23012927459055477</v>
      </c>
      <c r="F289" s="70">
        <v>0.27590644890467142</v>
      </c>
      <c r="G289" s="7">
        <v>0.31592433589077817</v>
      </c>
      <c r="H289" s="7">
        <v>0.35159429555968447</v>
      </c>
    </row>
    <row r="290" spans="1:17" x14ac:dyDescent="0.45">
      <c r="C290" s="2">
        <v>10</v>
      </c>
      <c r="D290" s="66">
        <v>0.10557917321202104</v>
      </c>
      <c r="E290" s="7">
        <v>0.15600870547121826</v>
      </c>
      <c r="F290" s="7">
        <v>0.19891995432338971</v>
      </c>
      <c r="G290" s="7">
        <v>0.23644393309291334</v>
      </c>
      <c r="H290" s="7">
        <v>0.26989840665752807</v>
      </c>
      <c r="I290" s="5"/>
      <c r="J290" s="5"/>
      <c r="K290" s="5"/>
      <c r="L290" s="5"/>
      <c r="M290" s="5"/>
      <c r="N290" s="5"/>
      <c r="O290" s="5"/>
      <c r="P290" s="5"/>
      <c r="Q290" s="5"/>
    </row>
    <row r="291" spans="1:17" x14ac:dyDescent="0.45">
      <c r="C291" s="2">
        <v>11</v>
      </c>
      <c r="D291" s="66">
        <v>5.483582018195432E-2</v>
      </c>
      <c r="E291" s="7">
        <v>0.10280306597658129</v>
      </c>
      <c r="F291" s="7">
        <v>0.143637126682433</v>
      </c>
      <c r="G291" s="7">
        <v>0.17935554743191573</v>
      </c>
      <c r="H291" s="7">
        <v>0.21120735216955722</v>
      </c>
    </row>
    <row r="293" spans="1:17" x14ac:dyDescent="0.45">
      <c r="B293" s="18" t="s">
        <v>216</v>
      </c>
      <c r="C293" s="1"/>
      <c r="D293" s="19" t="s">
        <v>216</v>
      </c>
      <c r="E293" s="1"/>
      <c r="F293" s="1"/>
      <c r="G293" s="1"/>
      <c r="H293" s="1"/>
      <c r="I293" s="5"/>
      <c r="J293" s="5"/>
      <c r="K293" s="5"/>
      <c r="L293" s="5"/>
      <c r="M293" s="5"/>
      <c r="N293" s="5"/>
      <c r="O293" s="5"/>
      <c r="P293" s="5"/>
      <c r="Q293" s="5"/>
    </row>
    <row r="294" spans="1:17" x14ac:dyDescent="0.45">
      <c r="B294" s="18" t="s">
        <v>215</v>
      </c>
      <c r="D294" s="2">
        <v>0</v>
      </c>
      <c r="E294" s="2">
        <v>1</v>
      </c>
      <c r="F294" s="2">
        <v>2</v>
      </c>
    </row>
    <row r="295" spans="1:17" x14ac:dyDescent="0.45">
      <c r="C295" s="68">
        <f>I282</f>
        <v>0.27590644890467142</v>
      </c>
      <c r="D295" s="65">
        <f t="dataTable" ref="D295:F295" dt2D="0" dtr="1" r1="C39" ca="1"/>
        <v>0.20913689840177696</v>
      </c>
      <c r="E295" s="65">
        <v>0.23540534417367831</v>
      </c>
      <c r="F295" s="71">
        <v>0.27590644890467142</v>
      </c>
    </row>
    <row r="296" spans="1:17" x14ac:dyDescent="0.45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</row>
    <row r="297" spans="1:17" x14ac:dyDescent="0.45">
      <c r="C297" s="5"/>
      <c r="I297" s="5"/>
      <c r="J297" s="5"/>
      <c r="K297" s="5"/>
      <c r="L297" s="5"/>
      <c r="M297" s="5"/>
      <c r="N297" s="5"/>
      <c r="O297" s="5"/>
      <c r="P297" s="5"/>
      <c r="Q297" s="5"/>
    </row>
    <row r="298" spans="1:17" s="26" customFormat="1" x14ac:dyDescent="0.45">
      <c r="A298" s="26" t="s">
        <v>214</v>
      </c>
      <c r="B298" s="26" t="s">
        <v>73</v>
      </c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</row>
    <row r="299" spans="1:17" x14ac:dyDescent="0.45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</row>
    <row r="300" spans="1:17" x14ac:dyDescent="0.45">
      <c r="B300" s="18" t="s">
        <v>5</v>
      </c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</row>
    <row r="301" spans="1:17" x14ac:dyDescent="0.45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</row>
    <row r="302" spans="1:17" x14ac:dyDescent="0.45">
      <c r="B302" s="19" t="s">
        <v>74</v>
      </c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</row>
    <row r="303" spans="1:17" x14ac:dyDescent="0.45">
      <c r="B303" s="25" t="s">
        <v>75</v>
      </c>
      <c r="C303" s="1"/>
      <c r="D303" s="1">
        <f>D130</f>
        <v>87.93</v>
      </c>
      <c r="E303" s="1">
        <f>E130</f>
        <v>104.70853000000001</v>
      </c>
      <c r="F303" s="1">
        <f>F130</f>
        <v>123.75881826</v>
      </c>
      <c r="G303" s="1">
        <f>G130</f>
        <v>146.84848862692002</v>
      </c>
      <c r="H303" s="1">
        <f>H130</f>
        <v>172.76325514925065</v>
      </c>
      <c r="I303" s="5"/>
      <c r="J303" s="5"/>
      <c r="K303" s="5"/>
      <c r="L303" s="5"/>
      <c r="M303" s="5"/>
      <c r="N303" s="5"/>
      <c r="O303" s="5"/>
      <c r="P303" s="5"/>
      <c r="Q303" s="5"/>
    </row>
    <row r="304" spans="1:17" s="52" customFormat="1" x14ac:dyDescent="0.45">
      <c r="B304" s="51" t="s">
        <v>165</v>
      </c>
      <c r="D304" s="53">
        <f>C149</f>
        <v>25</v>
      </c>
      <c r="E304" s="53">
        <f>D149</f>
        <v>25</v>
      </c>
      <c r="F304" s="53">
        <f>E149</f>
        <v>25</v>
      </c>
      <c r="G304" s="53">
        <f>F149</f>
        <v>25</v>
      </c>
      <c r="H304" s="53">
        <f>G149</f>
        <v>25</v>
      </c>
      <c r="I304" s="54"/>
      <c r="J304" s="54"/>
      <c r="K304" s="54"/>
      <c r="L304" s="54"/>
      <c r="M304" s="54"/>
      <c r="N304" s="54"/>
      <c r="O304" s="54"/>
      <c r="P304" s="54"/>
      <c r="Q304" s="54"/>
    </row>
    <row r="305" spans="2:17" x14ac:dyDescent="0.45">
      <c r="B305" s="25" t="s">
        <v>166</v>
      </c>
      <c r="C305" s="1"/>
      <c r="D305" s="1">
        <f t="shared" ref="D305:H305" si="93">-$C$19</f>
        <v>-25</v>
      </c>
      <c r="E305" s="1">
        <f t="shared" si="93"/>
        <v>-25</v>
      </c>
      <c r="F305" s="1">
        <f t="shared" si="93"/>
        <v>-25</v>
      </c>
      <c r="G305" s="1">
        <f t="shared" si="93"/>
        <v>-25</v>
      </c>
      <c r="H305" s="1">
        <f t="shared" si="93"/>
        <v>-25</v>
      </c>
      <c r="I305" s="5"/>
      <c r="J305" s="5"/>
      <c r="K305" s="5"/>
      <c r="L305" s="5"/>
      <c r="M305" s="5"/>
      <c r="N305" s="5"/>
      <c r="O305" s="5"/>
      <c r="P305" s="5"/>
      <c r="Q305" s="5"/>
    </row>
    <row r="306" spans="2:17" x14ac:dyDescent="0.45">
      <c r="B306" s="25" t="s">
        <v>10</v>
      </c>
      <c r="C306" s="1"/>
      <c r="D306" s="1">
        <f>D331</f>
        <v>-12</v>
      </c>
      <c r="E306" s="1">
        <f t="shared" ref="E306:H306" si="94">E331</f>
        <v>-12</v>
      </c>
      <c r="F306" s="1">
        <f t="shared" si="94"/>
        <v>-12</v>
      </c>
      <c r="G306" s="1">
        <f t="shared" si="94"/>
        <v>-12</v>
      </c>
      <c r="H306" s="1">
        <f t="shared" si="94"/>
        <v>-12</v>
      </c>
      <c r="I306" s="5"/>
      <c r="J306" s="5"/>
      <c r="K306" s="5"/>
      <c r="L306" s="5"/>
      <c r="M306" s="5"/>
      <c r="N306" s="5"/>
      <c r="O306" s="5"/>
      <c r="P306" s="5"/>
      <c r="Q306" s="5"/>
    </row>
    <row r="307" spans="2:17" x14ac:dyDescent="0.45">
      <c r="B307" s="20" t="s">
        <v>77</v>
      </c>
      <c r="C307" s="24"/>
      <c r="D307" s="24">
        <f t="shared" ref="D307:H307" si="95">SUM(D303:D306)</f>
        <v>75.930000000000007</v>
      </c>
      <c r="E307" s="24">
        <f t="shared" si="95"/>
        <v>92.708529999999996</v>
      </c>
      <c r="F307" s="24">
        <f t="shared" si="95"/>
        <v>111.75881826</v>
      </c>
      <c r="G307" s="24">
        <f t="shared" si="95"/>
        <v>134.84848862692002</v>
      </c>
      <c r="H307" s="24">
        <f t="shared" si="95"/>
        <v>160.76325514925065</v>
      </c>
      <c r="I307" s="5"/>
      <c r="J307" s="5"/>
      <c r="K307" s="5"/>
      <c r="L307" s="5"/>
      <c r="M307" s="5"/>
      <c r="N307" s="5"/>
      <c r="O307" s="5"/>
      <c r="P307" s="5"/>
      <c r="Q307" s="5"/>
    </row>
    <row r="308" spans="2:17" x14ac:dyDescent="0.4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</row>
    <row r="309" spans="2:17" x14ac:dyDescent="0.45">
      <c r="B309" s="29" t="s">
        <v>167</v>
      </c>
      <c r="C309" s="1"/>
      <c r="D309" s="1">
        <f>C70</f>
        <v>150</v>
      </c>
      <c r="E309" s="1">
        <f>D312</f>
        <v>74.069999999999993</v>
      </c>
      <c r="F309" s="1">
        <f t="shared" ref="F309:H309" si="96">E312</f>
        <v>0</v>
      </c>
      <c r="G309" s="1">
        <f>F312</f>
        <v>0</v>
      </c>
      <c r="H309" s="1">
        <f t="shared" si="96"/>
        <v>0</v>
      </c>
      <c r="I309" s="1"/>
      <c r="J309" s="5"/>
      <c r="K309" s="5"/>
      <c r="L309" s="5"/>
      <c r="M309" s="5"/>
      <c r="N309" s="5"/>
      <c r="O309" s="5"/>
      <c r="P309" s="5"/>
      <c r="Q309" s="5"/>
    </row>
    <row r="310" spans="2:17" x14ac:dyDescent="0.45">
      <c r="B310" s="25" t="s">
        <v>168</v>
      </c>
      <c r="C310" s="1"/>
      <c r="D310" s="1">
        <f>-MIN(D307,0)</f>
        <v>0</v>
      </c>
      <c r="E310" s="1">
        <f>-MIN(E307,0)</f>
        <v>0</v>
      </c>
      <c r="F310" s="1">
        <f>-MIN(F307,0)</f>
        <v>0</v>
      </c>
      <c r="G310" s="1">
        <f>-MIN(G307,0)</f>
        <v>0</v>
      </c>
      <c r="H310" s="1">
        <f>-MIN(H307,0)</f>
        <v>0</v>
      </c>
      <c r="I310" s="1"/>
      <c r="J310" s="5"/>
      <c r="K310" s="5"/>
      <c r="L310" s="5"/>
      <c r="M310" s="5"/>
      <c r="N310" s="5"/>
      <c r="O310" s="5"/>
      <c r="P310" s="5"/>
      <c r="Q310" s="5"/>
    </row>
    <row r="311" spans="2:17" x14ac:dyDescent="0.45">
      <c r="B311" s="25" t="s">
        <v>169</v>
      </c>
      <c r="C311" s="1"/>
      <c r="D311" s="1">
        <f>-MAX(MIN(D309,D307),0)</f>
        <v>-75.930000000000007</v>
      </c>
      <c r="E311" s="1">
        <f>-MAX(MIN(E309,E307),0)</f>
        <v>-74.069999999999993</v>
      </c>
      <c r="F311" s="1">
        <f>-MAX(MIN(F309,F307),0)</f>
        <v>0</v>
      </c>
      <c r="G311" s="1">
        <f>-MAX(MIN(G309,G307),0)</f>
        <v>0</v>
      </c>
      <c r="H311" s="1">
        <f>-MAX(MIN(H309,H307),0)</f>
        <v>0</v>
      </c>
      <c r="I311" s="1"/>
      <c r="J311" s="5"/>
      <c r="K311" s="5"/>
      <c r="L311" s="5"/>
      <c r="M311" s="5"/>
      <c r="N311" s="5"/>
      <c r="O311" s="5"/>
      <c r="P311" s="5"/>
      <c r="Q311" s="5"/>
    </row>
    <row r="312" spans="2:17" x14ac:dyDescent="0.45">
      <c r="B312" s="32" t="s">
        <v>170</v>
      </c>
      <c r="C312" s="24"/>
      <c r="D312" s="24">
        <f>SUM(D309:D311)</f>
        <v>74.069999999999993</v>
      </c>
      <c r="E312" s="24">
        <f t="shared" ref="E312:H312" si="97">SUM(E309:E311)</f>
        <v>0</v>
      </c>
      <c r="F312" s="24">
        <f t="shared" si="97"/>
        <v>0</v>
      </c>
      <c r="G312" s="24">
        <f t="shared" si="97"/>
        <v>0</v>
      </c>
      <c r="H312" s="24">
        <f t="shared" si="97"/>
        <v>0</v>
      </c>
      <c r="I312" s="1"/>
      <c r="J312" s="5"/>
      <c r="K312" s="5"/>
      <c r="L312" s="5"/>
      <c r="M312" s="5"/>
      <c r="N312" s="5"/>
      <c r="O312" s="5"/>
      <c r="P312" s="5"/>
      <c r="Q312" s="5"/>
    </row>
    <row r="313" spans="2:17" x14ac:dyDescent="0.45">
      <c r="B313" t="s">
        <v>79</v>
      </c>
      <c r="C313" s="6"/>
      <c r="D313" s="48">
        <f>$C$30</f>
        <v>0.04</v>
      </c>
      <c r="E313" s="48">
        <f t="shared" ref="E313:H313" si="98">$C$30</f>
        <v>0.04</v>
      </c>
      <c r="F313" s="48">
        <f t="shared" si="98"/>
        <v>0.04</v>
      </c>
      <c r="G313" s="48">
        <f t="shared" si="98"/>
        <v>0.04</v>
      </c>
      <c r="H313" s="48">
        <f t="shared" si="98"/>
        <v>0.04</v>
      </c>
      <c r="I313" s="5"/>
      <c r="J313" s="5"/>
      <c r="K313" s="5"/>
      <c r="L313" s="5"/>
      <c r="M313" s="5"/>
      <c r="N313" s="5"/>
      <c r="O313" s="5"/>
      <c r="P313" s="5"/>
      <c r="Q313" s="5"/>
    </row>
    <row r="314" spans="2:17" x14ac:dyDescent="0.45">
      <c r="B314" s="29" t="s">
        <v>178</v>
      </c>
      <c r="C314" s="1"/>
      <c r="D314" s="1">
        <f>IF($C$51="No",D309*-D313,AVERAGE(D309,D312)*-D313)</f>
        <v>-6</v>
      </c>
      <c r="E314" s="1">
        <f t="shared" ref="E314:H314" si="99">IF($C$51="No",E309*-E313,AVERAGE(E309,E312)*-E313)</f>
        <v>-2.9627999999999997</v>
      </c>
      <c r="F314" s="1">
        <f t="shared" si="99"/>
        <v>0</v>
      </c>
      <c r="G314" s="1">
        <f t="shared" si="99"/>
        <v>0</v>
      </c>
      <c r="H314" s="1">
        <f t="shared" si="99"/>
        <v>0</v>
      </c>
      <c r="I314" s="5"/>
      <c r="J314" s="5"/>
      <c r="K314" s="5"/>
      <c r="L314" s="5"/>
      <c r="M314" s="5"/>
      <c r="N314" s="5"/>
      <c r="O314" s="5"/>
      <c r="P314" s="5"/>
      <c r="Q314" s="5"/>
    </row>
    <row r="315" spans="2:17" x14ac:dyDescent="0.45">
      <c r="B315" s="29"/>
      <c r="C315" s="1"/>
      <c r="D315" s="1"/>
      <c r="E315" s="1"/>
      <c r="F315" s="1"/>
      <c r="G315" s="1"/>
      <c r="H315" s="1"/>
      <c r="I315" s="5"/>
      <c r="J315" s="5"/>
      <c r="K315" s="5"/>
      <c r="L315" s="5"/>
      <c r="M315" s="5"/>
      <c r="N315" s="5"/>
      <c r="O315" s="5"/>
      <c r="P315" s="5"/>
      <c r="Q315" s="5"/>
    </row>
    <row r="316" spans="2:17" x14ac:dyDescent="0.45">
      <c r="B316" s="29" t="s">
        <v>183</v>
      </c>
      <c r="C316" s="1"/>
      <c r="D316" s="1">
        <f>$C$31</f>
        <v>300</v>
      </c>
      <c r="E316" s="1">
        <f t="shared" ref="E316:H316" si="100">$C$31</f>
        <v>300</v>
      </c>
      <c r="F316" s="1">
        <f t="shared" si="100"/>
        <v>300</v>
      </c>
      <c r="G316" s="1">
        <f t="shared" si="100"/>
        <v>300</v>
      </c>
      <c r="H316" s="1">
        <f t="shared" si="100"/>
        <v>300</v>
      </c>
      <c r="I316" s="5"/>
      <c r="J316" s="5"/>
      <c r="K316" s="5"/>
      <c r="L316" s="5"/>
      <c r="M316" s="5"/>
      <c r="N316" s="5"/>
      <c r="O316" s="5"/>
      <c r="P316" s="5"/>
      <c r="Q316" s="5"/>
    </row>
    <row r="317" spans="2:17" x14ac:dyDescent="0.45">
      <c r="B317" s="29" t="s">
        <v>180</v>
      </c>
      <c r="C317" s="1"/>
      <c r="D317" s="1">
        <f>IF($C$51="No",D316-D309,D316-AVERAGE(D309,D312))</f>
        <v>150</v>
      </c>
      <c r="E317" s="1">
        <f t="shared" ref="E317:H317" si="101">IF($C$51="No",E316-E309,E316-AVERAGE(E309,E312))</f>
        <v>225.93</v>
      </c>
      <c r="F317" s="1">
        <f t="shared" si="101"/>
        <v>300</v>
      </c>
      <c r="G317" s="1">
        <f t="shared" si="101"/>
        <v>300</v>
      </c>
      <c r="H317" s="1">
        <f t="shared" si="101"/>
        <v>300</v>
      </c>
      <c r="I317" s="5"/>
      <c r="J317" s="5"/>
      <c r="K317" s="5"/>
      <c r="L317" s="5"/>
      <c r="M317" s="5"/>
      <c r="N317" s="5"/>
      <c r="O317" s="5"/>
      <c r="P317" s="5"/>
      <c r="Q317" s="5"/>
    </row>
    <row r="318" spans="2:17" x14ac:dyDescent="0.45">
      <c r="B318" s="29" t="s">
        <v>179</v>
      </c>
      <c r="C318" s="1"/>
      <c r="D318" s="8">
        <f>$C$32</f>
        <v>5.0000000000000001E-3</v>
      </c>
      <c r="E318" s="8">
        <f t="shared" ref="E318:H318" si="102">$C$32</f>
        <v>5.0000000000000001E-3</v>
      </c>
      <c r="F318" s="8">
        <f t="shared" si="102"/>
        <v>5.0000000000000001E-3</v>
      </c>
      <c r="G318" s="8">
        <f t="shared" si="102"/>
        <v>5.0000000000000001E-3</v>
      </c>
      <c r="H318" s="8">
        <f t="shared" si="102"/>
        <v>5.0000000000000001E-3</v>
      </c>
      <c r="I318" s="5"/>
      <c r="J318" s="5"/>
      <c r="K318" s="5"/>
      <c r="L318" s="5"/>
      <c r="M318" s="5"/>
      <c r="N318" s="5"/>
      <c r="O318" s="5"/>
      <c r="P318" s="5"/>
      <c r="Q318" s="5"/>
    </row>
    <row r="319" spans="2:17" x14ac:dyDescent="0.45">
      <c r="B319" s="29" t="s">
        <v>182</v>
      </c>
      <c r="C319" s="1"/>
      <c r="D319" s="1">
        <f>D317*-D318</f>
        <v>-0.75</v>
      </c>
      <c r="E319" s="1">
        <f t="shared" ref="E319:H319" si="103">E317*-E318</f>
        <v>-1.12965</v>
      </c>
      <c r="F319" s="1">
        <f t="shared" si="103"/>
        <v>-1.5</v>
      </c>
      <c r="G319" s="1">
        <f t="shared" si="103"/>
        <v>-1.5</v>
      </c>
      <c r="H319" s="1">
        <f t="shared" si="103"/>
        <v>-1.5</v>
      </c>
      <c r="I319" s="5"/>
      <c r="J319" s="5"/>
      <c r="K319" s="5"/>
      <c r="L319" s="5"/>
      <c r="M319" s="5"/>
      <c r="N319" s="5"/>
      <c r="O319" s="5"/>
      <c r="P319" s="5"/>
      <c r="Q319" s="5"/>
    </row>
    <row r="320" spans="2:17" x14ac:dyDescent="0.4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</row>
    <row r="321" spans="2:17" x14ac:dyDescent="0.45">
      <c r="B321" s="18" t="s">
        <v>20</v>
      </c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</row>
    <row r="322" spans="2:17" x14ac:dyDescent="0.4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</row>
    <row r="323" spans="2:17" x14ac:dyDescent="0.45">
      <c r="B323" s="19" t="s">
        <v>171</v>
      </c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</row>
    <row r="324" spans="2:17" x14ac:dyDescent="0.45">
      <c r="B324" s="25" t="s">
        <v>172</v>
      </c>
      <c r="C324" s="1"/>
      <c r="D324" s="1">
        <f>D307</f>
        <v>75.930000000000007</v>
      </c>
      <c r="E324" s="1">
        <f>E307</f>
        <v>92.708529999999996</v>
      </c>
      <c r="F324" s="1">
        <f>F307</f>
        <v>111.75881826</v>
      </c>
      <c r="G324" s="1">
        <f>G307</f>
        <v>134.84848862692002</v>
      </c>
      <c r="H324" s="1">
        <f>H307</f>
        <v>160.76325514925065</v>
      </c>
      <c r="I324" s="5"/>
      <c r="J324" s="5"/>
      <c r="K324" s="5"/>
      <c r="L324" s="5"/>
      <c r="M324" s="5"/>
      <c r="N324" s="5"/>
      <c r="O324" s="5"/>
      <c r="P324" s="5"/>
      <c r="Q324" s="5"/>
    </row>
    <row r="325" spans="2:17" x14ac:dyDescent="0.45">
      <c r="B325" s="25" t="s">
        <v>173</v>
      </c>
      <c r="C325" s="1"/>
      <c r="D325" s="1">
        <f>SUM(D310:D311)</f>
        <v>-75.930000000000007</v>
      </c>
      <c r="E325" s="1">
        <f>SUM(E310:E311)</f>
        <v>-74.069999999999993</v>
      </c>
      <c r="F325" s="1">
        <f>SUM(F310:F311)</f>
        <v>0</v>
      </c>
      <c r="G325" s="1">
        <f>SUM(G310:G311)</f>
        <v>0</v>
      </c>
      <c r="H325" s="1">
        <f>SUM(H310:H311)</f>
        <v>0</v>
      </c>
      <c r="I325" s="5"/>
      <c r="J325" s="5"/>
      <c r="K325" s="5"/>
      <c r="L325" s="5"/>
      <c r="M325" s="5"/>
      <c r="N325" s="5"/>
      <c r="O325" s="5"/>
      <c r="P325" s="5"/>
      <c r="Q325" s="5"/>
    </row>
    <row r="326" spans="2:17" x14ac:dyDescent="0.45">
      <c r="B326" s="20" t="s">
        <v>171</v>
      </c>
      <c r="C326" s="24"/>
      <c r="D326" s="24">
        <f>SUM(D324:D325)</f>
        <v>0</v>
      </c>
      <c r="E326" s="24">
        <f t="shared" ref="E326:H326" si="104">SUM(E324:E325)</f>
        <v>18.638530000000003</v>
      </c>
      <c r="F326" s="24">
        <f t="shared" si="104"/>
        <v>111.75881826</v>
      </c>
      <c r="G326" s="24">
        <f t="shared" si="104"/>
        <v>134.84848862692002</v>
      </c>
      <c r="H326" s="24">
        <f t="shared" si="104"/>
        <v>160.76325514925065</v>
      </c>
      <c r="I326" s="5"/>
      <c r="J326" s="5"/>
      <c r="K326" s="5"/>
      <c r="L326" s="5"/>
      <c r="M326" s="5"/>
      <c r="N326" s="5"/>
      <c r="O326" s="5"/>
      <c r="P326" s="5"/>
      <c r="Q326" s="5"/>
    </row>
    <row r="327" spans="2:17" x14ac:dyDescent="0.4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</row>
    <row r="328" spans="2:17" x14ac:dyDescent="0.45">
      <c r="B328" s="29" t="s">
        <v>167</v>
      </c>
      <c r="C328" s="1"/>
      <c r="D328" s="1">
        <f>C71</f>
        <v>1200</v>
      </c>
      <c r="E328" s="1">
        <f>D332</f>
        <v>1188</v>
      </c>
      <c r="F328" s="1">
        <f t="shared" ref="F328:H328" si="105">E332</f>
        <v>1157.3614700000001</v>
      </c>
      <c r="G328" s="1">
        <f>F332</f>
        <v>1033.6026517400001</v>
      </c>
      <c r="H328" s="1">
        <f t="shared" si="105"/>
        <v>886.75416311308004</v>
      </c>
      <c r="I328" s="5"/>
      <c r="J328" s="5"/>
      <c r="K328" s="5"/>
      <c r="L328" s="5"/>
      <c r="M328" s="5"/>
      <c r="N328" s="5"/>
      <c r="O328" s="5"/>
      <c r="P328" s="5"/>
      <c r="Q328" s="5"/>
    </row>
    <row r="329" spans="2:17" x14ac:dyDescent="0.45">
      <c r="B329" s="25" t="s">
        <v>168</v>
      </c>
      <c r="C329" s="1"/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5"/>
      <c r="J329" s="5"/>
      <c r="K329" s="5"/>
      <c r="L329" s="5"/>
      <c r="M329" s="5"/>
      <c r="N329" s="5"/>
      <c r="O329" s="5"/>
      <c r="P329" s="5"/>
      <c r="Q329" s="5"/>
    </row>
    <row r="330" spans="2:17" x14ac:dyDescent="0.45">
      <c r="B330" s="25" t="s">
        <v>169</v>
      </c>
      <c r="C330" s="1"/>
      <c r="D330" s="1">
        <f>-MAX(MIN(D328,D326),0)</f>
        <v>0</v>
      </c>
      <c r="E330" s="1">
        <f t="shared" ref="E330:H330" si="106">-MAX(MIN(E328,E326),0)</f>
        <v>-18.638530000000003</v>
      </c>
      <c r="F330" s="1">
        <f t="shared" si="106"/>
        <v>-111.75881826</v>
      </c>
      <c r="G330" s="1">
        <f t="shared" si="106"/>
        <v>-134.84848862692002</v>
      </c>
      <c r="H330" s="1">
        <f t="shared" si="106"/>
        <v>-160.76325514925065</v>
      </c>
      <c r="I330" s="5"/>
      <c r="J330" s="5"/>
      <c r="K330" s="5"/>
      <c r="L330" s="5"/>
      <c r="M330" s="5"/>
      <c r="N330" s="5"/>
      <c r="O330" s="5"/>
      <c r="P330" s="5"/>
      <c r="Q330" s="5"/>
    </row>
    <row r="331" spans="2:17" x14ac:dyDescent="0.45">
      <c r="B331" s="25" t="s">
        <v>10</v>
      </c>
      <c r="C331" s="1"/>
      <c r="D331" s="1">
        <f>$D$328*-$C$37</f>
        <v>-12</v>
      </c>
      <c r="E331" s="1">
        <f>$D$328*-$C$37</f>
        <v>-12</v>
      </c>
      <c r="F331" s="1">
        <f>$D$328*-$C$37</f>
        <v>-12</v>
      </c>
      <c r="G331" s="1">
        <f>$D$328*-$C$37</f>
        <v>-12</v>
      </c>
      <c r="H331" s="1">
        <f>$D$328*-$C$37</f>
        <v>-12</v>
      </c>
      <c r="I331" s="5"/>
      <c r="J331" s="5"/>
      <c r="K331" s="5"/>
      <c r="L331" s="5"/>
      <c r="M331" s="5"/>
      <c r="N331" s="5"/>
      <c r="O331" s="5"/>
      <c r="P331" s="5"/>
      <c r="Q331" s="5"/>
    </row>
    <row r="332" spans="2:17" x14ac:dyDescent="0.45">
      <c r="B332" s="32" t="s">
        <v>170</v>
      </c>
      <c r="C332" s="43"/>
      <c r="D332" s="43">
        <f>SUM(D328:D331)</f>
        <v>1188</v>
      </c>
      <c r="E332" s="43">
        <f t="shared" ref="E332:H332" si="107">SUM(E328:E331)</f>
        <v>1157.3614700000001</v>
      </c>
      <c r="F332" s="43">
        <f t="shared" si="107"/>
        <v>1033.6026517400001</v>
      </c>
      <c r="G332" s="43">
        <f t="shared" si="107"/>
        <v>886.75416311308004</v>
      </c>
      <c r="H332" s="43">
        <f t="shared" si="107"/>
        <v>713.99090796382939</v>
      </c>
      <c r="I332" s="5"/>
      <c r="J332" s="5"/>
      <c r="K332" s="5"/>
      <c r="L332" s="5"/>
      <c r="M332" s="5"/>
      <c r="N332" s="5"/>
      <c r="O332" s="5"/>
      <c r="P332" s="5"/>
      <c r="Q332" s="5"/>
    </row>
    <row r="333" spans="2:17" x14ac:dyDescent="0.45">
      <c r="B333" t="s">
        <v>80</v>
      </c>
      <c r="C333" s="1"/>
      <c r="D333" s="3">
        <f>$C$36</f>
        <v>7.0000000000000007E-2</v>
      </c>
      <c r="E333" s="3">
        <f t="shared" ref="E333:H333" si="108">$C$36</f>
        <v>7.0000000000000007E-2</v>
      </c>
      <c r="F333" s="3">
        <f t="shared" si="108"/>
        <v>7.0000000000000007E-2</v>
      </c>
      <c r="G333" s="3">
        <f t="shared" si="108"/>
        <v>7.0000000000000007E-2</v>
      </c>
      <c r="H333" s="3">
        <f t="shared" si="108"/>
        <v>7.0000000000000007E-2</v>
      </c>
      <c r="I333" s="5"/>
      <c r="J333" s="5"/>
      <c r="K333" s="5"/>
      <c r="L333" s="5"/>
      <c r="M333" s="5"/>
      <c r="N333" s="5"/>
      <c r="O333" s="5"/>
      <c r="P333" s="5"/>
      <c r="Q333" s="5"/>
    </row>
    <row r="334" spans="2:17" x14ac:dyDescent="0.45">
      <c r="B334" t="s">
        <v>185</v>
      </c>
      <c r="C334" s="1"/>
      <c r="D334" s="1">
        <f>IF($C$51="No",D328*-D333,AVERAGE(D328,D332)*-D333)</f>
        <v>-84.000000000000014</v>
      </c>
      <c r="E334" s="1">
        <f t="shared" ref="E334:H334" si="109">IF($C$51="No",E328*-E333,AVERAGE(E328,E332)*-E333)</f>
        <v>-83.160000000000011</v>
      </c>
      <c r="F334" s="1">
        <f t="shared" si="109"/>
        <v>-81.015302900000009</v>
      </c>
      <c r="G334" s="1">
        <f t="shared" si="109"/>
        <v>-72.352185621800004</v>
      </c>
      <c r="H334" s="1">
        <f t="shared" si="109"/>
        <v>-62.07279141791561</v>
      </c>
      <c r="I334" s="5"/>
      <c r="J334" s="5"/>
      <c r="K334" s="5"/>
      <c r="L334" s="5"/>
      <c r="M334" s="5"/>
      <c r="N334" s="5"/>
      <c r="O334" s="5"/>
      <c r="P334" s="5"/>
      <c r="Q334" s="5"/>
    </row>
    <row r="335" spans="2:17" x14ac:dyDescent="0.45">
      <c r="C335" s="1"/>
      <c r="D335" s="1"/>
      <c r="E335" s="1"/>
      <c r="F335" s="1"/>
      <c r="G335" s="1"/>
      <c r="H335" s="1"/>
      <c r="I335" s="5"/>
      <c r="J335" s="5"/>
      <c r="K335" s="5"/>
      <c r="L335" s="5"/>
      <c r="M335" s="5"/>
      <c r="N335" s="5"/>
      <c r="O335" s="5"/>
      <c r="P335" s="5"/>
      <c r="Q335" s="5"/>
    </row>
    <row r="336" spans="2:17" x14ac:dyDescent="0.45">
      <c r="B336" s="33" t="s">
        <v>21</v>
      </c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</row>
    <row r="337" spans="2:17" x14ac:dyDescent="0.4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</row>
    <row r="338" spans="2:17" x14ac:dyDescent="0.45">
      <c r="B338" t="s">
        <v>68</v>
      </c>
      <c r="C338" s="5"/>
      <c r="D338" s="1">
        <f>C40</f>
        <v>600</v>
      </c>
      <c r="E338" s="1">
        <f>D342</f>
        <v>630</v>
      </c>
      <c r="F338" s="1">
        <f t="shared" ref="F338:H338" si="110">E342</f>
        <v>661.5</v>
      </c>
      <c r="G338" s="1">
        <f>F342</f>
        <v>694.57500000000005</v>
      </c>
      <c r="H338" s="1">
        <f t="shared" si="110"/>
        <v>729.30375000000004</v>
      </c>
      <c r="I338" s="5"/>
      <c r="J338" s="5"/>
      <c r="K338" s="5"/>
      <c r="L338" s="5"/>
      <c r="M338" s="5"/>
      <c r="N338" s="5"/>
      <c r="O338" s="5"/>
      <c r="P338" s="5"/>
      <c r="Q338" s="5"/>
    </row>
    <row r="339" spans="2:17" x14ac:dyDescent="0.45">
      <c r="B339" s="25" t="s">
        <v>168</v>
      </c>
      <c r="C339" s="5"/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5"/>
      <c r="J339" s="5"/>
      <c r="K339" s="5"/>
      <c r="L339" s="5"/>
      <c r="M339" s="5"/>
      <c r="N339" s="5"/>
      <c r="O339" s="5"/>
      <c r="P339" s="5"/>
      <c r="Q339" s="5"/>
    </row>
    <row r="340" spans="2:17" x14ac:dyDescent="0.45">
      <c r="B340" s="25" t="s">
        <v>76</v>
      </c>
      <c r="C340" s="5"/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5"/>
      <c r="J340" s="5"/>
      <c r="K340" s="5"/>
      <c r="L340" s="5"/>
      <c r="M340" s="5"/>
      <c r="N340" s="5"/>
      <c r="O340" s="5"/>
      <c r="P340" s="5"/>
      <c r="Q340" s="5"/>
    </row>
    <row r="341" spans="2:17" x14ac:dyDescent="0.45">
      <c r="B341" s="25" t="s">
        <v>78</v>
      </c>
      <c r="C341" s="5"/>
      <c r="D341" s="1">
        <f>-D346</f>
        <v>30</v>
      </c>
      <c r="E341" s="1">
        <f t="shared" ref="E341:H341" si="111">-E346</f>
        <v>31.5</v>
      </c>
      <c r="F341" s="1">
        <f t="shared" si="111"/>
        <v>33.075000000000003</v>
      </c>
      <c r="G341" s="1">
        <f t="shared" si="111"/>
        <v>34.728750000000005</v>
      </c>
      <c r="H341" s="1">
        <f t="shared" si="111"/>
        <v>36.465187500000006</v>
      </c>
      <c r="I341" s="5"/>
      <c r="J341" s="5"/>
      <c r="K341" s="5"/>
      <c r="L341" s="5"/>
      <c r="M341" s="5"/>
      <c r="N341" s="5"/>
      <c r="O341" s="5"/>
      <c r="P341" s="5"/>
      <c r="Q341" s="5"/>
    </row>
    <row r="342" spans="2:17" x14ac:dyDescent="0.45">
      <c r="B342" s="32" t="s">
        <v>170</v>
      </c>
      <c r="C342" s="11"/>
      <c r="D342" s="43">
        <f>SUM(D338:D341)</f>
        <v>630</v>
      </c>
      <c r="E342" s="43">
        <f t="shared" ref="E342:H342" si="112">SUM(E338:E341)</f>
        <v>661.5</v>
      </c>
      <c r="F342" s="43">
        <f t="shared" si="112"/>
        <v>694.57500000000005</v>
      </c>
      <c r="G342" s="43">
        <f t="shared" si="112"/>
        <v>729.30375000000004</v>
      </c>
      <c r="H342" s="43">
        <f t="shared" si="112"/>
        <v>765.76893749999999</v>
      </c>
      <c r="I342" s="5"/>
      <c r="J342" s="5"/>
      <c r="K342" s="5"/>
      <c r="L342" s="5"/>
      <c r="M342" s="5"/>
      <c r="N342" s="5"/>
      <c r="O342" s="5"/>
      <c r="P342" s="5"/>
      <c r="Q342" s="5"/>
    </row>
    <row r="343" spans="2:17" x14ac:dyDescent="0.45">
      <c r="B343" t="s">
        <v>177</v>
      </c>
      <c r="D343" s="13">
        <f>C41</f>
        <v>0.1</v>
      </c>
      <c r="E343" s="13">
        <f>D343</f>
        <v>0.1</v>
      </c>
      <c r="F343" s="13">
        <f t="shared" ref="F343:H343" si="113">E343</f>
        <v>0.1</v>
      </c>
      <c r="G343" s="13">
        <f>F343</f>
        <v>0.1</v>
      </c>
      <c r="H343" s="13">
        <f t="shared" si="113"/>
        <v>0.1</v>
      </c>
      <c r="I343" s="5"/>
      <c r="J343" s="5"/>
      <c r="K343" s="5"/>
      <c r="L343" s="5"/>
      <c r="M343" s="5"/>
      <c r="N343" s="5"/>
      <c r="O343" s="5"/>
      <c r="P343" s="5"/>
      <c r="Q343" s="5"/>
    </row>
    <row r="344" spans="2:17" x14ac:dyDescent="0.45">
      <c r="B344" t="s">
        <v>175</v>
      </c>
      <c r="C344" s="5"/>
      <c r="D344" s="1">
        <f>IF($C$51="No",D$338*-D343,AVERAGE(D$338,D$342)*-D343)</f>
        <v>-60</v>
      </c>
      <c r="E344" s="1">
        <f>IF($C$51="No",E$338*-E343,AVERAGE(E$338,E$342)*-E343)</f>
        <v>-63</v>
      </c>
      <c r="F344" s="1">
        <f>IF($C$51="No",F$338*-F343,AVERAGE(F$338,F$342)*-F343)</f>
        <v>-66.150000000000006</v>
      </c>
      <c r="G344" s="1">
        <f>IF($C$51="No",G$338*-G343,AVERAGE(G$338,G$342)*-G343)</f>
        <v>-69.45750000000001</v>
      </c>
      <c r="H344" s="1">
        <f>IF($C$51="No",H$338*-H343,AVERAGE(H$338,H$342)*-H343)</f>
        <v>-72.930375000000012</v>
      </c>
      <c r="I344" s="5"/>
      <c r="J344" s="5"/>
      <c r="K344" s="5"/>
      <c r="L344" s="5"/>
      <c r="M344" s="5"/>
      <c r="N344" s="5"/>
      <c r="O344" s="5"/>
      <c r="P344" s="5"/>
      <c r="Q344" s="5"/>
    </row>
    <row r="345" spans="2:17" x14ac:dyDescent="0.45">
      <c r="B345" t="s">
        <v>174</v>
      </c>
      <c r="C345" s="5"/>
      <c r="D345" s="13">
        <f>C42</f>
        <v>0.05</v>
      </c>
      <c r="E345" s="13">
        <f>D345</f>
        <v>0.05</v>
      </c>
      <c r="F345" s="13">
        <f t="shared" ref="F345:H345" si="114">E345</f>
        <v>0.05</v>
      </c>
      <c r="G345" s="13">
        <f>F345</f>
        <v>0.05</v>
      </c>
      <c r="H345" s="13">
        <f t="shared" si="114"/>
        <v>0.05</v>
      </c>
      <c r="I345" s="5"/>
      <c r="J345" s="5"/>
      <c r="K345" s="5"/>
      <c r="L345" s="5"/>
      <c r="M345" s="5"/>
      <c r="N345" s="5"/>
      <c r="O345" s="5"/>
      <c r="P345" s="5"/>
      <c r="Q345" s="5"/>
    </row>
    <row r="346" spans="2:17" x14ac:dyDescent="0.45">
      <c r="B346" t="s">
        <v>176</v>
      </c>
      <c r="C346" s="5"/>
      <c r="D346" s="1">
        <f>IF($C$51="No",D$338*-D345,AVERAGE(D$338,D$342)*-D345)</f>
        <v>-30</v>
      </c>
      <c r="E346" s="1">
        <f>IF($C$51="No",E$338*-E345,AVERAGE(E$338,E$342)*-E345)</f>
        <v>-31.5</v>
      </c>
      <c r="F346" s="1">
        <f>IF($C$51="No",F$338*-F345,AVERAGE(F$338,F$342)*-F345)</f>
        <v>-33.075000000000003</v>
      </c>
      <c r="G346" s="1">
        <f>IF($C$51="No",G$338*-G345,AVERAGE(G$338,G$342)*-G345)</f>
        <v>-34.728750000000005</v>
      </c>
      <c r="H346" s="1">
        <f>IF($C$51="No",H$338*-H345,AVERAGE(H$338,H$342)*-H345)</f>
        <v>-36.465187500000006</v>
      </c>
      <c r="I346" s="5"/>
      <c r="J346" s="5"/>
      <c r="K346" s="5"/>
      <c r="L346" s="5"/>
      <c r="M346" s="5"/>
      <c r="N346" s="5"/>
      <c r="O346" s="5"/>
      <c r="P346" s="5"/>
      <c r="Q346" s="5"/>
    </row>
    <row r="347" spans="2:17" x14ac:dyDescent="0.4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</row>
    <row r="348" spans="2:17" x14ac:dyDescent="0.45">
      <c r="B348" s="19" t="s">
        <v>189</v>
      </c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</row>
    <row r="349" spans="2:17" x14ac:dyDescent="0.45">
      <c r="B349" t="s">
        <v>81</v>
      </c>
      <c r="C349" s="31"/>
      <c r="D349" s="6">
        <f>SUM(D312,D332,D342)</f>
        <v>1892.07</v>
      </c>
      <c r="E349" s="6">
        <f t="shared" ref="E349:H349" si="115">SUM(E312,E332,E342)</f>
        <v>1818.8614700000001</v>
      </c>
      <c r="F349" s="6">
        <f t="shared" si="115"/>
        <v>1728.1776517400001</v>
      </c>
      <c r="G349" s="6">
        <f t="shared" si="115"/>
        <v>1616.0579131130801</v>
      </c>
      <c r="H349" s="6">
        <f t="shared" si="115"/>
        <v>1479.7598454638294</v>
      </c>
      <c r="I349" s="5"/>
      <c r="J349" s="5"/>
      <c r="K349" s="5"/>
      <c r="L349" s="5"/>
      <c r="M349" s="5"/>
      <c r="N349" s="5"/>
      <c r="O349" s="5"/>
      <c r="P349" s="5"/>
      <c r="Q349" s="5"/>
    </row>
    <row r="350" spans="2:17" x14ac:dyDescent="0.45">
      <c r="B350" t="s">
        <v>186</v>
      </c>
      <c r="C350" s="49"/>
      <c r="D350" s="49">
        <f>D349/D99</f>
        <v>5.7335454545454541</v>
      </c>
      <c r="E350" s="49">
        <f>E349/E99</f>
        <v>5.0106376584022039</v>
      </c>
      <c r="F350" s="49">
        <f>F349/F99</f>
        <v>4.3280181611319817</v>
      </c>
      <c r="G350" s="49">
        <f>G349/G99</f>
        <v>3.6792976643514326</v>
      </c>
      <c r="H350" s="49">
        <f>H349/H99</f>
        <v>3.0627148035173724</v>
      </c>
      <c r="I350" s="5"/>
      <c r="J350" s="5"/>
      <c r="K350" s="5"/>
      <c r="L350" s="5"/>
      <c r="M350" s="5"/>
      <c r="N350" s="5"/>
      <c r="O350" s="5"/>
      <c r="P350" s="5"/>
      <c r="Q350" s="5"/>
    </row>
    <row r="351" spans="2:17" x14ac:dyDescent="0.45">
      <c r="B351" t="s">
        <v>187</v>
      </c>
      <c r="C351" s="5"/>
      <c r="D351" s="1">
        <f>SUM(D314,D319,D334,D344)</f>
        <v>-150.75</v>
      </c>
      <c r="E351" s="1">
        <f>SUM(E314,E319,E334,E344)</f>
        <v>-150.25245000000001</v>
      </c>
      <c r="F351" s="1">
        <f t="shared" ref="F351:G351" si="116">SUM(F314,F319,F334,F344)</f>
        <v>-148.66530290000003</v>
      </c>
      <c r="G351" s="1">
        <f t="shared" si="116"/>
        <v>-143.30968562180001</v>
      </c>
      <c r="H351" s="1">
        <f>SUM(H314,H319,H334,H344)</f>
        <v>-136.50316641791562</v>
      </c>
      <c r="I351" s="5"/>
      <c r="J351" s="5"/>
      <c r="K351" s="5"/>
      <c r="L351" s="5"/>
      <c r="M351" s="5"/>
      <c r="N351" s="5"/>
      <c r="O351" s="5"/>
      <c r="P351" s="5"/>
      <c r="Q351" s="5"/>
    </row>
    <row r="352" spans="2:17" x14ac:dyDescent="0.45">
      <c r="B352" t="s">
        <v>188</v>
      </c>
      <c r="C352" s="5"/>
      <c r="D352" s="1">
        <f>D346</f>
        <v>-30</v>
      </c>
      <c r="E352" s="1">
        <f t="shared" ref="E352:H352" si="117">E346</f>
        <v>-31.5</v>
      </c>
      <c r="F352" s="1">
        <f t="shared" si="117"/>
        <v>-33.075000000000003</v>
      </c>
      <c r="G352" s="1">
        <f t="shared" si="117"/>
        <v>-34.728750000000005</v>
      </c>
      <c r="H352" s="1">
        <f t="shared" si="117"/>
        <v>-36.465187500000006</v>
      </c>
      <c r="I352" s="5"/>
      <c r="J352" s="5"/>
      <c r="K352" s="5"/>
      <c r="L352" s="5"/>
      <c r="M352" s="5"/>
      <c r="N352" s="5"/>
      <c r="O352" s="5"/>
      <c r="P352" s="5"/>
      <c r="Q352" s="5"/>
    </row>
    <row r="353" spans="2:17" x14ac:dyDescent="0.45">
      <c r="B353" t="s">
        <v>190</v>
      </c>
      <c r="C353" s="5"/>
      <c r="D353" s="1">
        <f>SUM(D351:D352)</f>
        <v>-180.75</v>
      </c>
      <c r="E353" s="1">
        <f t="shared" ref="E353:H353" si="118">SUM(E351:E352)</f>
        <v>-181.75245000000001</v>
      </c>
      <c r="F353" s="1">
        <f t="shared" si="118"/>
        <v>-181.74030290000002</v>
      </c>
      <c r="G353" s="1">
        <f t="shared" si="118"/>
        <v>-178.03843562180003</v>
      </c>
      <c r="H353" s="1">
        <f t="shared" si="118"/>
        <v>-172.96835391791564</v>
      </c>
      <c r="I353" s="5"/>
      <c r="J353" s="5"/>
      <c r="K353" s="5"/>
      <c r="L353" s="5"/>
      <c r="M353" s="5"/>
      <c r="N353" s="5"/>
      <c r="O353" s="5"/>
      <c r="P353" s="5"/>
      <c r="Q353" s="5"/>
    </row>
    <row r="354" spans="2:17" x14ac:dyDescent="0.4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</row>
    <row r="355" spans="2:17" x14ac:dyDescent="0.45">
      <c r="C355" s="1"/>
      <c r="D355" s="1"/>
      <c r="E355" s="1"/>
      <c r="F355" s="1"/>
      <c r="G355" s="1"/>
      <c r="H355" s="1"/>
      <c r="I355" s="5"/>
      <c r="J355" s="5"/>
      <c r="K355" s="5"/>
      <c r="L355" s="5"/>
      <c r="M355" s="5"/>
      <c r="N355" s="5"/>
      <c r="O355" s="5"/>
      <c r="P355" s="5"/>
      <c r="Q355" s="5"/>
    </row>
    <row r="356" spans="2:17" x14ac:dyDescent="0.45">
      <c r="C356" s="1"/>
      <c r="D356" s="1"/>
      <c r="E356" s="1"/>
      <c r="F356" s="1"/>
      <c r="G356" s="1"/>
      <c r="H356" s="1"/>
      <c r="I356" s="5"/>
      <c r="J356" s="5"/>
      <c r="K356" s="5"/>
      <c r="L356" s="5"/>
      <c r="M356" s="5"/>
      <c r="N356" s="5"/>
      <c r="O356" s="5"/>
      <c r="P356" s="5"/>
      <c r="Q356" s="5"/>
    </row>
    <row r="357" spans="2:17" x14ac:dyDescent="0.45">
      <c r="C357" s="1"/>
      <c r="D357" s="1"/>
      <c r="E357" s="1"/>
      <c r="F357" s="1"/>
      <c r="G357" s="1"/>
      <c r="H357" s="1"/>
      <c r="I357" s="5"/>
      <c r="J357" s="5"/>
      <c r="K357" s="5"/>
      <c r="L357" s="5"/>
      <c r="M357" s="5"/>
      <c r="N357" s="5"/>
      <c r="O357" s="5"/>
      <c r="P357" s="5"/>
      <c r="Q357" s="5"/>
    </row>
    <row r="358" spans="2:17" x14ac:dyDescent="0.45">
      <c r="C358" s="1"/>
      <c r="D358" s="1"/>
      <c r="E358" s="1"/>
      <c r="F358" s="1"/>
      <c r="G358" s="1"/>
      <c r="H358" s="1"/>
      <c r="I358" s="5"/>
      <c r="J358" s="5"/>
      <c r="K358" s="5"/>
      <c r="L358" s="5"/>
      <c r="M358" s="5"/>
      <c r="N358" s="5"/>
      <c r="O358" s="5"/>
      <c r="P358" s="5"/>
      <c r="Q358" s="5"/>
    </row>
    <row r="359" spans="2:17" x14ac:dyDescent="0.45">
      <c r="C359" s="1"/>
      <c r="D359" s="1"/>
      <c r="E359" s="1"/>
      <c r="F359" s="1"/>
      <c r="G359" s="1"/>
      <c r="H359" s="1"/>
      <c r="I359" s="5"/>
      <c r="J359" s="5"/>
      <c r="K359" s="5"/>
      <c r="L359" s="5"/>
      <c r="M359" s="5"/>
      <c r="N359" s="5"/>
      <c r="O359" s="5"/>
      <c r="P359" s="5"/>
      <c r="Q359" s="5"/>
    </row>
    <row r="360" spans="2:17" x14ac:dyDescent="0.45">
      <c r="C360" s="1"/>
      <c r="D360" s="1"/>
      <c r="E360" s="1"/>
      <c r="F360" s="1"/>
      <c r="G360" s="1"/>
      <c r="H360" s="1"/>
      <c r="I360" s="5"/>
      <c r="J360" s="5"/>
      <c r="K360" s="5"/>
      <c r="L360" s="5"/>
      <c r="M360" s="5"/>
      <c r="N360" s="5"/>
      <c r="O360" s="5"/>
      <c r="P360" s="5"/>
      <c r="Q360" s="5"/>
    </row>
    <row r="361" spans="2:17" x14ac:dyDescent="0.45">
      <c r="C361" s="1"/>
      <c r="D361" s="1"/>
      <c r="E361" s="1"/>
      <c r="F361" s="1"/>
      <c r="G361" s="1"/>
      <c r="H361" s="1"/>
      <c r="I361" s="5"/>
      <c r="J361" s="5"/>
      <c r="K361" s="5"/>
      <c r="L361" s="5"/>
      <c r="M361" s="5"/>
      <c r="N361" s="5"/>
      <c r="O361" s="5"/>
      <c r="P361" s="5"/>
      <c r="Q361" s="5"/>
    </row>
    <row r="362" spans="2:17" x14ac:dyDescent="0.4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</row>
    <row r="363" spans="2:17" x14ac:dyDescent="0.4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</row>
    <row r="364" spans="2:17" x14ac:dyDescent="0.4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</row>
    <row r="365" spans="2:17" x14ac:dyDescent="0.4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</row>
    <row r="366" spans="2:17" x14ac:dyDescent="0.4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</row>
    <row r="367" spans="2:17" x14ac:dyDescent="0.4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</row>
    <row r="368" spans="2:17" x14ac:dyDescent="0.4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</row>
    <row r="369" spans="3:17" x14ac:dyDescent="0.4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</row>
    <row r="370" spans="3:17" x14ac:dyDescent="0.4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</row>
    <row r="371" spans="3:17" x14ac:dyDescent="0.45"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</row>
    <row r="372" spans="3:17" x14ac:dyDescent="0.4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</row>
    <row r="373" spans="3:17" x14ac:dyDescent="0.4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</row>
    <row r="374" spans="3:17" x14ac:dyDescent="0.4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</row>
    <row r="375" spans="3:17" x14ac:dyDescent="0.4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</row>
    <row r="376" spans="3:17" x14ac:dyDescent="0.4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</row>
    <row r="377" spans="3:17" x14ac:dyDescent="0.4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</row>
    <row r="378" spans="3:17" x14ac:dyDescent="0.4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</row>
    <row r="379" spans="3:17" x14ac:dyDescent="0.4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</row>
    <row r="380" spans="3:17" x14ac:dyDescent="0.4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</row>
    <row r="381" spans="3:17" x14ac:dyDescent="0.4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</row>
    <row r="382" spans="3:17" x14ac:dyDescent="0.4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</row>
    <row r="383" spans="3:17" x14ac:dyDescent="0.4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</row>
    <row r="384" spans="3:17" x14ac:dyDescent="0.4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</row>
    <row r="385" spans="3:17" x14ac:dyDescent="0.4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</row>
    <row r="386" spans="3:17" x14ac:dyDescent="0.4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</row>
    <row r="387" spans="3:17" x14ac:dyDescent="0.4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</row>
    <row r="388" spans="3:17" x14ac:dyDescent="0.4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</row>
    <row r="389" spans="3:17" x14ac:dyDescent="0.4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</row>
    <row r="390" spans="3:17" x14ac:dyDescent="0.4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</row>
    <row r="391" spans="3:17" x14ac:dyDescent="0.4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</row>
    <row r="392" spans="3:17" x14ac:dyDescent="0.4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</row>
    <row r="393" spans="3:17" x14ac:dyDescent="0.4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</row>
    <row r="394" spans="3:17" x14ac:dyDescent="0.4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</row>
    <row r="395" spans="3:17" x14ac:dyDescent="0.4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</row>
    <row r="396" spans="3:17" x14ac:dyDescent="0.4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</row>
    <row r="397" spans="3:17" x14ac:dyDescent="0.4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</row>
    <row r="398" spans="3:17" x14ac:dyDescent="0.4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</row>
    <row r="399" spans="3:17" x14ac:dyDescent="0.45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</row>
    <row r="400" spans="3:17" x14ac:dyDescent="0.45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</row>
    <row r="401" spans="3:17" x14ac:dyDescent="0.45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</row>
    <row r="402" spans="3:17" x14ac:dyDescent="0.45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</row>
    <row r="403" spans="3:17" x14ac:dyDescent="0.45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</row>
    <row r="404" spans="3:17" x14ac:dyDescent="0.45"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</row>
    <row r="405" spans="3:17" x14ac:dyDescent="0.4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</row>
    <row r="406" spans="3:17" x14ac:dyDescent="0.45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</row>
    <row r="407" spans="3:17" x14ac:dyDescent="0.45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</row>
    <row r="408" spans="3:17" x14ac:dyDescent="0.4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</row>
    <row r="409" spans="3:17" x14ac:dyDescent="0.4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</row>
    <row r="410" spans="3:17" x14ac:dyDescent="0.4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</row>
    <row r="411" spans="3:17" x14ac:dyDescent="0.4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</row>
    <row r="412" spans="3:17" x14ac:dyDescent="0.4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</row>
    <row r="413" spans="3:17" x14ac:dyDescent="0.4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</row>
    <row r="414" spans="3:17" x14ac:dyDescent="0.4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</row>
    <row r="415" spans="3:17" x14ac:dyDescent="0.4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</row>
    <row r="416" spans="3:17" x14ac:dyDescent="0.4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</row>
    <row r="417" spans="3:17" x14ac:dyDescent="0.4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</row>
    <row r="418" spans="3:17" x14ac:dyDescent="0.4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</row>
    <row r="419" spans="3:17" x14ac:dyDescent="0.4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</row>
    <row r="420" spans="3:17" x14ac:dyDescent="0.4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</row>
    <row r="421" spans="3:17" x14ac:dyDescent="0.4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</row>
    <row r="422" spans="3:17" x14ac:dyDescent="0.4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</row>
    <row r="423" spans="3:17" x14ac:dyDescent="0.4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</row>
    <row r="424" spans="3:17" x14ac:dyDescent="0.4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</row>
    <row r="425" spans="3:17" x14ac:dyDescent="0.4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</row>
    <row r="426" spans="3:17" x14ac:dyDescent="0.4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</row>
    <row r="427" spans="3:17" x14ac:dyDescent="0.4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</row>
    <row r="428" spans="3:17" x14ac:dyDescent="0.4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</row>
    <row r="429" spans="3:17" x14ac:dyDescent="0.4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</row>
    <row r="430" spans="3:17" x14ac:dyDescent="0.4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</row>
    <row r="431" spans="3:17" x14ac:dyDescent="0.4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</row>
    <row r="432" spans="3:17" x14ac:dyDescent="0.4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</row>
    <row r="433" spans="3:17" x14ac:dyDescent="0.4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</row>
    <row r="434" spans="3:17" x14ac:dyDescent="0.4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</row>
    <row r="435" spans="3:17" x14ac:dyDescent="0.4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</row>
    <row r="436" spans="3:17" x14ac:dyDescent="0.4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</row>
    <row r="437" spans="3:17" x14ac:dyDescent="0.45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</row>
    <row r="438" spans="3:17" x14ac:dyDescent="0.4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</row>
    <row r="439" spans="3:17" x14ac:dyDescent="0.4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</row>
    <row r="440" spans="3:17" x14ac:dyDescent="0.4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</row>
    <row r="441" spans="3:17" x14ac:dyDescent="0.4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</row>
    <row r="442" spans="3:17" x14ac:dyDescent="0.4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</row>
    <row r="443" spans="3:17" x14ac:dyDescent="0.4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</row>
    <row r="444" spans="3:17" x14ac:dyDescent="0.4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</row>
    <row r="445" spans="3:17" x14ac:dyDescent="0.4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</row>
    <row r="446" spans="3:17" x14ac:dyDescent="0.4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</row>
    <row r="447" spans="3:17" x14ac:dyDescent="0.4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</row>
    <row r="448" spans="3:17" x14ac:dyDescent="0.4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</row>
    <row r="449" spans="3:17" x14ac:dyDescent="0.4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</row>
    <row r="450" spans="3:17" x14ac:dyDescent="0.4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</row>
    <row r="451" spans="3:17" x14ac:dyDescent="0.4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</row>
    <row r="452" spans="3:17" x14ac:dyDescent="0.4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</row>
    <row r="453" spans="3:17" x14ac:dyDescent="0.4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</row>
    <row r="454" spans="3:17" x14ac:dyDescent="0.4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</row>
    <row r="455" spans="3:17" x14ac:dyDescent="0.4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</row>
    <row r="456" spans="3:17" x14ac:dyDescent="0.4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</row>
    <row r="457" spans="3:17" x14ac:dyDescent="0.4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</row>
    <row r="458" spans="3:17" x14ac:dyDescent="0.4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</row>
    <row r="459" spans="3:17" x14ac:dyDescent="0.4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</row>
    <row r="460" spans="3:17" x14ac:dyDescent="0.4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</row>
    <row r="461" spans="3:17" x14ac:dyDescent="0.4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</row>
    <row r="462" spans="3:17" x14ac:dyDescent="0.4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</row>
    <row r="463" spans="3:17" x14ac:dyDescent="0.4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</row>
    <row r="464" spans="3:17" x14ac:dyDescent="0.4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</row>
    <row r="465" spans="3:17" x14ac:dyDescent="0.4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</row>
    <row r="466" spans="3:17" x14ac:dyDescent="0.4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</row>
    <row r="467" spans="3:17" x14ac:dyDescent="0.4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</row>
    <row r="468" spans="3:17" x14ac:dyDescent="0.4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</row>
    <row r="469" spans="3:17" x14ac:dyDescent="0.4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</row>
    <row r="470" spans="3:17" x14ac:dyDescent="0.45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</row>
    <row r="471" spans="3:17" x14ac:dyDescent="0.4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</row>
    <row r="472" spans="3:17" x14ac:dyDescent="0.4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</row>
    <row r="473" spans="3:17" x14ac:dyDescent="0.4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</row>
    <row r="474" spans="3:17" x14ac:dyDescent="0.4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</row>
    <row r="475" spans="3:17" x14ac:dyDescent="0.4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</row>
    <row r="476" spans="3:17" x14ac:dyDescent="0.4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</row>
    <row r="477" spans="3:17" x14ac:dyDescent="0.4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</row>
    <row r="478" spans="3:17" x14ac:dyDescent="0.4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</row>
    <row r="479" spans="3:17" x14ac:dyDescent="0.4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</row>
    <row r="480" spans="3:17" x14ac:dyDescent="0.4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</row>
    <row r="481" spans="3:17" x14ac:dyDescent="0.4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</row>
    <row r="482" spans="3:17" x14ac:dyDescent="0.4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</row>
    <row r="483" spans="3:17" x14ac:dyDescent="0.4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</row>
    <row r="484" spans="3:17" x14ac:dyDescent="0.4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</row>
    <row r="485" spans="3:17" x14ac:dyDescent="0.4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</row>
    <row r="486" spans="3:17" x14ac:dyDescent="0.4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</row>
    <row r="487" spans="3:17" x14ac:dyDescent="0.4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</row>
    <row r="488" spans="3:17" x14ac:dyDescent="0.4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</row>
    <row r="489" spans="3:17" x14ac:dyDescent="0.4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</row>
    <row r="490" spans="3:17" x14ac:dyDescent="0.4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</row>
    <row r="491" spans="3:17" x14ac:dyDescent="0.4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</row>
    <row r="492" spans="3:17" x14ac:dyDescent="0.4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</row>
    <row r="493" spans="3:17" x14ac:dyDescent="0.4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</row>
    <row r="494" spans="3:17" x14ac:dyDescent="0.4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</row>
    <row r="495" spans="3:17" x14ac:dyDescent="0.4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</row>
    <row r="496" spans="3:17" x14ac:dyDescent="0.4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</row>
    <row r="497" spans="3:17" x14ac:dyDescent="0.4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</row>
    <row r="498" spans="3:17" x14ac:dyDescent="0.4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</row>
    <row r="499" spans="3:17" x14ac:dyDescent="0.4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</row>
    <row r="500" spans="3:17" x14ac:dyDescent="0.4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</row>
    <row r="501" spans="3:17" x14ac:dyDescent="0.4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</row>
    <row r="502" spans="3:17" x14ac:dyDescent="0.4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</row>
    <row r="503" spans="3:17" x14ac:dyDescent="0.45"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</row>
    <row r="504" spans="3:17" x14ac:dyDescent="0.4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</row>
    <row r="505" spans="3:17" x14ac:dyDescent="0.4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</row>
    <row r="506" spans="3:17" x14ac:dyDescent="0.4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</row>
    <row r="507" spans="3:17" x14ac:dyDescent="0.4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</row>
    <row r="508" spans="3:17" x14ac:dyDescent="0.4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</row>
    <row r="509" spans="3:17" x14ac:dyDescent="0.4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</row>
    <row r="510" spans="3:17" x14ac:dyDescent="0.4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</row>
    <row r="511" spans="3:17" x14ac:dyDescent="0.4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</row>
    <row r="512" spans="3:17" x14ac:dyDescent="0.4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</row>
    <row r="513" spans="3:17" x14ac:dyDescent="0.4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</row>
    <row r="514" spans="3:17" x14ac:dyDescent="0.4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</row>
    <row r="515" spans="3:17" x14ac:dyDescent="0.4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</row>
    <row r="516" spans="3:17" x14ac:dyDescent="0.4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</row>
    <row r="517" spans="3:17" x14ac:dyDescent="0.4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</row>
    <row r="518" spans="3:17" x14ac:dyDescent="0.4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</row>
    <row r="519" spans="3:17" x14ac:dyDescent="0.4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</row>
    <row r="520" spans="3:17" x14ac:dyDescent="0.4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</row>
    <row r="521" spans="3:17" x14ac:dyDescent="0.4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</row>
    <row r="522" spans="3:17" x14ac:dyDescent="0.4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</row>
    <row r="523" spans="3:17" x14ac:dyDescent="0.4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</row>
    <row r="524" spans="3:17" x14ac:dyDescent="0.4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</row>
    <row r="525" spans="3:17" x14ac:dyDescent="0.4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</row>
    <row r="526" spans="3:17" x14ac:dyDescent="0.4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</row>
    <row r="527" spans="3:17" x14ac:dyDescent="0.4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</row>
    <row r="528" spans="3:17" x14ac:dyDescent="0.4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</row>
    <row r="529" spans="3:17" x14ac:dyDescent="0.4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</row>
    <row r="530" spans="3:17" x14ac:dyDescent="0.4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</row>
    <row r="531" spans="3:17" x14ac:dyDescent="0.4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</row>
    <row r="532" spans="3:17" x14ac:dyDescent="0.4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</row>
    <row r="533" spans="3:17" x14ac:dyDescent="0.4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</row>
    <row r="534" spans="3:17" x14ac:dyDescent="0.4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</row>
    <row r="535" spans="3:17" x14ac:dyDescent="0.4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</row>
    <row r="536" spans="3:17" x14ac:dyDescent="0.45"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</row>
    <row r="537" spans="3:17" x14ac:dyDescent="0.4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</row>
    <row r="538" spans="3:17" x14ac:dyDescent="0.4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</row>
    <row r="539" spans="3:17" x14ac:dyDescent="0.4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</row>
    <row r="540" spans="3:17" x14ac:dyDescent="0.4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</row>
    <row r="541" spans="3:17" x14ac:dyDescent="0.4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</row>
    <row r="542" spans="3:17" x14ac:dyDescent="0.4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</row>
    <row r="543" spans="3:17" x14ac:dyDescent="0.4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</row>
    <row r="544" spans="3:17" x14ac:dyDescent="0.4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</row>
    <row r="545" spans="3:17" x14ac:dyDescent="0.4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</row>
    <row r="546" spans="3:17" x14ac:dyDescent="0.4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</row>
    <row r="547" spans="3:17" x14ac:dyDescent="0.4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</row>
    <row r="548" spans="3:17" x14ac:dyDescent="0.4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</row>
    <row r="549" spans="3:17" x14ac:dyDescent="0.4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</row>
    <row r="550" spans="3:17" x14ac:dyDescent="0.4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</row>
    <row r="551" spans="3:17" x14ac:dyDescent="0.4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</row>
    <row r="552" spans="3:17" x14ac:dyDescent="0.4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</row>
    <row r="553" spans="3:17" x14ac:dyDescent="0.4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</row>
    <row r="554" spans="3:17" x14ac:dyDescent="0.4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</row>
    <row r="555" spans="3:17" x14ac:dyDescent="0.4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</row>
    <row r="556" spans="3:17" x14ac:dyDescent="0.4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</row>
    <row r="557" spans="3:17" x14ac:dyDescent="0.4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</row>
    <row r="558" spans="3:17" x14ac:dyDescent="0.4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</row>
    <row r="559" spans="3:17" x14ac:dyDescent="0.4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</row>
    <row r="560" spans="3:17" x14ac:dyDescent="0.4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</row>
    <row r="561" spans="3:17" x14ac:dyDescent="0.4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</row>
    <row r="562" spans="3:17" x14ac:dyDescent="0.4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</row>
    <row r="563" spans="3:17" x14ac:dyDescent="0.4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</row>
    <row r="564" spans="3:17" x14ac:dyDescent="0.4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</row>
    <row r="565" spans="3:17" x14ac:dyDescent="0.4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</row>
    <row r="566" spans="3:17" x14ac:dyDescent="0.4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</row>
    <row r="567" spans="3:17" x14ac:dyDescent="0.4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</row>
    <row r="568" spans="3:17" x14ac:dyDescent="0.4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</row>
    <row r="569" spans="3:17" x14ac:dyDescent="0.45"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</row>
    <row r="570" spans="3:17" x14ac:dyDescent="0.4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</row>
    <row r="571" spans="3:17" x14ac:dyDescent="0.4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</row>
    <row r="572" spans="3:17" x14ac:dyDescent="0.4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</row>
    <row r="573" spans="3:17" x14ac:dyDescent="0.4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</row>
    <row r="574" spans="3:17" x14ac:dyDescent="0.4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</row>
    <row r="575" spans="3:17" x14ac:dyDescent="0.4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</row>
    <row r="576" spans="3:17" x14ac:dyDescent="0.4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</row>
    <row r="577" spans="3:17" x14ac:dyDescent="0.4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</row>
    <row r="578" spans="3:17" x14ac:dyDescent="0.4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</row>
    <row r="579" spans="3:17" x14ac:dyDescent="0.4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</row>
    <row r="580" spans="3:17" x14ac:dyDescent="0.4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</row>
    <row r="581" spans="3:17" x14ac:dyDescent="0.4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</row>
    <row r="582" spans="3:17" x14ac:dyDescent="0.4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</row>
    <row r="583" spans="3:17" x14ac:dyDescent="0.4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</row>
    <row r="584" spans="3:17" x14ac:dyDescent="0.4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</row>
    <row r="585" spans="3:17" x14ac:dyDescent="0.4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</row>
    <row r="586" spans="3:17" x14ac:dyDescent="0.4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</row>
    <row r="587" spans="3:17" x14ac:dyDescent="0.4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</row>
    <row r="588" spans="3:17" x14ac:dyDescent="0.4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</row>
    <row r="589" spans="3:17" x14ac:dyDescent="0.4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</row>
    <row r="590" spans="3:17" x14ac:dyDescent="0.4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</row>
    <row r="591" spans="3:17" x14ac:dyDescent="0.4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</row>
    <row r="592" spans="3:17" x14ac:dyDescent="0.4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</row>
    <row r="593" spans="3:17" x14ac:dyDescent="0.4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</row>
    <row r="594" spans="3:17" x14ac:dyDescent="0.4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</row>
    <row r="595" spans="3:17" x14ac:dyDescent="0.4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</row>
    <row r="596" spans="3:17" x14ac:dyDescent="0.4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</row>
    <row r="597" spans="3:17" x14ac:dyDescent="0.4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</row>
    <row r="598" spans="3:17" x14ac:dyDescent="0.4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</row>
    <row r="599" spans="3:17" x14ac:dyDescent="0.4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</row>
    <row r="600" spans="3:17" x14ac:dyDescent="0.4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</row>
    <row r="601" spans="3:17" x14ac:dyDescent="0.4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</row>
    <row r="602" spans="3:17" x14ac:dyDescent="0.45"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</row>
    <row r="603" spans="3:17" x14ac:dyDescent="0.4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</row>
    <row r="604" spans="3:17" x14ac:dyDescent="0.4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</row>
    <row r="605" spans="3:17" x14ac:dyDescent="0.4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</row>
    <row r="606" spans="3:17" x14ac:dyDescent="0.4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</row>
    <row r="607" spans="3:17" x14ac:dyDescent="0.4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</row>
    <row r="608" spans="3:17" x14ac:dyDescent="0.4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</row>
    <row r="609" spans="3:17" x14ac:dyDescent="0.4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</row>
    <row r="610" spans="3:17" x14ac:dyDescent="0.4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</row>
    <row r="611" spans="3:17" x14ac:dyDescent="0.4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</row>
    <row r="612" spans="3:17" x14ac:dyDescent="0.4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</row>
    <row r="613" spans="3:17" x14ac:dyDescent="0.4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</row>
    <row r="614" spans="3:17" x14ac:dyDescent="0.4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</row>
    <row r="615" spans="3:17" x14ac:dyDescent="0.4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</row>
    <row r="616" spans="3:17" x14ac:dyDescent="0.4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</row>
    <row r="617" spans="3:17" x14ac:dyDescent="0.4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</row>
    <row r="618" spans="3:17" x14ac:dyDescent="0.4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</row>
    <row r="619" spans="3:17" x14ac:dyDescent="0.4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</row>
    <row r="620" spans="3:17" x14ac:dyDescent="0.4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</row>
    <row r="621" spans="3:17" x14ac:dyDescent="0.4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</row>
    <row r="622" spans="3:17" x14ac:dyDescent="0.4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</row>
    <row r="623" spans="3:17" x14ac:dyDescent="0.4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</row>
    <row r="624" spans="3:17" x14ac:dyDescent="0.4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</row>
    <row r="625" spans="3:17" x14ac:dyDescent="0.4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</row>
    <row r="626" spans="3:17" x14ac:dyDescent="0.4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</row>
    <row r="627" spans="3:17" x14ac:dyDescent="0.4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</row>
    <row r="628" spans="3:17" x14ac:dyDescent="0.4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</row>
    <row r="629" spans="3:17" x14ac:dyDescent="0.4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</row>
    <row r="630" spans="3:17" x14ac:dyDescent="0.4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</row>
    <row r="631" spans="3:17" x14ac:dyDescent="0.4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</row>
    <row r="632" spans="3:17" x14ac:dyDescent="0.4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</row>
    <row r="633" spans="3:17" x14ac:dyDescent="0.4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</row>
    <row r="634" spans="3:17" x14ac:dyDescent="0.4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</row>
    <row r="635" spans="3:17" x14ac:dyDescent="0.45"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</row>
    <row r="636" spans="3:17" x14ac:dyDescent="0.4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</row>
    <row r="637" spans="3:17" x14ac:dyDescent="0.4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</row>
    <row r="638" spans="3:17" x14ac:dyDescent="0.4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</row>
    <row r="639" spans="3:17" x14ac:dyDescent="0.4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</row>
    <row r="640" spans="3:17" x14ac:dyDescent="0.4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</row>
    <row r="641" spans="3:17" x14ac:dyDescent="0.4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</row>
    <row r="642" spans="3:17" x14ac:dyDescent="0.4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</row>
    <row r="643" spans="3:17" x14ac:dyDescent="0.4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</row>
    <row r="644" spans="3:17" x14ac:dyDescent="0.4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</row>
    <row r="645" spans="3:17" x14ac:dyDescent="0.4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</row>
    <row r="646" spans="3:17" x14ac:dyDescent="0.4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</row>
    <row r="647" spans="3:17" x14ac:dyDescent="0.4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</row>
    <row r="648" spans="3:17" x14ac:dyDescent="0.4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</row>
    <row r="649" spans="3:17" x14ac:dyDescent="0.4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</row>
    <row r="650" spans="3:17" x14ac:dyDescent="0.4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</row>
    <row r="651" spans="3:17" x14ac:dyDescent="0.4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</row>
    <row r="652" spans="3:17" x14ac:dyDescent="0.4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</row>
    <row r="653" spans="3:17" x14ac:dyDescent="0.4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</row>
    <row r="654" spans="3:17" x14ac:dyDescent="0.4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</row>
    <row r="655" spans="3:17" x14ac:dyDescent="0.4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</row>
    <row r="656" spans="3:17" x14ac:dyDescent="0.4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</row>
    <row r="657" spans="3:17" x14ac:dyDescent="0.4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</row>
    <row r="658" spans="3:17" x14ac:dyDescent="0.4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</row>
    <row r="659" spans="3:17" x14ac:dyDescent="0.4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</row>
    <row r="660" spans="3:17" x14ac:dyDescent="0.4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</row>
    <row r="661" spans="3:17" x14ac:dyDescent="0.4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</row>
    <row r="662" spans="3:17" x14ac:dyDescent="0.4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</row>
    <row r="663" spans="3:17" x14ac:dyDescent="0.4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</row>
    <row r="664" spans="3:17" x14ac:dyDescent="0.4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</row>
    <row r="665" spans="3:17" x14ac:dyDescent="0.4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</row>
    <row r="666" spans="3:17" x14ac:dyDescent="0.4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</row>
    <row r="667" spans="3:17" x14ac:dyDescent="0.4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</row>
    <row r="668" spans="3:17" x14ac:dyDescent="0.45"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</row>
    <row r="669" spans="3:17" x14ac:dyDescent="0.4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</row>
    <row r="670" spans="3:17" x14ac:dyDescent="0.4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</row>
    <row r="671" spans="3:17" x14ac:dyDescent="0.4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</row>
    <row r="672" spans="3:17" x14ac:dyDescent="0.4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</row>
    <row r="673" spans="3:17" x14ac:dyDescent="0.4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</row>
    <row r="674" spans="3:17" x14ac:dyDescent="0.4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</row>
    <row r="675" spans="3:17" x14ac:dyDescent="0.4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</row>
    <row r="676" spans="3:17" x14ac:dyDescent="0.4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</row>
    <row r="677" spans="3:17" x14ac:dyDescent="0.4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</row>
    <row r="678" spans="3:17" x14ac:dyDescent="0.4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</row>
    <row r="679" spans="3:17" x14ac:dyDescent="0.4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</row>
    <row r="680" spans="3:17" x14ac:dyDescent="0.4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</row>
    <row r="681" spans="3:17" x14ac:dyDescent="0.4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</row>
    <row r="682" spans="3:17" x14ac:dyDescent="0.4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</row>
    <row r="683" spans="3:17" x14ac:dyDescent="0.4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</row>
    <row r="684" spans="3:17" x14ac:dyDescent="0.4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</row>
    <row r="685" spans="3:17" x14ac:dyDescent="0.4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</row>
    <row r="686" spans="3:17" x14ac:dyDescent="0.4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</row>
    <row r="687" spans="3:17" x14ac:dyDescent="0.4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</row>
    <row r="688" spans="3:17" x14ac:dyDescent="0.4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</row>
    <row r="689" spans="3:17" x14ac:dyDescent="0.4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</row>
    <row r="690" spans="3:17" x14ac:dyDescent="0.4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</row>
    <row r="691" spans="3:17" x14ac:dyDescent="0.4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</row>
    <row r="692" spans="3:17" x14ac:dyDescent="0.4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</row>
    <row r="693" spans="3:17" x14ac:dyDescent="0.4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</row>
    <row r="694" spans="3:17" x14ac:dyDescent="0.4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</row>
    <row r="695" spans="3:17" x14ac:dyDescent="0.4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</row>
    <row r="696" spans="3:17" x14ac:dyDescent="0.4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</row>
    <row r="697" spans="3:17" x14ac:dyDescent="0.4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</row>
    <row r="698" spans="3:17" x14ac:dyDescent="0.4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</row>
    <row r="699" spans="3:17" x14ac:dyDescent="0.4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</row>
    <row r="700" spans="3:17" x14ac:dyDescent="0.4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</row>
    <row r="701" spans="3:17" x14ac:dyDescent="0.45"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</row>
    <row r="702" spans="3:17" x14ac:dyDescent="0.4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</row>
    <row r="703" spans="3:17" x14ac:dyDescent="0.4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</row>
    <row r="704" spans="3:17" x14ac:dyDescent="0.4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</row>
    <row r="705" spans="3:17" x14ac:dyDescent="0.4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</row>
    <row r="706" spans="3:17" x14ac:dyDescent="0.4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</row>
    <row r="707" spans="3:17" x14ac:dyDescent="0.4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</row>
    <row r="708" spans="3:17" x14ac:dyDescent="0.4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</row>
    <row r="709" spans="3:17" x14ac:dyDescent="0.4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</row>
    <row r="710" spans="3:17" x14ac:dyDescent="0.4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</row>
    <row r="711" spans="3:17" x14ac:dyDescent="0.4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</row>
    <row r="712" spans="3:17" x14ac:dyDescent="0.4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</row>
    <row r="713" spans="3:17" x14ac:dyDescent="0.4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</row>
    <row r="714" spans="3:17" x14ac:dyDescent="0.4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</row>
    <row r="715" spans="3:17" x14ac:dyDescent="0.4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</row>
    <row r="716" spans="3:17" x14ac:dyDescent="0.4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</row>
    <row r="717" spans="3:17" x14ac:dyDescent="0.4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</row>
    <row r="718" spans="3:17" x14ac:dyDescent="0.4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</row>
    <row r="719" spans="3:17" x14ac:dyDescent="0.4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</row>
    <row r="720" spans="3:17" x14ac:dyDescent="0.4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</row>
    <row r="721" spans="3:17" x14ac:dyDescent="0.4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</row>
    <row r="722" spans="3:17" x14ac:dyDescent="0.4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</row>
    <row r="723" spans="3:17" x14ac:dyDescent="0.4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</row>
    <row r="724" spans="3:17" x14ac:dyDescent="0.4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</row>
    <row r="725" spans="3:17" x14ac:dyDescent="0.4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</row>
    <row r="726" spans="3:17" x14ac:dyDescent="0.4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</row>
    <row r="727" spans="3:17" x14ac:dyDescent="0.4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</row>
    <row r="728" spans="3:17" x14ac:dyDescent="0.4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</row>
    <row r="729" spans="3:17" x14ac:dyDescent="0.4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</row>
    <row r="730" spans="3:17" x14ac:dyDescent="0.4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</row>
    <row r="731" spans="3:17" x14ac:dyDescent="0.4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</row>
    <row r="732" spans="3:17" x14ac:dyDescent="0.4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</row>
    <row r="733" spans="3:17" x14ac:dyDescent="0.4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</row>
    <row r="734" spans="3:17" x14ac:dyDescent="0.4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</row>
    <row r="735" spans="3:17" x14ac:dyDescent="0.4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</row>
    <row r="736" spans="3:17" x14ac:dyDescent="0.4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</row>
    <row r="737" spans="3:17" x14ac:dyDescent="0.4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</row>
    <row r="738" spans="3:17" x14ac:dyDescent="0.4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</row>
    <row r="739" spans="3:17" x14ac:dyDescent="0.4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</row>
    <row r="740" spans="3:17" x14ac:dyDescent="0.4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</row>
    <row r="741" spans="3:17" x14ac:dyDescent="0.4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</row>
    <row r="742" spans="3:17" x14ac:dyDescent="0.4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</row>
    <row r="743" spans="3:17" x14ac:dyDescent="0.4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</row>
    <row r="744" spans="3:17" x14ac:dyDescent="0.4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</row>
    <row r="745" spans="3:17" x14ac:dyDescent="0.4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</row>
    <row r="746" spans="3:17" x14ac:dyDescent="0.4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</row>
    <row r="747" spans="3:17" x14ac:dyDescent="0.4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</row>
    <row r="748" spans="3:17" x14ac:dyDescent="0.4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</row>
    <row r="749" spans="3:17" x14ac:dyDescent="0.4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</row>
    <row r="750" spans="3:17" x14ac:dyDescent="0.4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</row>
    <row r="751" spans="3:17" x14ac:dyDescent="0.4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</row>
    <row r="752" spans="3:17" x14ac:dyDescent="0.4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</row>
    <row r="753" spans="3:17" x14ac:dyDescent="0.4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</row>
    <row r="754" spans="3:17" x14ac:dyDescent="0.4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</row>
    <row r="755" spans="3:17" x14ac:dyDescent="0.4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</row>
    <row r="756" spans="3:17" x14ac:dyDescent="0.4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</row>
    <row r="757" spans="3:17" x14ac:dyDescent="0.4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</row>
    <row r="758" spans="3:17" x14ac:dyDescent="0.4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</row>
    <row r="759" spans="3:17" x14ac:dyDescent="0.4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</row>
    <row r="760" spans="3:17" x14ac:dyDescent="0.4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</row>
    <row r="761" spans="3:17" x14ac:dyDescent="0.4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</row>
    <row r="762" spans="3:17" x14ac:dyDescent="0.4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</row>
    <row r="763" spans="3:17" x14ac:dyDescent="0.4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</row>
    <row r="764" spans="3:17" x14ac:dyDescent="0.4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</row>
    <row r="765" spans="3:17" x14ac:dyDescent="0.4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</row>
    <row r="766" spans="3:17" x14ac:dyDescent="0.4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</row>
    <row r="767" spans="3:17" x14ac:dyDescent="0.45"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</row>
    <row r="768" spans="3:17" x14ac:dyDescent="0.4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</row>
    <row r="769" spans="3:17" x14ac:dyDescent="0.4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</row>
    <row r="770" spans="3:17" x14ac:dyDescent="0.4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</row>
    <row r="771" spans="3:17" x14ac:dyDescent="0.4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</row>
    <row r="772" spans="3:17" x14ac:dyDescent="0.4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</row>
    <row r="773" spans="3:17" x14ac:dyDescent="0.4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</row>
    <row r="774" spans="3:17" x14ac:dyDescent="0.4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</row>
    <row r="775" spans="3:17" x14ac:dyDescent="0.4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</row>
    <row r="776" spans="3:17" x14ac:dyDescent="0.4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</row>
    <row r="777" spans="3:17" x14ac:dyDescent="0.4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</row>
    <row r="778" spans="3:17" x14ac:dyDescent="0.4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</row>
    <row r="779" spans="3:17" x14ac:dyDescent="0.4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</row>
    <row r="780" spans="3:17" x14ac:dyDescent="0.4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</row>
    <row r="781" spans="3:17" x14ac:dyDescent="0.4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</row>
    <row r="782" spans="3:17" x14ac:dyDescent="0.4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</row>
    <row r="783" spans="3:17" x14ac:dyDescent="0.4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</row>
    <row r="784" spans="3:17" x14ac:dyDescent="0.4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</row>
    <row r="785" spans="3:17" x14ac:dyDescent="0.4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</row>
    <row r="786" spans="3:17" x14ac:dyDescent="0.4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</row>
    <row r="787" spans="3:17" x14ac:dyDescent="0.4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</row>
    <row r="788" spans="3:17" x14ac:dyDescent="0.4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</row>
    <row r="789" spans="3:17" x14ac:dyDescent="0.4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</row>
    <row r="790" spans="3:17" x14ac:dyDescent="0.4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</row>
    <row r="791" spans="3:17" x14ac:dyDescent="0.4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</row>
    <row r="792" spans="3:17" x14ac:dyDescent="0.4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</row>
    <row r="793" spans="3:17" x14ac:dyDescent="0.4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</row>
    <row r="794" spans="3:17" x14ac:dyDescent="0.4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</row>
    <row r="795" spans="3:17" x14ac:dyDescent="0.4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</row>
    <row r="796" spans="3:17" x14ac:dyDescent="0.4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</row>
    <row r="797" spans="3:17" x14ac:dyDescent="0.4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</row>
    <row r="798" spans="3:17" x14ac:dyDescent="0.4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</row>
    <row r="799" spans="3:17" x14ac:dyDescent="0.4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</row>
    <row r="800" spans="3:17" x14ac:dyDescent="0.45"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</row>
    <row r="801" spans="3:17" x14ac:dyDescent="0.4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</row>
    <row r="802" spans="3:17" x14ac:dyDescent="0.4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</row>
    <row r="803" spans="3:17" x14ac:dyDescent="0.4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</row>
    <row r="804" spans="3:17" x14ac:dyDescent="0.4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</row>
    <row r="805" spans="3:17" x14ac:dyDescent="0.4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</row>
    <row r="806" spans="3:17" x14ac:dyDescent="0.4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</row>
    <row r="807" spans="3:17" x14ac:dyDescent="0.4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</row>
    <row r="808" spans="3:17" x14ac:dyDescent="0.4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</row>
    <row r="809" spans="3:17" x14ac:dyDescent="0.4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</row>
    <row r="810" spans="3:17" x14ac:dyDescent="0.4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</row>
    <row r="811" spans="3:17" x14ac:dyDescent="0.4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</row>
    <row r="812" spans="3:17" x14ac:dyDescent="0.4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</row>
    <row r="813" spans="3:17" x14ac:dyDescent="0.4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</row>
    <row r="814" spans="3:17" x14ac:dyDescent="0.4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</row>
    <row r="815" spans="3:17" x14ac:dyDescent="0.4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</row>
    <row r="816" spans="3:17" x14ac:dyDescent="0.4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</row>
    <row r="817" spans="3:17" x14ac:dyDescent="0.4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</row>
    <row r="818" spans="3:17" x14ac:dyDescent="0.4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</row>
    <row r="819" spans="3:17" x14ac:dyDescent="0.4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</row>
    <row r="820" spans="3:17" x14ac:dyDescent="0.4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</row>
    <row r="821" spans="3:17" x14ac:dyDescent="0.4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</row>
    <row r="822" spans="3:17" x14ac:dyDescent="0.4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</row>
    <row r="823" spans="3:17" x14ac:dyDescent="0.4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</row>
    <row r="824" spans="3:17" x14ac:dyDescent="0.4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</row>
    <row r="825" spans="3:17" x14ac:dyDescent="0.4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</row>
    <row r="826" spans="3:17" x14ac:dyDescent="0.4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</row>
    <row r="827" spans="3:17" x14ac:dyDescent="0.4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</row>
    <row r="828" spans="3:17" x14ac:dyDescent="0.4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</row>
    <row r="829" spans="3:17" x14ac:dyDescent="0.4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</row>
    <row r="830" spans="3:17" x14ac:dyDescent="0.4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</row>
    <row r="831" spans="3:17" x14ac:dyDescent="0.4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</row>
  </sheetData>
  <dataValidations disablePrompts="1" count="1">
    <dataValidation type="list" allowBlank="1" showInputMessage="1" showErrorMessage="1" sqref="C51" xr:uid="{986767A9-A60E-4DF9-8ADD-FAC2FBD39984}">
      <formula1>$V$51:$W$51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3-Statement LBO Case 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Liu</dc:creator>
  <cp:lastModifiedBy>Eric Liu</cp:lastModifiedBy>
  <dcterms:created xsi:type="dcterms:W3CDTF">2015-06-05T18:17:20Z</dcterms:created>
  <dcterms:modified xsi:type="dcterms:W3CDTF">2023-06-06T23:35:38Z</dcterms:modified>
</cp:coreProperties>
</file>