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7.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8.xml" ContentType="application/vnd.openxmlformats-officedocument.drawing+xml"/>
  <Override PartName="/xl/drawings/drawing9.xml" ContentType="application/vnd.openxmlformats-officedocument.drawing+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E5D1E7B1-6628-F0F0-D09B-76B25B5F3CD3}"/>
  <workbookPr codeName="ThisWorkbook"/>
  <mc:AlternateContent xmlns:mc="http://schemas.openxmlformats.org/markup-compatibility/2006">
    <mc:Choice Requires="x15">
      <x15ac:absPath xmlns:x15ac="http://schemas.microsoft.com/office/spreadsheetml/2010/11/ac" url="/Users/norhendra/norhendra/portfolio/projects/spreadsheet/"/>
    </mc:Choice>
  </mc:AlternateContent>
  <xr:revisionPtr revIDLastSave="0" documentId="8_{FDC0B330-4432-F74F-8771-4305875ADA6F}" xr6:coauthVersionLast="47" xr6:coauthVersionMax="47" xr10:uidLastSave="{00000000-0000-0000-0000-000000000000}"/>
  <bookViews>
    <workbookView xWindow="0" yWindow="-28300" windowWidth="68800" windowHeight="28300" firstSheet="1" activeTab="5" xr2:uid="{00000000-000D-0000-FFFF-FFFF00000000}"/>
  </bookViews>
  <sheets>
    <sheet name="Cover" sheetId="22" r:id="rId1"/>
    <sheet name="1a. Working for BRPO" sheetId="14" r:id="rId2"/>
    <sheet name="1b. Business Resilience " sheetId="28" r:id="rId3"/>
    <sheet name="1c. Pricing Optimization" sheetId="29" r:id="rId4"/>
    <sheet name="2. Marketing Pricing Strategy" sheetId="3" r:id="rId5"/>
    <sheet name="3. Customer Satisfaction" sheetId="20" r:id="rId6"/>
    <sheet name="4. Manpower Optimization " sheetId="32" r:id="rId7"/>
    <sheet name="2. Duplicate to play around" sheetId="30" state="hidden" r:id="rId8"/>
    <sheet name="Appendix---&gt;" sheetId="21" r:id="rId9"/>
    <sheet name="Ref - ALL THE DATA REQUIRED" sheetId="5" state="hidden" r:id="rId10"/>
    <sheet name="Appendix 1. Data Sources" sheetId="13" r:id="rId11"/>
    <sheet name="Appendix 2. Links and X-Ref" sheetId="6" r:id="rId12"/>
  </sheets>
  <definedNames>
    <definedName name="_xleta.AVERAGE" hidden="1" xlm="1">#NAME?</definedName>
    <definedName name="_xleta.FIXED" hidden="1" xlm="1">#NAME?</definedName>
    <definedName name="_xleta.FORMULATEXT" hidden="1" xlm="1">#NAME?</definedName>
    <definedName name="_xleta.PRICE" hidden="1" xlm="1">#NAME?</definedName>
    <definedName name="_xleta.ROUND" hidden="1" xlm="1">#NAME?</definedName>
    <definedName name="_xleta.TIME" hidden="1" xlm="1">#NAME?</definedName>
    <definedName name="_xleta.WEEKDAY" hidden="1" xlm="1">#NAME?</definedName>
    <definedName name="_xlpm.col" hidden="1" xlm="1">#NAME?</definedName>
    <definedName name="_xlpm.j" hidden="1" xlm="1">#NAME?</definedName>
    <definedName name="solver_adj" localSheetId="6" hidden="1">'4. Manpower Optimization '!$D$27,'4. Manpower Optimization '!$D$28,'4. Manpower Optimization '!$D$30:$D$33,'4. Manpower Optimization '!$E$28:$E$29</definedName>
    <definedName name="solver_cvg" localSheetId="6" hidden="1">0.0001</definedName>
    <definedName name="solver_drv" localSheetId="6" hidden="1">1</definedName>
    <definedName name="solver_eng" localSheetId="6" hidden="1">1</definedName>
    <definedName name="solver_est" localSheetId="6" hidden="1">1</definedName>
    <definedName name="solver_itr" localSheetId="6" hidden="1">2147483647</definedName>
    <definedName name="solver_lhs1" localSheetId="6" hidden="1">'4. Manpower Optimization '!$D$27</definedName>
    <definedName name="solver_lhs10" localSheetId="6" hidden="1">'4. Manpower Optimization '!$I$49:$I$50</definedName>
    <definedName name="solver_lhs11" localSheetId="6" hidden="1">'4. Manpower Optimization '!$I$49:$I$50</definedName>
    <definedName name="solver_lhs12" localSheetId="6" hidden="1">'4. Manpower Optimization '!#REF!</definedName>
    <definedName name="solver_lhs13" localSheetId="6" hidden="1">'4. Manpower Optimization '!#REF!</definedName>
    <definedName name="solver_lhs14" localSheetId="6" hidden="1">'4. Manpower Optimization '!#REF!</definedName>
    <definedName name="solver_lhs15" localSheetId="6" hidden="1">'4. Manpower Optimization '!#REF!</definedName>
    <definedName name="solver_lhs16" localSheetId="6" hidden="1">'4. Manpower Optimization '!#REF!</definedName>
    <definedName name="solver_lhs17" localSheetId="6" hidden="1">'4. Manpower Optimization '!#REF!</definedName>
    <definedName name="solver_lhs18" localSheetId="6" hidden="1">'4. Manpower Optimization '!#REF!</definedName>
    <definedName name="solver_lhs19" localSheetId="6" hidden="1">'4. Manpower Optimization '!#REF!</definedName>
    <definedName name="solver_lhs2" localSheetId="6" hidden="1">'4. Manpower Optimization '!$D$30:$D$33</definedName>
    <definedName name="solver_lhs20" localSheetId="6" hidden="1">'4. Manpower Optimization '!#REF!</definedName>
    <definedName name="solver_lhs21" localSheetId="6" hidden="1">'4. Manpower Optimization '!#REF!</definedName>
    <definedName name="solver_lhs22" localSheetId="6" hidden="1">'4. Manpower Optimization '!#REF!</definedName>
    <definedName name="solver_lhs3" localSheetId="6" hidden="1">'4. Manpower Optimization '!$E$28:$E$29</definedName>
    <definedName name="solver_lhs4" localSheetId="6" hidden="1">'4. Manpower Optimization '!$E$40:$E$41</definedName>
    <definedName name="solver_lhs5" localSheetId="6" hidden="1">'4. Manpower Optimization '!$D$28</definedName>
    <definedName name="solver_lhs6" localSheetId="6" hidden="1">'4. Manpower Optimization '!$E$42</definedName>
    <definedName name="solver_lhs7" localSheetId="6" hidden="1">'4. Manpower Optimization '!$E$48:$E$54</definedName>
    <definedName name="solver_lhs8" localSheetId="6" hidden="1">'4. Manpower Optimization '!$I$49:$I$50</definedName>
    <definedName name="solver_lhs9" localSheetId="6" hidden="1">'4. Manpower Optimization '!$I$49:$I$50</definedName>
    <definedName name="solver_mip" localSheetId="6" hidden="1">2147483647</definedName>
    <definedName name="solver_mni" localSheetId="6" hidden="1">30</definedName>
    <definedName name="solver_mrt" localSheetId="6" hidden="1">0.075</definedName>
    <definedName name="solver_msl" localSheetId="6" hidden="1">2</definedName>
    <definedName name="solver_neg" localSheetId="6" hidden="1">1</definedName>
    <definedName name="solver_nod" localSheetId="6" hidden="1">2147483647</definedName>
    <definedName name="solver_num" localSheetId="6" hidden="1">9</definedName>
    <definedName name="solver_nwt" localSheetId="6" hidden="1">1</definedName>
    <definedName name="solver_opt" localSheetId="6" hidden="1">'4. Manpower Optimization '!$O$55</definedName>
    <definedName name="solver_pre" localSheetId="6" hidden="1">0.000001</definedName>
    <definedName name="solver_rbv" localSheetId="6" hidden="1">1</definedName>
    <definedName name="solver_rel1" localSheetId="6" hidden="1">4</definedName>
    <definedName name="solver_rel10" localSheetId="6" hidden="1">3</definedName>
    <definedName name="solver_rel11" localSheetId="6" hidden="1">3</definedName>
    <definedName name="solver_rel12" localSheetId="6" hidden="1">3</definedName>
    <definedName name="solver_rel13" localSheetId="6" hidden="1">3</definedName>
    <definedName name="solver_rel14" localSheetId="6" hidden="1">3</definedName>
    <definedName name="solver_rel15" localSheetId="6" hidden="1">3</definedName>
    <definedName name="solver_rel16" localSheetId="6" hidden="1">3</definedName>
    <definedName name="solver_rel17" localSheetId="6" hidden="1">3</definedName>
    <definedName name="solver_rel18" localSheetId="6" hidden="1">3</definedName>
    <definedName name="solver_rel19" localSheetId="6" hidden="1">3</definedName>
    <definedName name="solver_rel2" localSheetId="6" hidden="1">4</definedName>
    <definedName name="solver_rel20" localSheetId="6" hidden="1">3</definedName>
    <definedName name="solver_rel21" localSheetId="6" hidden="1">3</definedName>
    <definedName name="solver_rel22" localSheetId="6" hidden="1">3</definedName>
    <definedName name="solver_rel3" localSheetId="6" hidden="1">4</definedName>
    <definedName name="solver_rel4" localSheetId="6" hidden="1">1</definedName>
    <definedName name="solver_rel5" localSheetId="6" hidden="1">4</definedName>
    <definedName name="solver_rel6" localSheetId="6" hidden="1">1</definedName>
    <definedName name="solver_rel7" localSheetId="6" hidden="1">3</definedName>
    <definedName name="solver_rel8" localSheetId="6" hidden="1">1</definedName>
    <definedName name="solver_rel9" localSheetId="6" hidden="1">3</definedName>
    <definedName name="solver_rhs1" localSheetId="6" hidden="1">"integer"</definedName>
    <definedName name="solver_rhs10" localSheetId="6" hidden="1">'4. Manpower Optimization '!$H$11</definedName>
    <definedName name="solver_rhs11" localSheetId="6" hidden="1">'4. Manpower Optimization '!$H$11</definedName>
    <definedName name="solver_rhs12" localSheetId="6" hidden="1">'4. Manpower Optimization '!#REF!</definedName>
    <definedName name="solver_rhs13" localSheetId="6" hidden="1">'4. Manpower Optimization '!#REF!</definedName>
    <definedName name="solver_rhs14" localSheetId="6" hidden="1">'4. Manpower Optimization '!$C$48</definedName>
    <definedName name="solver_rhs15" localSheetId="6" hidden="1">'4. Manpower Optimization '!#REF!</definedName>
    <definedName name="solver_rhs16" localSheetId="6" hidden="1">'4. Manpower Optimization '!$C$48</definedName>
    <definedName name="solver_rhs17" localSheetId="6" hidden="1">'4. Manpower Optimization '!#REF!</definedName>
    <definedName name="solver_rhs18" localSheetId="6" hidden="1">'4. Manpower Optimization '!#REF!</definedName>
    <definedName name="solver_rhs19" localSheetId="6" hidden="1">'4. Manpower Optimization '!$C$48</definedName>
    <definedName name="solver_rhs2" localSheetId="6" hidden="1">"integer"</definedName>
    <definedName name="solver_rhs20" localSheetId="6" hidden="1">'4. Manpower Optimization '!#REF!</definedName>
    <definedName name="solver_rhs21" localSheetId="6" hidden="1">'4. Manpower Optimization '!#REF!</definedName>
    <definedName name="solver_rhs22" localSheetId="6" hidden="1">1</definedName>
    <definedName name="solver_rhs3" localSheetId="6" hidden="1">"integer"</definedName>
    <definedName name="solver_rhs4" localSheetId="6" hidden="1">'4. Manpower Optimization '!$H$13</definedName>
    <definedName name="solver_rhs5" localSheetId="6" hidden="1">"integer"</definedName>
    <definedName name="solver_rhs6" localSheetId="6" hidden="1">'4. Manpower Optimization '!$H$14</definedName>
    <definedName name="solver_rhs7" localSheetId="6" hidden="1">'4. Manpower Optimization '!$F$27:$F$33</definedName>
    <definedName name="solver_rhs8" localSheetId="6" hidden="1">'4. Manpower Optimization '!$H$12</definedName>
    <definedName name="solver_rhs9" localSheetId="6" hidden="1">'4. Manpower Optimization '!$H$11</definedName>
    <definedName name="solver_rlx" localSheetId="6" hidden="1">2</definedName>
    <definedName name="solver_rsd" localSheetId="6" hidden="1">0</definedName>
    <definedName name="solver_scl" localSheetId="6" hidden="1">1</definedName>
    <definedName name="solver_sho" localSheetId="6" hidden="1">2</definedName>
    <definedName name="solver_ssz" localSheetId="6" hidden="1">100</definedName>
    <definedName name="solver_tim" localSheetId="6" hidden="1">2147483647</definedName>
    <definedName name="solver_tol" localSheetId="6" hidden="1">0.01</definedName>
    <definedName name="solver_typ" localSheetId="6" hidden="1">2</definedName>
    <definedName name="solver_val" localSheetId="6" hidden="1">0</definedName>
    <definedName name="solver_ver" localSheetId="6" hidden="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6" i="32" l="1"/>
  <c r="O7" i="32"/>
  <c r="O8" i="32"/>
  <c r="O9" i="32"/>
  <c r="O10" i="32"/>
  <c r="O11" i="32"/>
  <c r="O12" i="32"/>
  <c r="O13" i="32"/>
  <c r="O14" i="32"/>
  <c r="O15" i="32"/>
  <c r="O5" i="32"/>
  <c r="C11" i="20"/>
  <c r="C33" i="28"/>
  <c r="C16" i="3"/>
  <c r="C38" i="3"/>
  <c r="C18" i="3"/>
  <c r="C17" i="3"/>
  <c r="H64" i="3"/>
  <c r="G64" i="3"/>
  <c r="F64" i="3"/>
  <c r="E64" i="3"/>
  <c r="D64" i="3"/>
  <c r="H61" i="3"/>
  <c r="G61" i="3"/>
  <c r="F61" i="3"/>
  <c r="E61" i="3"/>
  <c r="D61" i="3"/>
  <c r="C61" i="3"/>
  <c r="W20" i="32"/>
  <c r="W45" i="32"/>
  <c r="W42" i="32"/>
  <c r="U63" i="20"/>
  <c r="U53" i="20"/>
  <c r="W58" i="32"/>
  <c r="W46" i="32"/>
  <c r="U59" i="20"/>
  <c r="W32" i="32"/>
  <c r="U68" i="20"/>
  <c r="U62" i="20"/>
  <c r="W36" i="32"/>
  <c r="W13" i="32"/>
  <c r="W37" i="32"/>
  <c r="U51" i="20"/>
  <c r="W39" i="32"/>
  <c r="U48" i="20"/>
  <c r="W44" i="32"/>
  <c r="U40" i="20"/>
  <c r="U52" i="20"/>
  <c r="W51" i="32"/>
  <c r="U61" i="20"/>
  <c r="W54" i="32"/>
  <c r="W41" i="32"/>
  <c r="W30" i="32"/>
  <c r="U24" i="20"/>
  <c r="W57" i="32"/>
  <c r="U37" i="20"/>
  <c r="U22" i="20"/>
  <c r="W53" i="32"/>
  <c r="W48" i="32"/>
  <c r="U81" i="20"/>
  <c r="W34" i="32"/>
  <c r="W16" i="32"/>
  <c r="U56" i="20"/>
  <c r="W40" i="32"/>
  <c r="W52" i="32"/>
  <c r="W43" i="32"/>
  <c r="U57" i="20"/>
  <c r="U41" i="20"/>
  <c r="U50" i="20"/>
  <c r="U60" i="20"/>
  <c r="U58" i="20"/>
  <c r="W35" i="32"/>
  <c r="W27" i="32"/>
  <c r="W56" i="32"/>
  <c r="W15" i="32"/>
  <c r="W28" i="32"/>
  <c r="W14" i="32"/>
  <c r="W38" i="32"/>
  <c r="U49" i="20"/>
  <c r="U93" i="20"/>
  <c r="W49" i="32"/>
  <c r="U55" i="20"/>
  <c r="U64" i="20"/>
  <c r="U54" i="20"/>
  <c r="U28" i="20"/>
  <c r="W50" i="32"/>
  <c r="U38" i="20"/>
  <c r="W47" i="32"/>
  <c r="W55" i="32"/>
  <c r="E28" i="14" l="1"/>
  <c r="C11" i="14"/>
  <c r="F8" i="14"/>
  <c r="D8" i="14"/>
  <c r="C8" i="14"/>
  <c r="F6" i="14"/>
  <c r="E6" i="14"/>
  <c r="D6" i="14"/>
  <c r="C6" i="14"/>
  <c r="C22" i="14"/>
  <c r="C20" i="14"/>
  <c r="C18" i="14"/>
  <c r="F16" i="14"/>
  <c r="E16" i="14"/>
  <c r="D16" i="14"/>
  <c r="C16" i="14"/>
  <c r="S30" i="3" l="1"/>
  <c r="AI30" i="3"/>
  <c r="D54" i="32"/>
  <c r="K54" i="32" s="1"/>
  <c r="O54" i="32" s="1"/>
  <c r="D53" i="32"/>
  <c r="D52" i="32"/>
  <c r="D51" i="32"/>
  <c r="K51" i="32" s="1"/>
  <c r="O51" i="32" s="1"/>
  <c r="F50" i="32"/>
  <c r="F49" i="32"/>
  <c r="D49" i="32"/>
  <c r="K49" i="32" s="1"/>
  <c r="D48" i="32"/>
  <c r="H48" i="32" s="1"/>
  <c r="C41" i="32"/>
  <c r="C40" i="32"/>
  <c r="F29" i="32"/>
  <c r="D29" i="32"/>
  <c r="D50" i="32" s="1"/>
  <c r="F19" i="32"/>
  <c r="E19" i="32"/>
  <c r="R18" i="32"/>
  <c r="D14" i="32"/>
  <c r="Q7" i="32"/>
  <c r="Q8" i="32" s="1"/>
  <c r="Q9" i="32" s="1"/>
  <c r="Q10" i="32" s="1"/>
  <c r="Q11" i="32" s="1"/>
  <c r="Q12" i="32" s="1"/>
  <c r="Q13" i="32" s="1"/>
  <c r="Q14" i="32" s="1"/>
  <c r="Q15" i="32" s="1"/>
  <c r="Q16" i="32" s="1"/>
  <c r="Q17" i="32" s="1"/>
  <c r="D7" i="32"/>
  <c r="L50" i="32" s="1"/>
  <c r="C7" i="32"/>
  <c r="C64" i="3"/>
  <c r="C12" i="3"/>
  <c r="C13" i="3" s="1"/>
  <c r="D28" i="30"/>
  <c r="D26" i="30"/>
  <c r="D23" i="30"/>
  <c r="G31" i="29"/>
  <c r="G15" i="29"/>
  <c r="G32" i="29" s="1"/>
  <c r="G37" i="29" s="1"/>
  <c r="F15" i="29"/>
  <c r="C25" i="30"/>
  <c r="C27" i="30" s="1"/>
  <c r="C21" i="30"/>
  <c r="C23" i="30" s="1"/>
  <c r="C26" i="30" s="1"/>
  <c r="I14" i="20"/>
  <c r="I13" i="20"/>
  <c r="I11" i="20"/>
  <c r="I10"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51" i="20"/>
  <c r="AP38" i="30"/>
  <c r="AH38" i="30"/>
  <c r="Z38" i="30"/>
  <c r="R38" i="30"/>
  <c r="AP37" i="30"/>
  <c r="AH37" i="30"/>
  <c r="Z37" i="30"/>
  <c r="R37" i="30"/>
  <c r="AP36" i="30"/>
  <c r="AH36" i="30"/>
  <c r="Z36" i="30"/>
  <c r="R36" i="30"/>
  <c r="AP35" i="30"/>
  <c r="AH35" i="30"/>
  <c r="Z35" i="30"/>
  <c r="R35" i="30"/>
  <c r="AP34" i="30"/>
  <c r="AH34" i="30"/>
  <c r="Z34" i="30"/>
  <c r="R34" i="30"/>
  <c r="AP33" i="30"/>
  <c r="AH33" i="30"/>
  <c r="Z33" i="30"/>
  <c r="R33" i="30"/>
  <c r="AV32" i="30"/>
  <c r="AU32" i="30"/>
  <c r="AT32" i="30"/>
  <c r="AS32" i="30"/>
  <c r="AR32" i="30"/>
  <c r="AQ32" i="30"/>
  <c r="AN32" i="30"/>
  <c r="AM32" i="30"/>
  <c r="AL32" i="30"/>
  <c r="AK32" i="30"/>
  <c r="AJ32" i="30"/>
  <c r="AI32" i="30"/>
  <c r="AF32" i="30"/>
  <c r="AE32" i="30"/>
  <c r="AD32" i="30"/>
  <c r="AC32" i="30"/>
  <c r="AB32" i="30"/>
  <c r="AA32" i="30"/>
  <c r="X32" i="30"/>
  <c r="W32" i="30"/>
  <c r="V32" i="30"/>
  <c r="U32" i="30"/>
  <c r="T32" i="30"/>
  <c r="S32" i="30"/>
  <c r="AQ21" i="30"/>
  <c r="AQ22" i="30" s="1"/>
  <c r="AQ25" i="30" s="1"/>
  <c r="AQ27" i="30" s="1"/>
  <c r="AI21" i="30"/>
  <c r="AI22" i="30" s="1"/>
  <c r="AI25" i="30" s="1"/>
  <c r="AI27" i="30" s="1"/>
  <c r="AQ18" i="30"/>
  <c r="AI18" i="30"/>
  <c r="AA18" i="30"/>
  <c r="AA21" i="30" s="1"/>
  <c r="S18" i="30"/>
  <c r="S21" i="30" s="1"/>
  <c r="K18" i="30"/>
  <c r="K21" i="30" s="1"/>
  <c r="C18" i="30"/>
  <c r="C27" i="3"/>
  <c r="C29" i="3" s="1"/>
  <c r="C62" i="3" s="1"/>
  <c r="AQ27" i="3"/>
  <c r="AQ29" i="3" s="1"/>
  <c r="H62" i="3" s="1"/>
  <c r="AI27" i="3"/>
  <c r="AI29" i="3" s="1"/>
  <c r="G62" i="3" s="1"/>
  <c r="AA27" i="3"/>
  <c r="AA29" i="3" s="1"/>
  <c r="F62" i="3" s="1"/>
  <c r="S27" i="3"/>
  <c r="S29" i="3" s="1"/>
  <c r="E62" i="3" s="1"/>
  <c r="C15" i="29"/>
  <c r="E58" i="29"/>
  <c r="E75" i="29" s="1"/>
  <c r="E80" i="29" s="1"/>
  <c r="K27" i="3"/>
  <c r="N75" i="29"/>
  <c r="N80" i="29" s="1"/>
  <c r="F75" i="29"/>
  <c r="F80" i="29" s="1"/>
  <c r="F60" i="29" s="1"/>
  <c r="O61" i="29"/>
  <c r="N61" i="29"/>
  <c r="M61" i="29"/>
  <c r="L61" i="29"/>
  <c r="K61" i="29"/>
  <c r="J61" i="29"/>
  <c r="I61" i="29"/>
  <c r="H61" i="29"/>
  <c r="G61" i="29"/>
  <c r="F61" i="29"/>
  <c r="E61" i="29"/>
  <c r="D61" i="29"/>
  <c r="C61" i="29"/>
  <c r="O58" i="29"/>
  <c r="O75" i="29" s="1"/>
  <c r="O80" i="29" s="1"/>
  <c r="N58" i="29"/>
  <c r="M58" i="29"/>
  <c r="L58" i="29"/>
  <c r="K58" i="29"/>
  <c r="J58" i="29"/>
  <c r="I58" i="29"/>
  <c r="H58" i="29"/>
  <c r="G58" i="29"/>
  <c r="F58" i="29"/>
  <c r="D58" i="29"/>
  <c r="C58" i="29"/>
  <c r="O31" i="29"/>
  <c r="N31" i="29"/>
  <c r="M31" i="29"/>
  <c r="L31" i="29"/>
  <c r="K31" i="29"/>
  <c r="J31" i="29"/>
  <c r="I31" i="29"/>
  <c r="I32" i="29" s="1"/>
  <c r="I37" i="29" s="1"/>
  <c r="H31" i="29"/>
  <c r="F31" i="29"/>
  <c r="E31" i="29"/>
  <c r="D31" i="29"/>
  <c r="C31" i="29"/>
  <c r="O18" i="29"/>
  <c r="N18" i="29"/>
  <c r="M18" i="29"/>
  <c r="L18" i="29"/>
  <c r="K18" i="29"/>
  <c r="J18" i="29"/>
  <c r="I18" i="29"/>
  <c r="H18" i="29"/>
  <c r="G18" i="29"/>
  <c r="F18" i="29"/>
  <c r="E18" i="29"/>
  <c r="D18" i="29"/>
  <c r="C18" i="29"/>
  <c r="O15" i="29"/>
  <c r="N15" i="29"/>
  <c r="M15" i="29"/>
  <c r="L15" i="29"/>
  <c r="K15" i="29"/>
  <c r="J15" i="29"/>
  <c r="I15" i="29"/>
  <c r="H15" i="29"/>
  <c r="E15" i="29"/>
  <c r="E32" i="29" s="1"/>
  <c r="E37" i="29" s="1"/>
  <c r="D15" i="29"/>
  <c r="C20" i="28"/>
  <c r="D17" i="28"/>
  <c r="D34" i="28" s="1"/>
  <c r="C17" i="28"/>
  <c r="C122" i="20" a="1"/>
  <c r="C122" i="20" s="1"/>
  <c r="C125" i="20" s="1"/>
  <c r="H80" i="20"/>
  <c r="H79" i="20"/>
  <c r="H78" i="20"/>
  <c r="H77" i="20"/>
  <c r="H76" i="20"/>
  <c r="H75" i="20"/>
  <c r="H74" i="20"/>
  <c r="H73" i="20"/>
  <c r="H72" i="20"/>
  <c r="H71" i="20"/>
  <c r="H70" i="20"/>
  <c r="H69" i="20"/>
  <c r="H68" i="20"/>
  <c r="H67" i="20"/>
  <c r="H66" i="20"/>
  <c r="H65" i="20"/>
  <c r="H64" i="20"/>
  <c r="H63" i="20"/>
  <c r="H62" i="20"/>
  <c r="H61" i="20"/>
  <c r="H60" i="20"/>
  <c r="H59" i="20"/>
  <c r="H58" i="20"/>
  <c r="H57" i="20"/>
  <c r="H56" i="20"/>
  <c r="H55" i="20"/>
  <c r="H54" i="20"/>
  <c r="H53" i="20"/>
  <c r="H52" i="20"/>
  <c r="H51" i="20"/>
  <c r="B50" i="20"/>
  <c r="O45" i="20"/>
  <c r="C45" i="20"/>
  <c r="O44" i="20"/>
  <c r="C44" i="20"/>
  <c r="D44" i="20" s="1"/>
  <c r="O43" i="20"/>
  <c r="C43" i="20"/>
  <c r="D43" i="20" s="1"/>
  <c r="O42" i="20"/>
  <c r="C42" i="20"/>
  <c r="D42" i="20" s="1"/>
  <c r="O41" i="20"/>
  <c r="C41" i="20"/>
  <c r="D41" i="20" s="1"/>
  <c r="O40" i="20"/>
  <c r="C40" i="20"/>
  <c r="O39" i="20"/>
  <c r="C39" i="20"/>
  <c r="O38" i="20"/>
  <c r="C38" i="20"/>
  <c r="O37" i="20"/>
  <c r="C37" i="20"/>
  <c r="D37" i="20" s="1"/>
  <c r="O36" i="20"/>
  <c r="C36" i="20"/>
  <c r="O35" i="20"/>
  <c r="C35" i="20"/>
  <c r="O34" i="20"/>
  <c r="C34" i="20"/>
  <c r="O33" i="20"/>
  <c r="C33" i="20"/>
  <c r="D33" i="20" s="1"/>
  <c r="O32" i="20"/>
  <c r="C32" i="20"/>
  <c r="D32" i="20" s="1"/>
  <c r="O31" i="20"/>
  <c r="C31" i="20"/>
  <c r="D31" i="20" s="1"/>
  <c r="O30" i="20"/>
  <c r="C30" i="20"/>
  <c r="D30" i="20" s="1"/>
  <c r="O29" i="20"/>
  <c r="C29" i="20"/>
  <c r="O28" i="20"/>
  <c r="C28" i="20"/>
  <c r="O27" i="20"/>
  <c r="C27" i="20"/>
  <c r="D27" i="20" s="1"/>
  <c r="O26" i="20"/>
  <c r="C26" i="20"/>
  <c r="D26" i="20" s="1"/>
  <c r="O25" i="20"/>
  <c r="C25" i="20"/>
  <c r="O24" i="20"/>
  <c r="C24" i="20"/>
  <c r="O23" i="20"/>
  <c r="C23" i="20"/>
  <c r="O22" i="20"/>
  <c r="F22" i="20"/>
  <c r="C22" i="20"/>
  <c r="D22" i="20" s="1"/>
  <c r="O21" i="20"/>
  <c r="C21" i="20"/>
  <c r="B21" i="20"/>
  <c r="B22" i="20" s="1"/>
  <c r="B23" i="20" s="1"/>
  <c r="B24" i="20" s="1"/>
  <c r="B25" i="20" s="1"/>
  <c r="B26" i="20" s="1"/>
  <c r="B27" i="20" s="1"/>
  <c r="B28" i="20" s="1"/>
  <c r="B29" i="20" s="1"/>
  <c r="B30" i="20" s="1"/>
  <c r="B31" i="20" s="1"/>
  <c r="B32" i="20" s="1"/>
  <c r="B33" i="20" s="1"/>
  <c r="B34" i="20" s="1"/>
  <c r="B35" i="20" s="1"/>
  <c r="B36" i="20" s="1"/>
  <c r="B37" i="20" s="1"/>
  <c r="B38" i="20" s="1"/>
  <c r="B39" i="20" s="1"/>
  <c r="B40" i="20" s="1"/>
  <c r="B41" i="20" s="1"/>
  <c r="B42" i="20" s="1"/>
  <c r="B43" i="20" s="1"/>
  <c r="B44" i="20" s="1"/>
  <c r="B45" i="20" s="1"/>
  <c r="C15" i="20"/>
  <c r="C9" i="20"/>
  <c r="F7" i="32" l="1"/>
  <c r="N50" i="32" s="1"/>
  <c r="C42" i="32"/>
  <c r="E52" i="32"/>
  <c r="G52" i="32" s="1"/>
  <c r="E53" i="32"/>
  <c r="G53" i="32" s="1"/>
  <c r="F24" i="20"/>
  <c r="H29" i="20"/>
  <c r="H26" i="20"/>
  <c r="G26" i="20" s="1"/>
  <c r="H21" i="20"/>
  <c r="H25" i="20"/>
  <c r="H28" i="20"/>
  <c r="G28" i="20" s="1"/>
  <c r="H22" i="20"/>
  <c r="H24" i="20"/>
  <c r="H27" i="20"/>
  <c r="H23" i="20"/>
  <c r="M32" i="29"/>
  <c r="M37" i="29" s="1"/>
  <c r="F32" i="29"/>
  <c r="AQ38" i="3"/>
  <c r="AI38" i="3"/>
  <c r="K38" i="3"/>
  <c r="S38" i="3"/>
  <c r="AA38" i="3"/>
  <c r="O32" i="29"/>
  <c r="O37" i="29" s="1"/>
  <c r="O19" i="29" s="1"/>
  <c r="G75" i="29"/>
  <c r="G80" i="29" s="1"/>
  <c r="G62" i="29" s="1"/>
  <c r="H32" i="29"/>
  <c r="H37" i="29" s="1"/>
  <c r="H17" i="29" s="1"/>
  <c r="M19" i="29"/>
  <c r="J75" i="29"/>
  <c r="J80" i="29" s="1"/>
  <c r="J60" i="29" s="1"/>
  <c r="M75" i="29"/>
  <c r="M80" i="29" s="1"/>
  <c r="M62" i="29" s="1"/>
  <c r="D75" i="29"/>
  <c r="D80" i="29" s="1"/>
  <c r="D60" i="29" s="1"/>
  <c r="L75" i="29"/>
  <c r="L80" i="29" s="1"/>
  <c r="L64" i="29" s="1"/>
  <c r="N62" i="29"/>
  <c r="N60" i="29"/>
  <c r="F62" i="29"/>
  <c r="J32" i="29"/>
  <c r="J37" i="29" s="1"/>
  <c r="J19" i="29" s="1"/>
  <c r="K32" i="29"/>
  <c r="K37" i="29" s="1"/>
  <c r="K19" i="29" s="1"/>
  <c r="C75" i="29"/>
  <c r="C80" i="29" s="1"/>
  <c r="K75" i="29"/>
  <c r="K80" i="29" s="1"/>
  <c r="K60" i="29" s="1"/>
  <c r="I19" i="29"/>
  <c r="L32" i="29"/>
  <c r="L37" i="29" s="1"/>
  <c r="D32" i="29"/>
  <c r="D37" i="29" s="1"/>
  <c r="D19" i="29" s="1"/>
  <c r="N32" i="29"/>
  <c r="N37" i="29" s="1"/>
  <c r="N19" i="29" s="1"/>
  <c r="H75" i="29"/>
  <c r="H80" i="29" s="1"/>
  <c r="H64" i="29" s="1"/>
  <c r="F37" i="29"/>
  <c r="F19" i="29" s="1"/>
  <c r="H62" i="29"/>
  <c r="I75" i="29"/>
  <c r="I80" i="29" s="1"/>
  <c r="I60" i="29" s="1"/>
  <c r="C32" i="29"/>
  <c r="C37" i="29" s="1"/>
  <c r="C34" i="28"/>
  <c r="C39" i="28" s="1"/>
  <c r="C21" i="28" s="1"/>
  <c r="K29" i="3"/>
  <c r="D62" i="3" s="1"/>
  <c r="K48" i="32"/>
  <c r="O48" i="32" s="1"/>
  <c r="K52" i="32"/>
  <c r="O52" i="32" s="1"/>
  <c r="H51" i="32"/>
  <c r="L49" i="32"/>
  <c r="E48" i="32"/>
  <c r="G48" i="32" s="1"/>
  <c r="H52" i="32"/>
  <c r="H53" i="32"/>
  <c r="K53" i="32"/>
  <c r="O53" i="32" s="1"/>
  <c r="H54" i="32"/>
  <c r="I50" i="32"/>
  <c r="H50" i="32"/>
  <c r="D41" i="32" s="1"/>
  <c r="E41" i="32" s="1"/>
  <c r="E50" i="32"/>
  <c r="G50" i="32" s="1"/>
  <c r="E51" i="32"/>
  <c r="G51" i="32" s="1"/>
  <c r="E54" i="32"/>
  <c r="G54" i="32" s="1"/>
  <c r="E49" i="32"/>
  <c r="G49" i="32" s="1"/>
  <c r="H39" i="32"/>
  <c r="H49" i="32"/>
  <c r="D40" i="32" s="1"/>
  <c r="E40" i="32" s="1"/>
  <c r="I49" i="32"/>
  <c r="S31" i="3"/>
  <c r="S22" i="30"/>
  <c r="S25" i="30" s="1"/>
  <c r="S27" i="30" s="1"/>
  <c r="AA22" i="30"/>
  <c r="AA25" i="30" s="1"/>
  <c r="AA27" i="30" s="1"/>
  <c r="AA23" i="30"/>
  <c r="AA26" i="30" s="1"/>
  <c r="K25" i="30"/>
  <c r="K27" i="30" s="1"/>
  <c r="AI23" i="30"/>
  <c r="AI26" i="30" s="1"/>
  <c r="AQ23" i="30"/>
  <c r="AQ26" i="30" s="1"/>
  <c r="D17" i="29"/>
  <c r="E62" i="29"/>
  <c r="E60" i="29"/>
  <c r="E64" i="29"/>
  <c r="G19" i="29"/>
  <c r="G17" i="29"/>
  <c r="G21" i="29"/>
  <c r="L19" i="29"/>
  <c r="L17" i="29"/>
  <c r="L21" i="29"/>
  <c r="F17" i="29"/>
  <c r="F21" i="29"/>
  <c r="N17" i="29"/>
  <c r="O62" i="29"/>
  <c r="E19" i="29"/>
  <c r="E17" i="29"/>
  <c r="E21" i="29"/>
  <c r="O60" i="29"/>
  <c r="O64" i="29"/>
  <c r="M17" i="29"/>
  <c r="M21" i="29"/>
  <c r="I17" i="29"/>
  <c r="I21" i="29"/>
  <c r="L62" i="29"/>
  <c r="L60" i="29"/>
  <c r="F64" i="29"/>
  <c r="N64" i="29"/>
  <c r="C46" i="20"/>
  <c r="D38" i="20"/>
  <c r="D25" i="20"/>
  <c r="F29" i="20"/>
  <c r="D36" i="20"/>
  <c r="D23" i="20"/>
  <c r="F27" i="20"/>
  <c r="D34" i="20"/>
  <c r="D45" i="20"/>
  <c r="D29" i="20"/>
  <c r="D40" i="20"/>
  <c r="D21" i="20"/>
  <c r="F25" i="20"/>
  <c r="F23" i="20"/>
  <c r="F21" i="20"/>
  <c r="D28" i="20"/>
  <c r="D39" i="20"/>
  <c r="D24" i="20"/>
  <c r="F28" i="20"/>
  <c r="D35" i="20"/>
  <c r="F26" i="20"/>
  <c r="H41" i="32" l="1"/>
  <c r="N49" i="32"/>
  <c r="N55" i="32" s="1"/>
  <c r="E7" i="32"/>
  <c r="M50" i="32" s="1"/>
  <c r="G64" i="29"/>
  <c r="K21" i="29"/>
  <c r="H21" i="29"/>
  <c r="O21" i="29"/>
  <c r="O17" i="29"/>
  <c r="O38" i="29" s="1"/>
  <c r="O39" i="29" s="1"/>
  <c r="G60" i="29"/>
  <c r="N81" i="29"/>
  <c r="N82" i="29" s="1"/>
  <c r="M64" i="29"/>
  <c r="J64" i="29"/>
  <c r="J62" i="29"/>
  <c r="J81" i="29" s="1"/>
  <c r="J82" i="29" s="1"/>
  <c r="F81" i="29"/>
  <c r="F82" i="29" s="1"/>
  <c r="C64" i="29"/>
  <c r="C60" i="29"/>
  <c r="D39" i="28"/>
  <c r="D19" i="28" s="1"/>
  <c r="E63" i="3"/>
  <c r="E65" i="3"/>
  <c r="D64" i="29"/>
  <c r="M60" i="29"/>
  <c r="I62" i="29"/>
  <c r="D62" i="29"/>
  <c r="D81" i="29" s="1"/>
  <c r="D82" i="29" s="1"/>
  <c r="I64" i="29"/>
  <c r="I81" i="29" s="1"/>
  <c r="I82" i="29" s="1"/>
  <c r="H60" i="29"/>
  <c r="H81" i="29" s="1"/>
  <c r="H82" i="29" s="1"/>
  <c r="J21" i="29"/>
  <c r="I38" i="29"/>
  <c r="I39" i="29" s="1"/>
  <c r="K17" i="29"/>
  <c r="H19" i="29"/>
  <c r="H38" i="29" s="1"/>
  <c r="H39" i="29" s="1"/>
  <c r="C19" i="29"/>
  <c r="C21" i="29"/>
  <c r="C17" i="29"/>
  <c r="C38" i="29" s="1"/>
  <c r="C39" i="29" s="1"/>
  <c r="K62" i="29"/>
  <c r="K81" i="29" s="1"/>
  <c r="K82" i="29" s="1"/>
  <c r="M38" i="29"/>
  <c r="M39" i="29" s="1"/>
  <c r="D21" i="29"/>
  <c r="D38" i="29" s="1"/>
  <c r="D39" i="29" s="1"/>
  <c r="C62" i="29"/>
  <c r="J17" i="29"/>
  <c r="N21" i="29"/>
  <c r="N38" i="29" s="1"/>
  <c r="N39" i="29" s="1"/>
  <c r="K64" i="29"/>
  <c r="E38" i="29"/>
  <c r="E39" i="29" s="1"/>
  <c r="O81" i="29"/>
  <c r="O82" i="29" s="1"/>
  <c r="C19" i="28"/>
  <c r="C23" i="28"/>
  <c r="L55" i="32"/>
  <c r="K55" i="32"/>
  <c r="D42" i="32"/>
  <c r="E42" i="32" s="1"/>
  <c r="J53" i="32" a="1"/>
  <c r="J53" i="32" s="1"/>
  <c r="J52" i="32" a="1"/>
  <c r="J52" i="32" s="1"/>
  <c r="J48" i="32" a="1"/>
  <c r="J48" i="32" s="1"/>
  <c r="J49" i="32" a="1"/>
  <c r="J49" i="32" s="1"/>
  <c r="J54" i="32" a="1"/>
  <c r="J54" i="32" s="1"/>
  <c r="J51" i="32" a="1"/>
  <c r="J51" i="32" s="1"/>
  <c r="C28" i="30"/>
  <c r="S23" i="30"/>
  <c r="S26" i="30" s="1"/>
  <c r="K23" i="30"/>
  <c r="K26" i="30" s="1"/>
  <c r="AA28" i="30"/>
  <c r="AA29" i="30" s="1"/>
  <c r="AA30" i="30" s="1"/>
  <c r="Z32" i="30" s="1"/>
  <c r="AQ28" i="30"/>
  <c r="AQ29" i="30" s="1"/>
  <c r="AQ30" i="30" s="1"/>
  <c r="AP32" i="30" s="1"/>
  <c r="AI28" i="30"/>
  <c r="AI29" i="30" s="1"/>
  <c r="AI30" i="30" s="1"/>
  <c r="AH32" i="30" s="1"/>
  <c r="S28" i="30"/>
  <c r="S29" i="30" s="1"/>
  <c r="S30" i="30" s="1"/>
  <c r="R32" i="30" s="1"/>
  <c r="G81" i="29"/>
  <c r="G82" i="29" s="1"/>
  <c r="K38" i="29"/>
  <c r="K39" i="29" s="1"/>
  <c r="M81" i="29"/>
  <c r="M82" i="29" s="1"/>
  <c r="F38" i="29"/>
  <c r="F39" i="29" s="1"/>
  <c r="L81" i="29"/>
  <c r="L82" i="29" s="1"/>
  <c r="G38" i="29"/>
  <c r="G39" i="29" s="1"/>
  <c r="E81" i="29"/>
  <c r="E82" i="29" s="1"/>
  <c r="L38" i="29"/>
  <c r="L39" i="29" s="1"/>
  <c r="J38" i="29"/>
  <c r="J39" i="29" s="1"/>
  <c r="G21" i="20"/>
  <c r="E21" i="20"/>
  <c r="G29" i="20"/>
  <c r="G23" i="20"/>
  <c r="G24" i="20"/>
  <c r="G22" i="20"/>
  <c r="G25" i="20"/>
  <c r="G27" i="20"/>
  <c r="H40" i="32" l="1"/>
  <c r="H42" i="32" s="1"/>
  <c r="G43" i="32" s="1"/>
  <c r="M49" i="32"/>
  <c r="M55" i="32" s="1"/>
  <c r="O55" i="32" s="1"/>
  <c r="R5" i="32" s="1"/>
  <c r="C81" i="29"/>
  <c r="C82" i="29" s="1"/>
  <c r="D21" i="28"/>
  <c r="D23" i="28"/>
  <c r="C40" i="28"/>
  <c r="C41" i="28" s="1"/>
  <c r="G13" i="28" s="1"/>
  <c r="C29" i="30"/>
  <c r="C30" i="30" s="1"/>
  <c r="B32" i="30" s="1"/>
  <c r="K28" i="30"/>
  <c r="K29" i="30" s="1"/>
  <c r="K30" i="30" s="1"/>
  <c r="J32" i="30" s="1"/>
  <c r="J21" i="20"/>
  <c r="M21" i="20"/>
  <c r="H30" i="20" s="1"/>
  <c r="F30" i="20"/>
  <c r="I21" i="20"/>
  <c r="K21" i="20" s="1"/>
  <c r="O49" i="32" l="1"/>
  <c r="D40" i="28"/>
  <c r="D41" i="28" s="1"/>
  <c r="S86" i="28" s="1"/>
  <c r="G48" i="28"/>
  <c r="G86" i="28"/>
  <c r="L21" i="20"/>
  <c r="N21" i="20"/>
  <c r="P21" i="20" s="1"/>
  <c r="G30" i="20"/>
  <c r="E22" i="20"/>
  <c r="F28" i="14"/>
  <c r="D28" i="14"/>
  <c r="K30" i="3" s="1"/>
  <c r="C118" i="13"/>
  <c r="C109" i="13"/>
  <c r="C96" i="13"/>
  <c r="C87" i="13"/>
  <c r="C53" i="13"/>
  <c r="C52" i="13"/>
  <c r="AQ30" i="3" l="1"/>
  <c r="AA30" i="3"/>
  <c r="S13" i="28"/>
  <c r="S48" i="28"/>
  <c r="E7" i="14"/>
  <c r="E17" i="14"/>
  <c r="F30" i="14" s="1"/>
  <c r="E9" i="14"/>
  <c r="C9" i="14"/>
  <c r="M22" i="20"/>
  <c r="H31" i="20" s="1"/>
  <c r="J22" i="20"/>
  <c r="F31" i="20"/>
  <c r="I22" i="20"/>
  <c r="K22" i="20" s="1"/>
  <c r="Q21" i="20"/>
  <c r="C7" i="14"/>
  <c r="E29" i="14"/>
  <c r="C17" i="14"/>
  <c r="D30" i="14" s="1"/>
  <c r="C28" i="14"/>
  <c r="C30" i="3" s="1"/>
  <c r="C31" i="3" s="1"/>
  <c r="AQ31" i="3"/>
  <c r="AI31" i="3"/>
  <c r="K31" i="3"/>
  <c r="C34" i="3" l="1"/>
  <c r="C65" i="3"/>
  <c r="C63" i="3"/>
  <c r="C35" i="3"/>
  <c r="C39" i="3" s="1"/>
  <c r="T62" i="14"/>
  <c r="T63" i="14"/>
  <c r="T55" i="14"/>
  <c r="T61" i="14"/>
  <c r="T51" i="14"/>
  <c r="T53" i="14"/>
  <c r="T52" i="14"/>
  <c r="T56" i="14"/>
  <c r="T57" i="14"/>
  <c r="T58" i="14"/>
  <c r="T59" i="14"/>
  <c r="T60" i="14"/>
  <c r="T54" i="14"/>
  <c r="G63" i="3"/>
  <c r="G65" i="3"/>
  <c r="D63" i="3"/>
  <c r="C68" i="3" s="1"/>
  <c r="D65" i="3"/>
  <c r="H63" i="3"/>
  <c r="H65" i="3"/>
  <c r="AA31" i="3"/>
  <c r="F65" i="3" s="1"/>
  <c r="E31" i="14"/>
  <c r="E37" i="14" s="1"/>
  <c r="E30" i="14"/>
  <c r="N22" i="20"/>
  <c r="P22" i="20" s="1"/>
  <c r="L22" i="20"/>
  <c r="E23" i="20"/>
  <c r="G31" i="20"/>
  <c r="C30" i="14"/>
  <c r="C29" i="14"/>
  <c r="AQ35" i="3"/>
  <c r="AQ39" i="3" s="1"/>
  <c r="AI34" i="3"/>
  <c r="AI37" i="3" s="1"/>
  <c r="AI35" i="3"/>
  <c r="AI39" i="3" s="1"/>
  <c r="S34" i="3"/>
  <c r="S37" i="3" s="1"/>
  <c r="E54" i="14" l="1"/>
  <c r="E55" i="14"/>
  <c r="E57" i="14"/>
  <c r="E60" i="14"/>
  <c r="E62" i="14"/>
  <c r="E52" i="14"/>
  <c r="E63" i="14"/>
  <c r="E53" i="14"/>
  <c r="E51" i="14"/>
  <c r="E56" i="14"/>
  <c r="E58" i="14"/>
  <c r="E59" i="14"/>
  <c r="E61" i="14"/>
  <c r="C36" i="3"/>
  <c r="G68" i="3"/>
  <c r="E19" i="14"/>
  <c r="E21" i="14"/>
  <c r="E23" i="14"/>
  <c r="AA35" i="3"/>
  <c r="AA39" i="3" s="1"/>
  <c r="F63" i="3"/>
  <c r="E68" i="3" s="1"/>
  <c r="AI40" i="3"/>
  <c r="AA34" i="3"/>
  <c r="AA37" i="3" s="1"/>
  <c r="M23" i="20"/>
  <c r="H32" i="20" s="1"/>
  <c r="F32" i="20"/>
  <c r="J23" i="20"/>
  <c r="I23" i="20"/>
  <c r="K23" i="20" s="1"/>
  <c r="Q22" i="20"/>
  <c r="C31" i="14"/>
  <c r="C37" i="14" s="1"/>
  <c r="AI36" i="3"/>
  <c r="AQ34" i="3"/>
  <c r="AQ37" i="3" s="1"/>
  <c r="AQ40" i="3" s="1"/>
  <c r="S35" i="3"/>
  <c r="S39" i="3" s="1"/>
  <c r="S40" i="3" s="1"/>
  <c r="K35" i="3"/>
  <c r="K39" i="3" s="1"/>
  <c r="K34" i="3"/>
  <c r="K37" i="3" s="1"/>
  <c r="C37" i="3" l="1"/>
  <c r="C40" i="3" s="1"/>
  <c r="C41" i="3" s="1"/>
  <c r="C42" i="3" s="1"/>
  <c r="C19" i="14"/>
  <c r="C23" i="14"/>
  <c r="C21" i="14"/>
  <c r="E38" i="14"/>
  <c r="E39" i="14" s="1"/>
  <c r="AA40" i="3"/>
  <c r="AA36" i="3"/>
  <c r="K40" i="3"/>
  <c r="AQ36" i="3"/>
  <c r="AQ41" i="3" s="1"/>
  <c r="AQ42" i="3" s="1"/>
  <c r="E24" i="20"/>
  <c r="M24" i="20" s="1"/>
  <c r="H33" i="20" s="1"/>
  <c r="L23" i="20"/>
  <c r="N23" i="20"/>
  <c r="P23" i="20" s="1"/>
  <c r="G32" i="20"/>
  <c r="K36" i="3"/>
  <c r="AI41" i="3"/>
  <c r="S36" i="3"/>
  <c r="C66" i="3" l="1"/>
  <c r="B45" i="3"/>
  <c r="AI42" i="3"/>
  <c r="G66" i="3" s="1"/>
  <c r="G67" i="3"/>
  <c r="AP45" i="3"/>
  <c r="H66" i="3"/>
  <c r="AA41" i="3"/>
  <c r="AA42" i="3" s="1"/>
  <c r="C38" i="14"/>
  <c r="C39" i="14" s="1"/>
  <c r="F33" i="20"/>
  <c r="I24" i="20"/>
  <c r="K24" i="20" s="1"/>
  <c r="N24" i="20" s="1"/>
  <c r="P24" i="20" s="1"/>
  <c r="Q24" i="20" s="1"/>
  <c r="J24" i="20"/>
  <c r="G33" i="20"/>
  <c r="Q23" i="20"/>
  <c r="K41" i="3"/>
  <c r="AH45" i="3"/>
  <c r="S41" i="3"/>
  <c r="S42" i="3" l="1"/>
  <c r="R45" i="3" s="1"/>
  <c r="E67" i="3"/>
  <c r="K42" i="3"/>
  <c r="J45" i="3" s="1"/>
  <c r="C67" i="3"/>
  <c r="Z45" i="3"/>
  <c r="F66" i="3"/>
  <c r="E25" i="20"/>
  <c r="M25" i="20" s="1"/>
  <c r="H34" i="20" s="1"/>
  <c r="L24" i="20"/>
  <c r="D66" i="5"/>
  <c r="C66" i="5"/>
  <c r="D66" i="3" l="1"/>
  <c r="E66" i="3"/>
  <c r="J25" i="20"/>
  <c r="F34" i="20"/>
  <c r="I25" i="20"/>
  <c r="K25" i="20" s="1"/>
  <c r="L25" i="20" s="1"/>
  <c r="G34" i="20"/>
  <c r="C68" i="5"/>
  <c r="E26" i="20" l="1"/>
  <c r="M26" i="20" s="1"/>
  <c r="H35" i="20" s="1"/>
  <c r="N25" i="20"/>
  <c r="P25" i="20" s="1"/>
  <c r="Q25" i="20" s="1"/>
  <c r="C50" i="5"/>
  <c r="E8" i="5"/>
  <c r="E12" i="5"/>
  <c r="D12" i="5"/>
  <c r="D8" i="5"/>
  <c r="C12" i="5"/>
  <c r="C8" i="5"/>
  <c r="I26" i="20" l="1"/>
  <c r="K26" i="20" s="1"/>
  <c r="N26" i="20" s="1"/>
  <c r="P26" i="20" s="1"/>
  <c r="Q26" i="20" s="1"/>
  <c r="F35" i="20"/>
  <c r="J26" i="20"/>
  <c r="G35" i="20"/>
  <c r="F12" i="5"/>
  <c r="F8" i="5"/>
  <c r="E27" i="20" l="1"/>
  <c r="J27" i="20" s="1"/>
  <c r="L26" i="20"/>
  <c r="C69" i="5"/>
  <c r="C70" i="5" s="1"/>
  <c r="I27" i="20" l="1"/>
  <c r="K27" i="20" s="1"/>
  <c r="L27" i="20" s="1"/>
  <c r="F36" i="20"/>
  <c r="M27" i="20"/>
  <c r="C111" i="5"/>
  <c r="C110" i="5"/>
  <c r="C109" i="5"/>
  <c r="C108" i="5"/>
  <c r="C107" i="5"/>
  <c r="C106" i="5"/>
  <c r="C83" i="5"/>
  <c r="C103" i="5"/>
  <c r="C102" i="5"/>
  <c r="C101" i="5"/>
  <c r="C100" i="5"/>
  <c r="C99" i="5"/>
  <c r="C98" i="5"/>
  <c r="C80" i="5"/>
  <c r="C81" i="5"/>
  <c r="C82" i="5"/>
  <c r="C79" i="5"/>
  <c r="C94" i="5"/>
  <c r="C90" i="5"/>
  <c r="C88" i="5"/>
  <c r="C87" i="5"/>
  <c r="C86" i="5"/>
  <c r="C91" i="5"/>
  <c r="C89" i="5"/>
  <c r="C76" i="5"/>
  <c r="C77" i="5"/>
  <c r="C78" i="5"/>
  <c r="H36" i="20" l="1"/>
  <c r="G36" i="20" s="1"/>
  <c r="N27" i="20"/>
  <c r="P27" i="20" s="1"/>
  <c r="Q27" i="20" s="1"/>
  <c r="E28" i="20"/>
  <c r="F37" i="20" s="1"/>
  <c r="I28" i="20" l="1"/>
  <c r="K28" i="20" s="1"/>
  <c r="N28" i="20" s="1"/>
  <c r="P28" i="20" s="1"/>
  <c r="Q28" i="20" s="1"/>
  <c r="J28" i="20"/>
  <c r="M28" i="20"/>
  <c r="H37" i="20" l="1"/>
  <c r="G37" i="20" s="1"/>
  <c r="E29" i="20"/>
  <c r="J29" i="20" s="1"/>
  <c r="L28" i="20"/>
  <c r="F38" i="20" l="1"/>
  <c r="M29" i="20"/>
  <c r="I29" i="20"/>
  <c r="K29" i="20" s="1"/>
  <c r="N29" i="20" s="1"/>
  <c r="P29" i="20" s="1"/>
  <c r="Q29" i="20" s="1"/>
  <c r="H38" i="20" l="1"/>
  <c r="G38" i="20" s="1"/>
  <c r="E30" i="20"/>
  <c r="J30" i="20" s="1"/>
  <c r="L29" i="20"/>
  <c r="I30" i="20" l="1"/>
  <c r="K30" i="20" s="1"/>
  <c r="N30" i="20" s="1"/>
  <c r="P30" i="20" s="1"/>
  <c r="Q30" i="20" s="1"/>
  <c r="F39" i="20"/>
  <c r="M30" i="20"/>
  <c r="H39" i="20" l="1"/>
  <c r="G39" i="20" s="1"/>
  <c r="E31" i="20"/>
  <c r="J31" i="20" s="1"/>
  <c r="L30" i="20"/>
  <c r="M31" i="20" l="1"/>
  <c r="I31" i="20"/>
  <c r="K31" i="20" s="1"/>
  <c r="L31" i="20" s="1"/>
  <c r="F40" i="20"/>
  <c r="H40" i="20" l="1"/>
  <c r="G40" i="20" s="1"/>
  <c r="N31" i="20"/>
  <c r="P31" i="20" s="1"/>
  <c r="Q31" i="20" s="1"/>
  <c r="E32" i="20"/>
  <c r="F41" i="20" s="1"/>
  <c r="I32" i="20" l="1"/>
  <c r="K32" i="20" s="1"/>
  <c r="L32" i="20" s="1"/>
  <c r="M32" i="20"/>
  <c r="J32" i="20"/>
  <c r="H41" i="20" l="1"/>
  <c r="G41" i="20" s="1"/>
  <c r="E33" i="20"/>
  <c r="M33" i="20" s="1"/>
  <c r="H42" i="20" s="1"/>
  <c r="N32" i="20"/>
  <c r="P32" i="20" s="1"/>
  <c r="Q32" i="20" s="1"/>
  <c r="I33" i="20" l="1"/>
  <c r="K33" i="20" s="1"/>
  <c r="N33" i="20" s="1"/>
  <c r="P33" i="20" s="1"/>
  <c r="Q33" i="20" s="1"/>
  <c r="F42" i="20"/>
  <c r="J33" i="20"/>
  <c r="G42" i="20"/>
  <c r="L33" i="20" l="1"/>
  <c r="E34" i="20"/>
  <c r="M34" i="20" s="1"/>
  <c r="H43" i="20" s="1"/>
  <c r="I34" i="20" l="1"/>
  <c r="K34" i="20" s="1"/>
  <c r="N34" i="20" s="1"/>
  <c r="P34" i="20" s="1"/>
  <c r="Q34" i="20" s="1"/>
  <c r="F43" i="20"/>
  <c r="J34" i="20"/>
  <c r="G43" i="20"/>
  <c r="E35" i="20" l="1"/>
  <c r="I35" i="20" s="1"/>
  <c r="K35" i="20" s="1"/>
  <c r="L34" i="20"/>
  <c r="J35" i="20" l="1"/>
  <c r="E36" i="20" s="1"/>
  <c r="M35" i="20"/>
  <c r="F44" i="20"/>
  <c r="N35" i="20"/>
  <c r="P35" i="20" s="1"/>
  <c r="Q35" i="20" s="1"/>
  <c r="L35" i="20"/>
  <c r="H44" i="20" l="1"/>
  <c r="G44" i="20" s="1"/>
  <c r="M36" i="20"/>
  <c r="H45" i="20" s="1"/>
  <c r="F45" i="20"/>
  <c r="J36" i="20"/>
  <c r="I36" i="20"/>
  <c r="K36" i="20" s="1"/>
  <c r="E37" i="20" l="1"/>
  <c r="M37" i="20" s="1"/>
  <c r="N36" i="20"/>
  <c r="P36" i="20" s="1"/>
  <c r="Q36" i="20" s="1"/>
  <c r="L36" i="20"/>
  <c r="G45" i="20"/>
  <c r="I37" i="20" l="1"/>
  <c r="K37" i="20" s="1"/>
  <c r="N37" i="20" s="1"/>
  <c r="P37" i="20" s="1"/>
  <c r="Q37" i="20" s="1"/>
  <c r="J37" i="20"/>
  <c r="E38" i="20" l="1"/>
  <c r="M38" i="20" s="1"/>
  <c r="L37" i="20"/>
  <c r="I38" i="20" l="1"/>
  <c r="K38" i="20" s="1"/>
  <c r="L38" i="20" s="1"/>
  <c r="J38" i="20"/>
  <c r="N38" i="20" l="1"/>
  <c r="P38" i="20" s="1"/>
  <c r="Q38" i="20" s="1"/>
  <c r="E39" i="20"/>
  <c r="M39" i="20" s="1"/>
  <c r="I39" i="20" l="1"/>
  <c r="K39" i="20" s="1"/>
  <c r="N39" i="20" s="1"/>
  <c r="P39" i="20" s="1"/>
  <c r="Q39" i="20" s="1"/>
  <c r="J39" i="20"/>
  <c r="E40" i="20" l="1"/>
  <c r="M40" i="20" s="1"/>
  <c r="L39" i="20"/>
  <c r="I40" i="20" l="1"/>
  <c r="K40" i="20" s="1"/>
  <c r="L40" i="20" s="1"/>
  <c r="J40" i="20"/>
  <c r="E41" i="20" l="1"/>
  <c r="M41" i="20" s="1"/>
  <c r="N40" i="20"/>
  <c r="P40" i="20" s="1"/>
  <c r="Q40" i="20" s="1"/>
  <c r="I41" i="20" l="1"/>
  <c r="K41" i="20" s="1"/>
  <c r="N41" i="20" s="1"/>
  <c r="P41" i="20" s="1"/>
  <c r="Q41" i="20" s="1"/>
  <c r="J41" i="20"/>
  <c r="E42" i="20" l="1"/>
  <c r="M42" i="20" s="1"/>
  <c r="L41" i="20"/>
  <c r="I42" i="20" l="1"/>
  <c r="K42" i="20" s="1"/>
  <c r="N42" i="20" s="1"/>
  <c r="P42" i="20" s="1"/>
  <c r="Q42" i="20" s="1"/>
  <c r="J42" i="20"/>
  <c r="L42" i="20" l="1"/>
  <c r="E43" i="20"/>
  <c r="M43" i="20" s="1"/>
  <c r="J43" i="20" l="1"/>
  <c r="I43" i="20"/>
  <c r="K43" i="20" s="1"/>
  <c r="L43" i="20" s="1"/>
  <c r="E44" i="20" l="1"/>
  <c r="J44" i="20" s="1"/>
  <c r="N43" i="20"/>
  <c r="P43" i="20" s="1"/>
  <c r="Q43" i="20" s="1"/>
  <c r="M44" i="20" l="1"/>
  <c r="I44" i="20"/>
  <c r="K44" i="20" s="1"/>
  <c r="N44" i="20" s="1"/>
  <c r="P44" i="20" s="1"/>
  <c r="Q44" i="20" s="1"/>
  <c r="L44" i="20" l="1"/>
  <c r="E45" i="20"/>
  <c r="M45" i="20" s="1"/>
  <c r="J45" i="20" l="1"/>
  <c r="I45" i="20"/>
  <c r="K45" i="20" s="1"/>
  <c r="L45" i="20" s="1"/>
  <c r="N45" i="20" l="1"/>
  <c r="P45" i="20" s="1"/>
  <c r="Q45" i="20" s="1"/>
  <c r="P46" i="20" l="1"/>
  <c r="C50" i="2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tc={2771B424-55BE-40A6-A777-31B3090D3586}</author>
    <author>tc={C6B04069-6535-4191-B362-B7AFFDE51497}</author>
    <author>tc={441601A1-8F51-4CB7-8816-107E50936A8D}</author>
    <author>tc={996FA5FE-946A-43BC-8623-4A8B6850B7D7}</author>
  </authors>
  <commentList>
    <comment ref="D40" authorId="0" shapeId="0" xr:uid="{2771B424-55BE-40A6-A777-31B3090D3586}">
      <text>
        <t xml:space="preserve">[Threaded comment]
Your version of Excel allows you to read this threaded comment; however, any edits to it will get removed if the file is opened in a newer version of Excel. Learn more: https://go.microsoft.com/fwlink/?linkid=870924
Comment:
    Formula calc service crew
</t>
      </text>
    </comment>
    <comment ref="C42" authorId="1" shapeId="0" xr:uid="{C6B04069-6535-4191-B362-B7AFFDE51497}">
      <text>
        <t>[Threaded comment]
Your version of Excel allows you to read this threaded comment; however, any edits to it will get removed if the file is opened in a newer version of Excel. Learn more: https://go.microsoft.com/fwlink/?linkid=870924
Comment:
    Set to max of either lunch or dinner capacity, as all full timer and will be present for both shift</t>
      </text>
    </comment>
    <comment ref="D42" authorId="2" shapeId="0" xr:uid="{441601A1-8F51-4CB7-8816-107E50936A8D}">
      <text>
        <t xml:space="preserve">[Threaded comment]
Your version of Excel allows you to read this threaded comment; however, any edits to it will get removed if the file is opened in a newer version of Excel. Learn more: https://go.microsoft.com/fwlink/?linkid=870924
Comment:
    Diff formula calc kitchen crew
</t>
      </text>
    </comment>
    <comment ref="O55" authorId="3" shapeId="0" xr:uid="{996FA5FE-946A-43BC-8623-4A8B6850B7D7}">
      <text>
        <t>[Threaded comment]
Your version of Excel allows you to read this threaded comment; however, any edits to it will get removed if the file is opened in a newer version of Excel. Learn more: https://go.microsoft.com/fwlink/?linkid=870924
Comment:
    Solver Target to Min</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<sst xmlns="http://schemas.openxmlformats.org/spreadsheetml/2006/main" count="1271" uniqueCount="610">
  <si>
    <t>IS602: Spreadsheet Modelling</t>
  </si>
  <si>
    <t>High Steaks: Buffet Optimization Framework</t>
  </si>
  <si>
    <t>Group 2</t>
  </si>
  <si>
    <t>Alan Chang Jia Jie</t>
  </si>
  <si>
    <t>Andre Ong Jia Kang</t>
  </si>
  <si>
    <t>Ng Jin Yao</t>
  </si>
  <si>
    <t>Nor Hendra Bin Abdul Rahman</t>
  </si>
  <si>
    <t>Neo Rong Jo Shaun</t>
  </si>
  <si>
    <r>
      <t xml:space="preserve">High-Steaks Optimization: </t>
    </r>
    <r>
      <rPr>
        <sz val="28"/>
        <rFont val="Aptos ExtraBold"/>
        <family val="2"/>
      </rPr>
      <t>Business Resilience and Pricing Optimization</t>
    </r>
  </si>
  <si>
    <t>Decisions</t>
  </si>
  <si>
    <t>Weekday</t>
  </si>
  <si>
    <t>Weekend</t>
  </si>
  <si>
    <t>Lunch</t>
  </si>
  <si>
    <t>Dinner</t>
  </si>
  <si>
    <t>Buffet Price</t>
  </si>
  <si>
    <t>Average Buffet Price</t>
  </si>
  <si>
    <t>Dining duration (Operating Hours)</t>
  </si>
  <si>
    <t>Total Dining Duration</t>
  </si>
  <si>
    <t>Max. Customer Dining duration 
(hours per session)</t>
  </si>
  <si>
    <t>No. of seats</t>
  </si>
  <si>
    <t>PARAMETERS</t>
  </si>
  <si>
    <t>Customer Demand</t>
  </si>
  <si>
    <t>Average Customer Demand</t>
  </si>
  <si>
    <t>Ingredient cost ratio</t>
  </si>
  <si>
    <t>Ingredient cost (per day)</t>
  </si>
  <si>
    <t>Variable cost ratio</t>
  </si>
  <si>
    <t>Variable cost (per day)</t>
  </si>
  <si>
    <t>Fixed cost ratio</t>
  </si>
  <si>
    <t xml:space="preserve"> Fixed cost (per day)</t>
  </si>
  <si>
    <t>Consequence Variable</t>
  </si>
  <si>
    <t>Occupancy Rate per seat</t>
  </si>
  <si>
    <t>Total Occupancy Rate</t>
  </si>
  <si>
    <t>Average Customer Throughput</t>
  </si>
  <si>
    <t>Total Customer Throughput</t>
  </si>
  <si>
    <t>Performance measure</t>
  </si>
  <si>
    <t>Revenue</t>
  </si>
  <si>
    <t>Total cost</t>
  </si>
  <si>
    <t>Profit</t>
  </si>
  <si>
    <t>Demand Curve</t>
  </si>
  <si>
    <t>Assumption</t>
  </si>
  <si>
    <t>Customer demand</t>
  </si>
  <si>
    <t>Customer demand max is 100%, lowest price buffet will go is $30.</t>
  </si>
  <si>
    <t>Weekend is more popular than weekday with very high demand.</t>
  </si>
  <si>
    <t>For every $10 price increase, demand drops by 5% customers</t>
  </si>
  <si>
    <t xml:space="preserve"> Customer demand max is 100%, lowest price buffet will go is $88.25.</t>
  </si>
  <si>
    <t>Unlikely customer will want to go weekday buffet above $135</t>
  </si>
  <si>
    <t>For every $10 price increase, demand drops by 4% customers</t>
  </si>
  <si>
    <r>
      <t xml:space="preserve">High-Steaks Optimization: </t>
    </r>
    <r>
      <rPr>
        <sz val="28"/>
        <rFont val="Aptos ExtraBold"/>
        <family val="2"/>
      </rPr>
      <t>Business Performance Resilience Through Sensitivity Analysis</t>
    </r>
  </si>
  <si>
    <t>Sensitivity Analysis 1: Profit sensitivity using Price-Demand Curve Gradient vs Ingredient Cost (Weekday)</t>
  </si>
  <si>
    <t>Sensitivity Analysis 2: Profit sensitivity using Price-Demand Curve Gradient vs Ingredient Cost (Weekend)</t>
  </si>
  <si>
    <t>Intercept</t>
  </si>
  <si>
    <t>Slope</t>
  </si>
  <si>
    <t>Max. Customer Dining duration (per session)</t>
  </si>
  <si>
    <t>Total Customer Throughput (per day)</t>
  </si>
  <si>
    <t>Sensitivity Analysis 3: Profit sensitivity using Price-Demand Curve Gradient vs Fixed Cost (Weekday)</t>
  </si>
  <si>
    <t>Sensitivity Analysis 4: Profit sensitivity using Price-Demand Curve Gradient vs Fixed Cost (Weekend)</t>
  </si>
  <si>
    <t>Sensitivity Analysis 5: Profit sensitivity using Price-Demand Curve Gradient vs Variable Cost (Weekday)</t>
  </si>
  <si>
    <t>Sensitivity Analysis 6: Profit sensitivity using Price-Demand Curve Gradient vs Variable Cost (Weekend)</t>
  </si>
  <si>
    <r>
      <t xml:space="preserve">High-Steaks Optimization: </t>
    </r>
    <r>
      <rPr>
        <sz val="28"/>
        <rFont val="Aptos ExtraBold"/>
        <family val="2"/>
      </rPr>
      <t>Business Performance Resilience Through Tradeoff Analysis</t>
    </r>
  </si>
  <si>
    <t>Weekday (Price-Demand) - Best Profit price</t>
  </si>
  <si>
    <t>Weekend (Price-Demand) - Best Profit price</t>
  </si>
  <si>
    <r>
      <t xml:space="preserve">High-Steaks Optimization: </t>
    </r>
    <r>
      <rPr>
        <sz val="28"/>
        <rFont val="Aptos ExtraBold"/>
        <family val="2"/>
      </rPr>
      <t>Marketing Pricing Strategy</t>
    </r>
  </si>
  <si>
    <t>Holiday</t>
  </si>
  <si>
    <t>Base price</t>
  </si>
  <si>
    <t>Discount % - min</t>
  </si>
  <si>
    <t>Discount % - max</t>
  </si>
  <si>
    <t>Add-on Alcohol price - min</t>
  </si>
  <si>
    <t>Add-on Alcohol price - max</t>
  </si>
  <si>
    <t>Seating capacity</t>
  </si>
  <si>
    <t>Operating hours - lunch</t>
  </si>
  <si>
    <t>Operating hours - dinner</t>
  </si>
  <si>
    <t>Overall daily occupancy rate (per seat)</t>
  </si>
  <si>
    <t>Daily max customer capacity</t>
  </si>
  <si>
    <t>Linear demand intercept (buffet)</t>
  </si>
  <si>
    <t>Linear demand slope (buffet)</t>
  </si>
  <si>
    <t>Variable Cost (% of total revenue)</t>
  </si>
  <si>
    <t>Fixed Cost (% of max revenue)</t>
  </si>
  <si>
    <r>
      <t>Daily</t>
    </r>
    <r>
      <rPr>
        <sz val="11"/>
        <color theme="1"/>
        <rFont val="Aptos Narrow"/>
        <family val="2"/>
        <scheme val="minor"/>
      </rPr>
      <t xml:space="preserve"> </t>
    </r>
    <r>
      <rPr>
        <b/>
        <sz val="11"/>
        <color theme="1"/>
        <rFont val="Aptos Narrow"/>
        <family val="2"/>
        <scheme val="minor"/>
      </rPr>
      <t>Fixed Cost ($)</t>
    </r>
  </si>
  <si>
    <t>Alcohol cost (% of alcohol revenue)</t>
  </si>
  <si>
    <t>Weekday - lunch</t>
  </si>
  <si>
    <t>Weekday - dinner</t>
  </si>
  <si>
    <t>Weekend - lunch</t>
  </si>
  <si>
    <t>Weekend - dinner</t>
  </si>
  <si>
    <t>Holiday - lunch</t>
  </si>
  <si>
    <t>Holiday - dinner</t>
  </si>
  <si>
    <t>Base Buffet Price</t>
  </si>
  <si>
    <t>Discount (%)</t>
  </si>
  <si>
    <t>Discounted Buffet Price</t>
  </si>
  <si>
    <t>Occupancy rate (per seat)</t>
  </si>
  <si>
    <t>Total no. of pax (based on demand)</t>
  </si>
  <si>
    <t>Alcohol price</t>
  </si>
  <si>
    <t>Alcohol Uptake Rate</t>
  </si>
  <si>
    <t>Buffet Revenue</t>
  </si>
  <si>
    <t>Alcohol Revenue</t>
  </si>
  <si>
    <t>Total revenue</t>
  </si>
  <si>
    <t>Total variable cost</t>
  </si>
  <si>
    <t>Total fixed cost</t>
  </si>
  <si>
    <t>Total alcohol cost</t>
  </si>
  <si>
    <t>Total overall cost</t>
  </si>
  <si>
    <t>Profit margin</t>
  </si>
  <si>
    <t>Data Table: Alcohol Price vs Buffet Discount</t>
  </si>
  <si>
    <t>Summary table</t>
  </si>
  <si>
    <t>Buffet expected demand</t>
  </si>
  <si>
    <t>Alcohol expected demand</t>
  </si>
  <si>
    <t>Profit Margin</t>
  </si>
  <si>
    <t>Total Profit Margin (daily)</t>
  </si>
  <si>
    <t>% utilisation rate of capacity</t>
  </si>
  <si>
    <r>
      <t xml:space="preserve">High-Steaks Optimization: </t>
    </r>
    <r>
      <rPr>
        <sz val="28"/>
        <color theme="1"/>
        <rFont val="Aptos ExtraBold"/>
        <family val="2"/>
      </rPr>
      <t>Server Quantity for Customer Satisfaction</t>
    </r>
  </si>
  <si>
    <t>Please refer to documentation from column T onwards.</t>
  </si>
  <si>
    <t>Assumptions and Explanation</t>
  </si>
  <si>
    <t>1. Assumptions</t>
  </si>
  <si>
    <t>Table 1: Parameters for Model</t>
  </si>
  <si>
    <t>Table 2: Scenario Factors</t>
  </si>
  <si>
    <t xml:space="preserve">Table 3: Customer Satisfaction </t>
  </si>
  <si>
    <t>Parameters</t>
  </si>
  <si>
    <t>No.</t>
  </si>
  <si>
    <t>Scenario</t>
  </si>
  <si>
    <t>Factor</t>
  </si>
  <si>
    <t>Min Waiting Time</t>
  </si>
  <si>
    <t>Max Waiting Time</t>
  </si>
  <si>
    <t>Customer Satisfaction</t>
  </si>
  <si>
    <t>Number of Servers</t>
  </si>
  <si>
    <t>Normal Weekday</t>
  </si>
  <si>
    <t>Good 😚👍</t>
  </si>
  <si>
    <t>Max Seating Capacity</t>
  </si>
  <si>
    <t>Weekday Promotion</t>
  </si>
  <si>
    <t>Neutral ✌️🙂</t>
  </si>
  <si>
    <t>Average arrivals per hour</t>
  </si>
  <si>
    <t>Weekday Bad Weather</t>
  </si>
  <si>
    <t>Bad 🤬🤌</t>
  </si>
  <si>
    <t>Average arrivals per time bucket</t>
  </si>
  <si>
    <t>Normal Weekend</t>
  </si>
  <si>
    <t>Customer per Table</t>
  </si>
  <si>
    <t>Weekend Promotion</t>
  </si>
  <si>
    <t>Max Tables</t>
  </si>
  <si>
    <t>Weekend Bad Weather</t>
  </si>
  <si>
    <t>Time Interval (minutes)</t>
  </si>
  <si>
    <t>Public Holiday</t>
  </si>
  <si>
    <t>Service Time (minutes)</t>
  </si>
  <si>
    <t>Public Holiday Promotion</t>
  </si>
  <si>
    <t>Average Dining Time  (minutes)</t>
  </si>
  <si>
    <t>Public Holiday Bad Weather</t>
  </si>
  <si>
    <t>lagrows</t>
  </si>
  <si>
    <t>Arrivals after Factor</t>
  </si>
  <si>
    <t>Hour in Minutes</t>
  </si>
  <si>
    <t>2. Table 1: Parameters required to be inputted for the module.</t>
  </si>
  <si>
    <t>Formula</t>
  </si>
  <si>
    <t>Explanation</t>
  </si>
  <si>
    <t>Table 4: Monte Carlo Simulation</t>
  </si>
  <si>
    <t>&lt;input&gt;</t>
  </si>
  <si>
    <t>Input number of servers to find the different waiting times</t>
  </si>
  <si>
    <t xml:space="preserve">Time </t>
  </si>
  <si>
    <t>Arrivals</t>
  </si>
  <si>
    <t>Tables Required</t>
  </si>
  <si>
    <t>Seated Pax</t>
  </si>
  <si>
    <t>Pax Exit</t>
  </si>
  <si>
    <t>Tables Freed</t>
  </si>
  <si>
    <t>Seats Freed this Bucket</t>
  </si>
  <si>
    <t>Current Seats Used</t>
  </si>
  <si>
    <t>Customers Waiting for Table</t>
  </si>
  <si>
    <t>Cumulative Tables Occupied</t>
  </si>
  <si>
    <t>Available Tables</t>
  </si>
  <si>
    <t>Tables Seated this Bucket</t>
  </si>
  <si>
    <t>Expected Service Time (mins)</t>
  </si>
  <si>
    <t>Server Capacity (mins)</t>
  </si>
  <si>
    <t>Waiting Time (mins)</t>
  </si>
  <si>
    <t>Max capacity of 260 as per research on Appendix 1. Data Sources</t>
  </si>
  <si>
    <t>Based on research of an average 100 customers per hour</t>
  </si>
  <si>
    <t>Find how many customers per 10 minutes, rounded up to keep it was integer as arrivals are human</t>
  </si>
  <si>
    <t>Assumed to be 4 per table</t>
  </si>
  <si>
    <t>Calculated from Max Capacity divded by Customers per Table</t>
  </si>
  <si>
    <t>Time bucket, also used to assume each server is defined to be able to be available in these 10 minutes</t>
  </si>
  <si>
    <t>How long it takes to attend to customers' request, clear table, etc.</t>
  </si>
  <si>
    <t>Assumed that each customer dines the maximum limit of 90 minutes, no less or more</t>
  </si>
  <si>
    <t>This is to defined to mean that customer 9 rows of customers only leave after 90 minutes</t>
  </si>
  <si>
    <t>Used to calculate the average arrivals per time bucket</t>
  </si>
  <si>
    <t>3. Table 2: Scenario Factors are to change the average in exponential distribution formula in cell C21:C45 based on crowd levels at different scenarios.</t>
  </si>
  <si>
    <t>Scenario Factors</t>
  </si>
  <si>
    <t>A normal weekday where average arrivals per time bucket will not change.</t>
  </si>
  <si>
    <t>It was found that promotion usually leads to 70% more customers</t>
  </si>
  <si>
    <t>Bad weather usually leads to 20% less customers</t>
  </si>
  <si>
    <t>Weekend is usually 50% more customers</t>
  </si>
  <si>
    <t>Weekend factor multiplied by Promotion Factor (1.5 * 1.7 )</t>
  </si>
  <si>
    <t>Weekend factor multiplied by Bad weather ( 1.5 * 0.8 )</t>
  </si>
  <si>
    <t>Public holiday was found to have 100% more customers</t>
  </si>
  <si>
    <t>Public holiday factor multiplied by promotion factor ( 2 * 1.7 )</t>
  </si>
  <si>
    <t>Public holiday factor multiplied by bad weather factor ( 2 * 0.8 )</t>
  </si>
  <si>
    <r>
      <t xml:space="preserve">This is tabulated once VBA </t>
    </r>
    <r>
      <rPr>
        <b/>
        <sz val="12"/>
        <color theme="1"/>
        <rFont val="Arial"/>
        <family val="2"/>
      </rPr>
      <t>Step 1</t>
    </r>
    <r>
      <rPr>
        <sz val="12"/>
        <color theme="1"/>
        <rFont val="Arial"/>
        <family val="2"/>
      </rPr>
      <t xml:space="preserve"> is used for Data Table simulation runs and for monte carlo C21:C45</t>
    </r>
  </si>
  <si>
    <t>4. Table 3: Customer Satisfaction to visually show what would be considered good waiting times. As per research &lt;5 minutes is good 5&lt;&gt;10 is OK, and &gt;10 minutes is bad.</t>
  </si>
  <si>
    <t>Total Arrivals</t>
  </si>
  <si>
    <t>Average Wait Time</t>
  </si>
  <si>
    <t>5. Table 4: Monte carlo simulation to find the waiting time depending on number of servers</t>
  </si>
  <si>
    <t>Table 6: Simulated Runs for Data Table of Servers vs Average Waiting Time</t>
  </si>
  <si>
    <t xml:space="preserve">Instructions to use Table 6: Simulation Run </t>
  </si>
  <si>
    <t>Monte Carlo</t>
  </si>
  <si>
    <t>Table 5: Data Table of Servers vs Average Waiting Time</t>
  </si>
  <si>
    <t>Time would be dining time 6 - 10pm in 10 minutes intervals based on the time servers are available.</t>
  </si>
  <si>
    <t>Servers</t>
  </si>
  <si>
    <t>Average Waiting Time</t>
  </si>
  <si>
    <t>No. of Simulations</t>
  </si>
  <si>
    <t xml:space="preserve">Arrivals </t>
  </si>
  <si>
    <t>Exponential distribution where I15 is the average arrival depending on scenario factor</t>
  </si>
  <si>
    <t>Avg Wait Times (mins)</t>
  </si>
  <si>
    <t>Tables required to sit the arrival pax</t>
  </si>
  <si>
    <t>Seated pax</t>
  </si>
  <si>
    <t>How many customers can be seated during this 10 minute bucket, chooses the minimum between (new arrivals + customer waiting for a seat) and seats available. Serving as many people as possible without exceeding the seat capacity of 260.</t>
  </si>
  <si>
    <t>Pax exit</t>
  </si>
  <si>
    <t>Assumes that after 90 minutes the crowd exits, hence the use of lagrows in this formula</t>
  </si>
  <si>
    <t>Tables freed based seats freed (4 customers per table)</t>
  </si>
  <si>
    <t>Assumes after 90 minutes, the tables that were seated in time bucket leaves the restaurant</t>
  </si>
  <si>
    <t>Current number of seats used in the hotel buffet in that time bucket</t>
  </si>
  <si>
    <t>If no tables and cannot seat anymore customers, they will wait for a table.</t>
  </si>
  <si>
    <t>Current number of tables occupied in the hotel buffet in that time bucket</t>
  </si>
  <si>
    <t>Available tables that can still be seated with customers</t>
  </si>
  <si>
    <t>How many tables required to seat pax in 'Seated Pax', not to be confused with required as if hotel buffet is full, the tables here will be lesser than tables required.</t>
  </si>
  <si>
    <t>Expected Service Time</t>
  </si>
  <si>
    <t>How long it takes to serve customers' request (clearing table, asking for new utensils, etc.)</t>
  </si>
  <si>
    <t>Server Capacity</t>
  </si>
  <si>
    <t>As per assumption, each server serves a table, not per customer with a capacity of 10 minutes. This is how much time they can dedicate depending on number of servers.</t>
  </si>
  <si>
    <t>Waiting Time</t>
  </si>
  <si>
    <t>This is not time to wait for a table, but rather the time it takes to wait for a server to attend to customers' request.</t>
  </si>
  <si>
    <t>Conditional formatting to see if the waiting time is good or bad.</t>
  </si>
  <si>
    <t>Average time it takes to server to be available across dinner time, dependent on number of servers.</t>
  </si>
  <si>
    <t>Table 5: Data Table to find how waiting time is affected by number of servers, this is required to find optimal number of servers depending on scenario arrivals</t>
  </si>
  <si>
    <t>Data Table</t>
  </si>
  <si>
    <t>NIL</t>
  </si>
  <si>
    <t>Number of servers</t>
  </si>
  <si>
    <t>Cell B48:B60</t>
  </si>
  <si>
    <t>To see if average wait time decreases with more servers</t>
  </si>
  <si>
    <t>Row-input cell</t>
  </si>
  <si>
    <t>&lt;Empty&gt;</t>
  </si>
  <si>
    <t>Column-input cell</t>
  </si>
  <si>
    <t>=C6</t>
  </si>
  <si>
    <t>Table 6: Simulated Runs template, to run more than 1 run so that exponential distribution of arrivals is stabilised to find truthful number of servers</t>
  </si>
  <si>
    <t>Please see instructions in cell I48 onwards. VBA code can be found in Visual Basic Editor.</t>
  </si>
  <si>
    <t>Table 7: Results of the simulated runs on every scenario after 100 simulations</t>
  </si>
  <si>
    <t>Please see footnote in L84</t>
  </si>
  <si>
    <t>Table 8: First number of servers to achieve below 5 minutes. Depending on the scenario, there are different requirements of number of servers.</t>
  </si>
  <si>
    <t>Summary</t>
  </si>
  <si>
    <t>Formula to find the quantity of servers required to reach just below 5 minutes of waiting time.</t>
  </si>
  <si>
    <r>
      <t xml:space="preserve">High-Steaks Optimization: </t>
    </r>
    <r>
      <rPr>
        <sz val="28"/>
        <color theme="1"/>
        <rFont val="Aptos ExtraBold"/>
        <family val="2"/>
      </rPr>
      <t>Server Quantity for Customer Satisfaction</t>
    </r>
    <r>
      <rPr>
        <sz val="28"/>
        <color theme="0"/>
        <rFont val="Aptos ExtraBold"/>
        <family val="2"/>
      </rPr>
      <t xml:space="preserve"> //</t>
    </r>
    <r>
      <rPr>
        <sz val="28"/>
        <color theme="1"/>
        <rFont val="Aptos ExtraBold"/>
        <family val="2"/>
      </rPr>
      <t xml:space="preserve"> Results</t>
    </r>
  </si>
  <si>
    <t>Table 7: Summary after 1000 Simulation Runs</t>
  </si>
  <si>
    <t>Scenarios</t>
  </si>
  <si>
    <t>Normal</t>
  </si>
  <si>
    <t>Promotion</t>
  </si>
  <si>
    <t>Bad Weather</t>
  </si>
  <si>
    <t>Table 9: Average servers to find the average number of servers required across all scenarios, just a baseline.</t>
  </si>
  <si>
    <t>Average Servers</t>
  </si>
  <si>
    <t>Just a baseline value across all scenarios, can change scheduling depending on scenario.</t>
  </si>
  <si>
    <t>Table 8: First number of servers to achieve below 5 minutes in each scenario</t>
  </si>
  <si>
    <t>Table 9: Average Servers Calculated from Summary</t>
  </si>
  <si>
    <t>AVERAGE SERVERS</t>
  </si>
  <si>
    <r>
      <t xml:space="preserve">High-Steaks Optimization: </t>
    </r>
    <r>
      <rPr>
        <b/>
        <sz val="48"/>
        <rFont val="Aptos Display"/>
        <family val="2"/>
        <scheme val="major"/>
      </rPr>
      <t xml:space="preserve">Manpower Optimisation </t>
    </r>
  </si>
  <si>
    <t xml:space="preserve">Assumptions, Documentation and Explanation </t>
  </si>
  <si>
    <t>Inputs</t>
  </si>
  <si>
    <t>Table 7: 
List of Public Holidays for 2025</t>
  </si>
  <si>
    <t>Holidays</t>
  </si>
  <si>
    <t>Date</t>
  </si>
  <si>
    <t>Day</t>
  </si>
  <si>
    <t>Month</t>
  </si>
  <si>
    <t>Months in 2025</t>
  </si>
  <si>
    <t>Total Wage</t>
  </si>
  <si>
    <t>Table 1: Operation Variables</t>
  </si>
  <si>
    <t>Breakdown of Month (Days)</t>
  </si>
  <si>
    <t>New Year’s Day</t>
  </si>
  <si>
    <t>Wednesday</t>
  </si>
  <si>
    <t>Total No. of Days</t>
  </si>
  <si>
    <t>No. of Weekdays</t>
  </si>
  <si>
    <t>No. of Weekends</t>
  </si>
  <si>
    <t>No. of Public Holidays</t>
  </si>
  <si>
    <t>Chinese New Year</t>
  </si>
  <si>
    <t>Month-Year
(MMM-YY)</t>
  </si>
  <si>
    <t>Thursday</t>
  </si>
  <si>
    <t>Hari Raya Puasa</t>
  </si>
  <si>
    <t>Monday</t>
  </si>
  <si>
    <t>Table 2: Shift Details</t>
  </si>
  <si>
    <t>Hours</t>
  </si>
  <si>
    <t>Est Customer Seating Capacity (% of Restaurant Seats)</t>
  </si>
  <si>
    <t>Table 4: Operation Constraints/ Service Quality Requirements</t>
  </si>
  <si>
    <t>Target</t>
  </si>
  <si>
    <t>Good Friday</t>
  </si>
  <si>
    <t>Friday</t>
  </si>
  <si>
    <t>(12 - 2.30pm)</t>
  </si>
  <si>
    <t>Labour Day</t>
  </si>
  <si>
    <t>2. Documentation</t>
  </si>
  <si>
    <t>(6-10pm)</t>
  </si>
  <si>
    <t xml:space="preserve">Service Crew Part-timer to Full-timer Ratio </t>
  </si>
  <si>
    <t>Min Ratio</t>
  </si>
  <si>
    <t>Vesak Day</t>
  </si>
  <si>
    <t>Cell</t>
  </si>
  <si>
    <t>Max Ratio</t>
  </si>
  <si>
    <t>Hari Raya Haji</t>
  </si>
  <si>
    <t>Saturday</t>
  </si>
  <si>
    <t>Month and Year</t>
  </si>
  <si>
    <t>B7</t>
  </si>
  <si>
    <t>Input the Month and Year from a dropdown list to get the count of Weekdays, Weekend and Public Holiday for that Month and Year</t>
  </si>
  <si>
    <t>Table 3: Full Timer Conditions</t>
  </si>
  <si>
    <t>Working Days</t>
  </si>
  <si>
    <t>Days Off</t>
  </si>
  <si>
    <t>Utilisation Rate</t>
  </si>
  <si>
    <t>Target Customer to Staff Ratio</t>
  </si>
  <si>
    <t xml:space="preserve">Customer to Service Crew Ratio </t>
  </si>
  <si>
    <t>National Day</t>
  </si>
  <si>
    <t>C7</t>
  </si>
  <si>
    <t>Full Timer Condition (Per Week)</t>
  </si>
  <si>
    <t xml:space="preserve">Customer to Kitchen Crew Ratio </t>
  </si>
  <si>
    <t>Deepavali</t>
  </si>
  <si>
    <t>D7</t>
  </si>
  <si>
    <t>Christmas Day</t>
  </si>
  <si>
    <t>E7</t>
  </si>
  <si>
    <t>Table 5: Staff Wages</t>
  </si>
  <si>
    <t>Wages</t>
  </si>
  <si>
    <t>Full-timer (Per Month)</t>
  </si>
  <si>
    <t>Part-timer (Per Hour)</t>
  </si>
  <si>
    <t>F7</t>
  </si>
  <si>
    <t>Shift Hours</t>
  </si>
  <si>
    <t>B10:B11</t>
  </si>
  <si>
    <t>For number of operating Hours</t>
  </si>
  <si>
    <t>Service Crew</t>
  </si>
  <si>
    <t>Manager</t>
  </si>
  <si>
    <t>Total</t>
  </si>
  <si>
    <t>C10:C11</t>
  </si>
  <si>
    <t>Set a % for each shift to determine restaurant capacity at different shifts</t>
  </si>
  <si>
    <t>Server</t>
  </si>
  <si>
    <t>Full-timer Working Days and Days off</t>
  </si>
  <si>
    <t>B6:B7</t>
  </si>
  <si>
    <t>Working condition</t>
  </si>
  <si>
    <t>Kitchen Crew</t>
  </si>
  <si>
    <t>Kitchen Manager</t>
  </si>
  <si>
    <t>Full-timer Utilisation rate</t>
  </si>
  <si>
    <t>D14</t>
  </si>
  <si>
    <t>To account for 6 day work week for full-timer</t>
  </si>
  <si>
    <t>Senior Cook</t>
  </si>
  <si>
    <t>H9</t>
  </si>
  <si>
    <t>Junior Cook</t>
  </si>
  <si>
    <t>H10</t>
  </si>
  <si>
    <t>Kitchen Assistant</t>
  </si>
  <si>
    <t>H11</t>
  </si>
  <si>
    <t>H12</t>
  </si>
  <si>
    <t>Ensure sufficient service crew to serve customers for customer satisfaction</t>
  </si>
  <si>
    <t>Table 6: Crew Breakdown</t>
  </si>
  <si>
    <t>H13</t>
  </si>
  <si>
    <t>Ensure sufficient kitchen crew to cook enough food for customer satisfaction</t>
  </si>
  <si>
    <t>Crew Type</t>
  </si>
  <si>
    <t>Role</t>
  </si>
  <si>
    <t>Shift</t>
  </si>
  <si>
    <t>Full-timer</t>
  </si>
  <si>
    <t>Part-timer</t>
  </si>
  <si>
    <t>Min No. Full-timers
(set base on min operating requirement)</t>
  </si>
  <si>
    <t>Staff Wages for respective roles</t>
  </si>
  <si>
    <t>C18:C23, D19</t>
  </si>
  <si>
    <t>Lunch/ Dinner</t>
  </si>
  <si>
    <t>Part-timer Weekend wage</t>
  </si>
  <si>
    <t>part-timer Weekend</t>
  </si>
  <si>
    <t>E19</t>
  </si>
  <si>
    <t>Weekend Hourly rate is 1.5x Weekday</t>
  </si>
  <si>
    <t>Part-timer Public Holiday wage</t>
  </si>
  <si>
    <t>part-timer Public Holiday</t>
  </si>
  <si>
    <t>F19</t>
  </si>
  <si>
    <t>Public Holiday Hourly rate is 2x Weekday</t>
  </si>
  <si>
    <t>Staff Count for respective roles</t>
  </si>
  <si>
    <t>D27:D28, D30:D33</t>
  </si>
  <si>
    <t>D29</t>
  </si>
  <si>
    <t>Number of Full-timer server is same for both shifts</t>
  </si>
  <si>
    <t>Minimum number of Full-timer</t>
  </si>
  <si>
    <t>F27:F28, F30:F33</t>
  </si>
  <si>
    <t>Set minimum number of Full-timers for minimum operation of restaurant</t>
  </si>
  <si>
    <t>F29</t>
  </si>
  <si>
    <t>List of Public Holidays</t>
  </si>
  <si>
    <t>L5:N15</t>
  </si>
  <si>
    <t>Obtained and reference from Ministry of Manpower</t>
  </si>
  <si>
    <t>O5:O15</t>
  </si>
  <si>
    <t>To get the Month of holiday</t>
  </si>
  <si>
    <t>Est Customer Seating</t>
  </si>
  <si>
    <t>C40:C42</t>
  </si>
  <si>
    <t>calculated number of customer based on estimated % of seating capacity</t>
  </si>
  <si>
    <t>Calculations</t>
  </si>
  <si>
    <t>Staff Count</t>
  </si>
  <si>
    <t>D40:D42</t>
  </si>
  <si>
    <t>Total Count of staff</t>
  </si>
  <si>
    <t>Customer to Staff Ratio</t>
  </si>
  <si>
    <t>E40:E42</t>
  </si>
  <si>
    <t>Calculate customer to staff ratio to ensure sufficient staff to meet customer satisfaction</t>
  </si>
  <si>
    <t>Table 9: Table Customer to Staff Ratio Calculator</t>
  </si>
  <si>
    <t>Table 10: Part-timer Wage Validation
(Per Month)</t>
  </si>
  <si>
    <t>Part timer Wage Validation</t>
  </si>
  <si>
    <t>H39</t>
  </si>
  <si>
    <t>To Indicicate to user that Part timer pay is higher than Full timer pay for adjustment if needed</t>
  </si>
  <si>
    <t>H40</t>
  </si>
  <si>
    <t>H41</t>
  </si>
  <si>
    <t>H42</t>
  </si>
  <si>
    <t>Checker for Part-timer vs Full-timer Pay</t>
  </si>
  <si>
    <t>G43</t>
  </si>
  <si>
    <t>Manpower Calculation</t>
  </si>
  <si>
    <t>Full-timer Count</t>
  </si>
  <si>
    <t>D48:D54</t>
  </si>
  <si>
    <t>Effective Full-timer</t>
  </si>
  <si>
    <t>E48:E54</t>
  </si>
  <si>
    <t>Use utilisation rate to get effective number of worker</t>
  </si>
  <si>
    <t>Table 11 Manpower and Wage Calculator</t>
  </si>
  <si>
    <t>Monthly Wage Calculation</t>
  </si>
  <si>
    <t>Part-timer count</t>
  </si>
  <si>
    <t>F49:F50</t>
  </si>
  <si>
    <t>Effective Total</t>
  </si>
  <si>
    <t>PT to FT Ratio</t>
  </si>
  <si>
    <t>% of staff</t>
  </si>
  <si>
    <t>Full-timer Wage</t>
  </si>
  <si>
    <t>Part-timer Wage</t>
  </si>
  <si>
    <t>G48:G54</t>
  </si>
  <si>
    <t>Effective FT</t>
  </si>
  <si>
    <t>H48:H54</t>
  </si>
  <si>
    <t>J48, J51:J54</t>
  </si>
  <si>
    <t>J49</t>
  </si>
  <si>
    <t>Full-timer Wage Calculation</t>
  </si>
  <si>
    <t>K48, K51:K54</t>
  </si>
  <si>
    <t>K49</t>
  </si>
  <si>
    <t>Part-Timer Wage Calculation</t>
  </si>
  <si>
    <t>L49:L50</t>
  </si>
  <si>
    <t>M49:M50</t>
  </si>
  <si>
    <t>N49:N50</t>
  </si>
  <si>
    <t>O48, O51:O54</t>
  </si>
  <si>
    <t>O49:O50</t>
  </si>
  <si>
    <t>K55:N55</t>
  </si>
  <si>
    <t>Overall Total Wage</t>
  </si>
  <si>
    <t>O55</t>
  </si>
  <si>
    <t>3. Solver Settings</t>
  </si>
  <si>
    <t>Settings</t>
  </si>
  <si>
    <t>Cells:</t>
  </si>
  <si>
    <t>Set Objective</t>
  </si>
  <si>
    <t xml:space="preserve"> $O$55</t>
  </si>
  <si>
    <t>To Minimise Wage cost</t>
  </si>
  <si>
    <t>To</t>
  </si>
  <si>
    <t>Min</t>
  </si>
  <si>
    <t>By Changing Variable Cells</t>
  </si>
  <si>
    <t>$D$27,$D$28,$D$30:$D$33,$E$28:$E$29</t>
  </si>
  <si>
    <t>Optimise number of staff as target</t>
  </si>
  <si>
    <t>Subject to the Constraints:</t>
  </si>
  <si>
    <t>$I$49:$I$50 &gt;= $H$11</t>
  </si>
  <si>
    <t>Service to part timer crew min and max ratio</t>
  </si>
  <si>
    <t>$I$49:$I$50 &lt;= $H$12</t>
  </si>
  <si>
    <t>$D$27 = integer</t>
  </si>
  <si>
    <t>Inputs need to be integer Value</t>
  </si>
  <si>
    <t>$D$28 = integer</t>
  </si>
  <si>
    <t>$D$30:$D$33 = integer</t>
  </si>
  <si>
    <t>$E$28:$E$29 = integer</t>
  </si>
  <si>
    <t>$E$48:$E$54 &gt;= $F$27:$F$33</t>
  </si>
  <si>
    <t>Total number of effective staff need to be more than minimum number of full-timer</t>
  </si>
  <si>
    <t>$E$40:$E$41 &lt;= $H$13</t>
  </si>
  <si>
    <t>Customer to Service Crew Ratio requirement for Lunch and Dinner</t>
  </si>
  <si>
    <t>$E$42 &lt;= $H$14</t>
  </si>
  <si>
    <t>Customer to Staff kitchen Crew Ratio requirement</t>
  </si>
  <si>
    <t>Solving Method</t>
  </si>
  <si>
    <t>GRG Nonlinear</t>
  </si>
  <si>
    <t>3. Data Table Settings</t>
  </si>
  <si>
    <t>Cell selected</t>
  </si>
  <si>
    <t>Q5:R17</t>
  </si>
  <si>
    <t>Row input cell</t>
  </si>
  <si>
    <t>Leave Blank</t>
  </si>
  <si>
    <t>Column input cell</t>
  </si>
  <si>
    <t>$B$7</t>
  </si>
  <si>
    <t>Input</t>
  </si>
  <si>
    <t>Max demand</t>
  </si>
  <si>
    <t>Linear demand intercept</t>
  </si>
  <si>
    <t>Linear demand slope</t>
  </si>
  <si>
    <t>Total cost (% of total revenue)</t>
  </si>
  <si>
    <t>Discounted Price</t>
  </si>
  <si>
    <t>Demand</t>
  </si>
  <si>
    <t>Hotel buffet prices</t>
  </si>
  <si>
    <t>Ritz Carlton</t>
  </si>
  <si>
    <t>Shangri-La</t>
  </si>
  <si>
    <t>JW Marriot</t>
  </si>
  <si>
    <t>Average weekday pricing</t>
  </si>
  <si>
    <t>average weekday pricing</t>
  </si>
  <si>
    <t>Average weekend pricing</t>
  </si>
  <si>
    <t>average weekend pricing</t>
  </si>
  <si>
    <t>Customer wait time for service (when they call for the attention of service crew)</t>
  </si>
  <si>
    <t>x &lt; 5 minutes</t>
  </si>
  <si>
    <t>Very satisfied / Ideal</t>
  </si>
  <si>
    <t>5 minutes &lt; x &lt; 10 minutes</t>
  </si>
  <si>
    <t>Satisfied</t>
  </si>
  <si>
    <t>x &gt; 10 minutes</t>
  </si>
  <si>
    <t>Unacceptable</t>
  </si>
  <si>
    <t>Ideal service staff:customer ratio</t>
  </si>
  <si>
    <t xml:space="preserve">1 staff : 16 customers </t>
  </si>
  <si>
    <t>This is based on research that 1 server to 4 tables and assuming that each table houses 4 pax.</t>
  </si>
  <si>
    <t>This is already a conservative estimate in a buffet setting where servers do not actively serve dishes.</t>
  </si>
  <si>
    <t>Ideal kitchen staff:customer ratio</t>
  </si>
  <si>
    <t>4 kitchen staff : 50 customers -&gt; see links and ref tab for x-ref to article</t>
  </si>
  <si>
    <t>(around 20 kitchen staff to run the buffet restaurant sounds reasonable)</t>
  </si>
  <si>
    <t>Part time : full time service crew ratio</t>
  </si>
  <si>
    <t>No official data on this, but logically in a buffet setting, there is likely heavier reliance on part timers?</t>
  </si>
  <si>
    <t>1.1-1.5 : 1 doesn't sound unreasonable</t>
  </si>
  <si>
    <t>Typical service crew rates in F&amp;B industry</t>
  </si>
  <si>
    <t>Part-timers</t>
  </si>
  <si>
    <t>Per hour</t>
  </si>
  <si>
    <t>Full-timers</t>
  </si>
  <si>
    <t>Per month</t>
  </si>
  <si>
    <t>Typical salary of kitchen crew</t>
  </si>
  <si>
    <t>Kitchen manager</t>
  </si>
  <si>
    <t>Junior cook</t>
  </si>
  <si>
    <t>Senior cook</t>
  </si>
  <si>
    <t>Kitchen assistant</t>
  </si>
  <si>
    <t>Pay if working on PH (full timers)</t>
  </si>
  <si>
    <t>times (MOM data)</t>
  </si>
  <si>
    <t>Seating Capacity of 5-star hotels buffet restaurants</t>
  </si>
  <si>
    <t>Fairmont Singapore</t>
  </si>
  <si>
    <t>pax</t>
  </si>
  <si>
    <t>Carlton Hotel</t>
  </si>
  <si>
    <t>Average</t>
  </si>
  <si>
    <t>Operating hours of buffet restaurants in hotels</t>
  </si>
  <si>
    <t>hours (12 - 2.30pm)</t>
  </si>
  <si>
    <t>hours (6-10pm)</t>
  </si>
  <si>
    <t>Methodology to estimate daily ingredient cost + other costs for a 5-star hotel buffet</t>
  </si>
  <si>
    <t xml:space="preserve">Average seating capacity </t>
  </si>
  <si>
    <t>Occupancy rate for weekday lunch (estimate)</t>
  </si>
  <si>
    <t>Occupancy rate for weekend lunch (estimate)</t>
  </si>
  <si>
    <t>Occupancy rate for weekday dinner (estimate)</t>
  </si>
  <si>
    <t>Occupancy rate for weekend dinner (estimate)</t>
  </si>
  <si>
    <t>Total cover</t>
  </si>
  <si>
    <t>Average cover</t>
  </si>
  <si>
    <t>Average buffet price per pax</t>
  </si>
  <si>
    <t>Average total daily revenue</t>
  </si>
  <si>
    <t>The below costs are daily costs</t>
  </si>
  <si>
    <t>VARIABLE COSTS</t>
  </si>
  <si>
    <t>1)</t>
  </si>
  <si>
    <t>Ingredient cost to revenue ratio:</t>
  </si>
  <si>
    <t>Ingredient cost</t>
  </si>
  <si>
    <t xml:space="preserve">Research shows that in the hospitality industry, food cost stands between 28-35% of revenue. </t>
  </si>
  <si>
    <t>2)</t>
  </si>
  <si>
    <t>Manpower cost to revenue ratio (Part timers only)</t>
  </si>
  <si>
    <t>Manpower cost</t>
  </si>
  <si>
    <t>I think this part can link to Jin Yao's portion. These percentages makes sense? To cross check to JY's part</t>
  </si>
  <si>
    <t>3)</t>
  </si>
  <si>
    <t>Overheads (like utilities/water etc)</t>
  </si>
  <si>
    <t>Overhead costs</t>
  </si>
  <si>
    <t>FIXED COSTS</t>
  </si>
  <si>
    <t>Manpower cost to revenue ratio (Full time)</t>
  </si>
  <si>
    <t>Rental to revenue ratio</t>
  </si>
  <si>
    <t>Rental rates</t>
  </si>
  <si>
    <t>To keep rental cost at a maximum of 20% of revnue</t>
  </si>
  <si>
    <r>
      <t>This sheet is created to detail our data sources such as pricing, work hours and cost data etc. The exact references to these information is in &lt;</t>
    </r>
    <r>
      <rPr>
        <b/>
        <i/>
        <sz val="11"/>
        <color theme="1"/>
        <rFont val="Aptos Narrow"/>
        <family val="2"/>
        <scheme val="minor"/>
      </rPr>
      <t>appendix 2. links and x-ref&gt; tab</t>
    </r>
    <r>
      <rPr>
        <i/>
        <sz val="11"/>
        <color theme="1"/>
        <rFont val="Aptos Narrow"/>
        <family val="2"/>
        <scheme val="minor"/>
      </rPr>
      <t>&gt;</t>
    </r>
  </si>
  <si>
    <t>Very satisfied / Most Ideal</t>
  </si>
  <si>
    <t>Acceptable</t>
  </si>
  <si>
    <t>Ideal staff:customer ratio</t>
  </si>
  <si>
    <t>Median</t>
  </si>
  <si>
    <t>Max</t>
  </si>
  <si>
    <t>11.30am on weekends</t>
  </si>
  <si>
    <t>Reference: https://www.mom.gov.sg/newsroom/press-releases/2024/0805-public-holidays-for-2025</t>
  </si>
  <si>
    <t xml:space="preserve">Links and references </t>
  </si>
  <si>
    <t>Ritz Carlton buffet prices</t>
  </si>
  <si>
    <r>
      <t xml:space="preserve">Colony. (n.d.). </t>
    </r>
    <r>
      <rPr>
        <i/>
        <sz val="11"/>
        <color theme="1"/>
        <rFont val="Aptos Narrow"/>
        <family val="2"/>
        <scheme val="minor"/>
      </rPr>
      <t>Dinner menu</t>
    </r>
    <r>
      <rPr>
        <sz val="11"/>
        <color theme="1"/>
        <rFont val="Aptos Narrow"/>
        <family val="2"/>
        <scheme val="minor"/>
      </rPr>
      <t xml:space="preserve"> [PDF]. The Ritz-Carlton, Millenia Singapore.</t>
    </r>
  </si>
  <si>
    <t>(https://www.colony.com.sg/resourcefiles/pdf/dinner-menu.pdf)</t>
  </si>
  <si>
    <r>
      <t xml:space="preserve">Colony. (n.d.). </t>
    </r>
    <r>
      <rPr>
        <i/>
        <sz val="11"/>
        <color theme="1"/>
        <rFont val="Aptos Narrow"/>
        <family val="2"/>
        <scheme val="minor"/>
      </rPr>
      <t>Lunch menu: Monday to Fridays</t>
    </r>
    <r>
      <rPr>
        <sz val="11"/>
        <color theme="1"/>
        <rFont val="Aptos Narrow"/>
        <family val="2"/>
        <scheme val="minor"/>
      </rPr>
      <t xml:space="preserve"> [PDF]. The Ritz-Carlton, Millenia Singapore.</t>
    </r>
  </si>
  <si>
    <t>(https://www.colony.com.sg/resourcefiles/pdf/lunch-menu-monday-to-fridays.pdf)</t>
  </si>
  <si>
    <r>
      <t xml:space="preserve">Colony. (n.d.). </t>
    </r>
    <r>
      <rPr>
        <i/>
        <sz val="11"/>
        <color theme="1"/>
        <rFont val="Aptos Narrow"/>
        <family val="2"/>
        <scheme val="minor"/>
      </rPr>
      <t>Seafood dinner menu</t>
    </r>
    <r>
      <rPr>
        <sz val="11"/>
        <color theme="1"/>
        <rFont val="Aptos Narrow"/>
        <family val="2"/>
        <scheme val="minor"/>
      </rPr>
      <t xml:space="preserve"> [PDF]. The Ritz-Carlton, Millenia Singapore.</t>
    </r>
  </si>
  <si>
    <t>(https://www.colony.com.sg/resourcefiles/pdf/seafood-dinner-menu.pdf)</t>
  </si>
  <si>
    <r>
      <t xml:space="preserve">Colony. (n.d.). </t>
    </r>
    <r>
      <rPr>
        <i/>
        <sz val="11"/>
        <color theme="1"/>
        <rFont val="Aptos Narrow"/>
        <family val="2"/>
        <scheme val="minor"/>
      </rPr>
      <t>Lunch menu: Saturdays</t>
    </r>
    <r>
      <rPr>
        <sz val="11"/>
        <color theme="1"/>
        <rFont val="Aptos Narrow"/>
        <family val="2"/>
        <scheme val="minor"/>
      </rPr>
      <t xml:space="preserve"> [PDF]. The Ritz-Carlton, Millenia Singapore.</t>
    </r>
  </si>
  <si>
    <t>(https://www.colony.com.sg/resourcefiles/pdf/lunch-saturdays.pdf)</t>
  </si>
  <si>
    <t>Shangri-La buffet prices</t>
  </si>
  <si>
    <r>
      <t xml:space="preserve">Shangri‑La Singapore. (2024, June). </t>
    </r>
    <r>
      <rPr>
        <i/>
        <sz val="11"/>
        <color theme="1"/>
        <rFont val="Aptos Narrow"/>
        <family val="2"/>
        <scheme val="minor"/>
      </rPr>
      <t>The Line price list</t>
    </r>
    <r>
      <rPr>
        <sz val="11"/>
        <color theme="1"/>
        <rFont val="Aptos Narrow"/>
        <family val="2"/>
        <scheme val="minor"/>
      </rPr>
      <t xml:space="preserve"> [PDF]. Shangri‑La Hotels and Resorts.</t>
    </r>
  </si>
  <si>
    <t>(https://www.shangri-la.com/-/media/Shangri-La/singapore_shangrila/dining/restaurants/the-line/0616-TL-Price-List-June-2024.pdf)</t>
  </si>
  <si>
    <t>JW Marriot buffet prices</t>
  </si>
  <si>
    <r>
      <t xml:space="preserve">Marriott International. (n.d.). </t>
    </r>
    <r>
      <rPr>
        <i/>
        <sz val="11"/>
        <color theme="1"/>
        <rFont val="Aptos Narrow"/>
        <family val="2"/>
        <scheme val="minor"/>
      </rPr>
      <t>Breakfast &amp; brunch buffet</t>
    </r>
  </si>
  <si>
    <t>(https://mailchi.mp/marriott/brk-buffet)</t>
  </si>
  <si>
    <t>Ideal staff-to-customer ratio</t>
  </si>
  <si>
    <r>
      <t>HostmeApp. (2024, December 17). </t>
    </r>
    <r>
      <rPr>
        <i/>
        <sz val="11"/>
        <color theme="1"/>
        <rFont val="Aptos Narrow"/>
        <family val="2"/>
        <scheme val="minor"/>
      </rPr>
      <t>How many employees does a restaurant need?</t>
    </r>
  </si>
  <si>
    <t>(https://www.hostmeapp.com/blog/how-many-employees-does-a-restaurant-need)</t>
  </si>
  <si>
    <t>Service and kitchen crew salary data</t>
  </si>
  <si>
    <r>
      <t>Glassdoor.</t>
    </r>
    <r>
      <rPr>
        <sz val="11"/>
        <color theme="1"/>
        <rFont val="Aptos Narrow"/>
        <family val="2"/>
        <scheme val="minor"/>
      </rPr>
      <t xml:space="preserve"> (n.d.). </t>
    </r>
    <r>
      <rPr>
        <i/>
        <sz val="11"/>
        <color theme="1"/>
        <rFont val="Aptos Narrow"/>
        <family val="2"/>
        <scheme val="minor"/>
      </rPr>
      <t>Part‑time breakfast jobs</t>
    </r>
  </si>
  <si>
    <t>(https://www.glassdoor.sg/Job/part-time-breakfast-jobs-SRCH_KO0,19.htm)</t>
  </si>
  <si>
    <r>
      <t>The Straits Times.</t>
    </r>
    <r>
      <rPr>
        <sz val="11"/>
        <color theme="1"/>
        <rFont val="Aptos Narrow"/>
        <family val="2"/>
        <scheme val="minor"/>
      </rPr>
      <t xml:space="preserve"> (2024, July). </t>
    </r>
    <r>
      <rPr>
        <i/>
        <sz val="11"/>
        <color theme="1"/>
        <rFont val="Aptos Narrow"/>
        <family val="2"/>
        <scheme val="minor"/>
      </rPr>
      <t>Salary Guide 2024</t>
    </r>
  </si>
  <si>
    <t>(https://www.straitstimes.com/multimedia/graphics/2024/07/salary-guide-2024/index.html?shell)</t>
  </si>
  <si>
    <t>Seating Capacity in a buffet restaurant of a typical 5 star hotel (Singapore)</t>
  </si>
  <si>
    <r>
      <t xml:space="preserve">Carlton Hotel Singapore. (n.d.). </t>
    </r>
    <r>
      <rPr>
        <i/>
        <sz val="11"/>
        <color theme="1"/>
        <rFont val="Aptos Narrow"/>
        <family val="2"/>
        <scheme val="minor"/>
      </rPr>
      <t>Café Mosaic</t>
    </r>
  </si>
  <si>
    <t>(https://www.carltonhotel.sg/dining/cafe-mosaic#:~:text=Applicable%20for%20DBS/POSB%2C%20Citibank,Opens%20daily)</t>
  </si>
  <si>
    <r>
      <t xml:space="preserve">Fairmont Singapore. (n.d.). </t>
    </r>
    <r>
      <rPr>
        <i/>
        <sz val="11"/>
        <color theme="1"/>
        <rFont val="Aptos Narrow"/>
        <family val="2"/>
        <scheme val="minor"/>
      </rPr>
      <t>Asian Market Café</t>
    </r>
  </si>
  <si>
    <t>(https://www.fairmont-singapore.com/dining/asian-market-cafe/#:~:text=Please%20refer%20to%20our%20menu,Note)</t>
  </si>
  <si>
    <r>
      <t xml:space="preserve">The Ritz‑Carlton, Millenia Singapore. (2015, November 2). </t>
    </r>
    <r>
      <rPr>
        <i/>
        <sz val="11"/>
        <color theme="1"/>
        <rFont val="Aptos Narrow"/>
        <family val="2"/>
        <scheme val="minor"/>
      </rPr>
      <t>The Ritz‑Carlton, Millenia Singapore announces official opening of new buffet restaurant Colony</t>
    </r>
  </si>
  <si>
    <t>(https://www.globenewswire.com/news-release/2015/11/02/1014702/0/en/The-Ritz-Carlton-Millenia-Singapore-Announces-Official-Opening-of-New-Buffet-Restaurant-Colony.html)</t>
  </si>
  <si>
    <t>Data on food cost to revnue ratio in hospitality industry</t>
  </si>
  <si>
    <r>
      <t xml:space="preserve">International Luxury Hotel Association. (n.d.). </t>
    </r>
    <r>
      <rPr>
        <i/>
        <sz val="11"/>
        <color theme="1"/>
        <rFont val="Aptos Narrow"/>
        <family val="2"/>
        <scheme val="minor"/>
      </rPr>
      <t>HOTSTATS: 6 ways to keep your F&amp;B costs in check</t>
    </r>
  </si>
  <si>
    <t>(https://ilha.org/hotstats-6-ways-to-keep-your-fb-costs-in-check/)</t>
  </si>
  <si>
    <r>
      <t xml:space="preserve">Informa Markets. (2025). </t>
    </r>
    <r>
      <rPr>
        <i/>
        <sz val="11"/>
        <color theme="1"/>
        <rFont val="Aptos Narrow"/>
        <family val="2"/>
        <scheme val="minor"/>
      </rPr>
      <t>How to control your restaurant’s food cost</t>
    </r>
    <r>
      <rPr>
        <sz val="11"/>
        <color theme="1"/>
        <rFont val="Aptos Narrow"/>
        <family val="2"/>
        <scheme val="minor"/>
      </rPr>
      <t xml:space="preserve"> </t>
    </r>
  </si>
  <si>
    <t>(https://foodnhotelasia.com/blog/horeca/how-to-control-your-restaurants-food-cost/)</t>
  </si>
  <si>
    <t>Cost to revenue ratio research in 5 star hotels</t>
  </si>
  <si>
    <r>
      <t xml:space="preserve">iCHEF CLUB SG. (n.d.). </t>
    </r>
    <r>
      <rPr>
        <i/>
        <sz val="11"/>
        <color theme="1"/>
        <rFont val="Aptos Narrow"/>
        <family val="2"/>
        <scheme val="minor"/>
      </rPr>
      <t>Budgeting for your restaurant’s operational costs</t>
    </r>
  </si>
  <si>
    <t>(https://www.ichefpos.com/en-sg/blog/budgeting-for-your-restaurants-operational-costs)</t>
  </si>
  <si>
    <t>Ideal kitchen crew to customer ratio</t>
  </si>
  <si>
    <r>
      <t xml:space="preserve">Qwick. (2021, May 10). </t>
    </r>
    <r>
      <rPr>
        <i/>
        <sz val="11"/>
        <color theme="1"/>
        <rFont val="Aptos Narrow"/>
        <family val="2"/>
        <scheme val="minor"/>
      </rPr>
      <t>Restaurant staffing guide: How many servers and cooks do you need?</t>
    </r>
  </si>
  <si>
    <t>(https://www.qwick.com/blog/restaurant-staffing-guide)</t>
  </si>
  <si>
    <t>Customer wait time satisfaction data for table service</t>
  </si>
  <si>
    <r>
      <t xml:space="preserve">QueueBee. (2024, January 16). </t>
    </r>
    <r>
      <rPr>
        <i/>
        <sz val="11"/>
        <color theme="1"/>
        <rFont val="Aptos Narrow"/>
        <family val="2"/>
        <scheme val="minor"/>
      </rPr>
      <t>7 benefits of using a queue system software</t>
    </r>
  </si>
  <si>
    <t>(https://www.queuebee.com.sg/resources/blog/7-key-benefits-of-queue-system.php)</t>
  </si>
  <si>
    <t>Data for alcohol pricing at a comparable 5 star hotel (Singapore)</t>
  </si>
  <si>
    <t>Data for holiday season pricing for a 5 star hotel buffet in Singapore</t>
  </si>
  <si>
    <t>Wet weather on customer footfall</t>
  </si>
  <si>
    <r>
      <t xml:space="preserve">Tan, M., &amp; Abu Baker, J. (2023, January 27). </t>
    </r>
    <r>
      <rPr>
        <i/>
        <sz val="11"/>
        <color theme="1"/>
        <rFont val="Aptos Narrow"/>
        <family val="2"/>
        <scheme val="minor"/>
      </rPr>
      <t>Weather rains on restaurants’ parade as customers keep away</t>
    </r>
    <r>
      <rPr>
        <sz val="11"/>
        <color theme="1"/>
        <rFont val="Aptos Narrow"/>
        <family val="2"/>
        <scheme val="minor"/>
      </rPr>
      <t>. CNA Lifestyle.</t>
    </r>
  </si>
  <si>
    <t>(https://cnalifestyle.channelnewsasia.com/singapore/rainy-weather-monsoon-surge-businesses-suffer-402436?utm_source=chatgpt.com)</t>
  </si>
  <si>
    <t>Weekend factor for customer footfall</t>
  </si>
  <si>
    <r>
      <t xml:space="preserve">Fitzpatrick, A., &amp; Schrag, J. (2024, May 14). </t>
    </r>
    <r>
      <rPr>
        <i/>
        <sz val="11"/>
        <color theme="1"/>
        <rFont val="Aptos Narrow"/>
        <family val="2"/>
        <scheme val="minor"/>
      </rPr>
      <t>Let's do lunch — but not 'til the weekend</t>
    </r>
    <r>
      <rPr>
        <sz val="11"/>
        <color theme="1"/>
        <rFont val="Aptos Narrow"/>
        <family val="2"/>
        <scheme val="minor"/>
      </rPr>
      <t>.</t>
    </r>
  </si>
  <si>
    <t>(https://www.axios.com/2024/05/14/restaurants-eating-out-rates-weekend-weekday)</t>
  </si>
  <si>
    <t>Weekday promotion customer footfall research data</t>
  </si>
  <si>
    <r>
      <t xml:space="preserve">The Straits Times. (2024, May 3). </t>
    </r>
    <r>
      <rPr>
        <i/>
        <sz val="11"/>
        <color theme="1"/>
        <rFont val="Aptos Narrow"/>
        <family val="2"/>
        <scheme val="minor"/>
      </rPr>
      <t>Get high with F&amp;B deals that support a cause</t>
    </r>
    <r>
      <rPr>
        <sz val="11"/>
        <color theme="1"/>
        <rFont val="Aptos Narrow"/>
        <family val="2"/>
        <scheme val="minor"/>
      </rPr>
      <t>.</t>
    </r>
  </si>
  <si>
    <t>(https://www.straitstimes.com/life/get-high-with-fb-deals-that-support-a-cause)</t>
  </si>
  <si>
    <t>Public holiday customer footfall data</t>
  </si>
  <si>
    <r>
      <t xml:space="preserve">Fleximize. (n.d.). </t>
    </r>
    <r>
      <rPr>
        <i/>
        <sz val="11"/>
        <color theme="1"/>
        <rFont val="Aptos Narrow"/>
        <family val="2"/>
        <scheme val="minor"/>
      </rPr>
      <t>How to Boost Footfall in Retail</t>
    </r>
    <r>
      <rPr>
        <sz val="11"/>
        <color theme="1"/>
        <rFont val="Aptos Narrow"/>
        <family val="2"/>
        <scheme val="minor"/>
      </rPr>
      <t>. Retrieved June 22, 2025</t>
    </r>
  </si>
  <si>
    <t>(https://fleximize.com/articles/001983/boost-footfall-in-retail)</t>
  </si>
  <si>
    <t>Salary for F&amp;B</t>
  </si>
  <si>
    <t>https://dollarsandsense.sg/salary-guide-waiter-singapore/</t>
  </si>
  <si>
    <t xml:space="preserve">Table 12: Data Table
2025 Total Wage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</si>
</sst>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6" formatCode="&quot;$&quot;#,##0_);[Red]\(&quot;$&quot;#,##0\)"/>
    <numFmt numFmtId="44" formatCode="_(&quot;$&quot;* #,##0.00_);_(&quot;$&quot;* \(#,##0.00\);_(&quot;$&quot;* &quot;-&quot;??_);_(@_)"/>
    <numFmt numFmtId="164" formatCode="&quot;$&quot;#,##0.00;[Red]\-&quot;$&quot;#,##0.00"/>
    <numFmt numFmtId="165" formatCode="_-&quot;$&quot;* #,##0.00_-;\-&quot;$&quot;* #,##0.00_-;_-&quot;$&quot;* &quot;-&quot;??_-;_-@_-"/>
    <numFmt numFmtId="166" formatCode="0.000"/>
    <numFmt numFmtId="167" formatCode="0.0%"/>
    <numFmt numFmtId="168" formatCode="&quot;$&quot;#,##0.00"/>
    <numFmt numFmtId="169" formatCode="0.0000%"/>
    <numFmt numFmtId="170" formatCode="0.000%"/>
  </numFmts>
  <fonts count="69" x14ac:knownFonts="1">
    <font>
      <sz val="11"/>
      <color theme="1"/>
      <name val="Aptos Narrow"/>
      <family val="2"/>
      <scheme val="minor"/>
    </font>
    <font>
      <sz val="12"/>
      <color theme="1"/>
      <name val="Aptos Narrow"/>
      <family val="2"/>
      <scheme val="minor"/>
    </font>
    <font>
      <sz val="12"/>
      <color theme="1"/>
      <name val="Aptos Narrow"/>
      <family val="2"/>
      <scheme val="minor"/>
    </font>
    <font>
      <sz val="12"/>
      <color theme="1"/>
      <name val="Aptos Narrow"/>
      <family val="2"/>
      <scheme val="minor"/>
    </font>
    <font>
      <sz val="12"/>
      <color theme="1"/>
      <name val="Aptos Narrow"/>
      <family val="2"/>
      <scheme val="minor"/>
    </font>
    <font>
      <sz val="11"/>
      <color theme="1"/>
      <name val="Aptos Narrow"/>
      <family val="2"/>
      <scheme val="minor"/>
    </font>
    <font>
      <b/>
      <sz val="11"/>
      <color theme="1"/>
      <name val="Aptos Narrow"/>
      <family val="2"/>
      <scheme val="minor"/>
    </font>
    <font>
      <u/>
      <sz val="11"/>
      <color theme="1"/>
      <name val="Aptos Narrow"/>
      <family val="2"/>
      <scheme val="minor"/>
    </font>
    <font>
      <b/>
      <i/>
      <sz val="11"/>
      <color theme="1"/>
      <name val="Aptos Narrow"/>
      <family val="2"/>
      <scheme val="minor"/>
    </font>
    <font>
      <b/>
      <sz val="11"/>
      <color rgb="FFC00000"/>
      <name val="Aptos Narrow"/>
      <family val="2"/>
      <scheme val="minor"/>
    </font>
    <font>
      <b/>
      <u/>
      <sz val="11"/>
      <color theme="1"/>
      <name val="Aptos Narrow"/>
      <family val="2"/>
      <scheme val="minor"/>
    </font>
    <font>
      <i/>
      <sz val="11"/>
      <color theme="1"/>
      <name val="Aptos Narrow"/>
      <family val="2"/>
      <scheme val="minor"/>
    </font>
    <font>
      <sz val="12"/>
      <color theme="1"/>
      <name val="Arial"/>
      <family val="2"/>
    </font>
    <font>
      <sz val="11"/>
      <color rgb="FFFF0000"/>
      <name val="Aptos Narrow"/>
      <family val="2"/>
      <scheme val="minor"/>
    </font>
    <font>
      <b/>
      <i/>
      <sz val="11"/>
      <color rgb="FF000000"/>
      <name val="Aptos Narrow"/>
      <family val="2"/>
    </font>
    <font>
      <sz val="11"/>
      <color rgb="FF000000"/>
      <name val="Aptos Narrow"/>
      <family val="2"/>
    </font>
    <font>
      <b/>
      <sz val="11"/>
      <color rgb="FF000000"/>
      <name val="Aptos Narrow"/>
      <family val="2"/>
    </font>
    <font>
      <i/>
      <sz val="11"/>
      <color rgb="FF000000"/>
      <name val="Aptos Narrow"/>
      <family val="2"/>
    </font>
    <font>
      <b/>
      <u/>
      <sz val="11"/>
      <color rgb="FF000000"/>
      <name val="Aptos Narrow"/>
      <family val="2"/>
    </font>
    <font>
      <sz val="28"/>
      <color theme="0"/>
      <name val="Arial"/>
      <family val="2"/>
    </font>
    <font>
      <b/>
      <sz val="12"/>
      <color theme="1"/>
      <name val="Arial"/>
      <family val="2"/>
    </font>
    <font>
      <sz val="12"/>
      <color rgb="FF000000"/>
      <name val="Arial"/>
      <family val="2"/>
    </font>
    <font>
      <sz val="28"/>
      <color theme="0"/>
      <name val="Aptos ExtraBold"/>
      <family val="2"/>
    </font>
    <font>
      <b/>
      <sz val="12"/>
      <color rgb="FF000000"/>
      <name val="Arial"/>
      <family val="2"/>
    </font>
    <font>
      <sz val="11"/>
      <color rgb="FFC00000"/>
      <name val="Aptos Narrow"/>
      <family val="2"/>
      <scheme val="min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i/>
      <sz val="11"/>
      <color rgb="FF7F7F7F"/>
      <name val="Aptos Narrow"/>
      <family val="2"/>
      <scheme val="minor"/>
    </font>
    <font>
      <sz val="11"/>
      <color theme="0"/>
      <name val="Aptos Narrow"/>
      <family val="2"/>
      <scheme val="minor"/>
    </font>
    <font>
      <sz val="10"/>
      <name val="Arial"/>
      <family val="2"/>
    </font>
    <font>
      <sz val="11"/>
      <color rgb="FF9C6500"/>
      <name val="Aptos Narrow"/>
      <family val="2"/>
      <scheme val="minor"/>
    </font>
    <font>
      <b/>
      <sz val="18"/>
      <color theme="3"/>
      <name val="Aptos Display"/>
      <family val="2"/>
      <scheme val="major"/>
    </font>
    <font>
      <sz val="11"/>
      <color indexed="10"/>
      <name val="Aptos Narrow"/>
      <family val="2"/>
      <scheme val="minor"/>
    </font>
    <font>
      <b/>
      <sz val="14"/>
      <color theme="1"/>
      <name val="Aptos Narrow"/>
      <family val="2"/>
      <scheme val="minor"/>
    </font>
    <font>
      <sz val="10"/>
      <color rgb="FF0C0D0D"/>
      <name val="Arial"/>
      <family val="2"/>
    </font>
    <font>
      <b/>
      <sz val="12"/>
      <color theme="1"/>
      <name val="Aptos Narrow"/>
      <family val="2"/>
      <scheme val="minor"/>
    </font>
    <font>
      <sz val="12"/>
      <color rgb="FF006100"/>
      <name val="Aptos Narrow"/>
      <family val="2"/>
      <scheme val="minor"/>
    </font>
    <font>
      <sz val="12"/>
      <color rgb="FF9C0006"/>
      <name val="Aptos Narrow"/>
      <family val="2"/>
      <scheme val="minor"/>
    </font>
    <font>
      <sz val="12"/>
      <color rgb="FF9C5700"/>
      <name val="Aptos Narrow"/>
      <family val="2"/>
      <scheme val="minor"/>
    </font>
    <font>
      <sz val="28"/>
      <color theme="1"/>
      <name val="Aptos ExtraBold"/>
      <family val="2"/>
    </font>
    <font>
      <sz val="28"/>
      <name val="Aptos ExtraBold"/>
      <family val="2"/>
    </font>
    <font>
      <sz val="24"/>
      <color theme="1"/>
      <name val="Aptos Narrow"/>
      <family val="2"/>
      <scheme val="minor"/>
    </font>
    <font>
      <b/>
      <sz val="24"/>
      <color theme="1"/>
      <name val="Aptos Narrow"/>
      <family val="2"/>
      <scheme val="minor"/>
    </font>
    <font>
      <sz val="11"/>
      <name val="Aptos Narrow"/>
      <family val="2"/>
      <scheme val="minor"/>
    </font>
    <font>
      <b/>
      <sz val="48"/>
      <color theme="0"/>
      <name val="Aptos Display"/>
      <family val="2"/>
      <scheme val="major"/>
    </font>
    <font>
      <b/>
      <sz val="48"/>
      <name val="Aptos Display"/>
      <family val="2"/>
      <scheme val="major"/>
    </font>
    <font>
      <sz val="11"/>
      <color rgb="FF0C0D0D"/>
      <name val="Arial"/>
      <family val="2"/>
    </font>
    <font>
      <sz val="11"/>
      <color rgb="FF040C28"/>
      <name val="Arial"/>
      <family val="2"/>
    </font>
    <font>
      <b/>
      <sz val="11"/>
      <name val="Aptos Narrow"/>
      <family val="2"/>
      <scheme val="minor"/>
    </font>
    <font>
      <b/>
      <sz val="11"/>
      <color theme="1"/>
      <name val="Aptos Narrow"/>
      <family val="2"/>
      <scheme val="minor"/>
    </font>
    <font>
      <b/>
      <sz val="12"/>
      <color rgb="FFFF0000"/>
      <name val="Arial"/>
      <family val="2"/>
    </font>
    <font>
      <i/>
      <u/>
      <sz val="10"/>
      <color rgb="FF000000"/>
      <name val="Arial"/>
      <family val="2"/>
    </font>
    <font>
      <sz val="10"/>
      <color rgb="FF000000"/>
      <name val="Arial"/>
      <family val="2"/>
    </font>
    <font>
      <i/>
      <sz val="12"/>
      <color theme="1"/>
      <name val="Arial"/>
      <family val="2"/>
    </font>
    <font>
      <b/>
      <sz val="26"/>
      <color theme="0"/>
      <name val="Arial"/>
      <family val="2"/>
    </font>
    <font>
      <sz val="8"/>
      <name val="Aptos Narrow"/>
      <family val="2"/>
      <scheme val="minor"/>
    </font>
    <font>
      <b/>
      <sz val="12"/>
      <color theme="0"/>
      <name val="Arial"/>
      <family val="2"/>
    </font>
    <font>
      <b/>
      <sz val="20"/>
      <color theme="1"/>
      <name val="Aptos Narrow"/>
      <family val="2"/>
      <scheme val="minor"/>
    </font>
    <font>
      <b/>
      <sz val="12"/>
      <name val="Aptos Narrow"/>
      <family val="2"/>
      <scheme val="minor"/>
    </font>
    <font>
      <b/>
      <sz val="36"/>
      <color theme="0"/>
      <name val="Arial"/>
      <family val="2"/>
    </font>
    <font>
      <sz val="12"/>
      <color rgb="FF000000"/>
      <name val="Aptos Narrow"/>
    </font>
  </fonts>
  <fills count="50">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3" tint="0.89999084444715716"/>
        <bgColor indexed="64"/>
      </patternFill>
    </fill>
    <fill>
      <patternFill patternType="solid">
        <fgColor theme="0" tint="-0.14999847407452621"/>
        <bgColor indexed="64"/>
      </patternFill>
    </fill>
    <fill>
      <patternFill patternType="lightTrellis">
        <bgColor theme="0" tint="-0.14996795556505021"/>
      </patternFill>
    </fill>
    <fill>
      <patternFill patternType="solid">
        <fgColor rgb="FFFFFF99"/>
        <bgColor indexed="64"/>
      </patternFill>
    </fill>
    <fill>
      <patternFill patternType="lightTrellis">
        <bgColor theme="2" tint="-9.9978637043366805E-2"/>
      </patternFill>
    </fill>
    <fill>
      <patternFill patternType="solid">
        <fgColor rgb="FFFFC000"/>
        <bgColor indexed="64"/>
      </patternFill>
    </fill>
    <fill>
      <patternFill patternType="solid">
        <fgColor rgb="FFD9D9D9"/>
        <bgColor rgb="FF000000"/>
      </patternFill>
    </fill>
    <fill>
      <patternFill patternType="solid">
        <fgColor rgb="FF00B0F0"/>
        <bgColor indexed="64"/>
      </patternFill>
    </fill>
    <fill>
      <patternFill patternType="solid">
        <fgColor rgb="FFCC99FF"/>
        <bgColor indexed="64"/>
      </patternFill>
    </fill>
    <fill>
      <patternFill patternType="solid">
        <fgColor rgb="FFFFC7CE"/>
        <bgColor indexed="64"/>
      </patternFill>
    </fill>
    <fill>
      <patternFill patternType="solid">
        <fgColor indexed="47"/>
        <bgColor indexed="64"/>
      </patternFill>
    </fill>
    <fill>
      <patternFill patternType="solid">
        <fgColor indexed="26"/>
        <bgColor indexed="64"/>
      </patternFill>
    </fill>
    <fill>
      <patternFill patternType="solid">
        <fgColor theme="4" tint="0.79985961485641044"/>
        <bgColor indexed="64"/>
      </patternFill>
    </fill>
    <fill>
      <patternFill patternType="solid">
        <fgColor theme="5" tint="0.79985961485641044"/>
        <bgColor indexed="64"/>
      </patternFill>
    </fill>
    <fill>
      <patternFill patternType="solid">
        <fgColor theme="6" tint="0.79985961485641044"/>
        <bgColor indexed="64"/>
      </patternFill>
    </fill>
    <fill>
      <patternFill patternType="solid">
        <fgColor theme="7" tint="0.79985961485641044"/>
        <bgColor indexed="64"/>
      </patternFill>
    </fill>
    <fill>
      <patternFill patternType="solid">
        <fgColor theme="8" tint="0.79985961485641044"/>
        <bgColor indexed="64"/>
      </patternFill>
    </fill>
    <fill>
      <patternFill patternType="solid">
        <fgColor theme="9" tint="0.79985961485641044"/>
        <bgColor indexed="64"/>
      </patternFill>
    </fill>
    <fill>
      <patternFill patternType="solid">
        <fgColor theme="4" tint="0.59987182226020086"/>
        <bgColor indexed="64"/>
      </patternFill>
    </fill>
    <fill>
      <patternFill patternType="solid">
        <fgColor theme="5" tint="0.59987182226020086"/>
        <bgColor indexed="64"/>
      </patternFill>
    </fill>
    <fill>
      <patternFill patternType="solid">
        <fgColor theme="6" tint="0.59987182226020086"/>
        <bgColor indexed="64"/>
      </patternFill>
    </fill>
    <fill>
      <patternFill patternType="solid">
        <fgColor theme="7" tint="0.59987182226020086"/>
        <bgColor indexed="64"/>
      </patternFill>
    </fill>
    <fill>
      <patternFill patternType="solid">
        <fgColor theme="8" tint="0.59987182226020086"/>
        <bgColor indexed="64"/>
      </patternFill>
    </fill>
    <fill>
      <patternFill patternType="solid">
        <fgColor theme="9" tint="0.59987182226020086"/>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EB9C"/>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1"/>
        <bgColor indexed="64"/>
      </patternFill>
    </fill>
    <fill>
      <patternFill patternType="solid">
        <fgColor theme="0" tint="-0.34998626667073579"/>
        <bgColor indexed="64"/>
      </patternFill>
    </fill>
    <fill>
      <patternFill patternType="solid">
        <fgColor theme="9" tint="0.59999389629810485"/>
        <bgColor indexed="64"/>
      </patternFill>
    </fill>
  </fills>
  <borders count="95">
    <border>
      <left/>
      <right/>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bottom style="medium">
        <color indexed="64"/>
      </bottom>
      <diagonal/>
    </border>
    <border>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style="medium">
        <color indexed="64"/>
      </left>
      <right/>
      <top style="medium">
        <color indexed="64"/>
      </top>
      <bottom style="thin">
        <color indexed="64"/>
      </bottom>
      <diagonal/>
    </border>
    <border>
      <left style="medium">
        <color indexed="64"/>
      </left>
      <right/>
      <top/>
      <bottom style="medium">
        <color indexed="64"/>
      </bottom>
      <diagonal/>
    </border>
    <border>
      <left style="medium">
        <color indexed="64"/>
      </left>
      <right/>
      <top style="thin">
        <color indexed="64"/>
      </top>
      <bottom style="medium">
        <color indexed="64"/>
      </bottom>
      <diagonal/>
    </border>
    <border>
      <left style="medium">
        <color indexed="64"/>
      </left>
      <right/>
      <top/>
      <bottom/>
      <diagonal/>
    </border>
    <border>
      <left style="medium">
        <color indexed="64"/>
      </left>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bottom style="thick">
        <color theme="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top/>
      <bottom style="thick">
        <color theme="4" tint="0.49986266670735802"/>
      </bottom>
      <diagonal/>
    </border>
    <border>
      <left/>
      <right style="medium">
        <color indexed="64"/>
      </right>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bottom style="medium">
        <color indexed="64"/>
      </bottom>
      <diagonal/>
    </border>
    <border>
      <left style="thin">
        <color indexed="64"/>
      </left>
      <right style="medium">
        <color indexed="64"/>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top style="medium">
        <color indexed="64"/>
      </top>
      <bottom style="thin">
        <color indexed="64"/>
      </bottom>
      <diagonal/>
    </border>
    <border>
      <left/>
      <right/>
      <top style="thin">
        <color indexed="64"/>
      </top>
      <bottom style="medium">
        <color indexed="64"/>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indexed="64"/>
      </right>
      <top/>
      <bottom style="medium">
        <color rgb="FF000000"/>
      </bottom>
      <diagonal/>
    </border>
    <border>
      <left style="thin">
        <color indexed="64"/>
      </left>
      <right style="thin">
        <color indexed="64"/>
      </right>
      <top/>
      <bottom style="medium">
        <color rgb="FF000000"/>
      </bottom>
      <diagonal/>
    </border>
    <border>
      <left style="thin">
        <color indexed="64"/>
      </left>
      <right style="medium">
        <color rgb="FF000000"/>
      </right>
      <top/>
      <bottom style="medium">
        <color rgb="FF000000"/>
      </bottom>
      <diagonal/>
    </border>
    <border>
      <left/>
      <right style="medium">
        <color indexed="64"/>
      </right>
      <top style="thin">
        <color indexed="64"/>
      </top>
      <bottom/>
      <diagonal/>
    </border>
    <border>
      <left style="medium">
        <color rgb="FF000000"/>
      </left>
      <right style="medium">
        <color rgb="FF000000"/>
      </right>
      <top style="medium">
        <color rgb="FF000000"/>
      </top>
      <bottom style="thin">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bottom style="medium">
        <color rgb="FF000000"/>
      </bottom>
      <diagonal/>
    </border>
    <border>
      <left style="medium">
        <color rgb="FF000000"/>
      </left>
      <right style="medium">
        <color rgb="FF000000"/>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right style="thin">
        <color indexed="64"/>
      </right>
      <top/>
      <bottom style="medium">
        <color indexed="64"/>
      </bottom>
      <diagonal/>
    </border>
    <border>
      <left style="medium">
        <color indexed="64"/>
      </left>
      <right/>
      <top style="thin">
        <color indexed="64"/>
      </top>
      <bottom/>
      <diagonal/>
    </border>
    <border>
      <left style="thin">
        <color indexed="64"/>
      </left>
      <right style="thin">
        <color indexed="64"/>
      </right>
      <top/>
      <bottom/>
      <diagonal/>
    </border>
    <border>
      <left style="medium">
        <color indexed="64"/>
      </left>
      <right/>
      <top/>
      <bottom style="thin">
        <color indexed="64"/>
      </bottom>
      <diagonal/>
    </border>
    <border>
      <left style="medium">
        <color indexed="64"/>
      </left>
      <right style="thin">
        <color indexed="64"/>
      </right>
      <top/>
      <bottom/>
      <diagonal/>
    </border>
  </borders>
  <cellStyleXfs count="54">
    <xf numFmtId="0" fontId="0" fillId="0" borderId="0"/>
    <xf numFmtId="44" fontId="5" fillId="0" borderId="0" applyFont="0" applyFill="0" applyBorder="0" applyAlignment="0" applyProtection="0"/>
    <xf numFmtId="9" fontId="5" fillId="0" borderId="0" applyFont="0" applyFill="0" applyBorder="0" applyAlignment="0" applyProtection="0"/>
    <xf numFmtId="0" fontId="4" fillId="0" borderId="0"/>
    <xf numFmtId="165" fontId="5" fillId="0" borderId="0" applyFont="0" applyFill="0" applyBorder="0" applyAlignment="0" applyProtection="0"/>
    <xf numFmtId="0" fontId="3" fillId="0" borderId="0"/>
    <xf numFmtId="0" fontId="2" fillId="0" borderId="0"/>
    <xf numFmtId="0" fontId="25" fillId="0" borderId="54" applyNumberFormat="0" applyFill="0" applyAlignment="0" applyProtection="0"/>
    <xf numFmtId="0" fontId="27" fillId="0" borderId="55" applyNumberFormat="0" applyFill="0" applyAlignment="0" applyProtection="0"/>
    <xf numFmtId="0" fontId="27" fillId="0" borderId="0" applyNumberFormat="0" applyFill="0" applyBorder="0" applyAlignment="0" applyProtection="0"/>
    <xf numFmtId="0" fontId="33" fillId="0" borderId="58" applyNumberFormat="0" applyFill="0" applyAlignment="0" applyProtection="0"/>
    <xf numFmtId="0" fontId="35" fillId="0" borderId="0" applyNumberFormat="0" applyFill="0" applyBorder="0" applyAlignment="0" applyProtection="0"/>
    <xf numFmtId="0" fontId="6" fillId="0" borderId="61" applyNumberFormat="0" applyFill="0" applyAlignment="0" applyProtection="0"/>
    <xf numFmtId="0" fontId="37" fillId="0" borderId="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36" fillId="28" borderId="0" applyNumberFormat="0" applyBorder="0" applyAlignment="0" applyProtection="0"/>
    <xf numFmtId="0" fontId="36" fillId="29" borderId="0" applyNumberFormat="0" applyBorder="0" applyAlignment="0" applyProtection="0"/>
    <xf numFmtId="0" fontId="36" fillId="30" borderId="0" applyNumberFormat="0" applyBorder="0" applyAlignment="0" applyProtection="0"/>
    <xf numFmtId="0" fontId="36" fillId="31" borderId="0" applyNumberFormat="0" applyBorder="0" applyAlignment="0" applyProtection="0"/>
    <xf numFmtId="0" fontId="36" fillId="32" borderId="0" applyNumberFormat="0" applyBorder="0" applyAlignment="0" applyProtection="0"/>
    <xf numFmtId="0" fontId="36" fillId="33" borderId="0" applyNumberFormat="0" applyBorder="0" applyAlignment="0" applyProtection="0"/>
    <xf numFmtId="0" fontId="36" fillId="34" borderId="0" applyNumberFormat="0" applyBorder="0" applyAlignment="0" applyProtection="0"/>
    <xf numFmtId="0" fontId="36" fillId="35" borderId="0" applyNumberFormat="0" applyBorder="0" applyAlignment="0" applyProtection="0"/>
    <xf numFmtId="0" fontId="36" fillId="36" borderId="0" applyNumberFormat="0" applyBorder="0" applyAlignment="0" applyProtection="0"/>
    <xf numFmtId="0" fontId="36" fillId="37" borderId="0" applyNumberFormat="0" applyBorder="0" applyAlignment="0" applyProtection="0"/>
    <xf numFmtId="0" fontId="36" fillId="38" borderId="0" applyNumberFormat="0" applyBorder="0" applyAlignment="0" applyProtection="0"/>
    <xf numFmtId="0" fontId="36" fillId="39" borderId="0" applyNumberFormat="0" applyBorder="0" applyAlignment="0" applyProtection="0"/>
    <xf numFmtId="0" fontId="29" fillId="13" borderId="0" applyNumberFormat="0" applyBorder="0" applyAlignment="0" applyProtection="0"/>
    <xf numFmtId="0" fontId="32" fillId="40" borderId="56" applyNumberFormat="0" applyAlignment="0" applyProtection="0"/>
    <xf numFmtId="0" fontId="34" fillId="41" borderId="59" applyNumberFormat="0" applyAlignment="0" applyProtection="0"/>
    <xf numFmtId="0" fontId="28" fillId="42" borderId="0" applyNumberFormat="0" applyBorder="0" applyAlignment="0" applyProtection="0"/>
    <xf numFmtId="0" fontId="26" fillId="0" borderId="65" applyNumberFormat="0" applyFill="0" applyAlignment="0" applyProtection="0"/>
    <xf numFmtId="0" fontId="30" fillId="14" borderId="56" applyNumberFormat="0" applyAlignment="0" applyProtection="0"/>
    <xf numFmtId="0" fontId="38" fillId="43" borderId="0" applyNumberFormat="0" applyBorder="0" applyAlignment="0" applyProtection="0"/>
    <xf numFmtId="0" fontId="5" fillId="15" borderId="60" applyNumberFormat="0" applyAlignment="0" applyProtection="0"/>
    <xf numFmtId="0" fontId="31" fillId="40" borderId="57" applyNumberFormat="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44" fillId="44" borderId="0" applyNumberFormat="0" applyBorder="0" applyAlignment="0" applyProtection="0"/>
    <xf numFmtId="0" fontId="45" fillId="45" borderId="0" applyNumberFormat="0" applyBorder="0" applyAlignment="0" applyProtection="0"/>
    <xf numFmtId="0" fontId="46" fillId="46" borderId="0" applyNumberFormat="0" applyBorder="0" applyAlignment="0" applyProtection="0"/>
    <xf numFmtId="0" fontId="1" fillId="0" borderId="0"/>
    <xf numFmtId="0" fontId="1" fillId="0" borderId="0"/>
  </cellStyleXfs>
  <cellXfs count="700">
    <xf numFmtId="0" fontId="0" fillId="0" borderId="0" xfId="0"/>
    <xf numFmtId="0" fontId="0" fillId="0" borderId="1" xfId="0" applyBorder="1"/>
    <xf numFmtId="0" fontId="0" fillId="0" borderId="0" xfId="0" applyAlignment="1">
      <alignment horizontal="center"/>
    </xf>
    <xf numFmtId="0" fontId="6" fillId="0" borderId="1" xfId="0" applyFont="1" applyBorder="1"/>
    <xf numFmtId="0" fontId="0" fillId="0" borderId="3" xfId="0" applyBorder="1"/>
    <xf numFmtId="0" fontId="0" fillId="0" borderId="2" xfId="0" applyBorder="1"/>
    <xf numFmtId="0" fontId="0" fillId="0" borderId="1" xfId="0" applyBorder="1" applyAlignment="1">
      <alignment horizontal="center" vertical="center"/>
    </xf>
    <xf numFmtId="0" fontId="0" fillId="0" borderId="3" xfId="0" applyBorder="1" applyAlignment="1">
      <alignment horizontal="center" vertical="center"/>
    </xf>
    <xf numFmtId="0" fontId="0" fillId="0" borderId="2" xfId="0" applyBorder="1" applyAlignment="1">
      <alignment horizontal="center" vertical="center"/>
    </xf>
    <xf numFmtId="0" fontId="0" fillId="3" borderId="0" xfId="0" applyFill="1"/>
    <xf numFmtId="0" fontId="6" fillId="3" borderId="0" xfId="0" applyFont="1" applyFill="1"/>
    <xf numFmtId="0" fontId="7" fillId="3" borderId="0" xfId="0" applyFont="1" applyFill="1"/>
    <xf numFmtId="0" fontId="6" fillId="0" borderId="1" xfId="0" applyFont="1" applyBorder="1" applyAlignment="1">
      <alignment horizontal="center" vertical="center"/>
    </xf>
    <xf numFmtId="0" fontId="6" fillId="0" borderId="0" xfId="0" applyFont="1"/>
    <xf numFmtId="0" fontId="8" fillId="0" borderId="0" xfId="0" applyFont="1"/>
    <xf numFmtId="0" fontId="9" fillId="0" borderId="0" xfId="0" applyFont="1"/>
    <xf numFmtId="44" fontId="0" fillId="2" borderId="2" xfId="0" applyNumberFormat="1" applyFill="1" applyBorder="1" applyAlignment="1">
      <alignment horizontal="center"/>
    </xf>
    <xf numFmtId="6" fontId="0" fillId="0" borderId="0" xfId="0" applyNumberFormat="1"/>
    <xf numFmtId="9" fontId="0" fillId="0" borderId="0" xfId="0" applyNumberFormat="1" applyAlignment="1">
      <alignment horizontal="center"/>
    </xf>
    <xf numFmtId="9" fontId="0" fillId="0" borderId="0" xfId="2" applyFont="1" applyAlignment="1">
      <alignment horizontal="center"/>
    </xf>
    <xf numFmtId="6" fontId="0" fillId="0" borderId="0" xfId="0" applyNumberFormat="1" applyAlignment="1">
      <alignment horizontal="center"/>
    </xf>
    <xf numFmtId="9" fontId="0" fillId="0" borderId="0" xfId="0" applyNumberFormat="1"/>
    <xf numFmtId="0" fontId="0" fillId="0" borderId="0" xfId="0" applyAlignment="1">
      <alignment horizontal="left" vertical="center" wrapText="1"/>
    </xf>
    <xf numFmtId="0" fontId="0" fillId="0" borderId="2" xfId="0" applyBorder="1" applyAlignment="1">
      <alignment horizontal="left" vertical="center" wrapText="1"/>
    </xf>
    <xf numFmtId="9" fontId="0" fillId="0" borderId="2" xfId="2" applyFont="1" applyFill="1" applyBorder="1" applyAlignment="1">
      <alignment horizontal="center" vertical="center" wrapText="1"/>
    </xf>
    <xf numFmtId="44" fontId="0" fillId="0" borderId="2" xfId="1" applyFont="1" applyBorder="1" applyAlignment="1">
      <alignment horizontal="center"/>
    </xf>
    <xf numFmtId="9" fontId="0" fillId="0" borderId="2" xfId="2" applyFont="1" applyBorder="1" applyAlignment="1">
      <alignment horizontal="center"/>
    </xf>
    <xf numFmtId="0" fontId="6" fillId="0" borderId="2" xfId="0" applyFont="1" applyBorder="1" applyAlignment="1">
      <alignment horizontal="center" vertical="center" wrapText="1"/>
    </xf>
    <xf numFmtId="0" fontId="6" fillId="0" borderId="2" xfId="0" applyFont="1" applyBorder="1" applyAlignment="1">
      <alignment horizontal="center" vertical="center"/>
    </xf>
    <xf numFmtId="0" fontId="10" fillId="0" borderId="0" xfId="0" applyFont="1" applyAlignment="1">
      <alignment horizontal="left" vertical="center" wrapText="1"/>
    </xf>
    <xf numFmtId="0" fontId="0" fillId="0" borderId="0" xfId="0" applyAlignment="1">
      <alignment horizontal="center" vertical="center"/>
    </xf>
    <xf numFmtId="0" fontId="6" fillId="0" borderId="0" xfId="0" applyFont="1" applyAlignment="1">
      <alignment horizontal="center" vertical="center"/>
    </xf>
    <xf numFmtId="9" fontId="0" fillId="0" borderId="2" xfId="2" applyFont="1" applyBorder="1" applyAlignment="1">
      <alignment horizontal="center" vertical="center"/>
    </xf>
    <xf numFmtId="9" fontId="0" fillId="0" borderId="2" xfId="2" applyFont="1" applyFill="1" applyBorder="1" applyAlignment="1">
      <alignment horizontal="center" vertical="center"/>
    </xf>
    <xf numFmtId="0" fontId="10" fillId="0" borderId="0" xfId="0" applyFont="1"/>
    <xf numFmtId="0" fontId="11" fillId="0" borderId="0" xfId="0" applyFont="1" applyAlignment="1">
      <alignment horizontal="left" vertical="center" wrapText="1"/>
    </xf>
    <xf numFmtId="0" fontId="0" fillId="6" borderId="5" xfId="0" applyFill="1" applyBorder="1"/>
    <xf numFmtId="9" fontId="5" fillId="7" borderId="21" xfId="2" applyFont="1" applyFill="1" applyBorder="1" applyAlignment="1">
      <alignment horizontal="center" vertical="center"/>
    </xf>
    <xf numFmtId="165" fontId="0" fillId="7" borderId="20" xfId="0" applyNumberFormat="1" applyFill="1" applyBorder="1"/>
    <xf numFmtId="0" fontId="0" fillId="8" borderId="5" xfId="0" applyFill="1" applyBorder="1"/>
    <xf numFmtId="0" fontId="0" fillId="8" borderId="19" xfId="0" applyFill="1" applyBorder="1"/>
    <xf numFmtId="9" fontId="5" fillId="7" borderId="23" xfId="2" applyFont="1" applyFill="1" applyBorder="1" applyAlignment="1">
      <alignment horizontal="center" vertical="center"/>
    </xf>
    <xf numFmtId="165" fontId="0" fillId="7" borderId="2" xfId="0" applyNumberFormat="1" applyFill="1" applyBorder="1"/>
    <xf numFmtId="165" fontId="0" fillId="7" borderId="4" xfId="0" applyNumberFormat="1" applyFill="1" applyBorder="1"/>
    <xf numFmtId="0" fontId="0" fillId="7" borderId="16" xfId="0" applyFill="1" applyBorder="1"/>
    <xf numFmtId="9" fontId="5" fillId="7" borderId="17" xfId="2" applyFont="1" applyFill="1" applyBorder="1" applyAlignment="1">
      <alignment horizontal="center" vertical="center"/>
    </xf>
    <xf numFmtId="0" fontId="6" fillId="0" borderId="9" xfId="0" applyFont="1" applyBorder="1" applyAlignment="1">
      <alignment vertical="center" wrapText="1"/>
    </xf>
    <xf numFmtId="0" fontId="0" fillId="6" borderId="11" xfId="0" applyFill="1" applyBorder="1"/>
    <xf numFmtId="9" fontId="5" fillId="7" borderId="12" xfId="2" applyFont="1" applyFill="1" applyBorder="1" applyAlignment="1">
      <alignment horizontal="center" vertical="center"/>
    </xf>
    <xf numFmtId="165" fontId="0" fillId="7" borderId="9" xfId="0" applyNumberFormat="1" applyFill="1" applyBorder="1"/>
    <xf numFmtId="0" fontId="0" fillId="8" borderId="11" xfId="0" applyFill="1" applyBorder="1"/>
    <xf numFmtId="0" fontId="0" fillId="8" borderId="10" xfId="0" applyFill="1" applyBorder="1"/>
    <xf numFmtId="0" fontId="6" fillId="0" borderId="22" xfId="0" applyFont="1" applyBorder="1" applyAlignment="1">
      <alignment vertical="center" wrapText="1"/>
    </xf>
    <xf numFmtId="0" fontId="0" fillId="6" borderId="2" xfId="0" applyFill="1" applyBorder="1"/>
    <xf numFmtId="165" fontId="0" fillId="7" borderId="22" xfId="0" applyNumberFormat="1" applyFill="1" applyBorder="1"/>
    <xf numFmtId="0" fontId="0" fillId="8" borderId="2" xfId="0" applyFill="1" applyBorder="1"/>
    <xf numFmtId="0" fontId="0" fillId="8" borderId="4" xfId="0" applyFill="1" applyBorder="1"/>
    <xf numFmtId="0" fontId="6" fillId="0" borderId="14" xfId="0" applyFont="1" applyBorder="1" applyAlignment="1">
      <alignment vertical="center" wrapText="1"/>
    </xf>
    <xf numFmtId="0" fontId="0" fillId="6" borderId="16" xfId="0" applyFill="1" applyBorder="1"/>
    <xf numFmtId="0" fontId="0" fillId="4" borderId="16" xfId="0" applyFill="1" applyBorder="1"/>
    <xf numFmtId="165" fontId="0" fillId="7" borderId="14" xfId="0" applyNumberFormat="1" applyFill="1" applyBorder="1"/>
    <xf numFmtId="0" fontId="0" fillId="8" borderId="16" xfId="0" applyFill="1" applyBorder="1"/>
    <xf numFmtId="0" fontId="0" fillId="8" borderId="15" xfId="0" applyFill="1" applyBorder="1"/>
    <xf numFmtId="165" fontId="0" fillId="4" borderId="10" xfId="4" applyFont="1" applyFill="1" applyBorder="1"/>
    <xf numFmtId="165" fontId="0" fillId="6" borderId="9" xfId="4" applyFont="1" applyFill="1" applyBorder="1"/>
    <xf numFmtId="0" fontId="0" fillId="6" borderId="12" xfId="0" applyFill="1" applyBorder="1"/>
    <xf numFmtId="0" fontId="0" fillId="7" borderId="2" xfId="0" applyFill="1" applyBorder="1"/>
    <xf numFmtId="2" fontId="0" fillId="7" borderId="23" xfId="0" applyNumberFormat="1" applyFill="1" applyBorder="1"/>
    <xf numFmtId="165" fontId="0" fillId="4" borderId="15" xfId="4" applyFont="1" applyFill="1" applyBorder="1"/>
    <xf numFmtId="165" fontId="0" fillId="4" borderId="14" xfId="4" applyFont="1" applyFill="1" applyBorder="1"/>
    <xf numFmtId="165" fontId="0" fillId="7" borderId="16" xfId="0" applyNumberFormat="1" applyFill="1" applyBorder="1"/>
    <xf numFmtId="165" fontId="0" fillId="7" borderId="17" xfId="0" applyNumberFormat="1" applyFill="1" applyBorder="1"/>
    <xf numFmtId="2" fontId="0" fillId="7" borderId="17" xfId="0" applyNumberFormat="1" applyFill="1" applyBorder="1"/>
    <xf numFmtId="165" fontId="0" fillId="4" borderId="4" xfId="4" applyFont="1" applyFill="1" applyBorder="1"/>
    <xf numFmtId="165" fontId="0" fillId="6" borderId="22" xfId="4" applyFont="1" applyFill="1" applyBorder="1"/>
    <xf numFmtId="0" fontId="0" fillId="6" borderId="23" xfId="0" applyFill="1" applyBorder="1"/>
    <xf numFmtId="165" fontId="0" fillId="6" borderId="14" xfId="4" applyFont="1" applyFill="1" applyBorder="1"/>
    <xf numFmtId="0" fontId="0" fillId="6" borderId="17" xfId="0" applyFill="1" applyBorder="1"/>
    <xf numFmtId="44" fontId="0" fillId="4" borderId="2" xfId="1" applyFont="1" applyFill="1" applyBorder="1" applyAlignment="1">
      <alignment horizontal="center" vertical="center"/>
    </xf>
    <xf numFmtId="9" fontId="0" fillId="4" borderId="2" xfId="2" applyFont="1" applyFill="1" applyBorder="1" applyAlignment="1">
      <alignment horizontal="center" vertical="center"/>
    </xf>
    <xf numFmtId="0" fontId="0" fillId="4" borderId="2" xfId="2" applyNumberFormat="1" applyFont="1" applyFill="1" applyBorder="1" applyAlignment="1">
      <alignment horizontal="center" vertical="center"/>
    </xf>
    <xf numFmtId="10" fontId="0" fillId="4" borderId="2" xfId="1" applyNumberFormat="1" applyFont="1" applyFill="1" applyBorder="1" applyAlignment="1">
      <alignment horizontal="center" vertical="center"/>
    </xf>
    <xf numFmtId="0" fontId="0" fillId="4" borderId="2" xfId="0" applyFill="1" applyBorder="1" applyAlignment="1">
      <alignment horizontal="center" vertical="center"/>
    </xf>
    <xf numFmtId="0" fontId="0" fillId="0" borderId="2" xfId="0" applyBorder="1" applyAlignment="1">
      <alignment horizontal="left"/>
    </xf>
    <xf numFmtId="44" fontId="0" fillId="2" borderId="2" xfId="1" applyFont="1" applyFill="1" applyBorder="1" applyAlignment="1">
      <alignment horizontal="center"/>
    </xf>
    <xf numFmtId="0" fontId="0" fillId="2" borderId="2" xfId="0" applyFill="1" applyBorder="1" applyAlignment="1">
      <alignment horizontal="center"/>
    </xf>
    <xf numFmtId="0" fontId="6" fillId="0" borderId="44" xfId="0" applyFont="1" applyBorder="1" applyAlignment="1">
      <alignment horizontal="right"/>
    </xf>
    <xf numFmtId="165" fontId="0" fillId="7" borderId="26" xfId="0" applyNumberFormat="1" applyFill="1" applyBorder="1"/>
    <xf numFmtId="165" fontId="0" fillId="7" borderId="45" xfId="0" applyNumberFormat="1" applyFill="1" applyBorder="1"/>
    <xf numFmtId="165" fontId="0" fillId="7" borderId="46" xfId="0" applyNumberFormat="1" applyFill="1" applyBorder="1"/>
    <xf numFmtId="165" fontId="0" fillId="2" borderId="44" xfId="0" applyNumberFormat="1" applyFill="1" applyBorder="1"/>
    <xf numFmtId="0" fontId="14" fillId="0" borderId="0" xfId="0" applyFont="1"/>
    <xf numFmtId="0" fontId="15" fillId="0" borderId="0" xfId="0" applyFont="1"/>
    <xf numFmtId="0" fontId="15" fillId="0" borderId="1" xfId="0" applyFont="1" applyBorder="1"/>
    <xf numFmtId="0" fontId="16" fillId="0" borderId="1" xfId="0" applyFont="1" applyBorder="1" applyAlignment="1">
      <alignment horizontal="center" vertical="center"/>
    </xf>
    <xf numFmtId="0" fontId="16" fillId="0" borderId="1" xfId="0" applyFont="1" applyBorder="1"/>
    <xf numFmtId="0" fontId="15" fillId="0" borderId="1" xfId="0" applyFont="1" applyBorder="1" applyAlignment="1">
      <alignment horizontal="center" vertical="center"/>
    </xf>
    <xf numFmtId="0" fontId="16" fillId="0" borderId="0" xfId="0" applyFont="1"/>
    <xf numFmtId="0" fontId="15" fillId="0" borderId="3" xfId="0" applyFont="1" applyBorder="1"/>
    <xf numFmtId="0" fontId="15" fillId="0" borderId="3" xfId="0" applyFont="1" applyBorder="1" applyAlignment="1">
      <alignment horizontal="center" vertical="center"/>
    </xf>
    <xf numFmtId="0" fontId="15" fillId="0" borderId="2" xfId="0" applyFont="1" applyBorder="1"/>
    <xf numFmtId="0" fontId="15" fillId="0" borderId="2" xfId="0" applyFont="1" applyBorder="1" applyAlignment="1">
      <alignment horizontal="center" vertical="center"/>
    </xf>
    <xf numFmtId="0" fontId="15" fillId="0" borderId="0" xfId="0" applyFont="1" applyAlignment="1">
      <alignment horizontal="center"/>
    </xf>
    <xf numFmtId="0" fontId="15" fillId="0" borderId="0" xfId="0" applyFont="1" applyAlignment="1">
      <alignment horizontal="left" vertical="center" wrapText="1"/>
    </xf>
    <xf numFmtId="10" fontId="15" fillId="0" borderId="0" xfId="0" applyNumberFormat="1" applyFont="1"/>
    <xf numFmtId="0" fontId="15" fillId="0" borderId="2" xfId="0" applyFont="1" applyBorder="1" applyAlignment="1">
      <alignment horizontal="left" vertical="center" wrapText="1"/>
    </xf>
    <xf numFmtId="0" fontId="17" fillId="0" borderId="0" xfId="0" applyFont="1" applyAlignment="1">
      <alignment horizontal="left" vertical="center" wrapText="1"/>
    </xf>
    <xf numFmtId="0" fontId="18" fillId="0" borderId="0" xfId="0" applyFont="1" applyAlignment="1">
      <alignment horizontal="left" vertical="center" wrapText="1"/>
    </xf>
    <xf numFmtId="0" fontId="16" fillId="0" borderId="2" xfId="0" applyFont="1" applyBorder="1" applyAlignment="1">
      <alignment horizontal="center" vertical="center" wrapText="1"/>
    </xf>
    <xf numFmtId="0" fontId="16" fillId="0" borderId="2" xfId="0" applyFont="1" applyBorder="1" applyAlignment="1">
      <alignment horizontal="center" vertical="center"/>
    </xf>
    <xf numFmtId="0" fontId="15" fillId="10" borderId="0" xfId="0" applyFont="1" applyFill="1" applyAlignment="1">
      <alignment horizontal="center" vertical="center" wrapText="1"/>
    </xf>
    <xf numFmtId="9" fontId="15" fillId="0" borderId="2" xfId="0" applyNumberFormat="1" applyFont="1" applyBorder="1" applyAlignment="1">
      <alignment horizontal="center" vertical="center" wrapText="1"/>
    </xf>
    <xf numFmtId="164" fontId="15" fillId="0" borderId="2" xfId="0" applyNumberFormat="1" applyFont="1" applyBorder="1" applyAlignment="1">
      <alignment horizontal="center"/>
    </xf>
    <xf numFmtId="9" fontId="15" fillId="0" borderId="2" xfId="0" applyNumberFormat="1" applyFont="1" applyBorder="1" applyAlignment="1">
      <alignment horizontal="center"/>
    </xf>
    <xf numFmtId="9" fontId="16" fillId="0" borderId="0" xfId="0" applyNumberFormat="1" applyFont="1" applyAlignment="1">
      <alignment horizontal="center" vertical="center" wrapText="1"/>
    </xf>
    <xf numFmtId="167" fontId="15" fillId="0" borderId="0" xfId="0" applyNumberFormat="1" applyFont="1" applyAlignment="1">
      <alignment horizontal="center"/>
    </xf>
    <xf numFmtId="9" fontId="15" fillId="0" borderId="2" xfId="0" applyNumberFormat="1" applyFont="1" applyBorder="1" applyAlignment="1">
      <alignment horizontal="center" vertical="center"/>
    </xf>
    <xf numFmtId="0" fontId="18" fillId="0" borderId="0" xfId="0" applyFont="1"/>
    <xf numFmtId="0" fontId="16" fillId="0" borderId="0" xfId="0" applyFont="1" applyAlignment="1">
      <alignment horizontal="center" vertical="center"/>
    </xf>
    <xf numFmtId="0" fontId="10" fillId="0" borderId="0" xfId="0" applyFont="1" applyAlignment="1">
      <alignment vertical="center"/>
    </xf>
    <xf numFmtId="0" fontId="0" fillId="0" borderId="0" xfId="0" applyAlignment="1">
      <alignment vertical="center"/>
    </xf>
    <xf numFmtId="0" fontId="0" fillId="0" borderId="2" xfId="0" applyBorder="1" applyAlignment="1">
      <alignment vertical="center"/>
    </xf>
    <xf numFmtId="0" fontId="13" fillId="0" borderId="0" xfId="0" applyFont="1" applyAlignment="1">
      <alignment vertical="center"/>
    </xf>
    <xf numFmtId="0" fontId="0" fillId="0" borderId="48" xfId="0" applyBorder="1" applyAlignment="1">
      <alignment vertical="center"/>
    </xf>
    <xf numFmtId="0" fontId="10" fillId="0" borderId="48" xfId="0" applyFont="1" applyBorder="1" applyAlignment="1">
      <alignment vertical="center"/>
    </xf>
    <xf numFmtId="0" fontId="0" fillId="0" borderId="49" xfId="0" applyBorder="1" applyAlignment="1">
      <alignment vertical="center"/>
    </xf>
    <xf numFmtId="0" fontId="0" fillId="0" borderId="8" xfId="0" applyBorder="1" applyAlignment="1">
      <alignment vertical="center"/>
    </xf>
    <xf numFmtId="0" fontId="0" fillId="0" borderId="27" xfId="0" applyBorder="1" applyAlignment="1">
      <alignment vertical="center"/>
    </xf>
    <xf numFmtId="0" fontId="0" fillId="0" borderId="19" xfId="0" applyBorder="1" applyAlignment="1">
      <alignment vertical="center"/>
    </xf>
    <xf numFmtId="0" fontId="0" fillId="0" borderId="50" xfId="0" applyBorder="1" applyAlignment="1">
      <alignment vertical="center"/>
    </xf>
    <xf numFmtId="0" fontId="0" fillId="0" borderId="7" xfId="0" applyBorder="1" applyAlignment="1">
      <alignment vertical="center"/>
    </xf>
    <xf numFmtId="0" fontId="0" fillId="0" borderId="6" xfId="0" applyBorder="1"/>
    <xf numFmtId="168" fontId="0" fillId="0" borderId="2" xfId="0" applyNumberFormat="1" applyBorder="1"/>
    <xf numFmtId="0" fontId="6" fillId="0" borderId="0" xfId="0" applyFont="1" applyAlignment="1">
      <alignment horizontal="center"/>
    </xf>
    <xf numFmtId="0" fontId="6" fillId="0" borderId="0" xfId="0" applyFont="1" applyAlignment="1">
      <alignment horizontal="left"/>
    </xf>
    <xf numFmtId="44" fontId="6" fillId="0" borderId="2" xfId="1" applyFont="1" applyBorder="1" applyAlignment="1">
      <alignment horizontal="center"/>
    </xf>
    <xf numFmtId="9" fontId="6" fillId="0" borderId="2" xfId="2" applyFont="1" applyBorder="1" applyAlignment="1">
      <alignment horizontal="center"/>
    </xf>
    <xf numFmtId="0" fontId="6" fillId="0" borderId="37" xfId="0" applyFont="1" applyBorder="1"/>
    <xf numFmtId="0" fontId="6" fillId="0" borderId="39" xfId="0" applyFont="1" applyBorder="1"/>
    <xf numFmtId="0" fontId="6" fillId="0" borderId="41" xfId="0" applyFont="1" applyBorder="1"/>
    <xf numFmtId="0" fontId="6" fillId="0" borderId="13" xfId="0" applyFont="1" applyBorder="1"/>
    <xf numFmtId="0" fontId="6" fillId="0" borderId="25" xfId="0" applyFont="1" applyBorder="1"/>
    <xf numFmtId="0" fontId="6" fillId="0" borderId="18" xfId="0" applyFont="1" applyBorder="1"/>
    <xf numFmtId="0" fontId="0" fillId="4" borderId="63" xfId="2" applyNumberFormat="1" applyFont="1" applyFill="1" applyBorder="1"/>
    <xf numFmtId="1" fontId="0" fillId="4" borderId="63" xfId="2" applyNumberFormat="1" applyFont="1" applyFill="1" applyBorder="1"/>
    <xf numFmtId="1" fontId="0" fillId="4" borderId="64" xfId="0" applyNumberFormat="1" applyFill="1" applyBorder="1"/>
    <xf numFmtId="0" fontId="6" fillId="0" borderId="25" xfId="0" applyFont="1" applyBorder="1" applyAlignment="1">
      <alignment vertical="center" wrapText="1"/>
    </xf>
    <xf numFmtId="0" fontId="6" fillId="0" borderId="18" xfId="0" applyFont="1" applyBorder="1" applyAlignment="1">
      <alignment vertical="center" wrapText="1"/>
    </xf>
    <xf numFmtId="165" fontId="0" fillId="7" borderId="62" xfId="0" applyNumberFormat="1" applyFill="1" applyBorder="1"/>
    <xf numFmtId="165" fontId="0" fillId="7" borderId="63" xfId="0" applyNumberFormat="1" applyFill="1" applyBorder="1"/>
    <xf numFmtId="165" fontId="0" fillId="7" borderId="64" xfId="0" applyNumberFormat="1" applyFill="1" applyBorder="1"/>
    <xf numFmtId="0" fontId="0" fillId="0" borderId="6" xfId="0" applyBorder="1" applyAlignment="1">
      <alignment wrapText="1"/>
    </xf>
    <xf numFmtId="0" fontId="6" fillId="0" borderId="23" xfId="0" applyFont="1" applyBorder="1" applyAlignment="1">
      <alignment vertical="center" wrapText="1"/>
    </xf>
    <xf numFmtId="0" fontId="6" fillId="0" borderId="17" xfId="0" applyFont="1" applyBorder="1" applyAlignment="1">
      <alignment vertical="center" wrapText="1"/>
    </xf>
    <xf numFmtId="0" fontId="6" fillId="0" borderId="10" xfId="0" applyFont="1" applyBorder="1" applyAlignment="1">
      <alignment vertical="center" wrapText="1"/>
    </xf>
    <xf numFmtId="0" fontId="6" fillId="0" borderId="4" xfId="0" applyFont="1" applyBorder="1" applyAlignment="1">
      <alignment vertical="center" wrapText="1"/>
    </xf>
    <xf numFmtId="0" fontId="6" fillId="0" borderId="15" xfId="0" applyFont="1" applyBorder="1" applyAlignment="1">
      <alignment vertical="center" wrapText="1"/>
    </xf>
    <xf numFmtId="0" fontId="6" fillId="0" borderId="13" xfId="0" applyFont="1" applyBorder="1" applyAlignment="1">
      <alignment vertical="center" wrapText="1"/>
    </xf>
    <xf numFmtId="0" fontId="41" fillId="0" borderId="28" xfId="0" applyFont="1" applyBorder="1" applyAlignment="1">
      <alignment horizontal="center" vertical="center"/>
    </xf>
    <xf numFmtId="0" fontId="41" fillId="0" borderId="29" xfId="0" applyFont="1" applyBorder="1" applyAlignment="1">
      <alignment horizontal="center" vertical="center"/>
    </xf>
    <xf numFmtId="0" fontId="41" fillId="0" borderId="33" xfId="0" applyFont="1" applyBorder="1" applyAlignment="1">
      <alignment horizontal="center" vertical="center"/>
    </xf>
    <xf numFmtId="0" fontId="6" fillId="0" borderId="22" xfId="0" applyFont="1" applyBorder="1"/>
    <xf numFmtId="0" fontId="42" fillId="0" borderId="20" xfId="0" applyFont="1" applyBorder="1" applyAlignment="1">
      <alignment vertical="top" wrapText="1" indent="1"/>
    </xf>
    <xf numFmtId="15" fontId="42" fillId="0" borderId="5" xfId="0" applyNumberFormat="1" applyFont="1" applyBorder="1" applyAlignment="1">
      <alignment vertical="top" wrapText="1" indent="1"/>
    </xf>
    <xf numFmtId="0" fontId="0" fillId="7" borderId="21" xfId="0" applyFill="1" applyBorder="1"/>
    <xf numFmtId="0" fontId="42" fillId="0" borderId="22" xfId="0" applyFont="1" applyBorder="1" applyAlignment="1">
      <alignment vertical="top" wrapText="1" indent="1"/>
    </xf>
    <xf numFmtId="15" fontId="42" fillId="0" borderId="2" xfId="0" applyNumberFormat="1" applyFont="1" applyBorder="1" applyAlignment="1">
      <alignment vertical="top" wrapText="1" indent="1"/>
    </xf>
    <xf numFmtId="165" fontId="0" fillId="0" borderId="23" xfId="4" applyFont="1" applyBorder="1"/>
    <xf numFmtId="166" fontId="0" fillId="7" borderId="17" xfId="0" applyNumberFormat="1" applyFill="1" applyBorder="1"/>
    <xf numFmtId="0" fontId="42" fillId="0" borderId="14" xfId="0" applyFont="1" applyBorder="1" applyAlignment="1">
      <alignment vertical="top" wrapText="1" indent="1"/>
    </xf>
    <xf numFmtId="15" fontId="42" fillId="0" borderId="16" xfId="0" applyNumberFormat="1" applyFont="1" applyBorder="1" applyAlignment="1">
      <alignment vertical="top" wrapText="1" indent="1"/>
    </xf>
    <xf numFmtId="165" fontId="0" fillId="0" borderId="35" xfId="4" applyFont="1" applyBorder="1"/>
    <xf numFmtId="165" fontId="0" fillId="0" borderId="33" xfId="0" applyNumberFormat="1" applyBorder="1"/>
    <xf numFmtId="0" fontId="6" fillId="0" borderId="13" xfId="0" applyFont="1" applyBorder="1" applyAlignment="1">
      <alignment wrapText="1"/>
    </xf>
    <xf numFmtId="0" fontId="6" fillId="0" borderId="20" xfId="0" applyFont="1" applyBorder="1"/>
    <xf numFmtId="0" fontId="6" fillId="0" borderId="21" xfId="0" applyFont="1" applyBorder="1"/>
    <xf numFmtId="0" fontId="0" fillId="6" borderId="7" xfId="0" applyFill="1" applyBorder="1"/>
    <xf numFmtId="0" fontId="6" fillId="0" borderId="25" xfId="0" applyFont="1" applyBorder="1" applyAlignment="1">
      <alignment wrapText="1"/>
    </xf>
    <xf numFmtId="0" fontId="6" fillId="0" borderId="23" xfId="0" applyFont="1" applyBorder="1"/>
    <xf numFmtId="2" fontId="0" fillId="7" borderId="6" xfId="2" applyNumberFormat="1" applyFont="1" applyFill="1" applyBorder="1"/>
    <xf numFmtId="0" fontId="6" fillId="0" borderId="18" xfId="0" applyFont="1" applyBorder="1" applyAlignment="1">
      <alignment wrapText="1"/>
    </xf>
    <xf numFmtId="0" fontId="6" fillId="0" borderId="14" xfId="0" applyFont="1" applyBorder="1"/>
    <xf numFmtId="0" fontId="6" fillId="0" borderId="17" xfId="0" applyFont="1" applyBorder="1"/>
    <xf numFmtId="0" fontId="6" fillId="0" borderId="9" xfId="0" applyFont="1" applyBorder="1"/>
    <xf numFmtId="0" fontId="6" fillId="0" borderId="12" xfId="0" applyFont="1" applyBorder="1"/>
    <xf numFmtId="0" fontId="0" fillId="6" borderId="67" xfId="0" applyFill="1" applyBorder="1"/>
    <xf numFmtId="0" fontId="0" fillId="6" borderId="6" xfId="0" applyFill="1" applyBorder="1"/>
    <xf numFmtId="0" fontId="0" fillId="7" borderId="70" xfId="0" applyFill="1" applyBorder="1"/>
    <xf numFmtId="0" fontId="0" fillId="6" borderId="68" xfId="0" applyFill="1" applyBorder="1"/>
    <xf numFmtId="0" fontId="22" fillId="9" borderId="36" xfId="6" applyFont="1" applyFill="1" applyBorder="1"/>
    <xf numFmtId="0" fontId="0" fillId="9" borderId="42" xfId="0" applyFill="1" applyBorder="1"/>
    <xf numFmtId="0" fontId="0" fillId="0" borderId="42" xfId="0" applyBorder="1"/>
    <xf numFmtId="0" fontId="0" fillId="0" borderId="43" xfId="0" applyBorder="1"/>
    <xf numFmtId="0" fontId="0" fillId="0" borderId="40" xfId="0" applyBorder="1"/>
    <xf numFmtId="0" fontId="0" fillId="0" borderId="0" xfId="0" applyAlignment="1">
      <alignment wrapText="1"/>
    </xf>
    <xf numFmtId="0" fontId="0" fillId="0" borderId="66" xfId="0" applyBorder="1"/>
    <xf numFmtId="0" fontId="0" fillId="0" borderId="38" xfId="0" applyBorder="1"/>
    <xf numFmtId="0" fontId="0" fillId="0" borderId="69" xfId="0" applyBorder="1"/>
    <xf numFmtId="0" fontId="0" fillId="0" borderId="71" xfId="0" applyBorder="1"/>
    <xf numFmtId="0" fontId="19" fillId="9" borderId="0" xfId="52" applyFont="1" applyFill="1"/>
    <xf numFmtId="0" fontId="12" fillId="0" borderId="0" xfId="52" applyFont="1"/>
    <xf numFmtId="0" fontId="19" fillId="0" borderId="0" xfId="52" applyFont="1"/>
    <xf numFmtId="0" fontId="12" fillId="0" borderId="0" xfId="52" applyFont="1" applyAlignment="1">
      <alignment horizontal="center"/>
    </xf>
    <xf numFmtId="0" fontId="20" fillId="9" borderId="51" xfId="52" applyFont="1" applyFill="1" applyBorder="1" applyAlignment="1">
      <alignment vertical="center"/>
    </xf>
    <xf numFmtId="0" fontId="12" fillId="9" borderId="52" xfId="52" applyFont="1" applyFill="1" applyBorder="1"/>
    <xf numFmtId="0" fontId="20" fillId="9" borderId="51" xfId="52" applyFont="1" applyFill="1" applyBorder="1" applyAlignment="1">
      <alignment horizontal="left"/>
    </xf>
    <xf numFmtId="0" fontId="12" fillId="9" borderId="53" xfId="52" applyFont="1" applyFill="1" applyBorder="1" applyAlignment="1">
      <alignment horizontal="center"/>
    </xf>
    <xf numFmtId="0" fontId="12" fillId="9" borderId="52" xfId="52" applyFont="1" applyFill="1" applyBorder="1" applyAlignment="1">
      <alignment horizontal="center"/>
    </xf>
    <xf numFmtId="0" fontId="20" fillId="0" borderId="19" xfId="52" applyFont="1" applyBorder="1"/>
    <xf numFmtId="0" fontId="12" fillId="0" borderId="7" xfId="52" applyFont="1" applyBorder="1"/>
    <xf numFmtId="0" fontId="20" fillId="0" borderId="5" xfId="52" applyFont="1" applyBorder="1"/>
    <xf numFmtId="0" fontId="12" fillId="0" borderId="2" xfId="52" applyFont="1" applyBorder="1"/>
    <xf numFmtId="0" fontId="44" fillId="44" borderId="2" xfId="49" applyBorder="1"/>
    <xf numFmtId="0" fontId="46" fillId="46" borderId="2" xfId="51" applyBorder="1"/>
    <xf numFmtId="0" fontId="45" fillId="45" borderId="2" xfId="50" applyBorder="1"/>
    <xf numFmtId="0" fontId="20" fillId="0" borderId="2" xfId="52" applyFont="1" applyBorder="1"/>
    <xf numFmtId="0" fontId="12" fillId="9" borderId="51" xfId="52" applyFont="1" applyFill="1" applyBorder="1"/>
    <xf numFmtId="0" fontId="12" fillId="9" borderId="53" xfId="52" applyFont="1" applyFill="1" applyBorder="1"/>
    <xf numFmtId="0" fontId="20" fillId="9" borderId="53" xfId="52" applyFont="1" applyFill="1" applyBorder="1"/>
    <xf numFmtId="0" fontId="23" fillId="0" borderId="5" xfId="52" applyFont="1" applyBorder="1"/>
    <xf numFmtId="18" fontId="12" fillId="0" borderId="2" xfId="52" applyNumberFormat="1" applyFont="1" applyBorder="1"/>
    <xf numFmtId="0" fontId="21" fillId="0" borderId="2" xfId="52" applyFont="1" applyBorder="1"/>
    <xf numFmtId="2" fontId="12" fillId="0" borderId="2" xfId="52" applyNumberFormat="1" applyFont="1" applyBorder="1"/>
    <xf numFmtId="18" fontId="20" fillId="0" borderId="2" xfId="52" applyNumberFormat="1" applyFont="1" applyBorder="1" applyAlignment="1">
      <alignment horizontal="right"/>
    </xf>
    <xf numFmtId="18" fontId="12" fillId="0" borderId="0" xfId="52" applyNumberFormat="1" applyFont="1" applyAlignment="1">
      <alignment horizontal="right"/>
    </xf>
    <xf numFmtId="0" fontId="20" fillId="9" borderId="51" xfId="52" applyFont="1" applyFill="1" applyBorder="1"/>
    <xf numFmtId="18" fontId="20" fillId="9" borderId="51" xfId="52" applyNumberFormat="1" applyFont="1" applyFill="1" applyBorder="1"/>
    <xf numFmtId="18" fontId="20" fillId="0" borderId="19" xfId="52" applyNumberFormat="1" applyFont="1" applyBorder="1"/>
    <xf numFmtId="0" fontId="12" fillId="0" borderId="8" xfId="52" applyFont="1" applyBorder="1"/>
    <xf numFmtId="0" fontId="12" fillId="0" borderId="27" xfId="52" applyFont="1" applyBorder="1"/>
    <xf numFmtId="0" fontId="20" fillId="0" borderId="4" xfId="52" applyFont="1" applyBorder="1"/>
    <xf numFmtId="0" fontId="20" fillId="0" borderId="6" xfId="52" applyFont="1" applyBorder="1"/>
    <xf numFmtId="0" fontId="12" fillId="47" borderId="2" xfId="52" applyFont="1" applyFill="1" applyBorder="1"/>
    <xf numFmtId="2" fontId="12" fillId="47" borderId="2" xfId="52" applyNumberFormat="1" applyFont="1" applyFill="1" applyBorder="1"/>
    <xf numFmtId="0" fontId="20" fillId="0" borderId="0" xfId="52" applyFont="1"/>
    <xf numFmtId="0" fontId="12" fillId="0" borderId="5" xfId="52" applyFont="1" applyBorder="1"/>
    <xf numFmtId="0" fontId="0" fillId="9" borderId="0" xfId="0" applyFill="1"/>
    <xf numFmtId="0" fontId="49" fillId="3" borderId="0" xfId="0" applyFont="1" applyFill="1"/>
    <xf numFmtId="0" fontId="50" fillId="3" borderId="0" xfId="0" applyFont="1" applyFill="1" applyAlignment="1">
      <alignment horizontal="center" vertical="center"/>
    </xf>
    <xf numFmtId="0" fontId="50" fillId="3" borderId="0" xfId="0" applyFont="1" applyFill="1" applyAlignment="1">
      <alignment horizontal="left" vertical="center"/>
    </xf>
    <xf numFmtId="15" fontId="50" fillId="3" borderId="0" xfId="0" applyNumberFormat="1" applyFont="1" applyFill="1" applyAlignment="1">
      <alignment horizontal="center" vertical="center"/>
    </xf>
    <xf numFmtId="0" fontId="49" fillId="3" borderId="0" xfId="0" applyFont="1" applyFill="1" applyAlignment="1">
      <alignment vertical="center"/>
    </xf>
    <xf numFmtId="0" fontId="22" fillId="9" borderId="0" xfId="52" applyFont="1" applyFill="1"/>
    <xf numFmtId="0" fontId="22" fillId="9" borderId="51" xfId="52" applyFont="1" applyFill="1" applyBorder="1"/>
    <xf numFmtId="168" fontId="0" fillId="0" borderId="6" xfId="0" applyNumberFormat="1" applyBorder="1" applyAlignment="1">
      <alignment horizontal="center" vertical="center"/>
    </xf>
    <xf numFmtId="165" fontId="0" fillId="7" borderId="82" xfId="0" applyNumberFormat="1" applyFill="1" applyBorder="1"/>
    <xf numFmtId="165" fontId="0" fillId="7" borderId="83" xfId="0" applyNumberFormat="1" applyFill="1" applyBorder="1"/>
    <xf numFmtId="165" fontId="0" fillId="7" borderId="84" xfId="0" applyNumberFormat="1" applyFill="1" applyBorder="1"/>
    <xf numFmtId="0" fontId="6" fillId="0" borderId="28" xfId="0" applyFont="1" applyBorder="1" applyAlignment="1">
      <alignment horizontal="right"/>
    </xf>
    <xf numFmtId="0" fontId="0" fillId="0" borderId="5" xfId="0" applyBorder="1" applyAlignment="1">
      <alignment horizontal="center" vertical="center"/>
    </xf>
    <xf numFmtId="168" fontId="0" fillId="0" borderId="2" xfId="0" applyNumberFormat="1" applyBorder="1" applyAlignment="1">
      <alignment horizontal="center" vertical="center"/>
    </xf>
    <xf numFmtId="168" fontId="24" fillId="0" borderId="2" xfId="0" applyNumberFormat="1" applyFont="1" applyBorder="1"/>
    <xf numFmtId="167" fontId="0" fillId="0" borderId="2" xfId="0" applyNumberFormat="1" applyBorder="1" applyAlignment="1">
      <alignment horizontal="center" vertical="center"/>
    </xf>
    <xf numFmtId="9" fontId="0" fillId="4" borderId="2" xfId="2" applyFont="1" applyFill="1" applyBorder="1" applyAlignment="1">
      <alignment horizontal="center"/>
    </xf>
    <xf numFmtId="0" fontId="0" fillId="0" borderId="2" xfId="0" applyBorder="1" applyAlignment="1">
      <alignment horizontal="center" vertical="center" wrapText="1"/>
    </xf>
    <xf numFmtId="168" fontId="0" fillId="2" borderId="2" xfId="0" applyNumberFormat="1" applyFill="1" applyBorder="1" applyAlignment="1">
      <alignment horizontal="center" vertical="center"/>
    </xf>
    <xf numFmtId="167" fontId="0" fillId="2" borderId="2" xfId="0" applyNumberFormat="1" applyFill="1" applyBorder="1" applyAlignment="1">
      <alignment horizontal="center" vertical="center"/>
    </xf>
    <xf numFmtId="167" fontId="0" fillId="0" borderId="5" xfId="0" applyNumberFormat="1" applyBorder="1" applyAlignment="1">
      <alignment horizontal="center" vertical="center"/>
    </xf>
    <xf numFmtId="9" fontId="0" fillId="0" borderId="2" xfId="0" applyNumberFormat="1" applyBorder="1" applyAlignment="1">
      <alignment horizontal="center" vertical="center"/>
    </xf>
    <xf numFmtId="0" fontId="0" fillId="2" borderId="2" xfId="2" applyNumberFormat="1" applyFont="1" applyFill="1" applyBorder="1" applyAlignment="1">
      <alignment horizontal="center"/>
    </xf>
    <xf numFmtId="0" fontId="6" fillId="0" borderId="4" xfId="0" applyFont="1" applyBorder="1" applyAlignment="1">
      <alignment horizontal="left" vertical="center" wrapText="1"/>
    </xf>
    <xf numFmtId="0" fontId="0" fillId="4" borderId="2" xfId="0" applyFill="1" applyBorder="1" applyAlignment="1">
      <alignment horizontal="center"/>
    </xf>
    <xf numFmtId="44" fontId="0" fillId="4" borderId="2" xfId="1" applyFont="1" applyFill="1" applyBorder="1" applyAlignment="1">
      <alignment horizontal="center"/>
    </xf>
    <xf numFmtId="169" fontId="0" fillId="0" borderId="2" xfId="2" applyNumberFormat="1" applyFont="1" applyBorder="1" applyAlignment="1">
      <alignment horizontal="center"/>
    </xf>
    <xf numFmtId="10" fontId="0" fillId="2" borderId="2" xfId="2" applyNumberFormat="1" applyFont="1" applyFill="1" applyBorder="1" applyAlignment="1">
      <alignment horizontal="center"/>
    </xf>
    <xf numFmtId="10" fontId="0" fillId="0" borderId="2" xfId="0" applyNumberFormat="1" applyBorder="1" applyAlignment="1">
      <alignment horizontal="center"/>
    </xf>
    <xf numFmtId="0" fontId="6" fillId="0" borderId="47" xfId="0" applyFont="1" applyBorder="1" applyAlignment="1">
      <alignment vertical="center"/>
    </xf>
    <xf numFmtId="0" fontId="20" fillId="0" borderId="19" xfId="52" applyFont="1" applyBorder="1" applyAlignment="1">
      <alignment horizontal="center"/>
    </xf>
    <xf numFmtId="0" fontId="20" fillId="0" borderId="50" xfId="52" applyFont="1" applyBorder="1" applyAlignment="1">
      <alignment horizontal="center"/>
    </xf>
    <xf numFmtId="0" fontId="20" fillId="0" borderId="7" xfId="52" applyFont="1" applyBorder="1" applyAlignment="1">
      <alignment horizontal="center"/>
    </xf>
    <xf numFmtId="0" fontId="20" fillId="9" borderId="53" xfId="52" applyFont="1" applyFill="1" applyBorder="1" applyAlignment="1">
      <alignment horizontal="center"/>
    </xf>
    <xf numFmtId="0" fontId="20" fillId="9" borderId="52" xfId="52" applyFont="1" applyFill="1" applyBorder="1" applyAlignment="1">
      <alignment horizontal="center"/>
    </xf>
    <xf numFmtId="0" fontId="20" fillId="0" borderId="4" xfId="52" applyFont="1" applyBorder="1" applyAlignment="1">
      <alignment horizontal="center"/>
    </xf>
    <xf numFmtId="0" fontId="20" fillId="0" borderId="72" xfId="52" applyFont="1" applyBorder="1" applyAlignment="1">
      <alignment horizontal="center"/>
    </xf>
    <xf numFmtId="0" fontId="20" fillId="0" borderId="6" xfId="52" applyFont="1" applyBorder="1" applyAlignment="1">
      <alignment horizontal="center"/>
    </xf>
    <xf numFmtId="0" fontId="42" fillId="0" borderId="21" xfId="0" applyFont="1" applyBorder="1" applyAlignment="1">
      <alignment vertical="top" wrapText="1" indent="1"/>
    </xf>
    <xf numFmtId="0" fontId="42" fillId="0" borderId="23" xfId="0" applyFont="1" applyBorder="1" applyAlignment="1">
      <alignment vertical="top" wrapText="1" indent="1"/>
    </xf>
    <xf numFmtId="0" fontId="42" fillId="0" borderId="17" xfId="0" applyFont="1" applyBorder="1" applyAlignment="1">
      <alignment vertical="top" wrapText="1" indent="1"/>
    </xf>
    <xf numFmtId="0" fontId="11" fillId="0" borderId="0" xfId="0" applyFont="1"/>
    <xf numFmtId="44" fontId="0" fillId="0" borderId="0" xfId="0" applyNumberFormat="1" applyAlignment="1">
      <alignment horizontal="center"/>
    </xf>
    <xf numFmtId="44" fontId="0" fillId="0" borderId="0" xfId="1" applyFont="1" applyFill="1" applyBorder="1" applyAlignment="1">
      <alignment horizontal="center"/>
    </xf>
    <xf numFmtId="0" fontId="11" fillId="3" borderId="0" xfId="0" applyFont="1" applyFill="1"/>
    <xf numFmtId="10" fontId="0" fillId="0" borderId="2" xfId="2" applyNumberFormat="1" applyFont="1" applyBorder="1" applyAlignment="1">
      <alignment horizontal="center"/>
    </xf>
    <xf numFmtId="0" fontId="52" fillId="9" borderId="36" xfId="53" applyFont="1" applyFill="1" applyBorder="1"/>
    <xf numFmtId="0" fontId="22" fillId="0" borderId="40" xfId="53" applyFont="1" applyBorder="1"/>
    <xf numFmtId="0" fontId="0" fillId="0" borderId="36" xfId="0" applyBorder="1"/>
    <xf numFmtId="0" fontId="43" fillId="0" borderId="28" xfId="0" applyFont="1" applyBorder="1" applyAlignment="1">
      <alignment horizontal="center" vertical="center"/>
    </xf>
    <xf numFmtId="0" fontId="43" fillId="0" borderId="29" xfId="0" applyFont="1" applyBorder="1" applyAlignment="1">
      <alignment horizontal="center" vertical="center"/>
    </xf>
    <xf numFmtId="0" fontId="43" fillId="0" borderId="33" xfId="0" applyFont="1" applyBorder="1" applyAlignment="1">
      <alignment horizontal="center" vertical="center"/>
    </xf>
    <xf numFmtId="0" fontId="0" fillId="7" borderId="21" xfId="0" applyFill="1" applyBorder="1" applyAlignment="1">
      <alignment vertical="center"/>
    </xf>
    <xf numFmtId="165" fontId="0" fillId="48" borderId="21" xfId="0" applyNumberFormat="1" applyFill="1" applyBorder="1"/>
    <xf numFmtId="0" fontId="43" fillId="0" borderId="14" xfId="0" applyFont="1" applyBorder="1" applyAlignment="1">
      <alignment horizontal="center" vertical="center"/>
    </xf>
    <xf numFmtId="0" fontId="43" fillId="0" borderId="16" xfId="0" applyFont="1" applyBorder="1" applyAlignment="1">
      <alignment horizontal="center" vertical="center" wrapText="1"/>
    </xf>
    <xf numFmtId="0" fontId="43" fillId="0" borderId="17" xfId="0" applyFont="1" applyBorder="1" applyAlignment="1">
      <alignment horizontal="center" vertical="center" wrapText="1"/>
    </xf>
    <xf numFmtId="0" fontId="0" fillId="7" borderId="23" xfId="0" applyFill="1" applyBorder="1" applyAlignment="1">
      <alignment vertical="center"/>
    </xf>
    <xf numFmtId="17" fontId="6" fillId="0" borderId="22" xfId="0" applyNumberFormat="1" applyFont="1" applyBorder="1" applyAlignment="1">
      <alignment horizontal="center" vertical="center"/>
    </xf>
    <xf numFmtId="0" fontId="6" fillId="0" borderId="51" xfId="0" applyFont="1" applyBorder="1" applyAlignment="1">
      <alignment vertical="center" wrapText="1"/>
    </xf>
    <xf numFmtId="17" fontId="6" fillId="4" borderId="86" xfId="0" applyNumberFormat="1" applyFont="1" applyFill="1" applyBorder="1" applyAlignment="1">
      <alignment horizontal="center" vertical="center"/>
    </xf>
    <xf numFmtId="0" fontId="55" fillId="7" borderId="26" xfId="0" applyFont="1" applyFill="1" applyBorder="1"/>
    <xf numFmtId="0" fontId="0" fillId="7" borderId="45" xfId="0" applyFill="1" applyBorder="1"/>
    <xf numFmtId="0" fontId="43" fillId="0" borderId="9" xfId="0" applyFont="1" applyBorder="1" applyAlignment="1">
      <alignment horizontal="center" vertical="center"/>
    </xf>
    <xf numFmtId="0" fontId="43" fillId="0" borderId="12" xfId="0" applyFont="1" applyBorder="1" applyAlignment="1">
      <alignment horizontal="center" vertical="center" wrapText="1"/>
    </xf>
    <xf numFmtId="0" fontId="43" fillId="0" borderId="28" xfId="0" applyFont="1" applyBorder="1" applyAlignment="1">
      <alignment horizontal="center" vertical="center" wrapText="1"/>
    </xf>
    <xf numFmtId="0" fontId="43" fillId="0" borderId="33" xfId="0" applyFont="1" applyBorder="1" applyAlignment="1">
      <alignment horizontal="center" vertical="center" wrapText="1"/>
    </xf>
    <xf numFmtId="0" fontId="43" fillId="0" borderId="52" xfId="0" applyFont="1" applyBorder="1" applyAlignment="1">
      <alignment horizontal="center" vertical="center"/>
    </xf>
    <xf numFmtId="0" fontId="6" fillId="0" borderId="41" xfId="0" applyFont="1" applyBorder="1" applyAlignment="1">
      <alignment vertical="center" wrapText="1"/>
    </xf>
    <xf numFmtId="0" fontId="0" fillId="4" borderId="22" xfId="0" applyFill="1" applyBorder="1"/>
    <xf numFmtId="9" fontId="0" fillId="4" borderId="23" xfId="0" applyNumberFormat="1" applyFill="1" applyBorder="1"/>
    <xf numFmtId="0" fontId="0" fillId="4" borderId="87" xfId="0" applyFill="1" applyBorder="1"/>
    <xf numFmtId="0" fontId="6" fillId="0" borderId="39" xfId="0" applyFont="1" applyBorder="1" applyAlignment="1">
      <alignment vertical="center" wrapText="1"/>
    </xf>
    <xf numFmtId="0" fontId="0" fillId="4" borderId="14" xfId="0" applyFill="1" applyBorder="1"/>
    <xf numFmtId="9" fontId="0" fillId="4" borderId="17" xfId="0" applyNumberFormat="1" applyFill="1" applyBorder="1"/>
    <xf numFmtId="0" fontId="6" fillId="0" borderId="9" xfId="0" applyFont="1" applyBorder="1" applyAlignment="1">
      <alignment horizontal="center" vertical="center"/>
    </xf>
    <xf numFmtId="0" fontId="6" fillId="0" borderId="11" xfId="0" applyFont="1" applyBorder="1" applyAlignment="1">
      <alignment horizontal="center" vertical="center"/>
    </xf>
    <xf numFmtId="0" fontId="6" fillId="0" borderId="12" xfId="0" applyFont="1" applyBorder="1" applyAlignment="1">
      <alignment horizontal="center" vertical="center" wrapText="1"/>
    </xf>
    <xf numFmtId="0" fontId="6" fillId="0" borderId="38" xfId="0" applyFont="1" applyBorder="1" applyAlignment="1">
      <alignment vertical="center" wrapText="1"/>
    </xf>
    <xf numFmtId="0" fontId="43" fillId="0" borderId="24" xfId="0" applyFont="1" applyBorder="1" applyAlignment="1">
      <alignment horizontal="center" vertical="center"/>
    </xf>
    <xf numFmtId="0" fontId="43" fillId="0" borderId="34" xfId="0" applyFont="1" applyBorder="1" applyAlignment="1">
      <alignment horizontal="center" vertical="center"/>
    </xf>
    <xf numFmtId="0" fontId="43" fillId="0" borderId="35" xfId="0" applyFont="1" applyBorder="1" applyAlignment="1">
      <alignment horizontal="center" vertical="center"/>
    </xf>
    <xf numFmtId="17" fontId="6" fillId="0" borderId="24" xfId="0" applyNumberFormat="1" applyFont="1" applyBorder="1" applyAlignment="1">
      <alignment horizontal="center" vertical="center"/>
    </xf>
    <xf numFmtId="0" fontId="0" fillId="0" borderId="0" xfId="0" applyAlignment="1">
      <alignment horizontal="right"/>
    </xf>
    <xf numFmtId="0" fontId="43" fillId="0" borderId="29" xfId="0" applyFont="1" applyBorder="1" applyAlignment="1">
      <alignment horizontal="center" vertical="center" wrapText="1"/>
    </xf>
    <xf numFmtId="0" fontId="43" fillId="0" borderId="88" xfId="0" applyFont="1" applyBorder="1" applyAlignment="1">
      <alignment horizontal="center" vertical="center" wrapText="1"/>
    </xf>
    <xf numFmtId="0" fontId="6" fillId="0" borderId="20" xfId="0" applyFont="1" applyBorder="1" applyAlignment="1">
      <alignment wrapText="1"/>
    </xf>
    <xf numFmtId="0" fontId="6" fillId="0" borderId="5" xfId="0" applyFont="1" applyBorder="1"/>
    <xf numFmtId="0" fontId="0" fillId="4" borderId="7" xfId="0" applyFill="1" applyBorder="1" applyAlignment="1">
      <alignment horizontal="right" vertical="center"/>
    </xf>
    <xf numFmtId="0" fontId="0" fillId="6" borderId="5" xfId="0" applyFill="1" applyBorder="1" applyAlignment="1">
      <alignment horizontal="right" vertical="center"/>
    </xf>
    <xf numFmtId="0" fontId="0" fillId="4" borderId="21" xfId="0" applyFill="1" applyBorder="1" applyAlignment="1">
      <alignment horizontal="right" vertical="center"/>
    </xf>
    <xf numFmtId="0" fontId="6" fillId="0" borderId="22" xfId="0" applyFont="1" applyBorder="1" applyAlignment="1">
      <alignment wrapText="1"/>
    </xf>
    <xf numFmtId="0" fontId="6" fillId="0" borderId="2" xfId="0" applyFont="1" applyBorder="1"/>
    <xf numFmtId="0" fontId="0" fillId="4" borderId="6" xfId="0" applyFill="1" applyBorder="1" applyAlignment="1">
      <alignment horizontal="right" vertical="center"/>
    </xf>
    <xf numFmtId="0" fontId="0" fillId="4" borderId="2" xfId="0" applyFill="1" applyBorder="1" applyAlignment="1">
      <alignment horizontal="right" vertical="center"/>
    </xf>
    <xf numFmtId="0" fontId="0" fillId="4" borderId="23" xfId="0" applyFill="1" applyBorder="1" applyAlignment="1">
      <alignment horizontal="right" vertical="center"/>
    </xf>
    <xf numFmtId="0" fontId="0" fillId="6" borderId="2" xfId="0" applyFill="1" applyBorder="1" applyAlignment="1">
      <alignment horizontal="right" vertical="center"/>
    </xf>
    <xf numFmtId="0" fontId="6" fillId="0" borderId="16" xfId="0" applyFont="1" applyBorder="1"/>
    <xf numFmtId="0" fontId="0" fillId="4" borderId="68" xfId="0" applyFill="1" applyBorder="1" applyAlignment="1">
      <alignment horizontal="right" vertical="center"/>
    </xf>
    <xf numFmtId="0" fontId="0" fillId="6" borderId="16" xfId="0" applyFill="1" applyBorder="1" applyAlignment="1">
      <alignment horizontal="right" vertical="center"/>
    </xf>
    <xf numFmtId="0" fontId="0" fillId="4" borderId="17" xfId="0" applyFill="1" applyBorder="1" applyAlignment="1">
      <alignment horizontal="right" vertical="center"/>
    </xf>
    <xf numFmtId="0" fontId="43" fillId="0" borderId="30" xfId="0" applyFont="1" applyBorder="1" applyAlignment="1">
      <alignment horizontal="center" vertical="center"/>
    </xf>
    <xf numFmtId="0" fontId="0" fillId="7" borderId="5" xfId="2" applyNumberFormat="1" applyFont="1" applyFill="1" applyBorder="1"/>
    <xf numFmtId="0" fontId="0" fillId="7" borderId="5" xfId="0" applyFill="1" applyBorder="1"/>
    <xf numFmtId="2" fontId="0" fillId="7" borderId="21" xfId="0" applyNumberFormat="1" applyFill="1" applyBorder="1"/>
    <xf numFmtId="0" fontId="0" fillId="7" borderId="2" xfId="2" applyNumberFormat="1" applyFont="1" applyFill="1" applyBorder="1"/>
    <xf numFmtId="0" fontId="43" fillId="0" borderId="78" xfId="0" applyFont="1" applyBorder="1" applyAlignment="1">
      <alignment horizontal="center" vertical="center" wrapText="1"/>
    </xf>
    <xf numFmtId="0" fontId="43" fillId="0" borderId="79" xfId="0" applyFont="1" applyBorder="1" applyAlignment="1">
      <alignment horizontal="center" vertical="center" wrapText="1"/>
    </xf>
    <xf numFmtId="0" fontId="43" fillId="0" borderId="80" xfId="0" applyFont="1" applyBorder="1" applyAlignment="1">
      <alignment horizontal="center" vertical="center" wrapText="1"/>
    </xf>
    <xf numFmtId="0" fontId="0" fillId="7" borderId="7" xfId="0" applyFill="1" applyBorder="1"/>
    <xf numFmtId="165" fontId="0" fillId="0" borderId="0" xfId="0" applyNumberFormat="1" applyAlignment="1">
      <alignment horizontal="center"/>
    </xf>
    <xf numFmtId="0" fontId="15" fillId="0" borderId="8" xfId="0" applyFont="1" applyBorder="1" applyAlignment="1">
      <alignment vertical="center"/>
    </xf>
    <xf numFmtId="0" fontId="15" fillId="0" borderId="0" xfId="0" applyFont="1" applyAlignment="1">
      <alignment vertical="center"/>
    </xf>
    <xf numFmtId="0" fontId="15" fillId="0" borderId="0" xfId="0" applyFont="1" applyAlignment="1">
      <alignment horizontal="center" vertical="center"/>
    </xf>
    <xf numFmtId="1" fontId="0" fillId="0" borderId="0" xfId="2" applyNumberFormat="1" applyFont="1" applyFill="1" applyBorder="1" applyAlignment="1">
      <alignment horizontal="center"/>
    </xf>
    <xf numFmtId="0" fontId="0" fillId="4" borderId="6" xfId="0" applyFill="1" applyBorder="1" applyAlignment="1">
      <alignment vertical="center"/>
    </xf>
    <xf numFmtId="0" fontId="0" fillId="4" borderId="23" xfId="0" applyFill="1" applyBorder="1" applyAlignment="1">
      <alignment vertical="center"/>
    </xf>
    <xf numFmtId="0" fontId="0" fillId="7" borderId="6" xfId="0" applyFill="1" applyBorder="1" applyAlignment="1">
      <alignment vertical="center"/>
    </xf>
    <xf numFmtId="0" fontId="0" fillId="7" borderId="50" xfId="0" applyFill="1" applyBorder="1"/>
    <xf numFmtId="0" fontId="0" fillId="7" borderId="19" xfId="0" applyFill="1" applyBorder="1"/>
    <xf numFmtId="0" fontId="0" fillId="7" borderId="46" xfId="0" applyFill="1" applyBorder="1"/>
    <xf numFmtId="2" fontId="0" fillId="7" borderId="68" xfId="2" applyNumberFormat="1" applyFont="1" applyFill="1" applyBorder="1"/>
    <xf numFmtId="0" fontId="0" fillId="7" borderId="67" xfId="0" applyFill="1" applyBorder="1"/>
    <xf numFmtId="0" fontId="0" fillId="7" borderId="73" xfId="0" applyFill="1" applyBorder="1"/>
    <xf numFmtId="0" fontId="0" fillId="7" borderId="10" xfId="0" applyFill="1" applyBorder="1"/>
    <xf numFmtId="0" fontId="0" fillId="7" borderId="12" xfId="0" applyFill="1" applyBorder="1"/>
    <xf numFmtId="0" fontId="0" fillId="7" borderId="90" xfId="0" applyFill="1" applyBorder="1"/>
    <xf numFmtId="0" fontId="0" fillId="7" borderId="69" xfId="0" applyFill="1" applyBorder="1"/>
    <xf numFmtId="0" fontId="0" fillId="0" borderId="22" xfId="0" applyBorder="1" applyAlignment="1">
      <alignment horizontal="left"/>
    </xf>
    <xf numFmtId="44" fontId="0" fillId="2" borderId="23" xfId="1" applyFont="1" applyFill="1" applyBorder="1" applyAlignment="1">
      <alignment horizontal="center"/>
    </xf>
    <xf numFmtId="9" fontId="0" fillId="4" borderId="23" xfId="2" applyFont="1" applyFill="1" applyBorder="1" applyAlignment="1">
      <alignment horizontal="center"/>
    </xf>
    <xf numFmtId="2" fontId="0" fillId="2" borderId="23" xfId="1" applyNumberFormat="1" applyFont="1" applyFill="1" applyBorder="1" applyAlignment="1">
      <alignment horizontal="center"/>
    </xf>
    <xf numFmtId="0" fontId="0" fillId="2" borderId="23" xfId="2" applyNumberFormat="1" applyFont="1" applyFill="1" applyBorder="1" applyAlignment="1">
      <alignment horizontal="center"/>
    </xf>
    <xf numFmtId="44" fontId="0" fillId="4" borderId="23" xfId="1" applyFont="1" applyFill="1" applyBorder="1" applyAlignment="1">
      <alignment horizontal="center"/>
    </xf>
    <xf numFmtId="44" fontId="0" fillId="2" borderId="23" xfId="0" applyNumberFormat="1" applyFill="1" applyBorder="1" applyAlignment="1">
      <alignment horizontal="center"/>
    </xf>
    <xf numFmtId="168" fontId="0" fillId="2" borderId="23" xfId="1" applyNumberFormat="1" applyFont="1" applyFill="1" applyBorder="1" applyAlignment="1">
      <alignment horizontal="center"/>
    </xf>
    <xf numFmtId="0" fontId="0" fillId="0" borderId="14" xfId="0" applyBorder="1" applyAlignment="1">
      <alignment horizontal="left"/>
    </xf>
    <xf numFmtId="0" fontId="6" fillId="9" borderId="9" xfId="0" applyFont="1" applyFill="1" applyBorder="1" applyAlignment="1">
      <alignment horizontal="center"/>
    </xf>
    <xf numFmtId="0" fontId="6" fillId="0" borderId="22" xfId="0" applyFont="1" applyBorder="1" applyAlignment="1">
      <alignment horizontal="left"/>
    </xf>
    <xf numFmtId="0" fontId="6" fillId="0" borderId="41" xfId="0" applyFont="1" applyBorder="1" applyAlignment="1">
      <alignment horizontal="left" vertical="center" wrapText="1"/>
    </xf>
    <xf numFmtId="0" fontId="6" fillId="0" borderId="39" xfId="0" applyFont="1" applyBorder="1" applyAlignment="1">
      <alignment horizontal="left" vertical="center" wrapText="1"/>
    </xf>
    <xf numFmtId="10" fontId="0" fillId="0" borderId="22" xfId="0" applyNumberFormat="1" applyBorder="1" applyAlignment="1">
      <alignment horizontal="center"/>
    </xf>
    <xf numFmtId="44" fontId="6" fillId="0" borderId="23" xfId="1" applyFont="1" applyBorder="1" applyAlignment="1">
      <alignment horizontal="center"/>
    </xf>
    <xf numFmtId="9" fontId="6" fillId="0" borderId="22" xfId="2" applyFont="1" applyBorder="1" applyAlignment="1">
      <alignment horizontal="center"/>
    </xf>
    <xf numFmtId="169" fontId="0" fillId="0" borderId="23" xfId="2" applyNumberFormat="1" applyFont="1" applyBorder="1" applyAlignment="1">
      <alignment horizontal="center"/>
    </xf>
    <xf numFmtId="9" fontId="6" fillId="0" borderId="14" xfId="2" applyFont="1" applyBorder="1" applyAlignment="1">
      <alignment horizontal="center"/>
    </xf>
    <xf numFmtId="0" fontId="22" fillId="9" borderId="51" xfId="6" applyFont="1" applyFill="1" applyBorder="1"/>
    <xf numFmtId="0" fontId="0" fillId="9" borderId="53" xfId="0" applyFill="1" applyBorder="1"/>
    <xf numFmtId="0" fontId="0" fillId="9" borderId="52" xfId="0" applyFill="1" applyBorder="1"/>
    <xf numFmtId="10" fontId="6" fillId="0" borderId="0" xfId="0" applyNumberFormat="1" applyFont="1" applyAlignment="1">
      <alignment horizontal="left"/>
    </xf>
    <xf numFmtId="2" fontId="0" fillId="0" borderId="0" xfId="2" applyNumberFormat="1" applyFont="1" applyAlignment="1">
      <alignment horizontal="center"/>
    </xf>
    <xf numFmtId="169" fontId="0" fillId="0" borderId="0" xfId="2" applyNumberFormat="1" applyFont="1" applyAlignment="1">
      <alignment horizontal="center"/>
    </xf>
    <xf numFmtId="169" fontId="6" fillId="0" borderId="2" xfId="2" applyNumberFormat="1" applyFont="1" applyBorder="1" applyAlignment="1">
      <alignment horizontal="center"/>
    </xf>
    <xf numFmtId="169" fontId="6" fillId="0" borderId="23" xfId="2" applyNumberFormat="1" applyFont="1" applyBorder="1" applyAlignment="1">
      <alignment horizontal="center"/>
    </xf>
    <xf numFmtId="0" fontId="0" fillId="0" borderId="22" xfId="0" applyBorder="1" applyAlignment="1">
      <alignment horizontal="center"/>
    </xf>
    <xf numFmtId="0" fontId="6" fillId="0" borderId="22" xfId="0" applyFont="1" applyBorder="1" applyAlignment="1">
      <alignment horizontal="center"/>
    </xf>
    <xf numFmtId="0" fontId="6" fillId="0" borderId="14" xfId="0" applyFont="1" applyBorder="1" applyAlignment="1">
      <alignment horizontal="center"/>
    </xf>
    <xf numFmtId="10" fontId="0" fillId="0" borderId="2" xfId="0" applyNumberFormat="1" applyBorder="1" applyAlignment="1">
      <alignment vertical="center"/>
    </xf>
    <xf numFmtId="0" fontId="51" fillId="0" borderId="2" xfId="0" applyFont="1" applyBorder="1" applyAlignment="1">
      <alignment vertical="center"/>
    </xf>
    <xf numFmtId="0" fontId="22" fillId="9" borderId="47" xfId="6" applyFont="1" applyFill="1" applyBorder="1"/>
    <xf numFmtId="0" fontId="0" fillId="9" borderId="48" xfId="0" applyFill="1" applyBorder="1"/>
    <xf numFmtId="0" fontId="0" fillId="9" borderId="49" xfId="0" applyFill="1" applyBorder="1"/>
    <xf numFmtId="0" fontId="0" fillId="0" borderId="8" xfId="0" applyBorder="1"/>
    <xf numFmtId="0" fontId="0" fillId="0" borderId="27" xfId="0" applyBorder="1"/>
    <xf numFmtId="168" fontId="0" fillId="2" borderId="0" xfId="0" quotePrefix="1" applyNumberFormat="1" applyFill="1"/>
    <xf numFmtId="0" fontId="0" fillId="11" borderId="0" xfId="0" applyFill="1"/>
    <xf numFmtId="168" fontId="0" fillId="2" borderId="0" xfId="0" applyNumberFormat="1" applyFill="1"/>
    <xf numFmtId="167" fontId="0" fillId="12" borderId="0" xfId="0" applyNumberFormat="1" applyFill="1"/>
    <xf numFmtId="9" fontId="0" fillId="12" borderId="0" xfId="0" applyNumberFormat="1" applyFill="1"/>
    <xf numFmtId="10" fontId="0" fillId="12" borderId="0" xfId="0" applyNumberFormat="1" applyFill="1"/>
    <xf numFmtId="0" fontId="0" fillId="0" borderId="19" xfId="0" applyBorder="1"/>
    <xf numFmtId="0" fontId="0" fillId="0" borderId="50" xfId="0" applyBorder="1"/>
    <xf numFmtId="0" fontId="0" fillId="0" borderId="7" xfId="0" applyBorder="1"/>
    <xf numFmtId="0" fontId="41" fillId="9" borderId="47" xfId="0" applyFont="1" applyFill="1" applyBorder="1"/>
    <xf numFmtId="0" fontId="0" fillId="0" borderId="48" xfId="0" applyBorder="1"/>
    <xf numFmtId="0" fontId="0" fillId="0" borderId="49" xfId="0" applyBorder="1"/>
    <xf numFmtId="0" fontId="10" fillId="0" borderId="8" xfId="0" applyFont="1" applyBorder="1"/>
    <xf numFmtId="0" fontId="41" fillId="0" borderId="8" xfId="0" applyFont="1" applyBorder="1"/>
    <xf numFmtId="0" fontId="6" fillId="0" borderId="2" xfId="0" applyFont="1" applyBorder="1" applyAlignment="1">
      <alignment vertical="center"/>
    </xf>
    <xf numFmtId="0" fontId="6" fillId="0" borderId="2" xfId="0" applyFont="1" applyBorder="1" applyAlignment="1">
      <alignment vertical="center" wrapText="1"/>
    </xf>
    <xf numFmtId="0" fontId="56" fillId="0" borderId="2" xfId="0" applyFont="1" applyBorder="1" applyAlignment="1">
      <alignment vertical="center"/>
    </xf>
    <xf numFmtId="0" fontId="56" fillId="0" borderId="2" xfId="0" applyFont="1" applyBorder="1" applyAlignment="1">
      <alignment vertical="center" wrapText="1"/>
    </xf>
    <xf numFmtId="0" fontId="6" fillId="9" borderId="2" xfId="0" applyFont="1" applyFill="1" applyBorder="1" applyAlignment="1">
      <alignment horizontal="center" vertical="center"/>
    </xf>
    <xf numFmtId="0" fontId="6" fillId="0" borderId="2" xfId="0" applyFont="1" applyBorder="1" applyAlignment="1">
      <alignment wrapText="1"/>
    </xf>
    <xf numFmtId="0" fontId="6" fillId="9" borderId="34" xfId="0" applyFont="1" applyFill="1" applyBorder="1" applyAlignment="1">
      <alignment horizontal="center" vertical="center"/>
    </xf>
    <xf numFmtId="0" fontId="0" fillId="0" borderId="47" xfId="0" applyBorder="1"/>
    <xf numFmtId="0" fontId="57" fillId="0" borderId="0" xfId="0" applyFont="1" applyAlignment="1">
      <alignment horizontal="center"/>
    </xf>
    <xf numFmtId="0" fontId="6" fillId="0" borderId="24" xfId="0" applyFont="1" applyBorder="1" applyAlignment="1">
      <alignment horizontal="center"/>
    </xf>
    <xf numFmtId="170" fontId="0" fillId="0" borderId="2" xfId="2" applyNumberFormat="1" applyFont="1" applyBorder="1" applyAlignment="1">
      <alignment horizontal="center"/>
    </xf>
    <xf numFmtId="170" fontId="0" fillId="0" borderId="23" xfId="2" applyNumberFormat="1" applyFont="1" applyBorder="1" applyAlignment="1">
      <alignment horizontal="center"/>
    </xf>
    <xf numFmtId="170" fontId="0" fillId="0" borderId="0" xfId="0" applyNumberFormat="1" applyAlignment="1">
      <alignment horizontal="center"/>
    </xf>
    <xf numFmtId="0" fontId="6" fillId="0" borderId="91" xfId="0" applyFont="1" applyBorder="1" applyAlignment="1">
      <alignment horizontal="left" vertical="center" wrapText="1"/>
    </xf>
    <xf numFmtId="0" fontId="0" fillId="0" borderId="24" xfId="0" applyBorder="1" applyAlignment="1">
      <alignment horizontal="left"/>
    </xf>
    <xf numFmtId="9" fontId="0" fillId="4" borderId="35" xfId="2" applyFont="1" applyFill="1" applyBorder="1" applyAlignment="1">
      <alignment horizontal="center"/>
    </xf>
    <xf numFmtId="0" fontId="0" fillId="0" borderId="20" xfId="0" applyBorder="1" applyAlignment="1">
      <alignment horizontal="left"/>
    </xf>
    <xf numFmtId="168" fontId="0" fillId="2" borderId="21" xfId="1" applyNumberFormat="1" applyFont="1" applyFill="1" applyBorder="1" applyAlignment="1">
      <alignment horizontal="center"/>
    </xf>
    <xf numFmtId="0" fontId="0" fillId="0" borderId="9" xfId="0" applyBorder="1" applyAlignment="1">
      <alignment horizontal="left"/>
    </xf>
    <xf numFmtId="44" fontId="0" fillId="2" borderId="12" xfId="0" applyNumberFormat="1" applyFill="1" applyBorder="1" applyAlignment="1">
      <alignment horizontal="center"/>
    </xf>
    <xf numFmtId="44" fontId="0" fillId="2" borderId="17" xfId="1" applyFont="1" applyFill="1" applyBorder="1" applyAlignment="1">
      <alignment horizontal="center"/>
    </xf>
    <xf numFmtId="168" fontId="0" fillId="2" borderId="35" xfId="0" applyNumberFormat="1" applyFill="1" applyBorder="1" applyAlignment="1">
      <alignment horizontal="center"/>
    </xf>
    <xf numFmtId="44" fontId="0" fillId="2" borderId="12" xfId="1" applyFont="1" applyFill="1" applyBorder="1" applyAlignment="1">
      <alignment horizontal="center"/>
    </xf>
    <xf numFmtId="44" fontId="0" fillId="2" borderId="21" xfId="1" applyFont="1" applyFill="1" applyBorder="1" applyAlignment="1">
      <alignment horizontal="center"/>
    </xf>
    <xf numFmtId="168" fontId="0" fillId="2" borderId="12" xfId="1" applyNumberFormat="1" applyFont="1" applyFill="1" applyBorder="1" applyAlignment="1">
      <alignment horizontal="center"/>
    </xf>
    <xf numFmtId="168" fontId="0" fillId="2" borderId="17" xfId="0" applyNumberFormat="1" applyFill="1" applyBorder="1" applyAlignment="1">
      <alignment horizontal="center"/>
    </xf>
    <xf numFmtId="10" fontId="0" fillId="0" borderId="23" xfId="2" applyNumberFormat="1" applyFont="1" applyBorder="1" applyAlignment="1">
      <alignment horizontal="center"/>
    </xf>
    <xf numFmtId="10" fontId="0" fillId="0" borderId="16" xfId="2" applyNumberFormat="1" applyFont="1" applyBorder="1" applyAlignment="1">
      <alignment horizontal="center"/>
    </xf>
    <xf numFmtId="10" fontId="0" fillId="0" borderId="17" xfId="2" applyNumberFormat="1" applyFont="1"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6" fillId="0" borderId="41" xfId="0" applyFont="1" applyBorder="1" applyAlignment="1">
      <alignment horizontal="left"/>
    </xf>
    <xf numFmtId="0" fontId="6" fillId="9" borderId="11" xfId="0" applyFont="1" applyFill="1" applyBorder="1" applyAlignment="1">
      <alignment horizontal="center"/>
    </xf>
    <xf numFmtId="0" fontId="6" fillId="9" borderId="12" xfId="0" applyFont="1" applyFill="1" applyBorder="1" applyAlignment="1">
      <alignment horizontal="center"/>
    </xf>
    <xf numFmtId="0" fontId="6" fillId="0" borderId="2" xfId="0" applyFont="1" applyBorder="1" applyAlignment="1">
      <alignment horizontal="center"/>
    </xf>
    <xf numFmtId="168" fontId="0" fillId="39" borderId="2" xfId="0" applyNumberFormat="1" applyFill="1" applyBorder="1" applyAlignment="1">
      <alignment horizontal="center" vertical="center"/>
    </xf>
    <xf numFmtId="0" fontId="22" fillId="0" borderId="8" xfId="6" applyFont="1" applyBorder="1"/>
    <xf numFmtId="168" fontId="24" fillId="0" borderId="2" xfId="0" applyNumberFormat="1" applyFont="1" applyBorder="1" applyAlignment="1">
      <alignment horizontal="center" vertical="center"/>
    </xf>
    <xf numFmtId="0" fontId="58" fillId="0" borderId="0" xfId="52" applyFont="1"/>
    <xf numFmtId="0" fontId="59" fillId="0" borderId="0" xfId="0" applyFont="1" applyAlignment="1">
      <alignment horizontal="left" vertical="center" readingOrder="1"/>
    </xf>
    <xf numFmtId="0" fontId="60" fillId="0" borderId="0" xfId="0" applyFont="1" applyAlignment="1">
      <alignment horizontal="left" vertical="center" indent="4" readingOrder="1"/>
    </xf>
    <xf numFmtId="0" fontId="12" fillId="4" borderId="2" xfId="52" applyFont="1" applyFill="1" applyBorder="1"/>
    <xf numFmtId="0" fontId="12" fillId="7" borderId="2" xfId="52" applyFont="1" applyFill="1" applyBorder="1"/>
    <xf numFmtId="0" fontId="12" fillId="0" borderId="2" xfId="52" applyFont="1" applyBorder="1" applyAlignment="1">
      <alignment wrapText="1"/>
    </xf>
    <xf numFmtId="0" fontId="61" fillId="0" borderId="0" xfId="52" applyFont="1"/>
    <xf numFmtId="0" fontId="12" fillId="0" borderId="34" xfId="52" applyFont="1" applyBorder="1"/>
    <xf numFmtId="0" fontId="12" fillId="0" borderId="92" xfId="52" applyFont="1" applyBorder="1"/>
    <xf numFmtId="0" fontId="62" fillId="49" borderId="0" xfId="52" applyFont="1" applyFill="1"/>
    <xf numFmtId="0" fontId="12" fillId="7" borderId="34" xfId="52" applyFont="1" applyFill="1" applyBorder="1"/>
    <xf numFmtId="0" fontId="12" fillId="7" borderId="92" xfId="52" applyFont="1" applyFill="1" applyBorder="1"/>
    <xf numFmtId="0" fontId="12" fillId="7" borderId="5" xfId="52" applyFont="1" applyFill="1" applyBorder="1"/>
    <xf numFmtId="0" fontId="12" fillId="7" borderId="2" xfId="52" quotePrefix="1" applyFont="1" applyFill="1" applyBorder="1"/>
    <xf numFmtId="1" fontId="0" fillId="0" borderId="0" xfId="0" applyNumberFormat="1" applyAlignment="1">
      <alignment horizontal="center"/>
    </xf>
    <xf numFmtId="1" fontId="0" fillId="0" borderId="0" xfId="2" applyNumberFormat="1" applyFont="1" applyAlignment="1">
      <alignment horizontal="center"/>
    </xf>
    <xf numFmtId="0" fontId="43" fillId="9" borderId="9" xfId="0" applyFont="1" applyFill="1" applyBorder="1" applyAlignment="1">
      <alignment horizontal="center" vertical="center" wrapText="1"/>
    </xf>
    <xf numFmtId="0" fontId="43" fillId="9" borderId="37" xfId="0" applyFont="1" applyFill="1" applyBorder="1" applyAlignment="1">
      <alignment horizontal="center" vertical="center"/>
    </xf>
    <xf numFmtId="0" fontId="12" fillId="0" borderId="2" xfId="0" applyFont="1" applyBorder="1" applyAlignment="1">
      <alignment vertical="center" wrapText="1"/>
    </xf>
    <xf numFmtId="0" fontId="12" fillId="0" borderId="2" xfId="0" applyFont="1" applyBorder="1"/>
    <xf numFmtId="0" fontId="12" fillId="0" borderId="0" xfId="0" applyFont="1"/>
    <xf numFmtId="0" fontId="12" fillId="9" borderId="42" xfId="0" applyFont="1" applyFill="1" applyBorder="1"/>
    <xf numFmtId="0" fontId="20" fillId="0" borderId="2" xfId="52" applyFont="1" applyBorder="1" applyAlignment="1">
      <alignment vertical="center"/>
    </xf>
    <xf numFmtId="0" fontId="12" fillId="0" borderId="2" xfId="52" applyFont="1" applyBorder="1" applyAlignment="1">
      <alignment vertical="center"/>
    </xf>
    <xf numFmtId="0" fontId="12" fillId="0" borderId="2" xfId="0" applyFont="1" applyBorder="1" applyAlignment="1">
      <alignment vertical="center"/>
    </xf>
    <xf numFmtId="0" fontId="12" fillId="0" borderId="92" xfId="52" applyFont="1" applyBorder="1" applyAlignment="1">
      <alignment vertical="center"/>
    </xf>
    <xf numFmtId="0" fontId="12" fillId="0" borderId="6" xfId="52" applyFont="1" applyBorder="1" applyAlignment="1">
      <alignment vertical="center"/>
    </xf>
    <xf numFmtId="0" fontId="12" fillId="0" borderId="0" xfId="52" applyFont="1" applyAlignment="1">
      <alignment vertical="center"/>
    </xf>
    <xf numFmtId="165" fontId="12" fillId="0" borderId="2" xfId="0" applyNumberFormat="1" applyFont="1" applyBorder="1" applyAlignment="1">
      <alignment vertical="center"/>
    </xf>
    <xf numFmtId="15" fontId="54" fillId="4" borderId="2" xfId="0" applyNumberFormat="1" applyFont="1" applyFill="1" applyBorder="1" applyAlignment="1">
      <alignment vertical="top" wrapText="1" indent="1"/>
    </xf>
    <xf numFmtId="0" fontId="54" fillId="4" borderId="2" xfId="0" applyFont="1" applyFill="1" applyBorder="1" applyAlignment="1">
      <alignment vertical="top" wrapText="1" indent="1"/>
    </xf>
    <xf numFmtId="0" fontId="54" fillId="4" borderId="22" xfId="0" applyFont="1" applyFill="1" applyBorder="1" applyAlignment="1">
      <alignment vertical="top" wrapText="1" indent="1"/>
    </xf>
    <xf numFmtId="0" fontId="54" fillId="4" borderId="14" xfId="0" applyFont="1" applyFill="1" applyBorder="1" applyAlignment="1">
      <alignment vertical="top" wrapText="1" indent="1"/>
    </xf>
    <xf numFmtId="15" fontId="54" fillId="4" borderId="16" xfId="0" applyNumberFormat="1" applyFont="1" applyFill="1" applyBorder="1" applyAlignment="1">
      <alignment vertical="top" wrapText="1" indent="1"/>
    </xf>
    <xf numFmtId="0" fontId="54" fillId="4" borderId="16" xfId="0" applyFont="1" applyFill="1" applyBorder="1" applyAlignment="1">
      <alignment vertical="top" wrapText="1" indent="1"/>
    </xf>
    <xf numFmtId="0" fontId="54" fillId="4" borderId="9" xfId="0" applyFont="1" applyFill="1" applyBorder="1" applyAlignment="1">
      <alignment vertical="top" wrapText="1" indent="1"/>
    </xf>
    <xf numFmtId="15" fontId="54" fillId="4" borderId="11" xfId="0" applyNumberFormat="1" applyFont="1" applyFill="1" applyBorder="1" applyAlignment="1">
      <alignment vertical="top" wrapText="1" indent="1"/>
    </xf>
    <xf numFmtId="0" fontId="54" fillId="4" borderId="11" xfId="0" applyFont="1" applyFill="1" applyBorder="1" applyAlignment="1">
      <alignment vertical="top" wrapText="1" indent="1"/>
    </xf>
    <xf numFmtId="0" fontId="0" fillId="7" borderId="12" xfId="0" applyFill="1" applyBorder="1" applyAlignment="1">
      <alignment vertical="center"/>
    </xf>
    <xf numFmtId="0" fontId="0" fillId="7" borderId="70" xfId="0" applyFill="1" applyBorder="1" applyAlignment="1">
      <alignment vertical="center"/>
    </xf>
    <xf numFmtId="0" fontId="12" fillId="0" borderId="2" xfId="0" applyFont="1" applyBorder="1" applyAlignment="1">
      <alignment horizontal="center" vertical="center"/>
    </xf>
    <xf numFmtId="0" fontId="12" fillId="0" borderId="6" xfId="0" applyFont="1" applyBorder="1" applyAlignment="1">
      <alignment vertical="center"/>
    </xf>
    <xf numFmtId="0" fontId="12" fillId="0" borderId="2" xfId="0" applyFont="1" applyBorder="1" applyAlignment="1">
      <alignment horizontal="center" vertical="center" wrapText="1"/>
    </xf>
    <xf numFmtId="0" fontId="12" fillId="0" borderId="6" xfId="0" applyFont="1" applyBorder="1"/>
    <xf numFmtId="0" fontId="12" fillId="0" borderId="6" xfId="0" applyFont="1" applyBorder="1" applyAlignment="1">
      <alignment vertical="center" wrapText="1"/>
    </xf>
    <xf numFmtId="0" fontId="12" fillId="0" borderId="2" xfId="0" applyFont="1" applyBorder="1" applyAlignment="1">
      <alignment wrapText="1"/>
    </xf>
    <xf numFmtId="0" fontId="62" fillId="0" borderId="0" xfId="52" applyFont="1"/>
    <xf numFmtId="0" fontId="12" fillId="0" borderId="2" xfId="0" applyFont="1" applyBorder="1" applyAlignment="1">
      <alignment horizontal="left" vertical="center" wrapText="1"/>
    </xf>
    <xf numFmtId="17" fontId="6" fillId="4" borderId="22" xfId="0" applyNumberFormat="1" applyFont="1" applyFill="1" applyBorder="1" applyAlignment="1">
      <alignment horizontal="center" vertical="center"/>
    </xf>
    <xf numFmtId="17" fontId="0" fillId="8" borderId="20" xfId="0" applyNumberFormat="1" applyFill="1" applyBorder="1"/>
    <xf numFmtId="0" fontId="67" fillId="49" borderId="36" xfId="52" applyFont="1" applyFill="1" applyBorder="1"/>
    <xf numFmtId="0" fontId="64" fillId="49" borderId="42" xfId="52" applyFont="1" applyFill="1" applyBorder="1"/>
    <xf numFmtId="0" fontId="62" fillId="49" borderId="43" xfId="52" applyFont="1" applyFill="1" applyBorder="1"/>
    <xf numFmtId="0" fontId="58" fillId="0" borderId="40" xfId="52" applyFont="1" applyBorder="1"/>
    <xf numFmtId="0" fontId="12" fillId="0" borderId="40" xfId="0" applyFont="1" applyBorder="1"/>
    <xf numFmtId="0" fontId="12" fillId="0" borderId="22" xfId="0" applyFont="1" applyBorder="1" applyAlignment="1">
      <alignment horizontal="center" vertical="center"/>
    </xf>
    <xf numFmtId="0" fontId="20" fillId="0" borderId="22" xfId="52" applyFont="1" applyBorder="1" applyAlignment="1">
      <alignment vertical="center"/>
    </xf>
    <xf numFmtId="0" fontId="21" fillId="0" borderId="22" xfId="0" applyFont="1" applyBorder="1" applyAlignment="1">
      <alignment vertical="center" readingOrder="1"/>
    </xf>
    <xf numFmtId="0" fontId="12" fillId="0" borderId="22" xfId="0" applyFont="1" applyBorder="1"/>
    <xf numFmtId="0" fontId="12" fillId="0" borderId="38" xfId="0" applyFont="1" applyBorder="1"/>
    <xf numFmtId="0" fontId="12" fillId="0" borderId="69" xfId="0" applyFont="1" applyBorder="1"/>
    <xf numFmtId="0" fontId="12" fillId="7" borderId="2" xfId="0" applyFont="1" applyFill="1" applyBorder="1" applyAlignment="1">
      <alignment vertical="center" wrapText="1"/>
    </xf>
    <xf numFmtId="0" fontId="20" fillId="0" borderId="2" xfId="52" applyFont="1" applyBorder="1" applyAlignment="1">
      <alignment vertical="center" wrapText="1"/>
    </xf>
    <xf numFmtId="0" fontId="12" fillId="4" borderId="2" xfId="52" applyFont="1" applyFill="1" applyBorder="1" applyAlignment="1">
      <alignment vertical="center" wrapText="1"/>
    </xf>
    <xf numFmtId="0" fontId="12" fillId="7" borderId="0" xfId="0" applyFont="1" applyFill="1" applyAlignment="1">
      <alignment vertical="center" wrapText="1"/>
    </xf>
    <xf numFmtId="0" fontId="12" fillId="4" borderId="34" xfId="52" applyFont="1" applyFill="1" applyBorder="1" applyAlignment="1">
      <alignment vertical="center" wrapText="1"/>
    </xf>
    <xf numFmtId="0" fontId="12" fillId="7" borderId="2" xfId="0" applyFont="1" applyFill="1" applyBorder="1" applyAlignment="1">
      <alignment wrapText="1"/>
    </xf>
    <xf numFmtId="0" fontId="6" fillId="0" borderId="14" xfId="0" applyFont="1" applyBorder="1" applyAlignment="1">
      <alignment horizontal="left"/>
    </xf>
    <xf numFmtId="10" fontId="6" fillId="2" borderId="17" xfId="2" applyNumberFormat="1" applyFont="1" applyFill="1" applyBorder="1" applyAlignment="1">
      <alignment horizontal="center"/>
    </xf>
    <xf numFmtId="10" fontId="6" fillId="0" borderId="0" xfId="2" applyNumberFormat="1" applyFont="1" applyFill="1" applyBorder="1" applyAlignment="1">
      <alignment horizontal="center"/>
    </xf>
    <xf numFmtId="10" fontId="5" fillId="0" borderId="16" xfId="2" applyNumberFormat="1" applyFont="1" applyBorder="1" applyAlignment="1">
      <alignment horizontal="center"/>
    </xf>
    <xf numFmtId="44" fontId="0" fillId="4" borderId="23" xfId="1" applyFont="1" applyFill="1" applyBorder="1" applyAlignment="1">
      <alignment horizontal="center" vertical="center"/>
    </xf>
    <xf numFmtId="9" fontId="0" fillId="4" borderId="23" xfId="2" applyFont="1" applyFill="1" applyBorder="1" applyAlignment="1">
      <alignment horizontal="center" vertical="center"/>
    </xf>
    <xf numFmtId="0" fontId="0" fillId="4" borderId="4" xfId="0" applyFill="1" applyBorder="1" applyAlignment="1">
      <alignment horizontal="center" vertical="center"/>
    </xf>
    <xf numFmtId="0" fontId="0" fillId="4" borderId="72" xfId="0" applyFill="1" applyBorder="1" applyAlignment="1">
      <alignment horizontal="center" vertical="center"/>
    </xf>
    <xf numFmtId="0" fontId="0" fillId="4" borderId="63" xfId="0" applyFill="1" applyBorder="1" applyAlignment="1">
      <alignment horizontal="center" vertical="center"/>
    </xf>
    <xf numFmtId="0" fontId="0" fillId="4" borderId="23" xfId="0" applyFill="1" applyBorder="1" applyAlignment="1">
      <alignment horizontal="center" vertical="center"/>
    </xf>
    <xf numFmtId="9" fontId="5" fillId="2" borderId="2" xfId="2" applyFont="1" applyFill="1" applyBorder="1" applyAlignment="1">
      <alignment horizontal="center"/>
    </xf>
    <xf numFmtId="9" fontId="5" fillId="2" borderId="23" xfId="2" applyFont="1" applyFill="1" applyBorder="1" applyAlignment="1">
      <alignment horizontal="center"/>
    </xf>
    <xf numFmtId="44" fontId="5" fillId="2" borderId="2" xfId="2" applyNumberFormat="1" applyFont="1" applyFill="1" applyBorder="1" applyAlignment="1">
      <alignment horizontal="center"/>
    </xf>
    <xf numFmtId="44" fontId="5" fillId="2" borderId="23" xfId="2" applyNumberFormat="1" applyFont="1" applyFill="1" applyBorder="1" applyAlignment="1">
      <alignment horizontal="center"/>
    </xf>
    <xf numFmtId="44" fontId="0" fillId="2" borderId="34" xfId="2" applyNumberFormat="1" applyFont="1" applyFill="1" applyBorder="1" applyAlignment="1">
      <alignment horizontal="center"/>
    </xf>
    <xf numFmtId="44" fontId="0" fillId="2" borderId="35" xfId="2" applyNumberFormat="1" applyFont="1" applyFill="1" applyBorder="1" applyAlignment="1">
      <alignment horizontal="center"/>
    </xf>
    <xf numFmtId="1" fontId="0" fillId="2" borderId="34" xfId="2" applyNumberFormat="1" applyFont="1" applyFill="1" applyBorder="1" applyAlignment="1">
      <alignment horizontal="center"/>
    </xf>
    <xf numFmtId="1" fontId="0" fillId="2" borderId="35" xfId="2" applyNumberFormat="1" applyFont="1" applyFill="1" applyBorder="1" applyAlignment="1">
      <alignment horizontal="center"/>
    </xf>
    <xf numFmtId="10" fontId="0" fillId="2" borderId="34" xfId="2" applyNumberFormat="1" applyFont="1" applyFill="1" applyBorder="1" applyAlignment="1">
      <alignment horizontal="center"/>
    </xf>
    <xf numFmtId="10" fontId="0" fillId="2" borderId="35" xfId="2" applyNumberFormat="1" applyFont="1" applyFill="1" applyBorder="1" applyAlignment="1">
      <alignment horizontal="center"/>
    </xf>
    <xf numFmtId="0" fontId="6" fillId="9" borderId="4" xfId="0" applyFont="1" applyFill="1" applyBorder="1" applyAlignment="1">
      <alignment horizontal="center" vertical="center"/>
    </xf>
    <xf numFmtId="0" fontId="6" fillId="9" borderId="6" xfId="0" applyFont="1" applyFill="1" applyBorder="1" applyAlignment="1">
      <alignment horizontal="center" vertical="center"/>
    </xf>
    <xf numFmtId="0" fontId="51" fillId="0" borderId="4" xfId="0" applyFont="1" applyBorder="1" applyAlignment="1">
      <alignment horizontal="center" vertical="center"/>
    </xf>
    <xf numFmtId="0" fontId="51" fillId="0" borderId="6" xfId="0" applyFont="1" applyBorder="1" applyAlignment="1">
      <alignment horizontal="center" vertical="center"/>
    </xf>
    <xf numFmtId="0" fontId="6" fillId="9" borderId="2" xfId="0" applyFont="1" applyFill="1" applyBorder="1" applyAlignment="1">
      <alignment horizontal="center" vertical="center"/>
    </xf>
    <xf numFmtId="0" fontId="0" fillId="0" borderId="2" xfId="0" applyBorder="1" applyAlignment="1">
      <alignment horizontal="center" vertical="center"/>
    </xf>
    <xf numFmtId="167" fontId="0" fillId="0" borderId="2" xfId="0" applyNumberFormat="1" applyBorder="1" applyAlignment="1">
      <alignment horizontal="center" vertical="center"/>
    </xf>
    <xf numFmtId="9" fontId="0" fillId="0" borderId="2" xfId="0" applyNumberFormat="1" applyBorder="1" applyAlignment="1">
      <alignment horizontal="center" vertical="center"/>
    </xf>
    <xf numFmtId="10" fontId="0" fillId="0" borderId="2" xfId="0" applyNumberFormat="1" applyBorder="1" applyAlignment="1">
      <alignment horizontal="center" vertical="center"/>
    </xf>
    <xf numFmtId="168" fontId="0" fillId="0" borderId="2" xfId="0" applyNumberFormat="1" applyBorder="1" applyAlignment="1">
      <alignment horizontal="center" vertical="center"/>
    </xf>
    <xf numFmtId="168" fontId="0" fillId="0" borderId="4" xfId="0" applyNumberFormat="1" applyBorder="1" applyAlignment="1">
      <alignment horizontal="center" vertical="center"/>
    </xf>
    <xf numFmtId="168" fontId="0" fillId="0" borderId="6" xfId="0" applyNumberFormat="1" applyBorder="1" applyAlignment="1">
      <alignment horizontal="center" vertical="center"/>
    </xf>
    <xf numFmtId="0" fontId="0" fillId="0" borderId="4" xfId="0" applyBorder="1" applyAlignment="1">
      <alignment horizontal="center" vertical="center"/>
    </xf>
    <xf numFmtId="0" fontId="0" fillId="0" borderId="6" xfId="0" applyBorder="1" applyAlignment="1">
      <alignment horizontal="center" vertical="center"/>
    </xf>
    <xf numFmtId="167" fontId="0" fillId="0" borderId="4" xfId="0" applyNumberFormat="1" applyBorder="1" applyAlignment="1">
      <alignment horizontal="center" vertical="center"/>
    </xf>
    <xf numFmtId="167" fontId="0" fillId="0" borderId="6" xfId="0" applyNumberFormat="1" applyBorder="1" applyAlignment="1">
      <alignment horizontal="center" vertical="center"/>
    </xf>
    <xf numFmtId="9" fontId="0" fillId="0" borderId="4" xfId="0" applyNumberFormat="1" applyBorder="1" applyAlignment="1">
      <alignment horizontal="center" vertical="center"/>
    </xf>
    <xf numFmtId="9" fontId="0" fillId="0" borderId="6" xfId="0" applyNumberFormat="1" applyBorder="1" applyAlignment="1">
      <alignment horizontal="center" vertical="center"/>
    </xf>
    <xf numFmtId="0" fontId="6" fillId="9" borderId="37" xfId="0" applyFont="1" applyFill="1" applyBorder="1" applyAlignment="1">
      <alignment horizontal="center"/>
    </xf>
    <xf numFmtId="0" fontId="6" fillId="9" borderId="73" xfId="0" applyFont="1" applyFill="1" applyBorder="1" applyAlignment="1">
      <alignment horizontal="center"/>
    </xf>
    <xf numFmtId="0" fontId="6" fillId="9" borderId="62" xfId="0" applyFont="1" applyFill="1" applyBorder="1" applyAlignment="1">
      <alignment horizontal="center"/>
    </xf>
    <xf numFmtId="169" fontId="6" fillId="0" borderId="2" xfId="2" applyNumberFormat="1" applyFont="1" applyBorder="1" applyAlignment="1">
      <alignment horizontal="center"/>
    </xf>
    <xf numFmtId="169" fontId="6" fillId="0" borderId="23" xfId="2" applyNumberFormat="1" applyFont="1" applyBorder="1" applyAlignment="1">
      <alignment horizontal="center"/>
    </xf>
    <xf numFmtId="167" fontId="6" fillId="2" borderId="16" xfId="2" applyNumberFormat="1" applyFont="1" applyFill="1" applyBorder="1" applyAlignment="1">
      <alignment horizontal="center"/>
    </xf>
    <xf numFmtId="167" fontId="6" fillId="2" borderId="17" xfId="2" applyNumberFormat="1" applyFont="1" applyFill="1" applyBorder="1" applyAlignment="1">
      <alignment horizontal="center"/>
    </xf>
    <xf numFmtId="10" fontId="6" fillId="2" borderId="4" xfId="2" applyNumberFormat="1" applyFont="1" applyFill="1" applyBorder="1" applyAlignment="1">
      <alignment horizontal="center"/>
    </xf>
    <xf numFmtId="10" fontId="6" fillId="2" borderId="6" xfId="2" applyNumberFormat="1" applyFont="1" applyFill="1" applyBorder="1" applyAlignment="1">
      <alignment horizontal="center"/>
    </xf>
    <xf numFmtId="10" fontId="6" fillId="2" borderId="63" xfId="2" applyNumberFormat="1" applyFont="1" applyFill="1" applyBorder="1" applyAlignment="1">
      <alignment horizontal="center"/>
    </xf>
    <xf numFmtId="44" fontId="0" fillId="4" borderId="4" xfId="1" applyFont="1" applyFill="1" applyBorder="1" applyAlignment="1">
      <alignment horizontal="center" vertical="center"/>
    </xf>
    <xf numFmtId="44" fontId="0" fillId="4" borderId="72" xfId="1" applyFont="1" applyFill="1" applyBorder="1" applyAlignment="1">
      <alignment horizontal="center" vertical="center"/>
    </xf>
    <xf numFmtId="44" fontId="0" fillId="4" borderId="63" xfId="1" applyFont="1" applyFill="1" applyBorder="1" applyAlignment="1">
      <alignment horizontal="center" vertical="center"/>
    </xf>
    <xf numFmtId="1" fontId="0" fillId="2" borderId="4" xfId="0" applyNumberFormat="1" applyFill="1" applyBorder="1" applyAlignment="1">
      <alignment horizontal="center" vertical="center"/>
    </xf>
    <xf numFmtId="1" fontId="0" fillId="2" borderId="72" xfId="0" applyNumberFormat="1" applyFill="1" applyBorder="1" applyAlignment="1">
      <alignment horizontal="center" vertical="center"/>
    </xf>
    <xf numFmtId="1" fontId="0" fillId="2" borderId="63" xfId="0" applyNumberFormat="1" applyFill="1" applyBorder="1" applyAlignment="1">
      <alignment horizontal="center" vertical="center"/>
    </xf>
    <xf numFmtId="0" fontId="0" fillId="4" borderId="4" xfId="0" applyFill="1" applyBorder="1" applyAlignment="1">
      <alignment horizontal="center" vertical="center"/>
    </xf>
    <xf numFmtId="0" fontId="0" fillId="4" borderId="72" xfId="0" applyFill="1" applyBorder="1" applyAlignment="1">
      <alignment horizontal="center" vertical="center"/>
    </xf>
    <xf numFmtId="0" fontId="0" fillId="4" borderId="63" xfId="0" applyFill="1" applyBorder="1" applyAlignment="1">
      <alignment horizontal="center" vertical="center"/>
    </xf>
    <xf numFmtId="10" fontId="0" fillId="2" borderId="4" xfId="1" applyNumberFormat="1" applyFont="1" applyFill="1" applyBorder="1" applyAlignment="1">
      <alignment horizontal="center" vertical="center"/>
    </xf>
    <xf numFmtId="10" fontId="0" fillId="2" borderId="72" xfId="1" applyNumberFormat="1" applyFont="1" applyFill="1" applyBorder="1" applyAlignment="1">
      <alignment horizontal="center" vertical="center"/>
    </xf>
    <xf numFmtId="10" fontId="0" fillId="2" borderId="63" xfId="1" applyNumberFormat="1" applyFont="1" applyFill="1" applyBorder="1" applyAlignment="1">
      <alignment horizontal="center" vertical="center"/>
    </xf>
    <xf numFmtId="9" fontId="0" fillId="4" borderId="15" xfId="2" applyFont="1" applyFill="1" applyBorder="1" applyAlignment="1">
      <alignment horizontal="center" vertical="center"/>
    </xf>
    <xf numFmtId="9" fontId="0" fillId="4" borderId="74" xfId="2" applyFont="1" applyFill="1" applyBorder="1" applyAlignment="1">
      <alignment horizontal="center" vertical="center"/>
    </xf>
    <xf numFmtId="9" fontId="0" fillId="4" borderId="64" xfId="2" applyFont="1" applyFill="1" applyBorder="1" applyAlignment="1">
      <alignment horizontal="center" vertical="center"/>
    </xf>
    <xf numFmtId="2" fontId="0" fillId="4" borderId="4" xfId="0" applyNumberFormat="1" applyFill="1" applyBorder="1" applyAlignment="1">
      <alignment horizontal="center" vertical="center"/>
    </xf>
    <xf numFmtId="44" fontId="0" fillId="2" borderId="4" xfId="1" applyFont="1" applyFill="1" applyBorder="1" applyAlignment="1">
      <alignment horizontal="center" vertical="center"/>
    </xf>
    <xf numFmtId="44" fontId="0" fillId="2" borderId="72" xfId="1" applyFont="1" applyFill="1" applyBorder="1" applyAlignment="1">
      <alignment horizontal="center" vertical="center"/>
    </xf>
    <xf numFmtId="44" fontId="0" fillId="2" borderId="63" xfId="1" applyFont="1" applyFill="1" applyBorder="1" applyAlignment="1">
      <alignment horizontal="center" vertical="center"/>
    </xf>
    <xf numFmtId="0" fontId="20" fillId="0" borderId="19" xfId="52" applyFont="1" applyBorder="1" applyAlignment="1">
      <alignment horizontal="center"/>
    </xf>
    <xf numFmtId="0" fontId="20" fillId="0" borderId="50" xfId="52" applyFont="1" applyBorder="1" applyAlignment="1">
      <alignment horizontal="center"/>
    </xf>
    <xf numFmtId="0" fontId="20" fillId="0" borderId="7" xfId="52" applyFont="1" applyBorder="1" applyAlignment="1">
      <alignment horizontal="center"/>
    </xf>
    <xf numFmtId="165" fontId="0" fillId="7" borderId="85" xfId="0" applyNumberFormat="1" applyFill="1" applyBorder="1" applyAlignment="1">
      <alignment horizontal="center"/>
    </xf>
    <xf numFmtId="165" fontId="0" fillId="7" borderId="83" xfId="0" applyNumberFormat="1" applyFill="1" applyBorder="1" applyAlignment="1">
      <alignment horizontal="center"/>
    </xf>
    <xf numFmtId="0" fontId="43" fillId="0" borderId="51" xfId="0" applyFont="1" applyBorder="1" applyAlignment="1">
      <alignment horizontal="center" vertical="center"/>
    </xf>
    <xf numFmtId="0" fontId="43" fillId="0" borderId="42" xfId="0" applyFont="1" applyBorder="1" applyAlignment="1">
      <alignment horizontal="center" vertical="center"/>
    </xf>
    <xf numFmtId="0" fontId="43" fillId="0" borderId="52" xfId="0" applyFont="1" applyBorder="1" applyAlignment="1">
      <alignment horizontal="center" vertical="center"/>
    </xf>
    <xf numFmtId="0" fontId="43" fillId="0" borderId="13" xfId="0" applyFont="1" applyBorder="1" applyAlignment="1">
      <alignment horizontal="center" vertical="center" wrapText="1"/>
    </xf>
    <xf numFmtId="0" fontId="43" fillId="0" borderId="18" xfId="0" applyFont="1" applyBorder="1" applyAlignment="1">
      <alignment horizontal="center" vertical="center" wrapText="1"/>
    </xf>
    <xf numFmtId="0" fontId="43" fillId="0" borderId="9" xfId="0" applyFont="1" applyBorder="1" applyAlignment="1">
      <alignment horizontal="center" vertical="center" wrapText="1"/>
    </xf>
    <xf numFmtId="0" fontId="43" fillId="0" borderId="14" xfId="0" applyFont="1" applyBorder="1" applyAlignment="1">
      <alignment horizontal="center" vertical="center" wrapText="1"/>
    </xf>
    <xf numFmtId="0" fontId="43" fillId="0" borderId="12" xfId="0" applyFont="1" applyBorder="1" applyAlignment="1">
      <alignment horizontal="center" vertical="center" wrapText="1"/>
    </xf>
    <xf numFmtId="0" fontId="43" fillId="0" borderId="17" xfId="0" applyFont="1" applyBorder="1" applyAlignment="1">
      <alignment horizontal="center" vertical="center" wrapText="1"/>
    </xf>
    <xf numFmtId="0" fontId="43" fillId="0" borderId="67" xfId="0" applyFont="1" applyBorder="1" applyAlignment="1">
      <alignment horizontal="center" vertical="center" wrapText="1"/>
    </xf>
    <xf numFmtId="0" fontId="43" fillId="0" borderId="68" xfId="0" applyFont="1" applyBorder="1" applyAlignment="1">
      <alignment horizontal="center" vertical="center" wrapText="1"/>
    </xf>
    <xf numFmtId="0" fontId="43" fillId="0" borderId="11" xfId="0" applyFont="1" applyBorder="1" applyAlignment="1">
      <alignment horizontal="center" vertical="center" wrapText="1"/>
    </xf>
    <xf numFmtId="0" fontId="43" fillId="0" borderId="16" xfId="0" applyFont="1" applyBorder="1" applyAlignment="1">
      <alignment horizontal="center" vertical="center" wrapText="1"/>
    </xf>
    <xf numFmtId="0" fontId="43" fillId="0" borderId="89" xfId="0" applyFont="1" applyBorder="1" applyAlignment="1">
      <alignment horizontal="center" vertical="center" wrapText="1"/>
    </xf>
    <xf numFmtId="0" fontId="43" fillId="0" borderId="45" xfId="0" applyFont="1" applyBorder="1" applyAlignment="1">
      <alignment horizontal="center" vertical="center" wrapText="1"/>
    </xf>
    <xf numFmtId="0" fontId="43" fillId="0" borderId="73" xfId="0" applyFont="1" applyBorder="1" applyAlignment="1">
      <alignment horizontal="center" vertical="center" wrapText="1"/>
    </xf>
    <xf numFmtId="0" fontId="43" fillId="0" borderId="74" xfId="0" applyFont="1" applyBorder="1" applyAlignment="1">
      <alignment horizontal="center" vertical="center" wrapText="1"/>
    </xf>
    <xf numFmtId="0" fontId="43" fillId="0" borderId="75" xfId="0" applyFont="1" applyBorder="1" applyAlignment="1">
      <alignment horizontal="center" vertical="center" wrapText="1"/>
    </xf>
    <xf numFmtId="0" fontId="43" fillId="0" borderId="76" xfId="0" applyFont="1" applyBorder="1" applyAlignment="1">
      <alignment horizontal="center" vertical="center" wrapText="1"/>
    </xf>
    <xf numFmtId="0" fontId="43" fillId="0" borderId="77" xfId="0" applyFont="1" applyBorder="1" applyAlignment="1">
      <alignment horizontal="center" vertical="center" wrapText="1"/>
    </xf>
    <xf numFmtId="0" fontId="43" fillId="0" borderId="62" xfId="0" applyFont="1" applyBorder="1" applyAlignment="1">
      <alignment horizontal="center" vertical="center" wrapText="1"/>
    </xf>
    <xf numFmtId="0" fontId="43" fillId="0" borderId="81" xfId="0" applyFont="1" applyBorder="1" applyAlignment="1">
      <alignment horizontal="center" vertical="center" wrapText="1"/>
    </xf>
    <xf numFmtId="0" fontId="43" fillId="0" borderId="31" xfId="0" applyFont="1" applyBorder="1" applyAlignment="1">
      <alignment horizontal="center" vertical="center"/>
    </xf>
    <xf numFmtId="0" fontId="43" fillId="0" borderId="26" xfId="0" applyFont="1" applyBorder="1" applyAlignment="1">
      <alignment horizontal="center" vertical="center"/>
    </xf>
    <xf numFmtId="0" fontId="43" fillId="0" borderId="32" xfId="0" applyFont="1" applyBorder="1" applyAlignment="1">
      <alignment horizontal="center" vertical="center" wrapText="1"/>
    </xf>
    <xf numFmtId="0" fontId="43" fillId="0" borderId="8" xfId="0" applyFont="1" applyBorder="1" applyAlignment="1">
      <alignment horizontal="center" vertical="center" wrapText="1"/>
    </xf>
    <xf numFmtId="0" fontId="43" fillId="0" borderId="9" xfId="0" applyFont="1" applyBorder="1" applyAlignment="1">
      <alignment horizontal="center" vertical="center"/>
    </xf>
    <xf numFmtId="0" fontId="43" fillId="0" borderId="11" xfId="0" applyFont="1" applyBorder="1" applyAlignment="1">
      <alignment horizontal="center" vertical="center"/>
    </xf>
    <xf numFmtId="0" fontId="43" fillId="0" borderId="12" xfId="0" applyFont="1" applyBorder="1" applyAlignment="1">
      <alignment horizontal="center" vertical="center"/>
    </xf>
    <xf numFmtId="9" fontId="5" fillId="7" borderId="23" xfId="2" applyFont="1" applyFill="1" applyBorder="1" applyAlignment="1">
      <alignment horizontal="center" vertical="center"/>
    </xf>
    <xf numFmtId="9" fontId="5" fillId="7" borderId="17" xfId="2" applyFont="1" applyFill="1" applyBorder="1" applyAlignment="1">
      <alignment horizontal="center" vertical="center"/>
    </xf>
    <xf numFmtId="165" fontId="0" fillId="7" borderId="24" xfId="0" applyNumberFormat="1" applyFill="1" applyBorder="1" applyAlignment="1">
      <alignment horizontal="center" vertical="center"/>
    </xf>
    <xf numFmtId="165" fontId="0" fillId="7" borderId="26" xfId="0" applyNumberFormat="1" applyFill="1" applyBorder="1" applyAlignment="1">
      <alignment horizontal="center" vertical="center"/>
    </xf>
    <xf numFmtId="0" fontId="0" fillId="7" borderId="5" xfId="0" applyFill="1" applyBorder="1" applyAlignment="1">
      <alignment horizontal="center" vertical="center" wrapText="1"/>
    </xf>
    <xf numFmtId="0" fontId="43" fillId="9" borderId="28" xfId="0" applyFont="1" applyFill="1" applyBorder="1" applyAlignment="1">
      <alignment horizontal="center" vertical="center" wrapText="1"/>
    </xf>
    <xf numFmtId="0" fontId="43" fillId="9" borderId="33" xfId="0" applyFont="1" applyFill="1" applyBorder="1" applyAlignment="1">
      <alignment horizontal="center" vertical="center" wrapText="1"/>
    </xf>
    <xf numFmtId="0" fontId="6" fillId="0" borderId="20" xfId="0" applyFont="1" applyBorder="1" applyAlignment="1">
      <alignment horizontal="left" vertical="center" wrapText="1"/>
    </xf>
    <xf numFmtId="0" fontId="6" fillId="0" borderId="21" xfId="0" applyFont="1" applyBorder="1" applyAlignment="1">
      <alignment horizontal="left" vertical="center" wrapText="1"/>
    </xf>
    <xf numFmtId="0" fontId="6" fillId="0" borderId="22" xfId="0" applyFont="1" applyBorder="1" applyAlignment="1">
      <alignment horizontal="left" vertical="center" wrapText="1"/>
    </xf>
    <xf numFmtId="0" fontId="6" fillId="0" borderId="14" xfId="0" applyFont="1" applyBorder="1" applyAlignment="1">
      <alignment horizontal="left" vertical="center" wrapText="1"/>
    </xf>
    <xf numFmtId="0" fontId="65" fillId="9" borderId="51" xfId="0" applyFont="1" applyFill="1" applyBorder="1" applyAlignment="1">
      <alignment horizontal="center" vertical="center" wrapText="1"/>
    </xf>
    <xf numFmtId="0" fontId="65" fillId="9" borderId="52" xfId="0" applyFont="1" applyFill="1" applyBorder="1" applyAlignment="1">
      <alignment horizontal="center" vertical="center" wrapText="1"/>
    </xf>
    <xf numFmtId="0" fontId="50" fillId="9" borderId="51" xfId="0" applyFont="1" applyFill="1" applyBorder="1" applyAlignment="1">
      <alignment horizontal="center" vertical="center"/>
    </xf>
    <xf numFmtId="0" fontId="50" fillId="9" borderId="53" xfId="0" applyFont="1" applyFill="1" applyBorder="1" applyAlignment="1">
      <alignment horizontal="center" vertical="center"/>
    </xf>
    <xf numFmtId="0" fontId="50" fillId="9" borderId="52" xfId="0" applyFont="1" applyFill="1" applyBorder="1" applyAlignment="1">
      <alignment horizontal="center" vertical="center"/>
    </xf>
    <xf numFmtId="0" fontId="65" fillId="9" borderId="53" xfId="0" applyFont="1" applyFill="1" applyBorder="1" applyAlignment="1">
      <alignment horizontal="center" vertical="center"/>
    </xf>
    <xf numFmtId="0" fontId="65" fillId="9" borderId="52" xfId="0" applyFont="1" applyFill="1" applyBorder="1" applyAlignment="1">
      <alignment horizontal="center" vertical="center"/>
    </xf>
    <xf numFmtId="0" fontId="43" fillId="9" borderId="36" xfId="0" applyFont="1" applyFill="1" applyBorder="1" applyAlignment="1">
      <alignment horizontal="center" vertical="center"/>
    </xf>
    <xf numFmtId="0" fontId="43" fillId="9" borderId="43" xfId="0" applyFont="1" applyFill="1" applyBorder="1" applyAlignment="1">
      <alignment horizontal="center" vertical="center"/>
    </xf>
    <xf numFmtId="0" fontId="43" fillId="9" borderId="38" xfId="0" applyFont="1" applyFill="1" applyBorder="1" applyAlignment="1">
      <alignment horizontal="center" vertical="center"/>
    </xf>
    <xf numFmtId="0" fontId="43" fillId="9" borderId="71" xfId="0" applyFont="1" applyFill="1" applyBorder="1" applyAlignment="1">
      <alignment horizontal="center" vertical="center"/>
    </xf>
    <xf numFmtId="0" fontId="43" fillId="0" borderId="36" xfId="0" applyFont="1" applyBorder="1" applyAlignment="1">
      <alignment horizontal="center" vertical="center" wrapText="1"/>
    </xf>
    <xf numFmtId="0" fontId="43" fillId="0" borderId="42" xfId="0" applyFont="1" applyBorder="1" applyAlignment="1">
      <alignment horizontal="center" vertical="center" wrapText="1"/>
    </xf>
    <xf numFmtId="0" fontId="43" fillId="0" borderId="43" xfId="0" applyFont="1" applyBorder="1" applyAlignment="1">
      <alignment horizontal="center" vertical="center" wrapText="1"/>
    </xf>
    <xf numFmtId="0" fontId="54" fillId="4" borderId="24" xfId="0" applyFont="1" applyFill="1" applyBorder="1" applyAlignment="1">
      <alignment vertical="top" wrapText="1" indent="1"/>
    </xf>
    <xf numFmtId="0" fontId="54" fillId="4" borderId="20" xfId="0" applyFont="1" applyFill="1" applyBorder="1" applyAlignment="1">
      <alignment vertical="top" wrapText="1" indent="1"/>
    </xf>
    <xf numFmtId="0" fontId="43" fillId="9" borderId="31" xfId="0" applyFont="1" applyFill="1" applyBorder="1" applyAlignment="1">
      <alignment horizontal="center" vertical="center" wrapText="1"/>
    </xf>
    <xf numFmtId="0" fontId="43" fillId="9" borderId="26" xfId="0" applyFont="1" applyFill="1" applyBorder="1" applyAlignment="1">
      <alignment horizontal="center" vertical="center" wrapText="1"/>
    </xf>
    <xf numFmtId="0" fontId="43" fillId="9" borderId="51" xfId="0" applyFont="1" applyFill="1" applyBorder="1" applyAlignment="1">
      <alignment horizontal="center" vertical="center"/>
    </xf>
    <xf numFmtId="0" fontId="43" fillId="9" borderId="53" xfId="0" applyFont="1" applyFill="1" applyBorder="1" applyAlignment="1">
      <alignment horizontal="center" vertical="center"/>
    </xf>
    <xf numFmtId="0" fontId="43" fillId="9" borderId="52" xfId="0" applyFont="1" applyFill="1" applyBorder="1" applyAlignment="1">
      <alignment horizontal="center" vertical="center"/>
    </xf>
    <xf numFmtId="0" fontId="12" fillId="0" borderId="34" xfId="52" applyFont="1" applyBorder="1" applyAlignment="1">
      <alignment horizontal="center" vertical="center" wrapText="1"/>
    </xf>
    <xf numFmtId="0" fontId="12" fillId="0" borderId="92" xfId="52" applyFont="1" applyBorder="1" applyAlignment="1">
      <alignment horizontal="center" vertical="center" wrapText="1"/>
    </xf>
    <xf numFmtId="0" fontId="12" fillId="0" borderId="5" xfId="52" applyFont="1" applyBorder="1" applyAlignment="1">
      <alignment horizontal="center" vertical="center" wrapText="1"/>
    </xf>
    <xf numFmtId="0" fontId="20" fillId="0" borderId="41" xfId="52" applyFont="1" applyBorder="1" applyAlignment="1">
      <alignment horizontal="center" vertical="center"/>
    </xf>
    <xf numFmtId="0" fontId="20" fillId="0" borderId="6" xfId="52" applyFont="1" applyBorder="1" applyAlignment="1">
      <alignment horizontal="center" vertical="center"/>
    </xf>
    <xf numFmtId="0" fontId="12" fillId="0" borderId="41" xfId="52" applyFont="1" applyBorder="1" applyAlignment="1">
      <alignment horizontal="center" vertical="center" wrapText="1"/>
    </xf>
    <xf numFmtId="0" fontId="12" fillId="0" borderId="6" xfId="52" applyFont="1" applyBorder="1" applyAlignment="1">
      <alignment horizontal="center" vertical="center" wrapText="1"/>
    </xf>
    <xf numFmtId="0" fontId="12" fillId="0" borderId="24" xfId="52" applyFont="1" applyBorder="1" applyAlignment="1">
      <alignment horizontal="center" vertical="center" wrapText="1"/>
    </xf>
    <xf numFmtId="0" fontId="12" fillId="0" borderId="20" xfId="52" applyFont="1" applyBorder="1" applyAlignment="1">
      <alignment horizontal="center" vertical="center" wrapText="1"/>
    </xf>
    <xf numFmtId="0" fontId="6" fillId="0" borderId="36" xfId="0" applyFont="1" applyBorder="1" applyAlignment="1">
      <alignment horizontal="center" vertical="center" wrapText="1"/>
    </xf>
    <xf numFmtId="0" fontId="6" fillId="0" borderId="38" xfId="0" applyFont="1" applyBorder="1" applyAlignment="1">
      <alignment horizontal="center" vertical="center" wrapText="1"/>
    </xf>
    <xf numFmtId="0" fontId="66" fillId="9" borderId="51" xfId="0" applyFont="1" applyFill="1" applyBorder="1" applyAlignment="1">
      <alignment horizontal="center" vertical="center"/>
    </xf>
    <xf numFmtId="0" fontId="66" fillId="9" borderId="53" xfId="0" applyFont="1" applyFill="1" applyBorder="1" applyAlignment="1">
      <alignment horizontal="center" vertical="center"/>
    </xf>
    <xf numFmtId="0" fontId="66" fillId="9" borderId="52" xfId="0" applyFont="1" applyFill="1" applyBorder="1" applyAlignment="1">
      <alignment horizontal="center" vertical="center"/>
    </xf>
    <xf numFmtId="0" fontId="12" fillId="0" borderId="22" xfId="0" applyFont="1" applyBorder="1" applyAlignment="1">
      <alignment horizontal="center" vertical="center"/>
    </xf>
    <xf numFmtId="0" fontId="12" fillId="0" borderId="2" xfId="0" applyFont="1" applyBorder="1" applyAlignment="1">
      <alignment horizontal="center" vertical="center"/>
    </xf>
    <xf numFmtId="0" fontId="12" fillId="0" borderId="22" xfId="52" applyFont="1" applyBorder="1" applyAlignment="1">
      <alignment horizontal="center" vertical="center" wrapText="1"/>
    </xf>
    <xf numFmtId="0" fontId="12" fillId="0" borderId="2" xfId="52" applyFont="1" applyBorder="1" applyAlignment="1">
      <alignment horizontal="center" vertical="center" wrapText="1"/>
    </xf>
    <xf numFmtId="0" fontId="12" fillId="0" borderId="91" xfId="52" applyFont="1" applyBorder="1" applyAlignment="1">
      <alignment horizontal="center" vertical="center" wrapText="1"/>
    </xf>
    <xf numFmtId="0" fontId="12" fillId="0" borderId="49" xfId="52" applyFont="1" applyBorder="1" applyAlignment="1">
      <alignment horizontal="center" vertical="center" wrapText="1"/>
    </xf>
    <xf numFmtId="0" fontId="12" fillId="0" borderId="93" xfId="52" applyFont="1" applyBorder="1" applyAlignment="1">
      <alignment horizontal="center" vertical="center" wrapText="1"/>
    </xf>
    <xf numFmtId="0" fontId="12" fillId="0" borderId="7" xfId="52" applyFont="1" applyBorder="1" applyAlignment="1">
      <alignment horizontal="center" vertical="center" wrapText="1"/>
    </xf>
    <xf numFmtId="0" fontId="6" fillId="0" borderId="40" xfId="0" applyFont="1" applyBorder="1" applyAlignment="1">
      <alignment horizontal="center" vertical="center" wrapText="1"/>
    </xf>
    <xf numFmtId="0" fontId="43" fillId="9" borderId="51" xfId="0" applyFont="1" applyFill="1" applyBorder="1" applyAlignment="1">
      <alignment horizontal="center" vertical="center" wrapText="1"/>
    </xf>
    <xf numFmtId="0" fontId="43" fillId="9" borderId="52" xfId="0" applyFont="1" applyFill="1" applyBorder="1" applyAlignment="1">
      <alignment horizontal="center" vertical="center" wrapText="1"/>
    </xf>
    <xf numFmtId="0" fontId="12" fillId="0" borderId="2" xfId="0" applyFont="1" applyBorder="1" applyAlignment="1">
      <alignment horizontal="left" vertical="center" wrapText="1"/>
    </xf>
    <xf numFmtId="0" fontId="12" fillId="0" borderId="34" xfId="0" applyFont="1" applyBorder="1" applyAlignment="1">
      <alignment horizontal="left" vertical="center" wrapText="1"/>
    </xf>
    <xf numFmtId="0" fontId="12" fillId="0" borderId="5" xfId="0" applyFont="1" applyBorder="1" applyAlignment="1">
      <alignment horizontal="left" vertical="center" wrapText="1"/>
    </xf>
    <xf numFmtId="0" fontId="21" fillId="0" borderId="24" xfId="0" applyFont="1" applyBorder="1" applyAlignment="1">
      <alignment horizontal="center" vertical="center" readingOrder="1"/>
    </xf>
    <xf numFmtId="0" fontId="21" fillId="0" borderId="94" xfId="0" applyFont="1" applyBorder="1" applyAlignment="1">
      <alignment horizontal="center" vertical="center" readingOrder="1"/>
    </xf>
    <xf numFmtId="0" fontId="21" fillId="0" borderId="20" xfId="0" applyFont="1" applyBorder="1" applyAlignment="1">
      <alignment horizontal="center" vertical="center" readingOrder="1"/>
    </xf>
    <xf numFmtId="0" fontId="12" fillId="0" borderId="34" xfId="0" applyFont="1" applyBorder="1" applyAlignment="1">
      <alignment horizontal="center" vertical="center" wrapText="1"/>
    </xf>
    <xf numFmtId="0" fontId="12" fillId="0" borderId="92" xfId="0" applyFont="1" applyBorder="1" applyAlignment="1">
      <alignment horizontal="center" vertical="center" wrapText="1"/>
    </xf>
    <xf numFmtId="0" fontId="12" fillId="0" borderId="5" xfId="0" applyFont="1" applyBorder="1" applyAlignment="1">
      <alignment horizontal="center" vertical="center" wrapText="1"/>
    </xf>
    <xf numFmtId="0" fontId="12" fillId="0" borderId="91" xfId="0" applyFont="1" applyBorder="1" applyAlignment="1">
      <alignment horizontal="center" vertical="center"/>
    </xf>
    <xf numFmtId="0" fontId="12" fillId="0" borderId="40" xfId="0" applyFont="1" applyBorder="1" applyAlignment="1">
      <alignment horizontal="center" vertical="center"/>
    </xf>
    <xf numFmtId="0" fontId="12" fillId="0" borderId="93" xfId="0" applyFont="1" applyBorder="1" applyAlignment="1">
      <alignment horizontal="center" vertical="center"/>
    </xf>
    <xf numFmtId="0" fontId="6" fillId="0" borderId="4" xfId="0" applyFont="1" applyBorder="1" applyAlignment="1">
      <alignment horizontal="center"/>
    </xf>
    <xf numFmtId="0" fontId="6" fillId="0" borderId="6" xfId="0" applyFont="1" applyBorder="1" applyAlignment="1">
      <alignment horizontal="center"/>
    </xf>
    <xf numFmtId="0" fontId="0" fillId="5" borderId="8" xfId="0" applyFill="1" applyBorder="1" applyAlignment="1">
      <alignment horizontal="center" vertical="center" wrapText="1"/>
    </xf>
    <xf numFmtId="0" fontId="0" fillId="5" borderId="0" xfId="0" applyFill="1" applyAlignment="1">
      <alignment horizontal="center" vertical="center" wrapText="1"/>
    </xf>
    <xf numFmtId="0" fontId="0" fillId="0" borderId="19" xfId="0" applyBorder="1" applyAlignment="1">
      <alignment horizontal="center" wrapText="1"/>
    </xf>
    <xf numFmtId="0" fontId="0" fillId="0" borderId="50" xfId="0" applyBorder="1" applyAlignment="1">
      <alignment horizontal="center" wrapText="1"/>
    </xf>
    <xf numFmtId="0" fontId="15" fillId="10" borderId="8" xfId="0" applyFont="1" applyFill="1" applyBorder="1" applyAlignment="1">
      <alignment horizontal="center" vertical="center" wrapText="1"/>
    </xf>
    <xf numFmtId="0" fontId="15" fillId="10" borderId="0" xfId="0" applyFont="1" applyFill="1" applyAlignment="1">
      <alignment horizontal="center" vertical="center" wrapText="1"/>
    </xf>
    <xf numFmtId="0" fontId="42" fillId="0" borderId="22" xfId="0" applyFont="1" applyBorder="1" applyAlignment="1">
      <alignment vertical="top" wrapText="1" indent="1"/>
    </xf>
    <xf numFmtId="0" fontId="62" fillId="0" borderId="0" xfId="52" applyFont="1" applyFill="1"/>
  </cellXfs>
  <cellStyles count="54">
    <cellStyle name="20% - Accent1 2" xfId="14" xr:uid="{ADA39830-D783-4B4E-A9E7-034BAD7B49A8}"/>
    <cellStyle name="20% - Accent2 2" xfId="15" xr:uid="{653895DB-F56D-4AA0-8828-9F390A33BCF1}"/>
    <cellStyle name="20% - Accent3 2" xfId="16" xr:uid="{B542849C-B316-41F2-A8BE-F07F4DE69BEC}"/>
    <cellStyle name="20% - Accent4 2" xfId="17" xr:uid="{B5B84E72-AEFC-4F33-BB12-3529A3C08F24}"/>
    <cellStyle name="20% - Accent5 2" xfId="18" xr:uid="{03104119-5AE9-41DA-82BF-981A4293BBA0}"/>
    <cellStyle name="20% - Accent6 2" xfId="19" xr:uid="{066013A2-18A4-4AC4-A3ED-4866803C0E31}"/>
    <cellStyle name="40% - Accent1 2" xfId="20" xr:uid="{16941A97-F5D5-4926-944C-C6E128557219}"/>
    <cellStyle name="40% - Accent2 2" xfId="21" xr:uid="{E45C4A23-9F98-4F7C-BFB8-509A6AE14A36}"/>
    <cellStyle name="40% - Accent3 2" xfId="22" xr:uid="{0B8EEDEC-A6A9-4EC2-B6CA-7E29E98D278D}"/>
    <cellStyle name="40% - Accent4 2" xfId="23" xr:uid="{E9D86196-4704-4608-A4B6-308503E509C9}"/>
    <cellStyle name="40% - Accent5 2" xfId="24" xr:uid="{73B2EC10-96FD-4833-B296-C32D1F232948}"/>
    <cellStyle name="40% - Accent6 2" xfId="25" xr:uid="{F73032AB-B0EC-47AA-BE8D-2B190957D73C}"/>
    <cellStyle name="60% - Accent1 2" xfId="26" xr:uid="{CA6D1DEC-5515-4E5D-A36E-30D9323673AF}"/>
    <cellStyle name="60% - Accent2 2" xfId="27" xr:uid="{091A0B98-0719-493D-8DAB-534E57D69A20}"/>
    <cellStyle name="60% - Accent3 2" xfId="28" xr:uid="{BD3133CD-35B7-4FB0-977A-F427D292DF2F}"/>
    <cellStyle name="60% - Accent4 2" xfId="29" xr:uid="{8B601A8B-26EC-4DF1-9279-E86C6F6A7981}"/>
    <cellStyle name="60% - Accent5 2" xfId="30" xr:uid="{C457BD0D-6F7E-4E21-9D4C-F276F0BFB63B}"/>
    <cellStyle name="60% - Accent6 2" xfId="31" xr:uid="{9FBE006A-1283-4733-B9E2-2DA2D2271F09}"/>
    <cellStyle name="Accent1 2" xfId="32" xr:uid="{8360339F-1F81-47B0-B08D-3685FCE36092}"/>
    <cellStyle name="Accent2 2" xfId="33" xr:uid="{D78BE459-8455-484E-870F-4EF463930674}"/>
    <cellStyle name="Accent3 2" xfId="34" xr:uid="{1053E4D7-F592-4F90-8136-76833AABD015}"/>
    <cellStyle name="Accent4 2" xfId="35" xr:uid="{FCC4C9BE-329D-4CE9-B564-0AE3598E1845}"/>
    <cellStyle name="Accent5 2" xfId="36" xr:uid="{E9FE1BCF-66B0-4112-939A-5D6C85DBAA14}"/>
    <cellStyle name="Accent6 2" xfId="37" xr:uid="{007CE084-4184-4718-91AA-50FE9F69A7C9}"/>
    <cellStyle name="Bad" xfId="50" builtinId="27"/>
    <cellStyle name="Bad 2" xfId="38" xr:uid="{71E7B086-F821-40F3-A0AD-F191C0F6F6E1}"/>
    <cellStyle name="Calculation 2" xfId="39" xr:uid="{0F17DCEC-E81B-42C3-98DB-9BEE46C69C97}"/>
    <cellStyle name="Check Cell 2" xfId="40" xr:uid="{37470797-1BAA-4722-8AE1-B4AB5A226309}"/>
    <cellStyle name="Currency" xfId="1" builtinId="4"/>
    <cellStyle name="Currency 2" xfId="4" xr:uid="{D1E18E54-3A03-493E-9827-F7A066160BEE}"/>
    <cellStyle name="Explanatory Text" xfId="11" builtinId="53" customBuiltin="1"/>
    <cellStyle name="Good" xfId="49" builtinId="26"/>
    <cellStyle name="Good 2" xfId="41" xr:uid="{055C0D33-1B7C-4C48-982C-A3970D6965D3}"/>
    <cellStyle name="Heading 1" xfId="7" builtinId="16" customBuiltin="1"/>
    <cellStyle name="Heading 2 2" xfId="42" xr:uid="{D7386AFD-71D5-47E3-B9F4-D4182B3E5722}"/>
    <cellStyle name="Heading 3" xfId="8" builtinId="18" customBuiltin="1"/>
    <cellStyle name="Heading 4" xfId="9" builtinId="19" customBuiltin="1"/>
    <cellStyle name="Input 2" xfId="43" xr:uid="{2D3CEDF3-F276-48DC-8244-AD4F5B1447AD}"/>
    <cellStyle name="Linked Cell" xfId="10" builtinId="24" customBuiltin="1"/>
    <cellStyle name="Neutral" xfId="51" builtinId="28"/>
    <cellStyle name="Neutral 2" xfId="44" xr:uid="{B0E4712E-F7B4-4915-A6FC-56A8BD17241A}"/>
    <cellStyle name="Normal" xfId="0" builtinId="0"/>
    <cellStyle name="Normal 2" xfId="3" xr:uid="{85915FF6-56FB-0C45-B33B-549ED76A4A44}"/>
    <cellStyle name="Normal 3" xfId="5" xr:uid="{F84F09BD-53A7-344A-8FE1-00F17C13DF94}"/>
    <cellStyle name="Normal 4" xfId="6" xr:uid="{9A024B08-111B-9246-87F9-C0E95E32921D}"/>
    <cellStyle name="Normal 4 2" xfId="53" xr:uid="{646B4160-32F8-4CF9-88FA-8566DCA7D636}"/>
    <cellStyle name="Normal 5" xfId="13" xr:uid="{2B1067B2-F97C-4FDF-A2D9-CDC8D63AA6BE}"/>
    <cellStyle name="Normal 6" xfId="52" xr:uid="{D0F49B59-DFEF-544D-B62B-45656221102B}"/>
    <cellStyle name="Note 2" xfId="45" xr:uid="{9ECC1643-BE52-4E4D-88A5-95B92C085657}"/>
    <cellStyle name="Output 2" xfId="46" xr:uid="{4B647A00-A20C-4019-BB17-39F0756A1FCE}"/>
    <cellStyle name="Per cent" xfId="2" builtinId="5"/>
    <cellStyle name="Title 2" xfId="47" xr:uid="{6351B3E6-8F78-41F5-9D13-3DC245525404}"/>
    <cellStyle name="Total" xfId="12" builtinId="25" customBuiltin="1"/>
    <cellStyle name="Warning Text 2" xfId="48" xr:uid="{2C7F0C2E-CE6F-44AE-9C5B-AC250CF5813A}"/>
  </cellStyles>
  <dxfs count="15">
    <dxf>
      <font>
        <color rgb="FF9C0006"/>
      </font>
      <fill>
        <patternFill>
          <bgColor rgb="FFFFC00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9"/>
        </patternFill>
      </fill>
    </dxf>
    <dxf>
      <fill>
        <patternFill>
          <bgColor theme="9"/>
        </patternFill>
      </fill>
    </dxf>
  </dxfs>
  <tableStyles count="0" defaultTableStyle="TableStyleMedium2" defaultPivotStyle="PivotStyleMedium9"/>
  <colors>
    <mruColors>
      <color rgb="FFFFFF99"/>
      <color rgb="FFCC99FF"/>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Weekday Buffet Price-Demand Curve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'1a. Working for BRPO'!$D$50</c:f>
              <c:strCache>
                <c:ptCount val="1"/>
                <c:pt idx="0">
                  <c:v>Customer demand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17344987502003287"/>
                  <c:y val="-5.1722640509546995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'1a. Working for BRPO'!$C$51:$C$63</c:f>
              <c:numCache>
                <c:formatCode>"$"#,##0.00</c:formatCode>
                <c:ptCount val="13"/>
                <c:pt idx="0">
                  <c:v>30</c:v>
                </c:pt>
                <c:pt idx="1">
                  <c:v>35</c:v>
                </c:pt>
                <c:pt idx="2">
                  <c:v>45</c:v>
                </c:pt>
                <c:pt idx="3">
                  <c:v>55</c:v>
                </c:pt>
                <c:pt idx="4">
                  <c:v>65</c:v>
                </c:pt>
                <c:pt idx="5">
                  <c:v>75</c:v>
                </c:pt>
                <c:pt idx="6">
                  <c:v>85</c:v>
                </c:pt>
                <c:pt idx="7">
                  <c:v>95</c:v>
                </c:pt>
                <c:pt idx="8">
                  <c:v>105</c:v>
                </c:pt>
                <c:pt idx="9">
                  <c:v>115</c:v>
                </c:pt>
                <c:pt idx="10">
                  <c:v>125</c:v>
                </c:pt>
                <c:pt idx="11">
                  <c:v>135</c:v>
                </c:pt>
                <c:pt idx="12">
                  <c:v>145</c:v>
                </c:pt>
              </c:numCache>
            </c:numRef>
          </c:xVal>
          <c:yVal>
            <c:numRef>
              <c:f>'1a. Working for BRPO'!$D$51:$D$63</c:f>
              <c:numCache>
                <c:formatCode>0.0%</c:formatCode>
                <c:ptCount val="13"/>
                <c:pt idx="0">
                  <c:v>1</c:v>
                </c:pt>
                <c:pt idx="1">
                  <c:v>0.97499999999999998</c:v>
                </c:pt>
                <c:pt idx="2">
                  <c:v>0.92500000000000004</c:v>
                </c:pt>
                <c:pt idx="3">
                  <c:v>0.875</c:v>
                </c:pt>
                <c:pt idx="4">
                  <c:v>0.82499999999999996</c:v>
                </c:pt>
                <c:pt idx="5">
                  <c:v>0.77500000000000002</c:v>
                </c:pt>
                <c:pt idx="6">
                  <c:v>0.72499999999999998</c:v>
                </c:pt>
                <c:pt idx="7">
                  <c:v>0.67500000000000004</c:v>
                </c:pt>
                <c:pt idx="8">
                  <c:v>0.625</c:v>
                </c:pt>
                <c:pt idx="9">
                  <c:v>0.57499999999999996</c:v>
                </c:pt>
                <c:pt idx="10">
                  <c:v>0.52500000000000002</c:v>
                </c:pt>
                <c:pt idx="11">
                  <c:v>0.47499999999999998</c:v>
                </c:pt>
                <c:pt idx="12">
                  <c:v>0.42499999999999999</c:v>
                </c:pt>
              </c:numCache>
            </c:numRef>
          </c:yVal>
          <c:smooth val="1"/>
          <c:extLst>
            <c:ext xmlns:c16="http://schemas.microsoft.com/office/drawing/2014/chart" uri="{C3380CC4-5D6E-409C-BE32-E72D297353CC}">
              <c16:uniqueId val="{00000001-6D5E-46A9-AEC5-CB9C2A4915AB}"/>
            </c:ext>
          </c:extLst>
        </c:ser>
        <c:dLbls>
          <c:showLegendKey val="0"/>
          <c:showVal val="0"/>
          <c:showCatName val="0"/>
          <c:showSerName val="0"/>
          <c:showPercent val="0"/>
          <c:showBubbleSize val="0"/>
        </c:dLbls>
        <c:axId val="1856085487"/>
        <c:axId val="1856082127"/>
      </c:scatterChart>
      <c:valAx>
        <c:axId val="1856085487"/>
        <c:scaling>
          <c:orientation val="minMax"/>
          <c:min val="0"/>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SG"/>
                  <a:t>Buffet Price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6082127"/>
        <c:crosses val="autoZero"/>
        <c:crossBetween val="midCat"/>
      </c:valAx>
      <c:valAx>
        <c:axId val="1856082127"/>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SG"/>
                  <a:t>Customer Demand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6085487"/>
        <c:crosses val="autoZero"/>
        <c:crossBetween val="midCat"/>
      </c:valAx>
      <c:spPr>
        <a:noFill/>
        <a:ln>
          <a:solidFill>
            <a:sysClr val="windowText" lastClr="000000"/>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Weekend Buffet Price-Demand Curve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'1a. Working for BRPO'!$S$50</c:f>
              <c:strCache>
                <c:ptCount val="1"/>
                <c:pt idx="0">
                  <c:v>Customer demand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18244562397590855"/>
                  <c:y val="-0.1110527806864728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'1a. Working for BRPO'!$R$51:$R$63</c:f>
              <c:numCache>
                <c:formatCode>"$"#,##0.00</c:formatCode>
                <c:ptCount val="13"/>
                <c:pt idx="0">
                  <c:v>88.25</c:v>
                </c:pt>
                <c:pt idx="1">
                  <c:v>94.5</c:v>
                </c:pt>
                <c:pt idx="2">
                  <c:v>104.5</c:v>
                </c:pt>
                <c:pt idx="3">
                  <c:v>114.5</c:v>
                </c:pt>
                <c:pt idx="4">
                  <c:v>124.5</c:v>
                </c:pt>
                <c:pt idx="5">
                  <c:v>134.5</c:v>
                </c:pt>
                <c:pt idx="6">
                  <c:v>144.5</c:v>
                </c:pt>
                <c:pt idx="7">
                  <c:v>154.5</c:v>
                </c:pt>
                <c:pt idx="8">
                  <c:v>164.5</c:v>
                </c:pt>
                <c:pt idx="9">
                  <c:v>174.5</c:v>
                </c:pt>
                <c:pt idx="10">
                  <c:v>184.5</c:v>
                </c:pt>
                <c:pt idx="11">
                  <c:v>194.5</c:v>
                </c:pt>
                <c:pt idx="12">
                  <c:v>204.5</c:v>
                </c:pt>
              </c:numCache>
            </c:numRef>
          </c:xVal>
          <c:yVal>
            <c:numRef>
              <c:f>'1a. Working for BRPO'!$S$51:$S$63</c:f>
              <c:numCache>
                <c:formatCode>0.0%</c:formatCode>
                <c:ptCount val="13"/>
                <c:pt idx="0">
                  <c:v>1</c:v>
                </c:pt>
                <c:pt idx="1">
                  <c:v>0.97499999999999998</c:v>
                </c:pt>
                <c:pt idx="2">
                  <c:v>0.93500000000000005</c:v>
                </c:pt>
                <c:pt idx="3">
                  <c:v>0.89500000000000002</c:v>
                </c:pt>
                <c:pt idx="4">
                  <c:v>0.85499999999999998</c:v>
                </c:pt>
                <c:pt idx="5">
                  <c:v>0.81499999999999995</c:v>
                </c:pt>
                <c:pt idx="6">
                  <c:v>0.77500000000000002</c:v>
                </c:pt>
                <c:pt idx="7">
                  <c:v>0.73499999999999999</c:v>
                </c:pt>
                <c:pt idx="8">
                  <c:v>0.69500000000000095</c:v>
                </c:pt>
                <c:pt idx="9">
                  <c:v>0.65500000000000103</c:v>
                </c:pt>
                <c:pt idx="10">
                  <c:v>0.61500000000000099</c:v>
                </c:pt>
                <c:pt idx="11">
                  <c:v>0.57500000000000095</c:v>
                </c:pt>
                <c:pt idx="12">
                  <c:v>0.53500000000000103</c:v>
                </c:pt>
              </c:numCache>
            </c:numRef>
          </c:yVal>
          <c:smooth val="1"/>
          <c:extLst>
            <c:ext xmlns:c16="http://schemas.microsoft.com/office/drawing/2014/chart" uri="{C3380CC4-5D6E-409C-BE32-E72D297353CC}">
              <c16:uniqueId val="{00000001-CC20-4614-8449-357E4167093C}"/>
            </c:ext>
          </c:extLst>
        </c:ser>
        <c:dLbls>
          <c:showLegendKey val="0"/>
          <c:showVal val="0"/>
          <c:showCatName val="0"/>
          <c:showSerName val="0"/>
          <c:showPercent val="0"/>
          <c:showBubbleSize val="0"/>
        </c:dLbls>
        <c:axId val="99291424"/>
        <c:axId val="99279424"/>
      </c:scatterChart>
      <c:valAx>
        <c:axId val="99291424"/>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279424"/>
        <c:crosses val="autoZero"/>
        <c:crossBetween val="midCat"/>
      </c:valAx>
      <c:valAx>
        <c:axId val="99279424"/>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291424"/>
        <c:crosses val="autoZero"/>
        <c:crossBetween val="midCat"/>
      </c:valAx>
      <c:spPr>
        <a:noFill/>
        <a:ln>
          <a:solidFill>
            <a:sysClr val="windowText" lastClr="000000"/>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a:t>Sensitivity</a:t>
            </a:r>
            <a:r>
              <a:rPr lang="en-SG" baseline="0"/>
              <a:t> 1</a:t>
            </a:r>
            <a:endParaRPr lang="en-SG"/>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SG"/>
        </a:p>
      </c:txPr>
    </c:title>
    <c:autoTitleDeleted val="0"/>
    <c:plotArea>
      <c:layout/>
      <c:scatterChart>
        <c:scatterStyle val="smoothMarker"/>
        <c:varyColors val="0"/>
        <c:ser>
          <c:idx val="0"/>
          <c:order val="0"/>
          <c:tx>
            <c:strRef>
              <c:f>'1b. Business Resilience '!$Q$13</c:f>
              <c:strCache>
                <c:ptCount val="1"/>
                <c:pt idx="0">
                  <c:v>-0.01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'1b. Business Resilience '!$G$14:$G$20</c:f>
              <c:numCache>
                <c:formatCode>0.0%</c:formatCode>
                <c:ptCount val="7"/>
                <c:pt idx="0">
                  <c:v>0.34499999999999997</c:v>
                </c:pt>
                <c:pt idx="1">
                  <c:v>0.33500000000000002</c:v>
                </c:pt>
                <c:pt idx="2">
                  <c:v>0.32500000000000001</c:v>
                </c:pt>
                <c:pt idx="3">
                  <c:v>0.315</c:v>
                </c:pt>
                <c:pt idx="4">
                  <c:v>0.30499999999999999</c:v>
                </c:pt>
                <c:pt idx="5">
                  <c:v>0.29499999999999998</c:v>
                </c:pt>
                <c:pt idx="6">
                  <c:v>0.28499999999999998</c:v>
                </c:pt>
              </c:numCache>
            </c:numRef>
          </c:xVal>
          <c:yVal>
            <c:numRef>
              <c:f>'1b. Business Resilience '!$Q$14:$Q$20</c:f>
              <c:numCache>
                <c:formatCode>"$"#,##0.00</c:formatCode>
                <c:ptCount val="7"/>
                <c:pt idx="0">
                  <c:v>8618.6450000000041</c:v>
                </c:pt>
                <c:pt idx="1">
                  <c:v>8905.9449999999997</c:v>
                </c:pt>
                <c:pt idx="2">
                  <c:v>9193.2450000000026</c:v>
                </c:pt>
                <c:pt idx="3">
                  <c:v>9480.5449999999983</c:v>
                </c:pt>
                <c:pt idx="4">
                  <c:v>9767.8450000000012</c:v>
                </c:pt>
                <c:pt idx="5">
                  <c:v>10055.145</c:v>
                </c:pt>
                <c:pt idx="6">
                  <c:v>10342.445</c:v>
                </c:pt>
              </c:numCache>
            </c:numRef>
          </c:yVal>
          <c:smooth val="1"/>
          <c:extLst>
            <c:ext xmlns:c16="http://schemas.microsoft.com/office/drawing/2014/chart" uri="{C3380CC4-5D6E-409C-BE32-E72D297353CC}">
              <c16:uniqueId val="{00000000-A83D-4F18-8459-CA30FA08A9E9}"/>
            </c:ext>
          </c:extLst>
        </c:ser>
        <c:ser>
          <c:idx val="1"/>
          <c:order val="1"/>
          <c:tx>
            <c:strRef>
              <c:f>'1b. Business Resilience '!$P$13</c:f>
              <c:strCache>
                <c:ptCount val="1"/>
                <c:pt idx="0">
                  <c:v>-0.009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'1b. Business Resilience '!$G$14:$G$20</c:f>
              <c:numCache>
                <c:formatCode>0.0%</c:formatCode>
                <c:ptCount val="7"/>
                <c:pt idx="0">
                  <c:v>0.34499999999999997</c:v>
                </c:pt>
                <c:pt idx="1">
                  <c:v>0.33500000000000002</c:v>
                </c:pt>
                <c:pt idx="2">
                  <c:v>0.32500000000000001</c:v>
                </c:pt>
                <c:pt idx="3">
                  <c:v>0.315</c:v>
                </c:pt>
                <c:pt idx="4">
                  <c:v>0.30499999999999999</c:v>
                </c:pt>
                <c:pt idx="5">
                  <c:v>0.29499999999999998</c:v>
                </c:pt>
                <c:pt idx="6">
                  <c:v>0.28499999999999998</c:v>
                </c:pt>
              </c:numCache>
            </c:numRef>
          </c:xVal>
          <c:yVal>
            <c:numRef>
              <c:f>'1b. Business Resilience '!$P$14:$P$20</c:f>
              <c:numCache>
                <c:formatCode>"$"#,##0.00</c:formatCode>
                <c:ptCount val="7"/>
                <c:pt idx="0">
                  <c:v>11041.145000000004</c:v>
                </c:pt>
                <c:pt idx="1">
                  <c:v>11409.195</c:v>
                </c:pt>
                <c:pt idx="2">
                  <c:v>11777.245000000003</c:v>
                </c:pt>
                <c:pt idx="3">
                  <c:v>12145.294999999998</c:v>
                </c:pt>
                <c:pt idx="4">
                  <c:v>12513.345000000001</c:v>
                </c:pt>
                <c:pt idx="5">
                  <c:v>12881.395000000004</c:v>
                </c:pt>
                <c:pt idx="6">
                  <c:v>13249.445</c:v>
                </c:pt>
              </c:numCache>
            </c:numRef>
          </c:yVal>
          <c:smooth val="1"/>
          <c:extLst>
            <c:ext xmlns:c16="http://schemas.microsoft.com/office/drawing/2014/chart" uri="{C3380CC4-5D6E-409C-BE32-E72D297353CC}">
              <c16:uniqueId val="{00000001-A83D-4F18-8459-CA30FA08A9E9}"/>
            </c:ext>
          </c:extLst>
        </c:ser>
        <c:ser>
          <c:idx val="2"/>
          <c:order val="2"/>
          <c:tx>
            <c:strRef>
              <c:f>'1b. Business Resilience '!$O$13</c:f>
              <c:strCache>
                <c:ptCount val="1"/>
                <c:pt idx="0">
                  <c:v>-0.008</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'1b. Business Resilience '!$G$14:$G$20</c:f>
              <c:numCache>
                <c:formatCode>0.0%</c:formatCode>
                <c:ptCount val="7"/>
                <c:pt idx="0">
                  <c:v>0.34499999999999997</c:v>
                </c:pt>
                <c:pt idx="1">
                  <c:v>0.33500000000000002</c:v>
                </c:pt>
                <c:pt idx="2">
                  <c:v>0.32500000000000001</c:v>
                </c:pt>
                <c:pt idx="3">
                  <c:v>0.315</c:v>
                </c:pt>
                <c:pt idx="4">
                  <c:v>0.30499999999999999</c:v>
                </c:pt>
                <c:pt idx="5">
                  <c:v>0.29499999999999998</c:v>
                </c:pt>
                <c:pt idx="6">
                  <c:v>0.28499999999999998</c:v>
                </c:pt>
              </c:numCache>
            </c:numRef>
          </c:xVal>
          <c:yVal>
            <c:numRef>
              <c:f>'1b. Business Resilience '!$O$14:$O$20</c:f>
              <c:numCache>
                <c:formatCode>"$"#,##0.00</c:formatCode>
                <c:ptCount val="7"/>
                <c:pt idx="0">
                  <c:v>13489.145</c:v>
                </c:pt>
                <c:pt idx="1">
                  <c:v>13938.794999999998</c:v>
                </c:pt>
                <c:pt idx="2">
                  <c:v>14388.445</c:v>
                </c:pt>
                <c:pt idx="3">
                  <c:v>14838.095000000001</c:v>
                </c:pt>
                <c:pt idx="4">
                  <c:v>15287.745000000003</c:v>
                </c:pt>
                <c:pt idx="5">
                  <c:v>15737.395</c:v>
                </c:pt>
                <c:pt idx="6">
                  <c:v>16187.045000000002</c:v>
                </c:pt>
              </c:numCache>
            </c:numRef>
          </c:yVal>
          <c:smooth val="1"/>
          <c:extLst>
            <c:ext xmlns:c16="http://schemas.microsoft.com/office/drawing/2014/chart" uri="{C3380CC4-5D6E-409C-BE32-E72D297353CC}">
              <c16:uniqueId val="{00000002-A83D-4F18-8459-CA30FA08A9E9}"/>
            </c:ext>
          </c:extLst>
        </c:ser>
        <c:ser>
          <c:idx val="3"/>
          <c:order val="3"/>
          <c:tx>
            <c:strRef>
              <c:f>'1b. Business Resilience '!$N$13</c:f>
              <c:strCache>
                <c:ptCount val="1"/>
                <c:pt idx="0">
                  <c:v>-0.007</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'1b. Business Resilience '!$G$14:$G$20</c:f>
              <c:numCache>
                <c:formatCode>0.0%</c:formatCode>
                <c:ptCount val="7"/>
                <c:pt idx="0">
                  <c:v>0.34499999999999997</c:v>
                </c:pt>
                <c:pt idx="1">
                  <c:v>0.33500000000000002</c:v>
                </c:pt>
                <c:pt idx="2">
                  <c:v>0.32500000000000001</c:v>
                </c:pt>
                <c:pt idx="3">
                  <c:v>0.315</c:v>
                </c:pt>
                <c:pt idx="4">
                  <c:v>0.30499999999999999</c:v>
                </c:pt>
                <c:pt idx="5">
                  <c:v>0.29499999999999998</c:v>
                </c:pt>
                <c:pt idx="6">
                  <c:v>0.28499999999999998</c:v>
                </c:pt>
              </c:numCache>
            </c:numRef>
          </c:xVal>
          <c:yVal>
            <c:numRef>
              <c:f>'1b. Business Resilience '!$N$14:$N$20</c:f>
              <c:numCache>
                <c:formatCode>"$"#,##0.00</c:formatCode>
                <c:ptCount val="7"/>
                <c:pt idx="0">
                  <c:v>15937.145000000004</c:v>
                </c:pt>
                <c:pt idx="1">
                  <c:v>16468.395000000004</c:v>
                </c:pt>
                <c:pt idx="2">
                  <c:v>16999.645000000004</c:v>
                </c:pt>
                <c:pt idx="3">
                  <c:v>17530.895000000004</c:v>
                </c:pt>
                <c:pt idx="4">
                  <c:v>18062.145000000004</c:v>
                </c:pt>
                <c:pt idx="5">
                  <c:v>18593.395000000004</c:v>
                </c:pt>
                <c:pt idx="6">
                  <c:v>19124.645000000004</c:v>
                </c:pt>
              </c:numCache>
            </c:numRef>
          </c:yVal>
          <c:smooth val="1"/>
          <c:extLst>
            <c:ext xmlns:c16="http://schemas.microsoft.com/office/drawing/2014/chart" uri="{C3380CC4-5D6E-409C-BE32-E72D297353CC}">
              <c16:uniqueId val="{00000003-A83D-4F18-8459-CA30FA08A9E9}"/>
            </c:ext>
          </c:extLst>
        </c:ser>
        <c:ser>
          <c:idx val="4"/>
          <c:order val="4"/>
          <c:tx>
            <c:strRef>
              <c:f>'1b. Business Resilience '!$M$13</c:f>
              <c:strCache>
                <c:ptCount val="1"/>
                <c:pt idx="0">
                  <c:v>-0.006</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'1b. Business Resilience '!$G$14:$G$20</c:f>
              <c:numCache>
                <c:formatCode>0.0%</c:formatCode>
                <c:ptCount val="7"/>
                <c:pt idx="0">
                  <c:v>0.34499999999999997</c:v>
                </c:pt>
                <c:pt idx="1">
                  <c:v>0.33500000000000002</c:v>
                </c:pt>
                <c:pt idx="2">
                  <c:v>0.32500000000000001</c:v>
                </c:pt>
                <c:pt idx="3">
                  <c:v>0.315</c:v>
                </c:pt>
                <c:pt idx="4">
                  <c:v>0.30499999999999999</c:v>
                </c:pt>
                <c:pt idx="5">
                  <c:v>0.29499999999999998</c:v>
                </c:pt>
                <c:pt idx="6">
                  <c:v>0.28499999999999998</c:v>
                </c:pt>
              </c:numCache>
            </c:numRef>
          </c:xVal>
          <c:yVal>
            <c:numRef>
              <c:f>'1b. Business Resilience '!$M$14:$M$20</c:f>
              <c:numCache>
                <c:formatCode>"$"#,##0.00</c:formatCode>
                <c:ptCount val="7"/>
                <c:pt idx="0">
                  <c:v>18385.145000000004</c:v>
                </c:pt>
                <c:pt idx="1">
                  <c:v>18997.994999999995</c:v>
                </c:pt>
                <c:pt idx="2">
                  <c:v>19610.845000000001</c:v>
                </c:pt>
                <c:pt idx="3">
                  <c:v>20223.695</c:v>
                </c:pt>
                <c:pt idx="4">
                  <c:v>20836.544999999998</c:v>
                </c:pt>
                <c:pt idx="5">
                  <c:v>21449.395000000004</c:v>
                </c:pt>
                <c:pt idx="6">
                  <c:v>22062.245000000003</c:v>
                </c:pt>
              </c:numCache>
            </c:numRef>
          </c:yVal>
          <c:smooth val="1"/>
          <c:extLst>
            <c:ext xmlns:c16="http://schemas.microsoft.com/office/drawing/2014/chart" uri="{C3380CC4-5D6E-409C-BE32-E72D297353CC}">
              <c16:uniqueId val="{00000004-A83D-4F18-8459-CA30FA08A9E9}"/>
            </c:ext>
          </c:extLst>
        </c:ser>
        <c:ser>
          <c:idx val="5"/>
          <c:order val="5"/>
          <c:tx>
            <c:strRef>
              <c:f>'1b. Business Resilience '!$L$13</c:f>
              <c:strCache>
                <c:ptCount val="1"/>
                <c:pt idx="0">
                  <c:v>-0.005</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'1b. Business Resilience '!$G$14:$G$20</c:f>
              <c:numCache>
                <c:formatCode>0.0%</c:formatCode>
                <c:ptCount val="7"/>
                <c:pt idx="0">
                  <c:v>0.34499999999999997</c:v>
                </c:pt>
                <c:pt idx="1">
                  <c:v>0.33500000000000002</c:v>
                </c:pt>
                <c:pt idx="2">
                  <c:v>0.32500000000000001</c:v>
                </c:pt>
                <c:pt idx="3">
                  <c:v>0.315</c:v>
                </c:pt>
                <c:pt idx="4">
                  <c:v>0.30499999999999999</c:v>
                </c:pt>
                <c:pt idx="5">
                  <c:v>0.29499999999999998</c:v>
                </c:pt>
                <c:pt idx="6">
                  <c:v>0.28499999999999998</c:v>
                </c:pt>
              </c:numCache>
            </c:numRef>
          </c:xVal>
          <c:yVal>
            <c:numRef>
              <c:f>'1b. Business Resilience '!$L$14:$L$20</c:f>
              <c:numCache>
                <c:formatCode>"$"#,##0.00</c:formatCode>
                <c:ptCount val="7"/>
                <c:pt idx="0">
                  <c:v>20807.645000000004</c:v>
                </c:pt>
                <c:pt idx="1">
                  <c:v>21501.244999999995</c:v>
                </c:pt>
                <c:pt idx="2">
                  <c:v>22194.845000000001</c:v>
                </c:pt>
                <c:pt idx="3">
                  <c:v>22888.445</c:v>
                </c:pt>
                <c:pt idx="4">
                  <c:v>23582.044999999998</c:v>
                </c:pt>
                <c:pt idx="5">
                  <c:v>24275.645000000004</c:v>
                </c:pt>
                <c:pt idx="6">
                  <c:v>24969.245000000003</c:v>
                </c:pt>
              </c:numCache>
            </c:numRef>
          </c:yVal>
          <c:smooth val="1"/>
          <c:extLst>
            <c:ext xmlns:c16="http://schemas.microsoft.com/office/drawing/2014/chart" uri="{C3380CC4-5D6E-409C-BE32-E72D297353CC}">
              <c16:uniqueId val="{00000005-A83D-4F18-8459-CA30FA08A9E9}"/>
            </c:ext>
          </c:extLst>
        </c:ser>
        <c:ser>
          <c:idx val="6"/>
          <c:order val="6"/>
          <c:tx>
            <c:strRef>
              <c:f>'1b. Business Resilience '!$K$13</c:f>
              <c:strCache>
                <c:ptCount val="1"/>
                <c:pt idx="0">
                  <c:v>-0.004</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'1b. Business Resilience '!$G$14:$G$20</c:f>
              <c:numCache>
                <c:formatCode>0.0%</c:formatCode>
                <c:ptCount val="7"/>
                <c:pt idx="0">
                  <c:v>0.34499999999999997</c:v>
                </c:pt>
                <c:pt idx="1">
                  <c:v>0.33500000000000002</c:v>
                </c:pt>
                <c:pt idx="2">
                  <c:v>0.32500000000000001</c:v>
                </c:pt>
                <c:pt idx="3">
                  <c:v>0.315</c:v>
                </c:pt>
                <c:pt idx="4">
                  <c:v>0.30499999999999999</c:v>
                </c:pt>
                <c:pt idx="5">
                  <c:v>0.29499999999999998</c:v>
                </c:pt>
                <c:pt idx="6">
                  <c:v>0.28499999999999998</c:v>
                </c:pt>
              </c:numCache>
            </c:numRef>
          </c:xVal>
          <c:yVal>
            <c:numRef>
              <c:f>'1b. Business Resilience '!$K$14:$K$20</c:f>
              <c:numCache>
                <c:formatCode>"$"#,##0.00</c:formatCode>
                <c:ptCount val="7"/>
                <c:pt idx="0">
                  <c:v>23255.645000000004</c:v>
                </c:pt>
                <c:pt idx="1">
                  <c:v>24030.845000000001</c:v>
                </c:pt>
                <c:pt idx="2">
                  <c:v>24806.044999999998</c:v>
                </c:pt>
                <c:pt idx="3">
                  <c:v>25581.245000000003</c:v>
                </c:pt>
                <c:pt idx="4">
                  <c:v>26356.445000000007</c:v>
                </c:pt>
                <c:pt idx="5">
                  <c:v>27131.645000000004</c:v>
                </c:pt>
                <c:pt idx="6">
                  <c:v>27906.845000000001</c:v>
                </c:pt>
              </c:numCache>
            </c:numRef>
          </c:yVal>
          <c:smooth val="1"/>
          <c:extLst>
            <c:ext xmlns:c16="http://schemas.microsoft.com/office/drawing/2014/chart" uri="{C3380CC4-5D6E-409C-BE32-E72D297353CC}">
              <c16:uniqueId val="{00000006-A83D-4F18-8459-CA30FA08A9E9}"/>
            </c:ext>
          </c:extLst>
        </c:ser>
        <c:ser>
          <c:idx val="7"/>
          <c:order val="7"/>
          <c:tx>
            <c:strRef>
              <c:f>'1b. Business Resilience '!$J$13</c:f>
              <c:strCache>
                <c:ptCount val="1"/>
                <c:pt idx="0">
                  <c:v>-0.003</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'1b. Business Resilience '!$G$14:$G$20</c:f>
              <c:numCache>
                <c:formatCode>0.0%</c:formatCode>
                <c:ptCount val="7"/>
                <c:pt idx="0">
                  <c:v>0.34499999999999997</c:v>
                </c:pt>
                <c:pt idx="1">
                  <c:v>0.33500000000000002</c:v>
                </c:pt>
                <c:pt idx="2">
                  <c:v>0.32500000000000001</c:v>
                </c:pt>
                <c:pt idx="3">
                  <c:v>0.315</c:v>
                </c:pt>
                <c:pt idx="4">
                  <c:v>0.30499999999999999</c:v>
                </c:pt>
                <c:pt idx="5">
                  <c:v>0.29499999999999998</c:v>
                </c:pt>
                <c:pt idx="6">
                  <c:v>0.28499999999999998</c:v>
                </c:pt>
              </c:numCache>
            </c:numRef>
          </c:xVal>
          <c:yVal>
            <c:numRef>
              <c:f>'1b. Business Resilience '!$J$14:$J$20</c:f>
              <c:numCache>
                <c:formatCode>"$"#,##0.00</c:formatCode>
                <c:ptCount val="7"/>
                <c:pt idx="0">
                  <c:v>25703.645000000004</c:v>
                </c:pt>
                <c:pt idx="1">
                  <c:v>26560.445</c:v>
                </c:pt>
                <c:pt idx="2">
                  <c:v>27417.245000000003</c:v>
                </c:pt>
                <c:pt idx="3">
                  <c:v>28274.044999999998</c:v>
                </c:pt>
                <c:pt idx="4">
                  <c:v>29130.845000000001</c:v>
                </c:pt>
                <c:pt idx="5">
                  <c:v>29987.645000000004</c:v>
                </c:pt>
                <c:pt idx="6">
                  <c:v>30844.445</c:v>
                </c:pt>
              </c:numCache>
            </c:numRef>
          </c:yVal>
          <c:smooth val="1"/>
          <c:extLst>
            <c:ext xmlns:c16="http://schemas.microsoft.com/office/drawing/2014/chart" uri="{C3380CC4-5D6E-409C-BE32-E72D297353CC}">
              <c16:uniqueId val="{00000007-A83D-4F18-8459-CA30FA08A9E9}"/>
            </c:ext>
          </c:extLst>
        </c:ser>
        <c:ser>
          <c:idx val="8"/>
          <c:order val="8"/>
          <c:tx>
            <c:strRef>
              <c:f>'1b. Business Resilience '!$I$13</c:f>
              <c:strCache>
                <c:ptCount val="1"/>
                <c:pt idx="0">
                  <c:v>-0.002</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'1b. Business Resilience '!$G$14:$G$20</c:f>
              <c:numCache>
                <c:formatCode>0.0%</c:formatCode>
                <c:ptCount val="7"/>
                <c:pt idx="0">
                  <c:v>0.34499999999999997</c:v>
                </c:pt>
                <c:pt idx="1">
                  <c:v>0.33500000000000002</c:v>
                </c:pt>
                <c:pt idx="2">
                  <c:v>0.32500000000000001</c:v>
                </c:pt>
                <c:pt idx="3">
                  <c:v>0.315</c:v>
                </c:pt>
                <c:pt idx="4">
                  <c:v>0.30499999999999999</c:v>
                </c:pt>
                <c:pt idx="5">
                  <c:v>0.29499999999999998</c:v>
                </c:pt>
                <c:pt idx="6">
                  <c:v>0.28499999999999998</c:v>
                </c:pt>
              </c:numCache>
            </c:numRef>
          </c:xVal>
          <c:yVal>
            <c:numRef>
              <c:f>'1b. Business Resilience '!$I$14:$I$20</c:f>
              <c:numCache>
                <c:formatCode>"$"#,##0.00</c:formatCode>
                <c:ptCount val="7"/>
                <c:pt idx="0">
                  <c:v>28126.145000000004</c:v>
                </c:pt>
                <c:pt idx="1">
                  <c:v>29063.695</c:v>
                </c:pt>
                <c:pt idx="2">
                  <c:v>30001.245000000003</c:v>
                </c:pt>
                <c:pt idx="3">
                  <c:v>30938.794999999998</c:v>
                </c:pt>
                <c:pt idx="4">
                  <c:v>31876.345000000001</c:v>
                </c:pt>
                <c:pt idx="5">
                  <c:v>32813.895000000004</c:v>
                </c:pt>
                <c:pt idx="6">
                  <c:v>33751.445</c:v>
                </c:pt>
              </c:numCache>
            </c:numRef>
          </c:yVal>
          <c:smooth val="1"/>
          <c:extLst>
            <c:ext xmlns:c16="http://schemas.microsoft.com/office/drawing/2014/chart" uri="{C3380CC4-5D6E-409C-BE32-E72D297353CC}">
              <c16:uniqueId val="{00000008-A83D-4F18-8459-CA30FA08A9E9}"/>
            </c:ext>
          </c:extLst>
        </c:ser>
        <c:ser>
          <c:idx val="9"/>
          <c:order val="9"/>
          <c:tx>
            <c:strRef>
              <c:f>'1b. Business Resilience '!$H$13</c:f>
              <c:strCache>
                <c:ptCount val="1"/>
                <c:pt idx="0">
                  <c:v>-0.001</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'1b. Business Resilience '!$G$14:$G$20</c:f>
              <c:numCache>
                <c:formatCode>0.0%</c:formatCode>
                <c:ptCount val="7"/>
                <c:pt idx="0">
                  <c:v>0.34499999999999997</c:v>
                </c:pt>
                <c:pt idx="1">
                  <c:v>0.33500000000000002</c:v>
                </c:pt>
                <c:pt idx="2">
                  <c:v>0.32500000000000001</c:v>
                </c:pt>
                <c:pt idx="3">
                  <c:v>0.315</c:v>
                </c:pt>
                <c:pt idx="4">
                  <c:v>0.30499999999999999</c:v>
                </c:pt>
                <c:pt idx="5">
                  <c:v>0.29499999999999998</c:v>
                </c:pt>
                <c:pt idx="6">
                  <c:v>0.28499999999999998</c:v>
                </c:pt>
              </c:numCache>
            </c:numRef>
          </c:xVal>
          <c:yVal>
            <c:numRef>
              <c:f>'1b. Business Resilience '!$H$14:$H$20</c:f>
              <c:numCache>
                <c:formatCode>"$"#,##0.00</c:formatCode>
                <c:ptCount val="7"/>
                <c:pt idx="0">
                  <c:v>30574.145000000004</c:v>
                </c:pt>
                <c:pt idx="1">
                  <c:v>31593.294999999998</c:v>
                </c:pt>
                <c:pt idx="2">
                  <c:v>32612.445000000007</c:v>
                </c:pt>
                <c:pt idx="3">
                  <c:v>33631.595000000001</c:v>
                </c:pt>
                <c:pt idx="4">
                  <c:v>34650.744999999995</c:v>
                </c:pt>
                <c:pt idx="5">
                  <c:v>35669.895000000004</c:v>
                </c:pt>
                <c:pt idx="6">
                  <c:v>36689.045000000006</c:v>
                </c:pt>
              </c:numCache>
            </c:numRef>
          </c:yVal>
          <c:smooth val="1"/>
          <c:extLst>
            <c:ext xmlns:c16="http://schemas.microsoft.com/office/drawing/2014/chart" uri="{C3380CC4-5D6E-409C-BE32-E72D297353CC}">
              <c16:uniqueId val="{00000009-A83D-4F18-8459-CA30FA08A9E9}"/>
            </c:ext>
          </c:extLst>
        </c:ser>
        <c:dLbls>
          <c:showLegendKey val="0"/>
          <c:showVal val="0"/>
          <c:showCatName val="0"/>
          <c:showSerName val="0"/>
          <c:showPercent val="0"/>
          <c:showBubbleSize val="0"/>
        </c:dLbls>
        <c:axId val="86867008"/>
        <c:axId val="86861728"/>
      </c:scatterChart>
      <c:valAx>
        <c:axId val="86867008"/>
        <c:scaling>
          <c:orientation val="minMax"/>
          <c:min val="0.27"/>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SG"/>
                  <a:t>Weekend Ingredient Cost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861728"/>
        <c:crosses val="autoZero"/>
        <c:crossBetween val="midCat"/>
        <c:minorUnit val="2.0000000000000005E-3"/>
      </c:valAx>
      <c:valAx>
        <c:axId val="868617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SG"/>
                  <a:t>Profit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86700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a:t>Sensitivity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'1b. Business Resilience '!$AC$13</c:f>
              <c:strCache>
                <c:ptCount val="1"/>
                <c:pt idx="0">
                  <c:v>-0.001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'1b. Business Resilience '!$S$14:$S$20</c:f>
              <c:numCache>
                <c:formatCode>0.0%</c:formatCode>
                <c:ptCount val="7"/>
                <c:pt idx="0">
                  <c:v>0.34499999999999997</c:v>
                </c:pt>
                <c:pt idx="1">
                  <c:v>0.33500000000000002</c:v>
                </c:pt>
                <c:pt idx="2">
                  <c:v>0.32500000000000001</c:v>
                </c:pt>
                <c:pt idx="3">
                  <c:v>0.315</c:v>
                </c:pt>
                <c:pt idx="4">
                  <c:v>0.30499999999999999</c:v>
                </c:pt>
                <c:pt idx="5">
                  <c:v>0.29499999999999998</c:v>
                </c:pt>
                <c:pt idx="6">
                  <c:v>0.28499999999999998</c:v>
                </c:pt>
              </c:numCache>
            </c:numRef>
          </c:xVal>
          <c:yVal>
            <c:numRef>
              <c:f>'1b. Business Resilience '!$AC$14:$AC$20</c:f>
              <c:numCache>
                <c:formatCode>"$"#,##0.00</c:formatCode>
                <c:ptCount val="7"/>
                <c:pt idx="0">
                  <c:v>43347.150000000009</c:v>
                </c:pt>
                <c:pt idx="1">
                  <c:v>44792.054999999993</c:v>
                </c:pt>
                <c:pt idx="2">
                  <c:v>46236.960000000006</c:v>
                </c:pt>
                <c:pt idx="3">
                  <c:v>47681.865000000005</c:v>
                </c:pt>
                <c:pt idx="4">
                  <c:v>49126.770000000004</c:v>
                </c:pt>
                <c:pt idx="5">
                  <c:v>50571.675000000003</c:v>
                </c:pt>
                <c:pt idx="6">
                  <c:v>52016.58</c:v>
                </c:pt>
              </c:numCache>
            </c:numRef>
          </c:yVal>
          <c:smooth val="0"/>
          <c:extLst>
            <c:ext xmlns:c16="http://schemas.microsoft.com/office/drawing/2014/chart" uri="{C3380CC4-5D6E-409C-BE32-E72D297353CC}">
              <c16:uniqueId val="{00000000-02B2-4AB2-8196-7C2209BAC0CE}"/>
            </c:ext>
          </c:extLst>
        </c:ser>
        <c:ser>
          <c:idx val="1"/>
          <c:order val="1"/>
          <c:tx>
            <c:strRef>
              <c:f>'1b. Business Resilience '!$AB$13</c:f>
              <c:strCache>
                <c:ptCount val="1"/>
                <c:pt idx="0">
                  <c:v>-0.0009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'1b. Business Resilience '!$S$14:$S$20</c:f>
              <c:numCache>
                <c:formatCode>0.0%</c:formatCode>
                <c:ptCount val="7"/>
                <c:pt idx="0">
                  <c:v>0.34499999999999997</c:v>
                </c:pt>
                <c:pt idx="1">
                  <c:v>0.33500000000000002</c:v>
                </c:pt>
                <c:pt idx="2">
                  <c:v>0.32500000000000001</c:v>
                </c:pt>
                <c:pt idx="3">
                  <c:v>0.315</c:v>
                </c:pt>
                <c:pt idx="4">
                  <c:v>0.30499999999999999</c:v>
                </c:pt>
                <c:pt idx="5">
                  <c:v>0.29499999999999998</c:v>
                </c:pt>
                <c:pt idx="6">
                  <c:v>0.28499999999999998</c:v>
                </c:pt>
              </c:numCache>
            </c:numRef>
          </c:xVal>
          <c:yVal>
            <c:numRef>
              <c:f>'1b. Business Resilience '!$AB$14:$AB$20</c:f>
              <c:numCache>
                <c:formatCode>"$"#,##0.00</c:formatCode>
                <c:ptCount val="7"/>
                <c:pt idx="0">
                  <c:v>43659</c:v>
                </c:pt>
                <c:pt idx="1">
                  <c:v>45114.299999999988</c:v>
                </c:pt>
                <c:pt idx="2">
                  <c:v>46569.600000000006</c:v>
                </c:pt>
                <c:pt idx="3">
                  <c:v>48024.899999999994</c:v>
                </c:pt>
                <c:pt idx="4">
                  <c:v>49480.2</c:v>
                </c:pt>
                <c:pt idx="5">
                  <c:v>50935.5</c:v>
                </c:pt>
                <c:pt idx="6">
                  <c:v>52390.8</c:v>
                </c:pt>
              </c:numCache>
            </c:numRef>
          </c:yVal>
          <c:smooth val="0"/>
          <c:extLst>
            <c:ext xmlns:c16="http://schemas.microsoft.com/office/drawing/2014/chart" uri="{C3380CC4-5D6E-409C-BE32-E72D297353CC}">
              <c16:uniqueId val="{00000001-02B2-4AB2-8196-7C2209BAC0CE}"/>
            </c:ext>
          </c:extLst>
        </c:ser>
        <c:ser>
          <c:idx val="2"/>
          <c:order val="2"/>
          <c:tx>
            <c:strRef>
              <c:f>'1b. Business Resilience '!$AA$13</c:f>
              <c:strCache>
                <c:ptCount val="1"/>
                <c:pt idx="0">
                  <c:v>-0.0008</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'1b. Business Resilience '!$S$14:$S$20</c:f>
              <c:numCache>
                <c:formatCode>0.0%</c:formatCode>
                <c:ptCount val="7"/>
                <c:pt idx="0">
                  <c:v>0.34499999999999997</c:v>
                </c:pt>
                <c:pt idx="1">
                  <c:v>0.33500000000000002</c:v>
                </c:pt>
                <c:pt idx="2">
                  <c:v>0.32500000000000001</c:v>
                </c:pt>
                <c:pt idx="3">
                  <c:v>0.315</c:v>
                </c:pt>
                <c:pt idx="4">
                  <c:v>0.30499999999999999</c:v>
                </c:pt>
                <c:pt idx="5">
                  <c:v>0.29499999999999998</c:v>
                </c:pt>
                <c:pt idx="6">
                  <c:v>0.28499999999999998</c:v>
                </c:pt>
              </c:numCache>
            </c:numRef>
          </c:xVal>
          <c:yVal>
            <c:numRef>
              <c:f>'1b. Business Resilience '!$AA$14:$AA$20</c:f>
              <c:numCache>
                <c:formatCode>"$"#,##0.00</c:formatCode>
                <c:ptCount val="7"/>
                <c:pt idx="0">
                  <c:v>43970.850000000006</c:v>
                </c:pt>
                <c:pt idx="1">
                  <c:v>45436.544999999998</c:v>
                </c:pt>
                <c:pt idx="2">
                  <c:v>46902.239999999991</c:v>
                </c:pt>
                <c:pt idx="3">
                  <c:v>48367.934999999998</c:v>
                </c:pt>
                <c:pt idx="4">
                  <c:v>49833.630000000005</c:v>
                </c:pt>
                <c:pt idx="5">
                  <c:v>51299.325000000012</c:v>
                </c:pt>
                <c:pt idx="6">
                  <c:v>52765.020000000004</c:v>
                </c:pt>
              </c:numCache>
            </c:numRef>
          </c:yVal>
          <c:smooth val="0"/>
          <c:extLst>
            <c:ext xmlns:c16="http://schemas.microsoft.com/office/drawing/2014/chart" uri="{C3380CC4-5D6E-409C-BE32-E72D297353CC}">
              <c16:uniqueId val="{00000002-02B2-4AB2-8196-7C2209BAC0CE}"/>
            </c:ext>
          </c:extLst>
        </c:ser>
        <c:ser>
          <c:idx val="3"/>
          <c:order val="3"/>
          <c:tx>
            <c:strRef>
              <c:f>'1b. Business Resilience '!$Z$13</c:f>
              <c:strCache>
                <c:ptCount val="1"/>
                <c:pt idx="0">
                  <c:v>-0.0007</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'1b. Business Resilience '!$S$14:$S$20</c:f>
              <c:numCache>
                <c:formatCode>0.0%</c:formatCode>
                <c:ptCount val="7"/>
                <c:pt idx="0">
                  <c:v>0.34499999999999997</c:v>
                </c:pt>
                <c:pt idx="1">
                  <c:v>0.33500000000000002</c:v>
                </c:pt>
                <c:pt idx="2">
                  <c:v>0.32500000000000001</c:v>
                </c:pt>
                <c:pt idx="3">
                  <c:v>0.315</c:v>
                </c:pt>
                <c:pt idx="4">
                  <c:v>0.30499999999999999</c:v>
                </c:pt>
                <c:pt idx="5">
                  <c:v>0.29499999999999998</c:v>
                </c:pt>
                <c:pt idx="6">
                  <c:v>0.28499999999999998</c:v>
                </c:pt>
              </c:numCache>
            </c:numRef>
          </c:xVal>
          <c:yVal>
            <c:numRef>
              <c:f>'1b. Business Resilience '!$Z$14:$Z$20</c:f>
              <c:numCache>
                <c:formatCode>"$"#,##0.00</c:formatCode>
                <c:ptCount val="7"/>
                <c:pt idx="0">
                  <c:v>44311.05</c:v>
                </c:pt>
                <c:pt idx="1">
                  <c:v>45788.084999999992</c:v>
                </c:pt>
                <c:pt idx="2">
                  <c:v>47265.119999999995</c:v>
                </c:pt>
                <c:pt idx="3">
                  <c:v>48742.154999999999</c:v>
                </c:pt>
                <c:pt idx="4">
                  <c:v>50219.19</c:v>
                </c:pt>
                <c:pt idx="5">
                  <c:v>51696.225000000006</c:v>
                </c:pt>
                <c:pt idx="6">
                  <c:v>53173.260000000009</c:v>
                </c:pt>
              </c:numCache>
            </c:numRef>
          </c:yVal>
          <c:smooth val="0"/>
          <c:extLst>
            <c:ext xmlns:c16="http://schemas.microsoft.com/office/drawing/2014/chart" uri="{C3380CC4-5D6E-409C-BE32-E72D297353CC}">
              <c16:uniqueId val="{00000003-02B2-4AB2-8196-7C2209BAC0CE}"/>
            </c:ext>
          </c:extLst>
        </c:ser>
        <c:ser>
          <c:idx val="4"/>
          <c:order val="4"/>
          <c:tx>
            <c:strRef>
              <c:f>'1b. Business Resilience '!$Y$13</c:f>
              <c:strCache>
                <c:ptCount val="1"/>
                <c:pt idx="0">
                  <c:v>-0.0006</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'1b. Business Resilience '!$S$14:$S$20</c:f>
              <c:numCache>
                <c:formatCode>0.0%</c:formatCode>
                <c:ptCount val="7"/>
                <c:pt idx="0">
                  <c:v>0.34499999999999997</c:v>
                </c:pt>
                <c:pt idx="1">
                  <c:v>0.33500000000000002</c:v>
                </c:pt>
                <c:pt idx="2">
                  <c:v>0.32500000000000001</c:v>
                </c:pt>
                <c:pt idx="3">
                  <c:v>0.315</c:v>
                </c:pt>
                <c:pt idx="4">
                  <c:v>0.30499999999999999</c:v>
                </c:pt>
                <c:pt idx="5">
                  <c:v>0.29499999999999998</c:v>
                </c:pt>
                <c:pt idx="6">
                  <c:v>0.28499999999999998</c:v>
                </c:pt>
              </c:numCache>
            </c:numRef>
          </c:xVal>
          <c:yVal>
            <c:numRef>
              <c:f>'1b. Business Resilience '!$Y$14:$Y$20</c:f>
              <c:numCache>
                <c:formatCode>"$"#,##0.00</c:formatCode>
                <c:ptCount val="7"/>
                <c:pt idx="0">
                  <c:v>44622.899999999994</c:v>
                </c:pt>
                <c:pt idx="1">
                  <c:v>46110.329999999987</c:v>
                </c:pt>
                <c:pt idx="2">
                  <c:v>47597.760000000009</c:v>
                </c:pt>
                <c:pt idx="3">
                  <c:v>49085.19</c:v>
                </c:pt>
                <c:pt idx="4">
                  <c:v>50572.619999999995</c:v>
                </c:pt>
                <c:pt idx="5">
                  <c:v>52060.05</c:v>
                </c:pt>
                <c:pt idx="6">
                  <c:v>53547.48000000001</c:v>
                </c:pt>
              </c:numCache>
            </c:numRef>
          </c:yVal>
          <c:smooth val="0"/>
          <c:extLst>
            <c:ext xmlns:c16="http://schemas.microsoft.com/office/drawing/2014/chart" uri="{C3380CC4-5D6E-409C-BE32-E72D297353CC}">
              <c16:uniqueId val="{00000004-02B2-4AB2-8196-7C2209BAC0CE}"/>
            </c:ext>
          </c:extLst>
        </c:ser>
        <c:ser>
          <c:idx val="5"/>
          <c:order val="5"/>
          <c:tx>
            <c:strRef>
              <c:f>'1b. Business Resilience '!$X$13</c:f>
              <c:strCache>
                <c:ptCount val="1"/>
                <c:pt idx="0">
                  <c:v>-0.0005</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'1b. Business Resilience '!$S$14:$S$20</c:f>
              <c:numCache>
                <c:formatCode>0.0%</c:formatCode>
                <c:ptCount val="7"/>
                <c:pt idx="0">
                  <c:v>0.34499999999999997</c:v>
                </c:pt>
                <c:pt idx="1">
                  <c:v>0.33500000000000002</c:v>
                </c:pt>
                <c:pt idx="2">
                  <c:v>0.32500000000000001</c:v>
                </c:pt>
                <c:pt idx="3">
                  <c:v>0.315</c:v>
                </c:pt>
                <c:pt idx="4">
                  <c:v>0.30499999999999999</c:v>
                </c:pt>
                <c:pt idx="5">
                  <c:v>0.29499999999999998</c:v>
                </c:pt>
                <c:pt idx="6">
                  <c:v>0.28499999999999998</c:v>
                </c:pt>
              </c:numCache>
            </c:numRef>
          </c:xVal>
          <c:yVal>
            <c:numRef>
              <c:f>'1b. Business Resilience '!$X$14:$X$20</c:f>
              <c:numCache>
                <c:formatCode>"$"#,##0.00</c:formatCode>
                <c:ptCount val="7"/>
                <c:pt idx="0">
                  <c:v>44963.100000000006</c:v>
                </c:pt>
                <c:pt idx="1">
                  <c:v>46461.869999999995</c:v>
                </c:pt>
                <c:pt idx="2">
                  <c:v>47960.639999999999</c:v>
                </c:pt>
                <c:pt idx="3">
                  <c:v>49459.41</c:v>
                </c:pt>
                <c:pt idx="4">
                  <c:v>50958.179999999993</c:v>
                </c:pt>
                <c:pt idx="5">
                  <c:v>52456.950000000012</c:v>
                </c:pt>
                <c:pt idx="6">
                  <c:v>53955.72</c:v>
                </c:pt>
              </c:numCache>
            </c:numRef>
          </c:yVal>
          <c:smooth val="0"/>
          <c:extLst>
            <c:ext xmlns:c16="http://schemas.microsoft.com/office/drawing/2014/chart" uri="{C3380CC4-5D6E-409C-BE32-E72D297353CC}">
              <c16:uniqueId val="{00000005-02B2-4AB2-8196-7C2209BAC0CE}"/>
            </c:ext>
          </c:extLst>
        </c:ser>
        <c:ser>
          <c:idx val="6"/>
          <c:order val="6"/>
          <c:tx>
            <c:strRef>
              <c:f>'1b. Business Resilience '!$W$13</c:f>
              <c:strCache>
                <c:ptCount val="1"/>
                <c:pt idx="0">
                  <c:v>-0.0004</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'1b. Business Resilience '!$S$14:$S$20</c:f>
              <c:numCache>
                <c:formatCode>0.0%</c:formatCode>
                <c:ptCount val="7"/>
                <c:pt idx="0">
                  <c:v>0.34499999999999997</c:v>
                </c:pt>
                <c:pt idx="1">
                  <c:v>0.33500000000000002</c:v>
                </c:pt>
                <c:pt idx="2">
                  <c:v>0.32500000000000001</c:v>
                </c:pt>
                <c:pt idx="3">
                  <c:v>0.315</c:v>
                </c:pt>
                <c:pt idx="4">
                  <c:v>0.30499999999999999</c:v>
                </c:pt>
                <c:pt idx="5">
                  <c:v>0.29499999999999998</c:v>
                </c:pt>
                <c:pt idx="6">
                  <c:v>0.28499999999999998</c:v>
                </c:pt>
              </c:numCache>
            </c:numRef>
          </c:xVal>
          <c:yVal>
            <c:numRef>
              <c:f>'1b. Business Resilience '!$W$14:$W$20</c:f>
              <c:numCache>
                <c:formatCode>"$"#,##0.00</c:formatCode>
                <c:ptCount val="7"/>
                <c:pt idx="0">
                  <c:v>45274.95</c:v>
                </c:pt>
                <c:pt idx="1">
                  <c:v>46784.114999999991</c:v>
                </c:pt>
                <c:pt idx="2">
                  <c:v>48293.279999999999</c:v>
                </c:pt>
                <c:pt idx="3">
                  <c:v>49802.445000000007</c:v>
                </c:pt>
                <c:pt idx="4">
                  <c:v>51311.61</c:v>
                </c:pt>
                <c:pt idx="5">
                  <c:v>52820.774999999994</c:v>
                </c:pt>
                <c:pt idx="6">
                  <c:v>54329.94</c:v>
                </c:pt>
              </c:numCache>
            </c:numRef>
          </c:yVal>
          <c:smooth val="0"/>
          <c:extLst>
            <c:ext xmlns:c16="http://schemas.microsoft.com/office/drawing/2014/chart" uri="{C3380CC4-5D6E-409C-BE32-E72D297353CC}">
              <c16:uniqueId val="{00000006-02B2-4AB2-8196-7C2209BAC0CE}"/>
            </c:ext>
          </c:extLst>
        </c:ser>
        <c:ser>
          <c:idx val="7"/>
          <c:order val="7"/>
          <c:tx>
            <c:strRef>
              <c:f>'1b. Business Resilience '!$V$13</c:f>
              <c:strCache>
                <c:ptCount val="1"/>
                <c:pt idx="0">
                  <c:v>-0.0003</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'1b. Business Resilience '!$S$14:$S$20</c:f>
              <c:numCache>
                <c:formatCode>0.0%</c:formatCode>
                <c:ptCount val="7"/>
                <c:pt idx="0">
                  <c:v>0.34499999999999997</c:v>
                </c:pt>
                <c:pt idx="1">
                  <c:v>0.33500000000000002</c:v>
                </c:pt>
                <c:pt idx="2">
                  <c:v>0.32500000000000001</c:v>
                </c:pt>
                <c:pt idx="3">
                  <c:v>0.315</c:v>
                </c:pt>
                <c:pt idx="4">
                  <c:v>0.30499999999999999</c:v>
                </c:pt>
                <c:pt idx="5">
                  <c:v>0.29499999999999998</c:v>
                </c:pt>
                <c:pt idx="6">
                  <c:v>0.28499999999999998</c:v>
                </c:pt>
              </c:numCache>
            </c:numRef>
          </c:xVal>
          <c:yVal>
            <c:numRef>
              <c:f>'1b. Business Resilience '!$V$14:$V$20</c:f>
              <c:numCache>
                <c:formatCode>"$"#,##0.00</c:formatCode>
                <c:ptCount val="7"/>
                <c:pt idx="0">
                  <c:v>45615.150000000009</c:v>
                </c:pt>
                <c:pt idx="1">
                  <c:v>47135.654999999999</c:v>
                </c:pt>
                <c:pt idx="2">
                  <c:v>48656.160000000003</c:v>
                </c:pt>
                <c:pt idx="3">
                  <c:v>50176.665000000008</c:v>
                </c:pt>
                <c:pt idx="4">
                  <c:v>51697.170000000013</c:v>
                </c:pt>
                <c:pt idx="5">
                  <c:v>53217.675000000003</c:v>
                </c:pt>
                <c:pt idx="6">
                  <c:v>54738.180000000008</c:v>
                </c:pt>
              </c:numCache>
            </c:numRef>
          </c:yVal>
          <c:smooth val="0"/>
          <c:extLst>
            <c:ext xmlns:c16="http://schemas.microsoft.com/office/drawing/2014/chart" uri="{C3380CC4-5D6E-409C-BE32-E72D297353CC}">
              <c16:uniqueId val="{00000007-02B2-4AB2-8196-7C2209BAC0CE}"/>
            </c:ext>
          </c:extLst>
        </c:ser>
        <c:ser>
          <c:idx val="8"/>
          <c:order val="8"/>
          <c:tx>
            <c:strRef>
              <c:f>'1b. Business Resilience '!$U$13</c:f>
              <c:strCache>
                <c:ptCount val="1"/>
                <c:pt idx="0">
                  <c:v>-0.0002</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'1b. Business Resilience '!$S$14:$S$20</c:f>
              <c:numCache>
                <c:formatCode>0.0%</c:formatCode>
                <c:ptCount val="7"/>
                <c:pt idx="0">
                  <c:v>0.34499999999999997</c:v>
                </c:pt>
                <c:pt idx="1">
                  <c:v>0.33500000000000002</c:v>
                </c:pt>
                <c:pt idx="2">
                  <c:v>0.32500000000000001</c:v>
                </c:pt>
                <c:pt idx="3">
                  <c:v>0.315</c:v>
                </c:pt>
                <c:pt idx="4">
                  <c:v>0.30499999999999999</c:v>
                </c:pt>
                <c:pt idx="5">
                  <c:v>0.29499999999999998</c:v>
                </c:pt>
                <c:pt idx="6">
                  <c:v>0.28499999999999998</c:v>
                </c:pt>
              </c:numCache>
            </c:numRef>
          </c:xVal>
          <c:yVal>
            <c:numRef>
              <c:f>'1b. Business Resilience '!$U$14:$U$20</c:f>
              <c:numCache>
                <c:formatCode>"$"#,##0.00</c:formatCode>
                <c:ptCount val="7"/>
                <c:pt idx="0">
                  <c:v>45927</c:v>
                </c:pt>
                <c:pt idx="1">
                  <c:v>47457.899999999994</c:v>
                </c:pt>
                <c:pt idx="2">
                  <c:v>48988.800000000003</c:v>
                </c:pt>
                <c:pt idx="3">
                  <c:v>50519.700000000012</c:v>
                </c:pt>
                <c:pt idx="4">
                  <c:v>52050.600000000006</c:v>
                </c:pt>
                <c:pt idx="5">
                  <c:v>53581.5</c:v>
                </c:pt>
                <c:pt idx="6">
                  <c:v>55112.400000000009</c:v>
                </c:pt>
              </c:numCache>
            </c:numRef>
          </c:yVal>
          <c:smooth val="0"/>
          <c:extLst>
            <c:ext xmlns:c16="http://schemas.microsoft.com/office/drawing/2014/chart" uri="{C3380CC4-5D6E-409C-BE32-E72D297353CC}">
              <c16:uniqueId val="{00000008-02B2-4AB2-8196-7C2209BAC0CE}"/>
            </c:ext>
          </c:extLst>
        </c:ser>
        <c:ser>
          <c:idx val="9"/>
          <c:order val="9"/>
          <c:tx>
            <c:strRef>
              <c:f>'1b. Business Resilience '!$T$13</c:f>
              <c:strCache>
                <c:ptCount val="1"/>
                <c:pt idx="0">
                  <c:v>-0.0001</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'1b. Business Resilience '!$S$14:$S$20</c:f>
              <c:numCache>
                <c:formatCode>0.0%</c:formatCode>
                <c:ptCount val="7"/>
                <c:pt idx="0">
                  <c:v>0.34499999999999997</c:v>
                </c:pt>
                <c:pt idx="1">
                  <c:v>0.33500000000000002</c:v>
                </c:pt>
                <c:pt idx="2">
                  <c:v>0.32500000000000001</c:v>
                </c:pt>
                <c:pt idx="3">
                  <c:v>0.315</c:v>
                </c:pt>
                <c:pt idx="4">
                  <c:v>0.30499999999999999</c:v>
                </c:pt>
                <c:pt idx="5">
                  <c:v>0.29499999999999998</c:v>
                </c:pt>
                <c:pt idx="6">
                  <c:v>0.28499999999999998</c:v>
                </c:pt>
              </c:numCache>
            </c:numRef>
          </c:xVal>
          <c:yVal>
            <c:numRef>
              <c:f>'1b. Business Resilience '!$T$14:$T$20</c:f>
              <c:numCache>
                <c:formatCode>"$"#,##0.00</c:formatCode>
                <c:ptCount val="7"/>
                <c:pt idx="0">
                  <c:v>46267.199999999997</c:v>
                </c:pt>
                <c:pt idx="1">
                  <c:v>47809.440000000002</c:v>
                </c:pt>
                <c:pt idx="2">
                  <c:v>49351.679999999993</c:v>
                </c:pt>
                <c:pt idx="3">
                  <c:v>50893.920000000013</c:v>
                </c:pt>
                <c:pt idx="4">
                  <c:v>52436.160000000003</c:v>
                </c:pt>
                <c:pt idx="5">
                  <c:v>53978.400000000009</c:v>
                </c:pt>
                <c:pt idx="6">
                  <c:v>55520.640000000014</c:v>
                </c:pt>
              </c:numCache>
            </c:numRef>
          </c:yVal>
          <c:smooth val="0"/>
          <c:extLst>
            <c:ext xmlns:c16="http://schemas.microsoft.com/office/drawing/2014/chart" uri="{C3380CC4-5D6E-409C-BE32-E72D297353CC}">
              <c16:uniqueId val="{00000009-02B2-4AB2-8196-7C2209BAC0CE}"/>
            </c:ext>
          </c:extLst>
        </c:ser>
        <c:dLbls>
          <c:showLegendKey val="0"/>
          <c:showVal val="0"/>
          <c:showCatName val="0"/>
          <c:showSerName val="0"/>
          <c:showPercent val="0"/>
          <c:showBubbleSize val="0"/>
        </c:dLbls>
        <c:axId val="816062160"/>
        <c:axId val="816060720"/>
      </c:scatterChart>
      <c:valAx>
        <c:axId val="816062160"/>
        <c:scaling>
          <c:orientation val="minMax"/>
          <c:min val="0.2800000000000000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SG"/>
                  <a:t>Weekend Ingredient Cost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6060720"/>
        <c:crosses val="autoZero"/>
        <c:crossBetween val="midCat"/>
      </c:valAx>
      <c:valAx>
        <c:axId val="816060720"/>
        <c:scaling>
          <c:orientation val="minMax"/>
          <c:min val="37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SG"/>
                  <a:t>Profit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6062160"/>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a:t>Sensitivity</a:t>
            </a:r>
            <a:r>
              <a:rPr lang="en-SG" baseline="0"/>
              <a:t> 3</a:t>
            </a:r>
            <a:endParaRPr lang="en-SG"/>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SG"/>
        </a:p>
      </c:txPr>
    </c:title>
    <c:autoTitleDeleted val="0"/>
    <c:plotArea>
      <c:layout/>
      <c:scatterChart>
        <c:scatterStyle val="smoothMarker"/>
        <c:varyColors val="0"/>
        <c:ser>
          <c:idx val="0"/>
          <c:order val="0"/>
          <c:tx>
            <c:strRef>
              <c:f>'1b. Business Resilience '!$H$48</c:f>
              <c:strCache>
                <c:ptCount val="1"/>
                <c:pt idx="0">
                  <c:v>-0.001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'1b. Business Resilience '!$G$49:$G$59</c:f>
              <c:numCache>
                <c:formatCode>0%</c:formatCode>
                <c:ptCount val="11"/>
                <c:pt idx="0">
                  <c:v>0.3</c:v>
                </c:pt>
                <c:pt idx="1">
                  <c:v>0.28999999999999998</c:v>
                </c:pt>
                <c:pt idx="2">
                  <c:v>0.28000000000000003</c:v>
                </c:pt>
                <c:pt idx="3">
                  <c:v>0.27</c:v>
                </c:pt>
                <c:pt idx="4">
                  <c:v>0.26</c:v>
                </c:pt>
                <c:pt idx="5">
                  <c:v>0.25</c:v>
                </c:pt>
                <c:pt idx="6">
                  <c:v>0.24</c:v>
                </c:pt>
                <c:pt idx="7">
                  <c:v>0.23</c:v>
                </c:pt>
                <c:pt idx="8">
                  <c:v>0.22</c:v>
                </c:pt>
                <c:pt idx="9">
                  <c:v>0.21</c:v>
                </c:pt>
                <c:pt idx="10">
                  <c:v>0.2</c:v>
                </c:pt>
              </c:numCache>
            </c:numRef>
          </c:xVal>
          <c:yVal>
            <c:numRef>
              <c:f>'1b. Business Resilience '!$H$49:$H$59</c:f>
              <c:numCache>
                <c:formatCode>"$"#,##0.00</c:formatCode>
                <c:ptCount val="11"/>
                <c:pt idx="0">
                  <c:v>28535.794999999998</c:v>
                </c:pt>
                <c:pt idx="1">
                  <c:v>29554.955000000002</c:v>
                </c:pt>
                <c:pt idx="2">
                  <c:v>30574.114999999991</c:v>
                </c:pt>
                <c:pt idx="3">
                  <c:v>31593.274999999994</c:v>
                </c:pt>
                <c:pt idx="4">
                  <c:v>32612.434999999998</c:v>
                </c:pt>
                <c:pt idx="5">
                  <c:v>33631.595000000001</c:v>
                </c:pt>
                <c:pt idx="6">
                  <c:v>34650.755000000005</c:v>
                </c:pt>
                <c:pt idx="7">
                  <c:v>35669.914999999994</c:v>
                </c:pt>
                <c:pt idx="8">
                  <c:v>36689.074999999997</c:v>
                </c:pt>
                <c:pt idx="9">
                  <c:v>37708.235000000001</c:v>
                </c:pt>
                <c:pt idx="10">
                  <c:v>38727.395000000004</c:v>
                </c:pt>
              </c:numCache>
            </c:numRef>
          </c:yVal>
          <c:smooth val="1"/>
          <c:extLst>
            <c:ext xmlns:c16="http://schemas.microsoft.com/office/drawing/2014/chart" uri="{C3380CC4-5D6E-409C-BE32-E72D297353CC}">
              <c16:uniqueId val="{00000000-B30A-40C6-A51D-5C5B881BE429}"/>
            </c:ext>
          </c:extLst>
        </c:ser>
        <c:ser>
          <c:idx val="1"/>
          <c:order val="1"/>
          <c:tx>
            <c:strRef>
              <c:f>'1b. Business Resilience '!$I$48</c:f>
              <c:strCache>
                <c:ptCount val="1"/>
                <c:pt idx="0">
                  <c:v>-0.002</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'1b. Business Resilience '!$G$49:$G$59</c:f>
              <c:numCache>
                <c:formatCode>0%</c:formatCode>
                <c:ptCount val="11"/>
                <c:pt idx="0">
                  <c:v>0.3</c:v>
                </c:pt>
                <c:pt idx="1">
                  <c:v>0.28999999999999998</c:v>
                </c:pt>
                <c:pt idx="2">
                  <c:v>0.28000000000000003</c:v>
                </c:pt>
                <c:pt idx="3">
                  <c:v>0.27</c:v>
                </c:pt>
                <c:pt idx="4">
                  <c:v>0.26</c:v>
                </c:pt>
                <c:pt idx="5">
                  <c:v>0.25</c:v>
                </c:pt>
                <c:pt idx="6">
                  <c:v>0.24</c:v>
                </c:pt>
                <c:pt idx="7">
                  <c:v>0.23</c:v>
                </c:pt>
                <c:pt idx="8">
                  <c:v>0.22</c:v>
                </c:pt>
                <c:pt idx="9">
                  <c:v>0.21</c:v>
                </c:pt>
                <c:pt idx="10">
                  <c:v>0.2</c:v>
                </c:pt>
              </c:numCache>
            </c:numRef>
          </c:xVal>
          <c:yVal>
            <c:numRef>
              <c:f>'1b. Business Resilience '!$I$49:$I$59</c:f>
              <c:numCache>
                <c:formatCode>"$"#,##0.00</c:formatCode>
                <c:ptCount val="11"/>
                <c:pt idx="0">
                  <c:v>26250.994999999995</c:v>
                </c:pt>
                <c:pt idx="1">
                  <c:v>27188.554999999993</c:v>
                </c:pt>
                <c:pt idx="2">
                  <c:v>28126.114999999991</c:v>
                </c:pt>
                <c:pt idx="3">
                  <c:v>29063.675000000003</c:v>
                </c:pt>
                <c:pt idx="4">
                  <c:v>30001.235000000001</c:v>
                </c:pt>
                <c:pt idx="5">
                  <c:v>30938.794999999998</c:v>
                </c:pt>
                <c:pt idx="6">
                  <c:v>31876.354999999996</c:v>
                </c:pt>
                <c:pt idx="7">
                  <c:v>32813.914999999994</c:v>
                </c:pt>
                <c:pt idx="8">
                  <c:v>33751.474999999999</c:v>
                </c:pt>
                <c:pt idx="9">
                  <c:v>34689.035000000003</c:v>
                </c:pt>
                <c:pt idx="10">
                  <c:v>35626.595000000001</c:v>
                </c:pt>
              </c:numCache>
            </c:numRef>
          </c:yVal>
          <c:smooth val="1"/>
          <c:extLst>
            <c:ext xmlns:c16="http://schemas.microsoft.com/office/drawing/2014/chart" uri="{C3380CC4-5D6E-409C-BE32-E72D297353CC}">
              <c16:uniqueId val="{00000001-B30A-40C6-A51D-5C5B881BE429}"/>
            </c:ext>
          </c:extLst>
        </c:ser>
        <c:ser>
          <c:idx val="2"/>
          <c:order val="2"/>
          <c:tx>
            <c:strRef>
              <c:f>'1b. Business Resilience '!$J$48</c:f>
              <c:strCache>
                <c:ptCount val="1"/>
                <c:pt idx="0">
                  <c:v>-0.003</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'1b. Business Resilience '!$G$49:$G$59</c:f>
              <c:numCache>
                <c:formatCode>0%</c:formatCode>
                <c:ptCount val="11"/>
                <c:pt idx="0">
                  <c:v>0.3</c:v>
                </c:pt>
                <c:pt idx="1">
                  <c:v>0.28999999999999998</c:v>
                </c:pt>
                <c:pt idx="2">
                  <c:v>0.28000000000000003</c:v>
                </c:pt>
                <c:pt idx="3">
                  <c:v>0.27</c:v>
                </c:pt>
                <c:pt idx="4">
                  <c:v>0.26</c:v>
                </c:pt>
                <c:pt idx="5">
                  <c:v>0.25</c:v>
                </c:pt>
                <c:pt idx="6">
                  <c:v>0.24</c:v>
                </c:pt>
                <c:pt idx="7">
                  <c:v>0.23</c:v>
                </c:pt>
                <c:pt idx="8">
                  <c:v>0.22</c:v>
                </c:pt>
                <c:pt idx="9">
                  <c:v>0.21</c:v>
                </c:pt>
                <c:pt idx="10">
                  <c:v>0.2</c:v>
                </c:pt>
              </c:numCache>
            </c:numRef>
          </c:xVal>
          <c:yVal>
            <c:numRef>
              <c:f>'1b. Business Resilience '!$J$49:$J$59</c:f>
              <c:numCache>
                <c:formatCode>"$"#,##0.00</c:formatCode>
                <c:ptCount val="11"/>
                <c:pt idx="0">
                  <c:v>23989.994999999995</c:v>
                </c:pt>
                <c:pt idx="1">
                  <c:v>24846.805</c:v>
                </c:pt>
                <c:pt idx="2">
                  <c:v>25703.614999999998</c:v>
                </c:pt>
                <c:pt idx="3">
                  <c:v>26560.425000000003</c:v>
                </c:pt>
                <c:pt idx="4">
                  <c:v>27417.235000000001</c:v>
                </c:pt>
                <c:pt idx="5">
                  <c:v>28274.044999999998</c:v>
                </c:pt>
                <c:pt idx="6">
                  <c:v>29130.854999999996</c:v>
                </c:pt>
                <c:pt idx="7">
                  <c:v>29987.664999999994</c:v>
                </c:pt>
                <c:pt idx="8">
                  <c:v>30844.474999999999</c:v>
                </c:pt>
                <c:pt idx="9">
                  <c:v>31701.285000000003</c:v>
                </c:pt>
                <c:pt idx="10">
                  <c:v>32558.095000000001</c:v>
                </c:pt>
              </c:numCache>
            </c:numRef>
          </c:yVal>
          <c:smooth val="1"/>
          <c:extLst>
            <c:ext xmlns:c16="http://schemas.microsoft.com/office/drawing/2014/chart" uri="{C3380CC4-5D6E-409C-BE32-E72D297353CC}">
              <c16:uniqueId val="{00000002-B30A-40C6-A51D-5C5B881BE429}"/>
            </c:ext>
          </c:extLst>
        </c:ser>
        <c:ser>
          <c:idx val="3"/>
          <c:order val="3"/>
          <c:tx>
            <c:strRef>
              <c:f>'1b. Business Resilience '!$K$48</c:f>
              <c:strCache>
                <c:ptCount val="1"/>
                <c:pt idx="0">
                  <c:v>-0.004</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'1b. Business Resilience '!$G$49:$G$59</c:f>
              <c:numCache>
                <c:formatCode>0%</c:formatCode>
                <c:ptCount val="11"/>
                <c:pt idx="0">
                  <c:v>0.3</c:v>
                </c:pt>
                <c:pt idx="1">
                  <c:v>0.28999999999999998</c:v>
                </c:pt>
                <c:pt idx="2">
                  <c:v>0.28000000000000003</c:v>
                </c:pt>
                <c:pt idx="3">
                  <c:v>0.27</c:v>
                </c:pt>
                <c:pt idx="4">
                  <c:v>0.26</c:v>
                </c:pt>
                <c:pt idx="5">
                  <c:v>0.25</c:v>
                </c:pt>
                <c:pt idx="6">
                  <c:v>0.24</c:v>
                </c:pt>
                <c:pt idx="7">
                  <c:v>0.23</c:v>
                </c:pt>
                <c:pt idx="8">
                  <c:v>0.22</c:v>
                </c:pt>
                <c:pt idx="9">
                  <c:v>0.21</c:v>
                </c:pt>
                <c:pt idx="10">
                  <c:v>0.2</c:v>
                </c:pt>
              </c:numCache>
            </c:numRef>
          </c:xVal>
          <c:yVal>
            <c:numRef>
              <c:f>'1b. Business Resilience '!$K$49:$K$59</c:f>
              <c:numCache>
                <c:formatCode>"$"#,##0.00</c:formatCode>
                <c:ptCount val="11"/>
                <c:pt idx="0">
                  <c:v>21705.195000000007</c:v>
                </c:pt>
                <c:pt idx="1">
                  <c:v>22480.404999999999</c:v>
                </c:pt>
                <c:pt idx="2">
                  <c:v>23255.615000000005</c:v>
                </c:pt>
                <c:pt idx="3">
                  <c:v>24030.824999999997</c:v>
                </c:pt>
                <c:pt idx="4">
                  <c:v>24806.035000000003</c:v>
                </c:pt>
                <c:pt idx="5">
                  <c:v>25581.245000000003</c:v>
                </c:pt>
                <c:pt idx="6">
                  <c:v>26356.455000000002</c:v>
                </c:pt>
                <c:pt idx="7">
                  <c:v>27131.665000000001</c:v>
                </c:pt>
                <c:pt idx="8">
                  <c:v>27906.875</c:v>
                </c:pt>
                <c:pt idx="9">
                  <c:v>28682.085000000006</c:v>
                </c:pt>
                <c:pt idx="10">
                  <c:v>29457.294999999998</c:v>
                </c:pt>
              </c:numCache>
            </c:numRef>
          </c:yVal>
          <c:smooth val="1"/>
          <c:extLst>
            <c:ext xmlns:c16="http://schemas.microsoft.com/office/drawing/2014/chart" uri="{C3380CC4-5D6E-409C-BE32-E72D297353CC}">
              <c16:uniqueId val="{00000003-B30A-40C6-A51D-5C5B881BE429}"/>
            </c:ext>
          </c:extLst>
        </c:ser>
        <c:ser>
          <c:idx val="4"/>
          <c:order val="4"/>
          <c:tx>
            <c:strRef>
              <c:f>'1b. Business Resilience '!$L$48</c:f>
              <c:strCache>
                <c:ptCount val="1"/>
                <c:pt idx="0">
                  <c:v>-0.005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'1b. Business Resilience '!$G$49:$G$59</c:f>
              <c:numCache>
                <c:formatCode>0%</c:formatCode>
                <c:ptCount val="11"/>
                <c:pt idx="0">
                  <c:v>0.3</c:v>
                </c:pt>
                <c:pt idx="1">
                  <c:v>0.28999999999999998</c:v>
                </c:pt>
                <c:pt idx="2">
                  <c:v>0.28000000000000003</c:v>
                </c:pt>
                <c:pt idx="3">
                  <c:v>0.27</c:v>
                </c:pt>
                <c:pt idx="4">
                  <c:v>0.26</c:v>
                </c:pt>
                <c:pt idx="5">
                  <c:v>0.25</c:v>
                </c:pt>
                <c:pt idx="6">
                  <c:v>0.24</c:v>
                </c:pt>
                <c:pt idx="7">
                  <c:v>0.23</c:v>
                </c:pt>
                <c:pt idx="8">
                  <c:v>0.22</c:v>
                </c:pt>
                <c:pt idx="9">
                  <c:v>0.21</c:v>
                </c:pt>
                <c:pt idx="10">
                  <c:v>0.2</c:v>
                </c:pt>
              </c:numCache>
            </c:numRef>
          </c:xVal>
          <c:yVal>
            <c:numRef>
              <c:f>'1b. Business Resilience '!$L$49:$L$59</c:f>
              <c:numCache>
                <c:formatCode>"$"#,##0.00</c:formatCode>
                <c:ptCount val="11"/>
                <c:pt idx="0">
                  <c:v>19420.395000000004</c:v>
                </c:pt>
                <c:pt idx="1">
                  <c:v>20114.005000000005</c:v>
                </c:pt>
                <c:pt idx="2">
                  <c:v>20807.614999999998</c:v>
                </c:pt>
                <c:pt idx="3">
                  <c:v>21501.224999999999</c:v>
                </c:pt>
                <c:pt idx="4">
                  <c:v>22194.834999999999</c:v>
                </c:pt>
                <c:pt idx="5">
                  <c:v>22888.445</c:v>
                </c:pt>
                <c:pt idx="6">
                  <c:v>23582.055</c:v>
                </c:pt>
                <c:pt idx="7">
                  <c:v>24275.665000000001</c:v>
                </c:pt>
                <c:pt idx="8">
                  <c:v>24969.274999999994</c:v>
                </c:pt>
                <c:pt idx="9">
                  <c:v>25662.885000000002</c:v>
                </c:pt>
                <c:pt idx="10">
                  <c:v>26356.494999999995</c:v>
                </c:pt>
              </c:numCache>
            </c:numRef>
          </c:yVal>
          <c:smooth val="1"/>
          <c:extLst>
            <c:ext xmlns:c16="http://schemas.microsoft.com/office/drawing/2014/chart" uri="{C3380CC4-5D6E-409C-BE32-E72D297353CC}">
              <c16:uniqueId val="{00000004-B30A-40C6-A51D-5C5B881BE429}"/>
            </c:ext>
          </c:extLst>
        </c:ser>
        <c:ser>
          <c:idx val="5"/>
          <c:order val="5"/>
          <c:tx>
            <c:strRef>
              <c:f>'1b. Business Resilience '!$M$48</c:f>
              <c:strCache>
                <c:ptCount val="1"/>
                <c:pt idx="0">
                  <c:v>-0.006</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'1b. Business Resilience '!$G$49:$G$59</c:f>
              <c:numCache>
                <c:formatCode>0%</c:formatCode>
                <c:ptCount val="11"/>
                <c:pt idx="0">
                  <c:v>0.3</c:v>
                </c:pt>
                <c:pt idx="1">
                  <c:v>0.28999999999999998</c:v>
                </c:pt>
                <c:pt idx="2">
                  <c:v>0.28000000000000003</c:v>
                </c:pt>
                <c:pt idx="3">
                  <c:v>0.27</c:v>
                </c:pt>
                <c:pt idx="4">
                  <c:v>0.26</c:v>
                </c:pt>
                <c:pt idx="5">
                  <c:v>0.25</c:v>
                </c:pt>
                <c:pt idx="6">
                  <c:v>0.24</c:v>
                </c:pt>
                <c:pt idx="7">
                  <c:v>0.23</c:v>
                </c:pt>
                <c:pt idx="8">
                  <c:v>0.22</c:v>
                </c:pt>
                <c:pt idx="9">
                  <c:v>0.21</c:v>
                </c:pt>
                <c:pt idx="10">
                  <c:v>0.2</c:v>
                </c:pt>
              </c:numCache>
            </c:numRef>
          </c:xVal>
          <c:yVal>
            <c:numRef>
              <c:f>'1b. Business Resilience '!$M$49:$M$59</c:f>
              <c:numCache>
                <c:formatCode>"$"#,##0.00</c:formatCode>
                <c:ptCount val="11"/>
                <c:pt idx="0">
                  <c:v>17159.395000000004</c:v>
                </c:pt>
                <c:pt idx="1">
                  <c:v>17772.255000000005</c:v>
                </c:pt>
                <c:pt idx="2">
                  <c:v>18385.114999999998</c:v>
                </c:pt>
                <c:pt idx="3">
                  <c:v>18997.974999999999</c:v>
                </c:pt>
                <c:pt idx="4">
                  <c:v>19610.834999999999</c:v>
                </c:pt>
                <c:pt idx="5">
                  <c:v>20223.695</c:v>
                </c:pt>
                <c:pt idx="6">
                  <c:v>20836.555</c:v>
                </c:pt>
                <c:pt idx="7">
                  <c:v>21449.415000000001</c:v>
                </c:pt>
                <c:pt idx="8">
                  <c:v>22062.274999999994</c:v>
                </c:pt>
                <c:pt idx="9">
                  <c:v>22675.135000000002</c:v>
                </c:pt>
                <c:pt idx="10">
                  <c:v>23287.994999999995</c:v>
                </c:pt>
              </c:numCache>
            </c:numRef>
          </c:yVal>
          <c:smooth val="1"/>
          <c:extLst>
            <c:ext xmlns:c16="http://schemas.microsoft.com/office/drawing/2014/chart" uri="{C3380CC4-5D6E-409C-BE32-E72D297353CC}">
              <c16:uniqueId val="{00000005-B30A-40C6-A51D-5C5B881BE429}"/>
            </c:ext>
          </c:extLst>
        </c:ser>
        <c:ser>
          <c:idx val="6"/>
          <c:order val="6"/>
          <c:tx>
            <c:strRef>
              <c:f>'1b. Business Resilience '!$N$48</c:f>
              <c:strCache>
                <c:ptCount val="1"/>
                <c:pt idx="0">
                  <c:v>-0.007</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'1b. Business Resilience '!$G$49:$G$59</c:f>
              <c:numCache>
                <c:formatCode>0%</c:formatCode>
                <c:ptCount val="11"/>
                <c:pt idx="0">
                  <c:v>0.3</c:v>
                </c:pt>
                <c:pt idx="1">
                  <c:v>0.28999999999999998</c:v>
                </c:pt>
                <c:pt idx="2">
                  <c:v>0.28000000000000003</c:v>
                </c:pt>
                <c:pt idx="3">
                  <c:v>0.27</c:v>
                </c:pt>
                <c:pt idx="4">
                  <c:v>0.26</c:v>
                </c:pt>
                <c:pt idx="5">
                  <c:v>0.25</c:v>
                </c:pt>
                <c:pt idx="6">
                  <c:v>0.24</c:v>
                </c:pt>
                <c:pt idx="7">
                  <c:v>0.23</c:v>
                </c:pt>
                <c:pt idx="8">
                  <c:v>0.22</c:v>
                </c:pt>
                <c:pt idx="9">
                  <c:v>0.21</c:v>
                </c:pt>
                <c:pt idx="10">
                  <c:v>0.2</c:v>
                </c:pt>
              </c:numCache>
            </c:numRef>
          </c:xVal>
          <c:yVal>
            <c:numRef>
              <c:f>'1b. Business Resilience '!$N$49:$N$59</c:f>
              <c:numCache>
                <c:formatCode>"$"#,##0.00</c:formatCode>
                <c:ptCount val="11"/>
                <c:pt idx="0">
                  <c:v>14874.595000000001</c:v>
                </c:pt>
                <c:pt idx="1">
                  <c:v>15405.855000000003</c:v>
                </c:pt>
                <c:pt idx="2">
                  <c:v>15937.114999999998</c:v>
                </c:pt>
                <c:pt idx="3">
                  <c:v>16468.375</c:v>
                </c:pt>
                <c:pt idx="4">
                  <c:v>16999.635000000002</c:v>
                </c:pt>
                <c:pt idx="5">
                  <c:v>17530.895000000004</c:v>
                </c:pt>
                <c:pt idx="6">
                  <c:v>18062.154999999999</c:v>
                </c:pt>
                <c:pt idx="7">
                  <c:v>18593.415000000001</c:v>
                </c:pt>
                <c:pt idx="8">
                  <c:v>19124.675000000003</c:v>
                </c:pt>
                <c:pt idx="9">
                  <c:v>19655.934999999998</c:v>
                </c:pt>
                <c:pt idx="10">
                  <c:v>20187.195</c:v>
                </c:pt>
              </c:numCache>
            </c:numRef>
          </c:yVal>
          <c:smooth val="1"/>
          <c:extLst>
            <c:ext xmlns:c16="http://schemas.microsoft.com/office/drawing/2014/chart" uri="{C3380CC4-5D6E-409C-BE32-E72D297353CC}">
              <c16:uniqueId val="{00000006-B30A-40C6-A51D-5C5B881BE429}"/>
            </c:ext>
          </c:extLst>
        </c:ser>
        <c:ser>
          <c:idx val="7"/>
          <c:order val="7"/>
          <c:tx>
            <c:strRef>
              <c:f>'1b. Business Resilience '!$O$48</c:f>
              <c:strCache>
                <c:ptCount val="1"/>
                <c:pt idx="0">
                  <c:v>-0.008</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'1b. Business Resilience '!$G$49:$G$59</c:f>
              <c:numCache>
                <c:formatCode>0%</c:formatCode>
                <c:ptCount val="11"/>
                <c:pt idx="0">
                  <c:v>0.3</c:v>
                </c:pt>
                <c:pt idx="1">
                  <c:v>0.28999999999999998</c:v>
                </c:pt>
                <c:pt idx="2">
                  <c:v>0.28000000000000003</c:v>
                </c:pt>
                <c:pt idx="3">
                  <c:v>0.27</c:v>
                </c:pt>
                <c:pt idx="4">
                  <c:v>0.26</c:v>
                </c:pt>
                <c:pt idx="5">
                  <c:v>0.25</c:v>
                </c:pt>
                <c:pt idx="6">
                  <c:v>0.24</c:v>
                </c:pt>
                <c:pt idx="7">
                  <c:v>0.23</c:v>
                </c:pt>
                <c:pt idx="8">
                  <c:v>0.22</c:v>
                </c:pt>
                <c:pt idx="9">
                  <c:v>0.21</c:v>
                </c:pt>
                <c:pt idx="10">
                  <c:v>0.2</c:v>
                </c:pt>
              </c:numCache>
            </c:numRef>
          </c:xVal>
          <c:yVal>
            <c:numRef>
              <c:f>'1b. Business Resilience '!$O$49:$O$59</c:f>
              <c:numCache>
                <c:formatCode>"$"#,##0.00</c:formatCode>
                <c:ptCount val="11"/>
                <c:pt idx="0">
                  <c:v>12589.795000000002</c:v>
                </c:pt>
                <c:pt idx="1">
                  <c:v>13039.455000000002</c:v>
                </c:pt>
                <c:pt idx="2">
                  <c:v>13489.115000000002</c:v>
                </c:pt>
                <c:pt idx="3">
                  <c:v>13938.775000000001</c:v>
                </c:pt>
                <c:pt idx="4">
                  <c:v>14388.435000000005</c:v>
                </c:pt>
                <c:pt idx="5">
                  <c:v>14838.095000000001</c:v>
                </c:pt>
                <c:pt idx="6">
                  <c:v>15287.754999999997</c:v>
                </c:pt>
                <c:pt idx="7">
                  <c:v>15737.415000000001</c:v>
                </c:pt>
                <c:pt idx="8">
                  <c:v>16187.075000000001</c:v>
                </c:pt>
                <c:pt idx="9">
                  <c:v>16636.735000000001</c:v>
                </c:pt>
                <c:pt idx="10">
                  <c:v>17086.395</c:v>
                </c:pt>
              </c:numCache>
            </c:numRef>
          </c:yVal>
          <c:smooth val="1"/>
          <c:extLst>
            <c:ext xmlns:c16="http://schemas.microsoft.com/office/drawing/2014/chart" uri="{C3380CC4-5D6E-409C-BE32-E72D297353CC}">
              <c16:uniqueId val="{00000007-B30A-40C6-A51D-5C5B881BE429}"/>
            </c:ext>
          </c:extLst>
        </c:ser>
        <c:ser>
          <c:idx val="8"/>
          <c:order val="8"/>
          <c:tx>
            <c:strRef>
              <c:f>'1b. Business Resilience '!$P$48</c:f>
              <c:strCache>
                <c:ptCount val="1"/>
                <c:pt idx="0">
                  <c:v>-0.009</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'1b. Business Resilience '!$G$49:$G$59</c:f>
              <c:numCache>
                <c:formatCode>0%</c:formatCode>
                <c:ptCount val="11"/>
                <c:pt idx="0">
                  <c:v>0.3</c:v>
                </c:pt>
                <c:pt idx="1">
                  <c:v>0.28999999999999998</c:v>
                </c:pt>
                <c:pt idx="2">
                  <c:v>0.28000000000000003</c:v>
                </c:pt>
                <c:pt idx="3">
                  <c:v>0.27</c:v>
                </c:pt>
                <c:pt idx="4">
                  <c:v>0.26</c:v>
                </c:pt>
                <c:pt idx="5">
                  <c:v>0.25</c:v>
                </c:pt>
                <c:pt idx="6">
                  <c:v>0.24</c:v>
                </c:pt>
                <c:pt idx="7">
                  <c:v>0.23</c:v>
                </c:pt>
                <c:pt idx="8">
                  <c:v>0.22</c:v>
                </c:pt>
                <c:pt idx="9">
                  <c:v>0.21</c:v>
                </c:pt>
                <c:pt idx="10">
                  <c:v>0.2</c:v>
                </c:pt>
              </c:numCache>
            </c:numRef>
          </c:xVal>
          <c:yVal>
            <c:numRef>
              <c:f>'1b. Business Resilience '!$P$49:$P$59</c:f>
              <c:numCache>
                <c:formatCode>"$"#,##0.00</c:formatCode>
                <c:ptCount val="11"/>
                <c:pt idx="0">
                  <c:v>10304.995000000003</c:v>
                </c:pt>
                <c:pt idx="1">
                  <c:v>10673.055</c:v>
                </c:pt>
                <c:pt idx="2">
                  <c:v>11041.114999999998</c:v>
                </c:pt>
                <c:pt idx="3">
                  <c:v>11409.174999999999</c:v>
                </c:pt>
                <c:pt idx="4">
                  <c:v>11777.235000000001</c:v>
                </c:pt>
                <c:pt idx="5">
                  <c:v>12145.294999999998</c:v>
                </c:pt>
                <c:pt idx="6">
                  <c:v>12513.355000000003</c:v>
                </c:pt>
                <c:pt idx="7">
                  <c:v>12881.415000000001</c:v>
                </c:pt>
                <c:pt idx="8">
                  <c:v>13249.474999999999</c:v>
                </c:pt>
                <c:pt idx="9">
                  <c:v>13617.535000000003</c:v>
                </c:pt>
                <c:pt idx="10">
                  <c:v>13985.595000000001</c:v>
                </c:pt>
              </c:numCache>
            </c:numRef>
          </c:yVal>
          <c:smooth val="1"/>
          <c:extLst>
            <c:ext xmlns:c16="http://schemas.microsoft.com/office/drawing/2014/chart" uri="{C3380CC4-5D6E-409C-BE32-E72D297353CC}">
              <c16:uniqueId val="{00000008-B30A-40C6-A51D-5C5B881BE429}"/>
            </c:ext>
          </c:extLst>
        </c:ser>
        <c:ser>
          <c:idx val="9"/>
          <c:order val="9"/>
          <c:tx>
            <c:strRef>
              <c:f>'1b. Business Resilience '!$Q$48</c:f>
              <c:strCache>
                <c:ptCount val="1"/>
                <c:pt idx="0">
                  <c:v>-0.01</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'1b. Business Resilience '!$G$49:$G$59</c:f>
              <c:numCache>
                <c:formatCode>0%</c:formatCode>
                <c:ptCount val="11"/>
                <c:pt idx="0">
                  <c:v>0.3</c:v>
                </c:pt>
                <c:pt idx="1">
                  <c:v>0.28999999999999998</c:v>
                </c:pt>
                <c:pt idx="2">
                  <c:v>0.28000000000000003</c:v>
                </c:pt>
                <c:pt idx="3">
                  <c:v>0.27</c:v>
                </c:pt>
                <c:pt idx="4">
                  <c:v>0.26</c:v>
                </c:pt>
                <c:pt idx="5">
                  <c:v>0.25</c:v>
                </c:pt>
                <c:pt idx="6">
                  <c:v>0.24</c:v>
                </c:pt>
                <c:pt idx="7">
                  <c:v>0.23</c:v>
                </c:pt>
                <c:pt idx="8">
                  <c:v>0.22</c:v>
                </c:pt>
                <c:pt idx="9">
                  <c:v>0.21</c:v>
                </c:pt>
                <c:pt idx="10">
                  <c:v>0.2</c:v>
                </c:pt>
              </c:numCache>
            </c:numRef>
          </c:xVal>
          <c:yVal>
            <c:numRef>
              <c:f>'1b. Business Resilience '!$Q$49:$Q$59</c:f>
              <c:numCache>
                <c:formatCode>"$"#,##0.00</c:formatCode>
                <c:ptCount val="11"/>
                <c:pt idx="0">
                  <c:v>8043.9950000000026</c:v>
                </c:pt>
                <c:pt idx="1">
                  <c:v>8331.3050000000003</c:v>
                </c:pt>
                <c:pt idx="2">
                  <c:v>8618.614999999998</c:v>
                </c:pt>
                <c:pt idx="3">
                  <c:v>8905.9249999999993</c:v>
                </c:pt>
                <c:pt idx="4">
                  <c:v>9193.2350000000006</c:v>
                </c:pt>
                <c:pt idx="5">
                  <c:v>9480.5449999999983</c:v>
                </c:pt>
                <c:pt idx="6">
                  <c:v>9767.8549999999996</c:v>
                </c:pt>
                <c:pt idx="7">
                  <c:v>10055.165000000001</c:v>
                </c:pt>
                <c:pt idx="8">
                  <c:v>10342.474999999999</c:v>
                </c:pt>
                <c:pt idx="9">
                  <c:v>10629.785</c:v>
                </c:pt>
                <c:pt idx="10">
                  <c:v>10917.095000000001</c:v>
                </c:pt>
              </c:numCache>
            </c:numRef>
          </c:yVal>
          <c:smooth val="1"/>
          <c:extLst>
            <c:ext xmlns:c16="http://schemas.microsoft.com/office/drawing/2014/chart" uri="{C3380CC4-5D6E-409C-BE32-E72D297353CC}">
              <c16:uniqueId val="{00000009-B30A-40C6-A51D-5C5B881BE429}"/>
            </c:ext>
          </c:extLst>
        </c:ser>
        <c:dLbls>
          <c:showLegendKey val="0"/>
          <c:showVal val="0"/>
          <c:showCatName val="0"/>
          <c:showSerName val="0"/>
          <c:showPercent val="0"/>
          <c:showBubbleSize val="0"/>
        </c:dLbls>
        <c:axId val="286653743"/>
        <c:axId val="286651343"/>
      </c:scatterChart>
      <c:valAx>
        <c:axId val="286653743"/>
        <c:scaling>
          <c:orientation val="minMax"/>
          <c:min val="0.18000000000000002"/>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SG"/>
                  <a:t>Weekday Fixed Cost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6651343"/>
        <c:crosses val="autoZero"/>
        <c:crossBetween val="midCat"/>
      </c:valAx>
      <c:valAx>
        <c:axId val="28665134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SG"/>
                  <a:t>Profit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665374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a:t>Sensitivity 4</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'1b. Business Resilience '!$T$48</c:f>
              <c:strCache>
                <c:ptCount val="1"/>
                <c:pt idx="0">
                  <c:v>-0.0001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'1b. Business Resilience '!$S$49:$S$59</c:f>
              <c:numCache>
                <c:formatCode>0%</c:formatCode>
                <c:ptCount val="11"/>
                <c:pt idx="0">
                  <c:v>0.3</c:v>
                </c:pt>
                <c:pt idx="1">
                  <c:v>0.28999999999999998</c:v>
                </c:pt>
                <c:pt idx="2">
                  <c:v>0.28000000000000003</c:v>
                </c:pt>
                <c:pt idx="3">
                  <c:v>0.27</c:v>
                </c:pt>
                <c:pt idx="4">
                  <c:v>0.26</c:v>
                </c:pt>
                <c:pt idx="5">
                  <c:v>0.25</c:v>
                </c:pt>
                <c:pt idx="6">
                  <c:v>0.24</c:v>
                </c:pt>
                <c:pt idx="7">
                  <c:v>0.23</c:v>
                </c:pt>
                <c:pt idx="8">
                  <c:v>0.22</c:v>
                </c:pt>
                <c:pt idx="9">
                  <c:v>0.21</c:v>
                </c:pt>
                <c:pt idx="10">
                  <c:v>0.2</c:v>
                </c:pt>
              </c:numCache>
            </c:numRef>
          </c:xVal>
          <c:yVal>
            <c:numRef>
              <c:f>'1b. Business Resilience '!$T$49:$T$59</c:f>
              <c:numCache>
                <c:formatCode>"$"#,##0.00</c:formatCode>
                <c:ptCount val="11"/>
                <c:pt idx="0">
                  <c:v>43182.720000000001</c:v>
                </c:pt>
                <c:pt idx="1">
                  <c:v>44724.960000000006</c:v>
                </c:pt>
                <c:pt idx="2">
                  <c:v>46267.200000000012</c:v>
                </c:pt>
                <c:pt idx="3">
                  <c:v>47809.440000000002</c:v>
                </c:pt>
                <c:pt idx="4">
                  <c:v>49351.680000000008</c:v>
                </c:pt>
                <c:pt idx="5">
                  <c:v>50893.920000000013</c:v>
                </c:pt>
                <c:pt idx="6">
                  <c:v>52436.160000000003</c:v>
                </c:pt>
                <c:pt idx="7">
                  <c:v>53978.399999999994</c:v>
                </c:pt>
                <c:pt idx="8">
                  <c:v>55520.640000000014</c:v>
                </c:pt>
                <c:pt idx="9">
                  <c:v>57062.880000000005</c:v>
                </c:pt>
                <c:pt idx="10">
                  <c:v>58605.119999999995</c:v>
                </c:pt>
              </c:numCache>
            </c:numRef>
          </c:yVal>
          <c:smooth val="1"/>
          <c:extLst>
            <c:ext xmlns:c16="http://schemas.microsoft.com/office/drawing/2014/chart" uri="{C3380CC4-5D6E-409C-BE32-E72D297353CC}">
              <c16:uniqueId val="{00000000-A6BA-4631-90D6-0247125F7159}"/>
            </c:ext>
          </c:extLst>
        </c:ser>
        <c:ser>
          <c:idx val="1"/>
          <c:order val="1"/>
          <c:tx>
            <c:strRef>
              <c:f>'1b. Business Resilience '!$U$48</c:f>
              <c:strCache>
                <c:ptCount val="1"/>
                <c:pt idx="0">
                  <c:v>-0.0002</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'1b. Business Resilience '!$S$49:$S$59</c:f>
              <c:numCache>
                <c:formatCode>0%</c:formatCode>
                <c:ptCount val="11"/>
                <c:pt idx="0">
                  <c:v>0.3</c:v>
                </c:pt>
                <c:pt idx="1">
                  <c:v>0.28999999999999998</c:v>
                </c:pt>
                <c:pt idx="2">
                  <c:v>0.28000000000000003</c:v>
                </c:pt>
                <c:pt idx="3">
                  <c:v>0.27</c:v>
                </c:pt>
                <c:pt idx="4">
                  <c:v>0.26</c:v>
                </c:pt>
                <c:pt idx="5">
                  <c:v>0.25</c:v>
                </c:pt>
                <c:pt idx="6">
                  <c:v>0.24</c:v>
                </c:pt>
                <c:pt idx="7">
                  <c:v>0.23</c:v>
                </c:pt>
                <c:pt idx="8">
                  <c:v>0.22</c:v>
                </c:pt>
                <c:pt idx="9">
                  <c:v>0.21</c:v>
                </c:pt>
                <c:pt idx="10">
                  <c:v>0.2</c:v>
                </c:pt>
              </c:numCache>
            </c:numRef>
          </c:xVal>
          <c:yVal>
            <c:numRef>
              <c:f>'1b. Business Resilience '!$U$49:$U$59</c:f>
              <c:numCache>
                <c:formatCode>"$"#,##0.00</c:formatCode>
                <c:ptCount val="11"/>
                <c:pt idx="0">
                  <c:v>42865.200000000012</c:v>
                </c:pt>
                <c:pt idx="1">
                  <c:v>44396.100000000006</c:v>
                </c:pt>
                <c:pt idx="2">
                  <c:v>45927</c:v>
                </c:pt>
                <c:pt idx="3">
                  <c:v>47457.899999999994</c:v>
                </c:pt>
                <c:pt idx="4">
                  <c:v>48988.800000000003</c:v>
                </c:pt>
                <c:pt idx="5">
                  <c:v>50519.700000000012</c:v>
                </c:pt>
                <c:pt idx="6">
                  <c:v>52050.600000000006</c:v>
                </c:pt>
                <c:pt idx="7">
                  <c:v>53581.5</c:v>
                </c:pt>
                <c:pt idx="8">
                  <c:v>55112.399999999994</c:v>
                </c:pt>
                <c:pt idx="9">
                  <c:v>56643.3</c:v>
                </c:pt>
                <c:pt idx="10">
                  <c:v>58174.200000000012</c:v>
                </c:pt>
              </c:numCache>
            </c:numRef>
          </c:yVal>
          <c:smooth val="1"/>
          <c:extLst>
            <c:ext xmlns:c16="http://schemas.microsoft.com/office/drawing/2014/chart" uri="{C3380CC4-5D6E-409C-BE32-E72D297353CC}">
              <c16:uniqueId val="{00000001-A6BA-4631-90D6-0247125F7159}"/>
            </c:ext>
          </c:extLst>
        </c:ser>
        <c:ser>
          <c:idx val="2"/>
          <c:order val="2"/>
          <c:tx>
            <c:strRef>
              <c:f>'1b. Business Resilience '!$V$48</c:f>
              <c:strCache>
                <c:ptCount val="1"/>
                <c:pt idx="0">
                  <c:v>-0.0003</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'1b. Business Resilience '!$S$49:$S$59</c:f>
              <c:numCache>
                <c:formatCode>0%</c:formatCode>
                <c:ptCount val="11"/>
                <c:pt idx="0">
                  <c:v>0.3</c:v>
                </c:pt>
                <c:pt idx="1">
                  <c:v>0.28999999999999998</c:v>
                </c:pt>
                <c:pt idx="2">
                  <c:v>0.28000000000000003</c:v>
                </c:pt>
                <c:pt idx="3">
                  <c:v>0.27</c:v>
                </c:pt>
                <c:pt idx="4">
                  <c:v>0.26</c:v>
                </c:pt>
                <c:pt idx="5">
                  <c:v>0.25</c:v>
                </c:pt>
                <c:pt idx="6">
                  <c:v>0.24</c:v>
                </c:pt>
                <c:pt idx="7">
                  <c:v>0.23</c:v>
                </c:pt>
                <c:pt idx="8">
                  <c:v>0.22</c:v>
                </c:pt>
                <c:pt idx="9">
                  <c:v>0.21</c:v>
                </c:pt>
                <c:pt idx="10">
                  <c:v>0.2</c:v>
                </c:pt>
              </c:numCache>
            </c:numRef>
          </c:xVal>
          <c:yVal>
            <c:numRef>
              <c:f>'1b. Business Resilience '!$V$49:$V$59</c:f>
              <c:numCache>
                <c:formatCode>"$"#,##0.00</c:formatCode>
                <c:ptCount val="11"/>
                <c:pt idx="0">
                  <c:v>42574.14</c:v>
                </c:pt>
                <c:pt idx="1">
                  <c:v>44094.645000000004</c:v>
                </c:pt>
                <c:pt idx="2">
                  <c:v>45615.149999999994</c:v>
                </c:pt>
                <c:pt idx="3">
                  <c:v>47135.654999999999</c:v>
                </c:pt>
                <c:pt idx="4">
                  <c:v>48656.160000000003</c:v>
                </c:pt>
                <c:pt idx="5">
                  <c:v>50176.665000000008</c:v>
                </c:pt>
                <c:pt idx="6">
                  <c:v>51697.170000000013</c:v>
                </c:pt>
                <c:pt idx="7">
                  <c:v>53217.675000000003</c:v>
                </c:pt>
                <c:pt idx="8">
                  <c:v>54738.179999999993</c:v>
                </c:pt>
                <c:pt idx="9">
                  <c:v>56258.684999999998</c:v>
                </c:pt>
                <c:pt idx="10">
                  <c:v>57779.19</c:v>
                </c:pt>
              </c:numCache>
            </c:numRef>
          </c:yVal>
          <c:smooth val="1"/>
          <c:extLst>
            <c:ext xmlns:c16="http://schemas.microsoft.com/office/drawing/2014/chart" uri="{C3380CC4-5D6E-409C-BE32-E72D297353CC}">
              <c16:uniqueId val="{00000002-A6BA-4631-90D6-0247125F7159}"/>
            </c:ext>
          </c:extLst>
        </c:ser>
        <c:ser>
          <c:idx val="3"/>
          <c:order val="3"/>
          <c:tx>
            <c:strRef>
              <c:f>'1b. Business Resilience '!$W$48</c:f>
              <c:strCache>
                <c:ptCount val="1"/>
                <c:pt idx="0">
                  <c:v>-0.0004</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'1b. Business Resilience '!$S$49:$S$59</c:f>
              <c:numCache>
                <c:formatCode>0%</c:formatCode>
                <c:ptCount val="11"/>
                <c:pt idx="0">
                  <c:v>0.3</c:v>
                </c:pt>
                <c:pt idx="1">
                  <c:v>0.28999999999999998</c:v>
                </c:pt>
                <c:pt idx="2">
                  <c:v>0.28000000000000003</c:v>
                </c:pt>
                <c:pt idx="3">
                  <c:v>0.27</c:v>
                </c:pt>
                <c:pt idx="4">
                  <c:v>0.26</c:v>
                </c:pt>
                <c:pt idx="5">
                  <c:v>0.25</c:v>
                </c:pt>
                <c:pt idx="6">
                  <c:v>0.24</c:v>
                </c:pt>
                <c:pt idx="7">
                  <c:v>0.23</c:v>
                </c:pt>
                <c:pt idx="8">
                  <c:v>0.22</c:v>
                </c:pt>
                <c:pt idx="9">
                  <c:v>0.21</c:v>
                </c:pt>
                <c:pt idx="10">
                  <c:v>0.2</c:v>
                </c:pt>
              </c:numCache>
            </c:numRef>
          </c:xVal>
          <c:yVal>
            <c:numRef>
              <c:f>'1b. Business Resilience '!$W$49:$W$59</c:f>
              <c:numCache>
                <c:formatCode>"$"#,##0.00</c:formatCode>
                <c:ptCount val="11"/>
                <c:pt idx="0">
                  <c:v>42256.619999999995</c:v>
                </c:pt>
                <c:pt idx="1">
                  <c:v>43765.785000000003</c:v>
                </c:pt>
                <c:pt idx="2">
                  <c:v>45274.95</c:v>
                </c:pt>
                <c:pt idx="3">
                  <c:v>46784.114999999991</c:v>
                </c:pt>
                <c:pt idx="4">
                  <c:v>48293.279999999999</c:v>
                </c:pt>
                <c:pt idx="5">
                  <c:v>49802.445000000007</c:v>
                </c:pt>
                <c:pt idx="6">
                  <c:v>51311.61</c:v>
                </c:pt>
                <c:pt idx="7">
                  <c:v>52820.774999999994</c:v>
                </c:pt>
                <c:pt idx="8">
                  <c:v>54329.94</c:v>
                </c:pt>
                <c:pt idx="9">
                  <c:v>55839.104999999996</c:v>
                </c:pt>
                <c:pt idx="10">
                  <c:v>57348.26999999999</c:v>
                </c:pt>
              </c:numCache>
            </c:numRef>
          </c:yVal>
          <c:smooth val="1"/>
          <c:extLst>
            <c:ext xmlns:c16="http://schemas.microsoft.com/office/drawing/2014/chart" uri="{C3380CC4-5D6E-409C-BE32-E72D297353CC}">
              <c16:uniqueId val="{00000003-A6BA-4631-90D6-0247125F7159}"/>
            </c:ext>
          </c:extLst>
        </c:ser>
        <c:ser>
          <c:idx val="4"/>
          <c:order val="4"/>
          <c:tx>
            <c:strRef>
              <c:f>'1b. Business Resilience '!$X$48</c:f>
              <c:strCache>
                <c:ptCount val="1"/>
                <c:pt idx="0">
                  <c:v>-0.0005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'1b. Business Resilience '!$S$49:$S$59</c:f>
              <c:numCache>
                <c:formatCode>0%</c:formatCode>
                <c:ptCount val="11"/>
                <c:pt idx="0">
                  <c:v>0.3</c:v>
                </c:pt>
                <c:pt idx="1">
                  <c:v>0.28999999999999998</c:v>
                </c:pt>
                <c:pt idx="2">
                  <c:v>0.28000000000000003</c:v>
                </c:pt>
                <c:pt idx="3">
                  <c:v>0.27</c:v>
                </c:pt>
                <c:pt idx="4">
                  <c:v>0.26</c:v>
                </c:pt>
                <c:pt idx="5">
                  <c:v>0.25</c:v>
                </c:pt>
                <c:pt idx="6">
                  <c:v>0.24</c:v>
                </c:pt>
                <c:pt idx="7">
                  <c:v>0.23</c:v>
                </c:pt>
                <c:pt idx="8">
                  <c:v>0.22</c:v>
                </c:pt>
                <c:pt idx="9">
                  <c:v>0.21</c:v>
                </c:pt>
                <c:pt idx="10">
                  <c:v>0.2</c:v>
                </c:pt>
              </c:numCache>
            </c:numRef>
          </c:xVal>
          <c:yVal>
            <c:numRef>
              <c:f>'1b. Business Resilience '!$X$49:$X$59</c:f>
              <c:numCache>
                <c:formatCode>"$"#,##0.00</c:formatCode>
                <c:ptCount val="11"/>
                <c:pt idx="0">
                  <c:v>41965.56</c:v>
                </c:pt>
                <c:pt idx="1">
                  <c:v>43464.330000000016</c:v>
                </c:pt>
                <c:pt idx="2">
                  <c:v>44963.100000000006</c:v>
                </c:pt>
                <c:pt idx="3">
                  <c:v>46461.869999999995</c:v>
                </c:pt>
                <c:pt idx="4">
                  <c:v>47960.639999999999</c:v>
                </c:pt>
                <c:pt idx="5">
                  <c:v>49459.41</c:v>
                </c:pt>
                <c:pt idx="6">
                  <c:v>50958.180000000008</c:v>
                </c:pt>
                <c:pt idx="7">
                  <c:v>52456.950000000012</c:v>
                </c:pt>
                <c:pt idx="8">
                  <c:v>53955.72</c:v>
                </c:pt>
                <c:pt idx="9">
                  <c:v>55454.490000000005</c:v>
                </c:pt>
                <c:pt idx="10">
                  <c:v>56953.260000000009</c:v>
                </c:pt>
              </c:numCache>
            </c:numRef>
          </c:yVal>
          <c:smooth val="1"/>
          <c:extLst>
            <c:ext xmlns:c16="http://schemas.microsoft.com/office/drawing/2014/chart" uri="{C3380CC4-5D6E-409C-BE32-E72D297353CC}">
              <c16:uniqueId val="{00000004-A6BA-4631-90D6-0247125F7159}"/>
            </c:ext>
          </c:extLst>
        </c:ser>
        <c:ser>
          <c:idx val="5"/>
          <c:order val="5"/>
          <c:tx>
            <c:strRef>
              <c:f>'1b. Business Resilience '!$Y$48</c:f>
              <c:strCache>
                <c:ptCount val="1"/>
                <c:pt idx="0">
                  <c:v>-0.0006</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'1b. Business Resilience '!$S$49:$S$59</c:f>
              <c:numCache>
                <c:formatCode>0%</c:formatCode>
                <c:ptCount val="11"/>
                <c:pt idx="0">
                  <c:v>0.3</c:v>
                </c:pt>
                <c:pt idx="1">
                  <c:v>0.28999999999999998</c:v>
                </c:pt>
                <c:pt idx="2">
                  <c:v>0.28000000000000003</c:v>
                </c:pt>
                <c:pt idx="3">
                  <c:v>0.27</c:v>
                </c:pt>
                <c:pt idx="4">
                  <c:v>0.26</c:v>
                </c:pt>
                <c:pt idx="5">
                  <c:v>0.25</c:v>
                </c:pt>
                <c:pt idx="6">
                  <c:v>0.24</c:v>
                </c:pt>
                <c:pt idx="7">
                  <c:v>0.23</c:v>
                </c:pt>
                <c:pt idx="8">
                  <c:v>0.22</c:v>
                </c:pt>
                <c:pt idx="9">
                  <c:v>0.21</c:v>
                </c:pt>
                <c:pt idx="10">
                  <c:v>0.2</c:v>
                </c:pt>
              </c:numCache>
            </c:numRef>
          </c:xVal>
          <c:yVal>
            <c:numRef>
              <c:f>'1b. Business Resilience '!$Y$49:$Y$59</c:f>
              <c:numCache>
                <c:formatCode>"$"#,##0.00</c:formatCode>
                <c:ptCount val="11"/>
                <c:pt idx="0">
                  <c:v>41648.040000000008</c:v>
                </c:pt>
                <c:pt idx="1">
                  <c:v>43135.47</c:v>
                </c:pt>
                <c:pt idx="2">
                  <c:v>44622.899999999994</c:v>
                </c:pt>
                <c:pt idx="3">
                  <c:v>46110.33</c:v>
                </c:pt>
                <c:pt idx="4">
                  <c:v>47597.760000000009</c:v>
                </c:pt>
                <c:pt idx="5">
                  <c:v>49085.19</c:v>
                </c:pt>
                <c:pt idx="6">
                  <c:v>50572.619999999995</c:v>
                </c:pt>
                <c:pt idx="7">
                  <c:v>52060.05</c:v>
                </c:pt>
                <c:pt idx="8">
                  <c:v>53547.48000000001</c:v>
                </c:pt>
                <c:pt idx="9">
                  <c:v>55034.91</c:v>
                </c:pt>
                <c:pt idx="10">
                  <c:v>56522.34</c:v>
                </c:pt>
              </c:numCache>
            </c:numRef>
          </c:yVal>
          <c:smooth val="1"/>
          <c:extLst>
            <c:ext xmlns:c16="http://schemas.microsoft.com/office/drawing/2014/chart" uri="{C3380CC4-5D6E-409C-BE32-E72D297353CC}">
              <c16:uniqueId val="{00000005-A6BA-4631-90D6-0247125F7159}"/>
            </c:ext>
          </c:extLst>
        </c:ser>
        <c:ser>
          <c:idx val="6"/>
          <c:order val="6"/>
          <c:tx>
            <c:strRef>
              <c:f>'1b. Business Resilience '!$Z$48</c:f>
              <c:strCache>
                <c:ptCount val="1"/>
                <c:pt idx="0">
                  <c:v>-0.0007</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'1b. Business Resilience '!$S$49:$S$59</c:f>
              <c:numCache>
                <c:formatCode>0%</c:formatCode>
                <c:ptCount val="11"/>
                <c:pt idx="0">
                  <c:v>0.3</c:v>
                </c:pt>
                <c:pt idx="1">
                  <c:v>0.28999999999999998</c:v>
                </c:pt>
                <c:pt idx="2">
                  <c:v>0.28000000000000003</c:v>
                </c:pt>
                <c:pt idx="3">
                  <c:v>0.27</c:v>
                </c:pt>
                <c:pt idx="4">
                  <c:v>0.26</c:v>
                </c:pt>
                <c:pt idx="5">
                  <c:v>0.25</c:v>
                </c:pt>
                <c:pt idx="6">
                  <c:v>0.24</c:v>
                </c:pt>
                <c:pt idx="7">
                  <c:v>0.23</c:v>
                </c:pt>
                <c:pt idx="8">
                  <c:v>0.22</c:v>
                </c:pt>
                <c:pt idx="9">
                  <c:v>0.21</c:v>
                </c:pt>
                <c:pt idx="10">
                  <c:v>0.2</c:v>
                </c:pt>
              </c:numCache>
            </c:numRef>
          </c:xVal>
          <c:yVal>
            <c:numRef>
              <c:f>'1b. Business Resilience '!$Z$49:$Z$59</c:f>
              <c:numCache>
                <c:formatCode>"$"#,##0.00</c:formatCode>
                <c:ptCount val="11"/>
                <c:pt idx="0">
                  <c:v>41356.98000000001</c:v>
                </c:pt>
                <c:pt idx="1">
                  <c:v>42834.014999999999</c:v>
                </c:pt>
                <c:pt idx="2">
                  <c:v>44311.049999999988</c:v>
                </c:pt>
                <c:pt idx="3">
                  <c:v>45788.084999999992</c:v>
                </c:pt>
                <c:pt idx="4">
                  <c:v>47265.119999999995</c:v>
                </c:pt>
                <c:pt idx="5">
                  <c:v>48742.154999999999</c:v>
                </c:pt>
                <c:pt idx="6">
                  <c:v>50219.19</c:v>
                </c:pt>
                <c:pt idx="7">
                  <c:v>51696.225000000006</c:v>
                </c:pt>
                <c:pt idx="8">
                  <c:v>53173.259999999995</c:v>
                </c:pt>
                <c:pt idx="9">
                  <c:v>54650.294999999998</c:v>
                </c:pt>
                <c:pt idx="10">
                  <c:v>56127.33</c:v>
                </c:pt>
              </c:numCache>
            </c:numRef>
          </c:yVal>
          <c:smooth val="1"/>
          <c:extLst>
            <c:ext xmlns:c16="http://schemas.microsoft.com/office/drawing/2014/chart" uri="{C3380CC4-5D6E-409C-BE32-E72D297353CC}">
              <c16:uniqueId val="{00000006-A6BA-4631-90D6-0247125F7159}"/>
            </c:ext>
          </c:extLst>
        </c:ser>
        <c:ser>
          <c:idx val="7"/>
          <c:order val="7"/>
          <c:tx>
            <c:strRef>
              <c:f>'1b. Business Resilience '!$AA$48</c:f>
              <c:strCache>
                <c:ptCount val="1"/>
                <c:pt idx="0">
                  <c:v>-0.0008</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'1b. Business Resilience '!$S$49:$S$59</c:f>
              <c:numCache>
                <c:formatCode>0%</c:formatCode>
                <c:ptCount val="11"/>
                <c:pt idx="0">
                  <c:v>0.3</c:v>
                </c:pt>
                <c:pt idx="1">
                  <c:v>0.28999999999999998</c:v>
                </c:pt>
                <c:pt idx="2">
                  <c:v>0.28000000000000003</c:v>
                </c:pt>
                <c:pt idx="3">
                  <c:v>0.27</c:v>
                </c:pt>
                <c:pt idx="4">
                  <c:v>0.26</c:v>
                </c:pt>
                <c:pt idx="5">
                  <c:v>0.25</c:v>
                </c:pt>
                <c:pt idx="6">
                  <c:v>0.24</c:v>
                </c:pt>
                <c:pt idx="7">
                  <c:v>0.23</c:v>
                </c:pt>
                <c:pt idx="8">
                  <c:v>0.22</c:v>
                </c:pt>
                <c:pt idx="9">
                  <c:v>0.21</c:v>
                </c:pt>
                <c:pt idx="10">
                  <c:v>0.2</c:v>
                </c:pt>
              </c:numCache>
            </c:numRef>
          </c:xVal>
          <c:yVal>
            <c:numRef>
              <c:f>'1b. Business Resilience '!$AA$49:$AA$59</c:f>
              <c:numCache>
                <c:formatCode>"$"#,##0.00</c:formatCode>
                <c:ptCount val="11"/>
                <c:pt idx="0">
                  <c:v>41039.459999999992</c:v>
                </c:pt>
                <c:pt idx="1">
                  <c:v>42505.154999999999</c:v>
                </c:pt>
                <c:pt idx="2">
                  <c:v>43970.849999999991</c:v>
                </c:pt>
                <c:pt idx="3">
                  <c:v>45436.544999999998</c:v>
                </c:pt>
                <c:pt idx="4">
                  <c:v>46902.239999999991</c:v>
                </c:pt>
                <c:pt idx="5">
                  <c:v>48367.934999999998</c:v>
                </c:pt>
                <c:pt idx="6">
                  <c:v>49833.630000000005</c:v>
                </c:pt>
                <c:pt idx="7">
                  <c:v>51299.324999999997</c:v>
                </c:pt>
                <c:pt idx="8">
                  <c:v>52765.01999999999</c:v>
                </c:pt>
                <c:pt idx="9">
                  <c:v>54230.714999999997</c:v>
                </c:pt>
                <c:pt idx="10">
                  <c:v>55696.41</c:v>
                </c:pt>
              </c:numCache>
            </c:numRef>
          </c:yVal>
          <c:smooth val="1"/>
          <c:extLst>
            <c:ext xmlns:c16="http://schemas.microsoft.com/office/drawing/2014/chart" uri="{C3380CC4-5D6E-409C-BE32-E72D297353CC}">
              <c16:uniqueId val="{00000007-A6BA-4631-90D6-0247125F7159}"/>
            </c:ext>
          </c:extLst>
        </c:ser>
        <c:ser>
          <c:idx val="8"/>
          <c:order val="8"/>
          <c:tx>
            <c:strRef>
              <c:f>'1b. Business Resilience '!$AB$48</c:f>
              <c:strCache>
                <c:ptCount val="1"/>
                <c:pt idx="0">
                  <c:v>-0.0009</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'1b. Business Resilience '!$S$49:$S$59</c:f>
              <c:numCache>
                <c:formatCode>0%</c:formatCode>
                <c:ptCount val="11"/>
                <c:pt idx="0">
                  <c:v>0.3</c:v>
                </c:pt>
                <c:pt idx="1">
                  <c:v>0.28999999999999998</c:v>
                </c:pt>
                <c:pt idx="2">
                  <c:v>0.28000000000000003</c:v>
                </c:pt>
                <c:pt idx="3">
                  <c:v>0.27</c:v>
                </c:pt>
                <c:pt idx="4">
                  <c:v>0.26</c:v>
                </c:pt>
                <c:pt idx="5">
                  <c:v>0.25</c:v>
                </c:pt>
                <c:pt idx="6">
                  <c:v>0.24</c:v>
                </c:pt>
                <c:pt idx="7">
                  <c:v>0.23</c:v>
                </c:pt>
                <c:pt idx="8">
                  <c:v>0.22</c:v>
                </c:pt>
                <c:pt idx="9">
                  <c:v>0.21</c:v>
                </c:pt>
                <c:pt idx="10">
                  <c:v>0.2</c:v>
                </c:pt>
              </c:numCache>
            </c:numRef>
          </c:xVal>
          <c:yVal>
            <c:numRef>
              <c:f>'1b. Business Resilience '!$AB$49:$AB$59</c:f>
              <c:numCache>
                <c:formatCode>"$"#,##0.00</c:formatCode>
                <c:ptCount val="11"/>
                <c:pt idx="0">
                  <c:v>40748.399999999994</c:v>
                </c:pt>
                <c:pt idx="1">
                  <c:v>42203.700000000012</c:v>
                </c:pt>
                <c:pt idx="2">
                  <c:v>43659</c:v>
                </c:pt>
                <c:pt idx="3">
                  <c:v>45114.299999999988</c:v>
                </c:pt>
                <c:pt idx="4">
                  <c:v>46569.600000000006</c:v>
                </c:pt>
                <c:pt idx="5">
                  <c:v>48024.899999999994</c:v>
                </c:pt>
                <c:pt idx="6">
                  <c:v>49480.200000000012</c:v>
                </c:pt>
                <c:pt idx="7">
                  <c:v>50935.5</c:v>
                </c:pt>
                <c:pt idx="8">
                  <c:v>52390.8</c:v>
                </c:pt>
                <c:pt idx="9">
                  <c:v>53846.100000000006</c:v>
                </c:pt>
                <c:pt idx="10">
                  <c:v>55301.399999999994</c:v>
                </c:pt>
              </c:numCache>
            </c:numRef>
          </c:yVal>
          <c:smooth val="1"/>
          <c:extLst>
            <c:ext xmlns:c16="http://schemas.microsoft.com/office/drawing/2014/chart" uri="{C3380CC4-5D6E-409C-BE32-E72D297353CC}">
              <c16:uniqueId val="{00000008-A6BA-4631-90D6-0247125F7159}"/>
            </c:ext>
          </c:extLst>
        </c:ser>
        <c:ser>
          <c:idx val="9"/>
          <c:order val="9"/>
          <c:tx>
            <c:strRef>
              <c:f>'1b. Business Resilience '!$AC$48</c:f>
              <c:strCache>
                <c:ptCount val="1"/>
                <c:pt idx="0">
                  <c:v>-0.001</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'1b. Business Resilience '!$S$49:$S$59</c:f>
              <c:numCache>
                <c:formatCode>0%</c:formatCode>
                <c:ptCount val="11"/>
                <c:pt idx="0">
                  <c:v>0.3</c:v>
                </c:pt>
                <c:pt idx="1">
                  <c:v>0.28999999999999998</c:v>
                </c:pt>
                <c:pt idx="2">
                  <c:v>0.28000000000000003</c:v>
                </c:pt>
                <c:pt idx="3">
                  <c:v>0.27</c:v>
                </c:pt>
                <c:pt idx="4">
                  <c:v>0.26</c:v>
                </c:pt>
                <c:pt idx="5">
                  <c:v>0.25</c:v>
                </c:pt>
                <c:pt idx="6">
                  <c:v>0.24</c:v>
                </c:pt>
                <c:pt idx="7">
                  <c:v>0.23</c:v>
                </c:pt>
                <c:pt idx="8">
                  <c:v>0.22</c:v>
                </c:pt>
                <c:pt idx="9">
                  <c:v>0.21</c:v>
                </c:pt>
                <c:pt idx="10">
                  <c:v>0.2</c:v>
                </c:pt>
              </c:numCache>
            </c:numRef>
          </c:xVal>
          <c:yVal>
            <c:numRef>
              <c:f>'1b. Business Resilience '!$AC$49:$AC$59</c:f>
              <c:numCache>
                <c:formatCode>"$"#,##0.00</c:formatCode>
                <c:ptCount val="11"/>
                <c:pt idx="0">
                  <c:v>40457.339999999997</c:v>
                </c:pt>
                <c:pt idx="1">
                  <c:v>41902.24500000001</c:v>
                </c:pt>
                <c:pt idx="2">
                  <c:v>43347.149999999994</c:v>
                </c:pt>
                <c:pt idx="3">
                  <c:v>44792.054999999993</c:v>
                </c:pt>
                <c:pt idx="4">
                  <c:v>46236.960000000006</c:v>
                </c:pt>
                <c:pt idx="5">
                  <c:v>47681.865000000005</c:v>
                </c:pt>
                <c:pt idx="6">
                  <c:v>49126.770000000004</c:v>
                </c:pt>
                <c:pt idx="7">
                  <c:v>50571.675000000003</c:v>
                </c:pt>
                <c:pt idx="8">
                  <c:v>52016.58</c:v>
                </c:pt>
                <c:pt idx="9">
                  <c:v>53461.485000000015</c:v>
                </c:pt>
                <c:pt idx="10">
                  <c:v>54906.39</c:v>
                </c:pt>
              </c:numCache>
            </c:numRef>
          </c:yVal>
          <c:smooth val="1"/>
          <c:extLst>
            <c:ext xmlns:c16="http://schemas.microsoft.com/office/drawing/2014/chart" uri="{C3380CC4-5D6E-409C-BE32-E72D297353CC}">
              <c16:uniqueId val="{00000009-A6BA-4631-90D6-0247125F7159}"/>
            </c:ext>
          </c:extLst>
        </c:ser>
        <c:dLbls>
          <c:showLegendKey val="0"/>
          <c:showVal val="0"/>
          <c:showCatName val="0"/>
          <c:showSerName val="0"/>
          <c:showPercent val="0"/>
          <c:showBubbleSize val="0"/>
        </c:dLbls>
        <c:axId val="721222400"/>
        <c:axId val="721219040"/>
      </c:scatterChart>
      <c:valAx>
        <c:axId val="721222400"/>
        <c:scaling>
          <c:orientation val="minMax"/>
          <c:min val="0.1900000000000000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SG"/>
                  <a:t>Weekend Fixed Cost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1219040"/>
        <c:crosses val="autoZero"/>
        <c:crossBetween val="midCat"/>
      </c:valAx>
      <c:valAx>
        <c:axId val="721219040"/>
        <c:scaling>
          <c:orientation val="minMax"/>
          <c:max val="61000"/>
          <c:min val="35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SG"/>
                  <a:t>Profit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1222400"/>
        <c:crosses val="autoZero"/>
        <c:crossBetween val="midCat"/>
        <c:majorUnit val="2000"/>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a:t>Sensitivity 5</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'1b. Business Resilience '!$H$86</c:f>
              <c:strCache>
                <c:ptCount val="1"/>
                <c:pt idx="0">
                  <c:v>-0.001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'1b. Business Resilience '!$G$87:$G$95</c:f>
              <c:numCache>
                <c:formatCode>0.00%</c:formatCode>
                <c:ptCount val="9"/>
                <c:pt idx="0">
                  <c:v>0.14499999999999999</c:v>
                </c:pt>
                <c:pt idx="1">
                  <c:v>0.13500000000000001</c:v>
                </c:pt>
                <c:pt idx="2">
                  <c:v>0.125</c:v>
                </c:pt>
                <c:pt idx="3">
                  <c:v>0.115</c:v>
                </c:pt>
                <c:pt idx="4">
                  <c:v>0.105</c:v>
                </c:pt>
                <c:pt idx="5">
                  <c:v>9.5000000000000001E-2</c:v>
                </c:pt>
                <c:pt idx="6">
                  <c:v>8.5000000000000006E-2</c:v>
                </c:pt>
                <c:pt idx="7">
                  <c:v>7.4999999999999997E-2</c:v>
                </c:pt>
                <c:pt idx="8">
                  <c:v>6.5000000000000002E-2</c:v>
                </c:pt>
              </c:numCache>
            </c:numRef>
          </c:xVal>
          <c:yVal>
            <c:numRef>
              <c:f>'1b. Business Resilience '!$H$87:$H$95</c:f>
              <c:numCache>
                <c:formatCode>"$"#,##0.00</c:formatCode>
                <c:ptCount val="9"/>
                <c:pt idx="0">
                  <c:v>29554.955000000002</c:v>
                </c:pt>
                <c:pt idx="1">
                  <c:v>30574.115000000005</c:v>
                </c:pt>
                <c:pt idx="2">
                  <c:v>31593.274999999994</c:v>
                </c:pt>
                <c:pt idx="3">
                  <c:v>32612.434999999998</c:v>
                </c:pt>
                <c:pt idx="4">
                  <c:v>33631.595000000001</c:v>
                </c:pt>
                <c:pt idx="5">
                  <c:v>34650.755000000005</c:v>
                </c:pt>
                <c:pt idx="6">
                  <c:v>35669.915000000008</c:v>
                </c:pt>
                <c:pt idx="7">
                  <c:v>36689.074999999997</c:v>
                </c:pt>
                <c:pt idx="8">
                  <c:v>37708.235000000001</c:v>
                </c:pt>
              </c:numCache>
            </c:numRef>
          </c:yVal>
          <c:smooth val="1"/>
          <c:extLst>
            <c:ext xmlns:c16="http://schemas.microsoft.com/office/drawing/2014/chart" uri="{C3380CC4-5D6E-409C-BE32-E72D297353CC}">
              <c16:uniqueId val="{00000000-6D7A-4B42-9899-4048C9221BC2}"/>
            </c:ext>
          </c:extLst>
        </c:ser>
        <c:ser>
          <c:idx val="1"/>
          <c:order val="1"/>
          <c:tx>
            <c:strRef>
              <c:f>'1b. Business Resilience '!$I$86</c:f>
              <c:strCache>
                <c:ptCount val="1"/>
                <c:pt idx="0">
                  <c:v>-0.002</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'1b. Business Resilience '!$G$87:$G$95</c:f>
              <c:numCache>
                <c:formatCode>0.00%</c:formatCode>
                <c:ptCount val="9"/>
                <c:pt idx="0">
                  <c:v>0.14499999999999999</c:v>
                </c:pt>
                <c:pt idx="1">
                  <c:v>0.13500000000000001</c:v>
                </c:pt>
                <c:pt idx="2">
                  <c:v>0.125</c:v>
                </c:pt>
                <c:pt idx="3">
                  <c:v>0.115</c:v>
                </c:pt>
                <c:pt idx="4">
                  <c:v>0.105</c:v>
                </c:pt>
                <c:pt idx="5">
                  <c:v>9.5000000000000001E-2</c:v>
                </c:pt>
                <c:pt idx="6">
                  <c:v>8.5000000000000006E-2</c:v>
                </c:pt>
                <c:pt idx="7">
                  <c:v>7.4999999999999997E-2</c:v>
                </c:pt>
                <c:pt idx="8">
                  <c:v>6.5000000000000002E-2</c:v>
                </c:pt>
              </c:numCache>
            </c:numRef>
          </c:xVal>
          <c:yVal>
            <c:numRef>
              <c:f>'1b. Business Resilience '!$I$87:$I$95</c:f>
              <c:numCache>
                <c:formatCode>"$"#,##0.00</c:formatCode>
                <c:ptCount val="9"/>
                <c:pt idx="0">
                  <c:v>27188.554999999993</c:v>
                </c:pt>
                <c:pt idx="1">
                  <c:v>28126.114999999991</c:v>
                </c:pt>
                <c:pt idx="2">
                  <c:v>29063.675000000003</c:v>
                </c:pt>
                <c:pt idx="3">
                  <c:v>30001.235000000001</c:v>
                </c:pt>
                <c:pt idx="4">
                  <c:v>30938.794999999998</c:v>
                </c:pt>
                <c:pt idx="5">
                  <c:v>31876.354999999996</c:v>
                </c:pt>
                <c:pt idx="6">
                  <c:v>32813.915000000001</c:v>
                </c:pt>
                <c:pt idx="7">
                  <c:v>33751.474999999999</c:v>
                </c:pt>
                <c:pt idx="8">
                  <c:v>34689.035000000003</c:v>
                </c:pt>
              </c:numCache>
            </c:numRef>
          </c:yVal>
          <c:smooth val="1"/>
          <c:extLst>
            <c:ext xmlns:c16="http://schemas.microsoft.com/office/drawing/2014/chart" uri="{C3380CC4-5D6E-409C-BE32-E72D297353CC}">
              <c16:uniqueId val="{00000001-6D7A-4B42-9899-4048C9221BC2}"/>
            </c:ext>
          </c:extLst>
        </c:ser>
        <c:ser>
          <c:idx val="2"/>
          <c:order val="2"/>
          <c:tx>
            <c:strRef>
              <c:f>'1b. Business Resilience '!$J$86</c:f>
              <c:strCache>
                <c:ptCount val="1"/>
                <c:pt idx="0">
                  <c:v>-0.003</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'1b. Business Resilience '!$G$87:$G$95</c:f>
              <c:numCache>
                <c:formatCode>0.00%</c:formatCode>
                <c:ptCount val="9"/>
                <c:pt idx="0">
                  <c:v>0.14499999999999999</c:v>
                </c:pt>
                <c:pt idx="1">
                  <c:v>0.13500000000000001</c:v>
                </c:pt>
                <c:pt idx="2">
                  <c:v>0.125</c:v>
                </c:pt>
                <c:pt idx="3">
                  <c:v>0.115</c:v>
                </c:pt>
                <c:pt idx="4">
                  <c:v>0.105</c:v>
                </c:pt>
                <c:pt idx="5">
                  <c:v>9.5000000000000001E-2</c:v>
                </c:pt>
                <c:pt idx="6">
                  <c:v>8.5000000000000006E-2</c:v>
                </c:pt>
                <c:pt idx="7">
                  <c:v>7.4999999999999997E-2</c:v>
                </c:pt>
                <c:pt idx="8">
                  <c:v>6.5000000000000002E-2</c:v>
                </c:pt>
              </c:numCache>
            </c:numRef>
          </c:xVal>
          <c:yVal>
            <c:numRef>
              <c:f>'1b. Business Resilience '!$J$87:$J$95</c:f>
              <c:numCache>
                <c:formatCode>"$"#,##0.00</c:formatCode>
                <c:ptCount val="9"/>
                <c:pt idx="0">
                  <c:v>24846.805</c:v>
                </c:pt>
                <c:pt idx="1">
                  <c:v>25703.614999999998</c:v>
                </c:pt>
                <c:pt idx="2">
                  <c:v>26560.425000000003</c:v>
                </c:pt>
                <c:pt idx="3">
                  <c:v>27417.235000000001</c:v>
                </c:pt>
                <c:pt idx="4">
                  <c:v>28274.044999999998</c:v>
                </c:pt>
                <c:pt idx="5">
                  <c:v>29130.854999999996</c:v>
                </c:pt>
                <c:pt idx="6">
                  <c:v>29987.665000000001</c:v>
                </c:pt>
                <c:pt idx="7">
                  <c:v>30844.474999999999</c:v>
                </c:pt>
                <c:pt idx="8">
                  <c:v>31701.285000000003</c:v>
                </c:pt>
              </c:numCache>
            </c:numRef>
          </c:yVal>
          <c:smooth val="1"/>
          <c:extLst>
            <c:ext xmlns:c16="http://schemas.microsoft.com/office/drawing/2014/chart" uri="{C3380CC4-5D6E-409C-BE32-E72D297353CC}">
              <c16:uniqueId val="{00000002-6D7A-4B42-9899-4048C9221BC2}"/>
            </c:ext>
          </c:extLst>
        </c:ser>
        <c:ser>
          <c:idx val="3"/>
          <c:order val="3"/>
          <c:tx>
            <c:strRef>
              <c:f>'1b. Business Resilience '!$K$86</c:f>
              <c:strCache>
                <c:ptCount val="1"/>
                <c:pt idx="0">
                  <c:v>-0.004</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'1b. Business Resilience '!$G$87:$G$95</c:f>
              <c:numCache>
                <c:formatCode>0.00%</c:formatCode>
                <c:ptCount val="9"/>
                <c:pt idx="0">
                  <c:v>0.14499999999999999</c:v>
                </c:pt>
                <c:pt idx="1">
                  <c:v>0.13500000000000001</c:v>
                </c:pt>
                <c:pt idx="2">
                  <c:v>0.125</c:v>
                </c:pt>
                <c:pt idx="3">
                  <c:v>0.115</c:v>
                </c:pt>
                <c:pt idx="4">
                  <c:v>0.105</c:v>
                </c:pt>
                <c:pt idx="5">
                  <c:v>9.5000000000000001E-2</c:v>
                </c:pt>
                <c:pt idx="6">
                  <c:v>8.5000000000000006E-2</c:v>
                </c:pt>
                <c:pt idx="7">
                  <c:v>7.4999999999999997E-2</c:v>
                </c:pt>
                <c:pt idx="8">
                  <c:v>6.5000000000000002E-2</c:v>
                </c:pt>
              </c:numCache>
            </c:numRef>
          </c:xVal>
          <c:yVal>
            <c:numRef>
              <c:f>'1b. Business Resilience '!$K$87:$K$95</c:f>
              <c:numCache>
                <c:formatCode>"$"#,##0.00</c:formatCode>
                <c:ptCount val="9"/>
                <c:pt idx="0">
                  <c:v>22480.404999999999</c:v>
                </c:pt>
                <c:pt idx="1">
                  <c:v>23255.615000000005</c:v>
                </c:pt>
                <c:pt idx="2">
                  <c:v>24030.824999999997</c:v>
                </c:pt>
                <c:pt idx="3">
                  <c:v>24806.034999999996</c:v>
                </c:pt>
                <c:pt idx="4">
                  <c:v>25581.245000000003</c:v>
                </c:pt>
                <c:pt idx="5">
                  <c:v>26356.455000000002</c:v>
                </c:pt>
                <c:pt idx="6">
                  <c:v>27131.665000000001</c:v>
                </c:pt>
                <c:pt idx="7">
                  <c:v>27906.875</c:v>
                </c:pt>
                <c:pt idx="8">
                  <c:v>28682.085000000006</c:v>
                </c:pt>
              </c:numCache>
            </c:numRef>
          </c:yVal>
          <c:smooth val="1"/>
          <c:extLst>
            <c:ext xmlns:c16="http://schemas.microsoft.com/office/drawing/2014/chart" uri="{C3380CC4-5D6E-409C-BE32-E72D297353CC}">
              <c16:uniqueId val="{00000003-6D7A-4B42-9899-4048C9221BC2}"/>
            </c:ext>
          </c:extLst>
        </c:ser>
        <c:ser>
          <c:idx val="4"/>
          <c:order val="4"/>
          <c:tx>
            <c:strRef>
              <c:f>'1b. Business Resilience '!$L$86</c:f>
              <c:strCache>
                <c:ptCount val="1"/>
                <c:pt idx="0">
                  <c:v>-0.005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'1b. Business Resilience '!$G$87:$G$95</c:f>
              <c:numCache>
                <c:formatCode>0.00%</c:formatCode>
                <c:ptCount val="9"/>
                <c:pt idx="0">
                  <c:v>0.14499999999999999</c:v>
                </c:pt>
                <c:pt idx="1">
                  <c:v>0.13500000000000001</c:v>
                </c:pt>
                <c:pt idx="2">
                  <c:v>0.125</c:v>
                </c:pt>
                <c:pt idx="3">
                  <c:v>0.115</c:v>
                </c:pt>
                <c:pt idx="4">
                  <c:v>0.105</c:v>
                </c:pt>
                <c:pt idx="5">
                  <c:v>9.5000000000000001E-2</c:v>
                </c:pt>
                <c:pt idx="6">
                  <c:v>8.5000000000000006E-2</c:v>
                </c:pt>
                <c:pt idx="7">
                  <c:v>7.4999999999999997E-2</c:v>
                </c:pt>
                <c:pt idx="8">
                  <c:v>6.5000000000000002E-2</c:v>
                </c:pt>
              </c:numCache>
            </c:numRef>
          </c:xVal>
          <c:yVal>
            <c:numRef>
              <c:f>'1b. Business Resilience '!$L$87:$L$95</c:f>
              <c:numCache>
                <c:formatCode>"$"#,##0.00</c:formatCode>
                <c:ptCount val="9"/>
                <c:pt idx="0">
                  <c:v>20114.004999999997</c:v>
                </c:pt>
                <c:pt idx="1">
                  <c:v>20807.614999999998</c:v>
                </c:pt>
                <c:pt idx="2">
                  <c:v>21501.224999999999</c:v>
                </c:pt>
                <c:pt idx="3">
                  <c:v>22194.834999999992</c:v>
                </c:pt>
                <c:pt idx="4">
                  <c:v>22888.445</c:v>
                </c:pt>
                <c:pt idx="5">
                  <c:v>23582.054999999993</c:v>
                </c:pt>
                <c:pt idx="6">
                  <c:v>24275.665000000001</c:v>
                </c:pt>
                <c:pt idx="7">
                  <c:v>24969.274999999994</c:v>
                </c:pt>
                <c:pt idx="8">
                  <c:v>25662.884999999995</c:v>
                </c:pt>
              </c:numCache>
            </c:numRef>
          </c:yVal>
          <c:smooth val="1"/>
          <c:extLst>
            <c:ext xmlns:c16="http://schemas.microsoft.com/office/drawing/2014/chart" uri="{C3380CC4-5D6E-409C-BE32-E72D297353CC}">
              <c16:uniqueId val="{00000004-6D7A-4B42-9899-4048C9221BC2}"/>
            </c:ext>
          </c:extLst>
        </c:ser>
        <c:ser>
          <c:idx val="5"/>
          <c:order val="5"/>
          <c:tx>
            <c:strRef>
              <c:f>'1b. Business Resilience '!$M$86</c:f>
              <c:strCache>
                <c:ptCount val="1"/>
                <c:pt idx="0">
                  <c:v>-0.006</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'1b. Business Resilience '!$G$87:$G$95</c:f>
              <c:numCache>
                <c:formatCode>0.00%</c:formatCode>
                <c:ptCount val="9"/>
                <c:pt idx="0">
                  <c:v>0.14499999999999999</c:v>
                </c:pt>
                <c:pt idx="1">
                  <c:v>0.13500000000000001</c:v>
                </c:pt>
                <c:pt idx="2">
                  <c:v>0.125</c:v>
                </c:pt>
                <c:pt idx="3">
                  <c:v>0.115</c:v>
                </c:pt>
                <c:pt idx="4">
                  <c:v>0.105</c:v>
                </c:pt>
                <c:pt idx="5">
                  <c:v>9.5000000000000001E-2</c:v>
                </c:pt>
                <c:pt idx="6">
                  <c:v>8.5000000000000006E-2</c:v>
                </c:pt>
                <c:pt idx="7">
                  <c:v>7.4999999999999997E-2</c:v>
                </c:pt>
                <c:pt idx="8">
                  <c:v>6.5000000000000002E-2</c:v>
                </c:pt>
              </c:numCache>
            </c:numRef>
          </c:xVal>
          <c:yVal>
            <c:numRef>
              <c:f>'1b. Business Resilience '!$M$87:$M$95</c:f>
              <c:numCache>
                <c:formatCode>"$"#,##0.00</c:formatCode>
                <c:ptCount val="9"/>
                <c:pt idx="0">
                  <c:v>17772.254999999997</c:v>
                </c:pt>
                <c:pt idx="1">
                  <c:v>18385.114999999998</c:v>
                </c:pt>
                <c:pt idx="2">
                  <c:v>18997.974999999999</c:v>
                </c:pt>
                <c:pt idx="3">
                  <c:v>19610.834999999992</c:v>
                </c:pt>
                <c:pt idx="4">
                  <c:v>20223.695</c:v>
                </c:pt>
                <c:pt idx="5">
                  <c:v>20836.554999999993</c:v>
                </c:pt>
                <c:pt idx="6">
                  <c:v>21449.415000000001</c:v>
                </c:pt>
                <c:pt idx="7">
                  <c:v>22062.274999999994</c:v>
                </c:pt>
                <c:pt idx="8">
                  <c:v>22675.134999999995</c:v>
                </c:pt>
              </c:numCache>
            </c:numRef>
          </c:yVal>
          <c:smooth val="1"/>
          <c:extLst>
            <c:ext xmlns:c16="http://schemas.microsoft.com/office/drawing/2014/chart" uri="{C3380CC4-5D6E-409C-BE32-E72D297353CC}">
              <c16:uniqueId val="{00000005-6D7A-4B42-9899-4048C9221BC2}"/>
            </c:ext>
          </c:extLst>
        </c:ser>
        <c:ser>
          <c:idx val="6"/>
          <c:order val="6"/>
          <c:tx>
            <c:strRef>
              <c:f>'1b. Business Resilience '!$N$86</c:f>
              <c:strCache>
                <c:ptCount val="1"/>
                <c:pt idx="0">
                  <c:v>-0.007</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'1b. Business Resilience '!$G$87:$G$95</c:f>
              <c:numCache>
                <c:formatCode>0.00%</c:formatCode>
                <c:ptCount val="9"/>
                <c:pt idx="0">
                  <c:v>0.14499999999999999</c:v>
                </c:pt>
                <c:pt idx="1">
                  <c:v>0.13500000000000001</c:v>
                </c:pt>
                <c:pt idx="2">
                  <c:v>0.125</c:v>
                </c:pt>
                <c:pt idx="3">
                  <c:v>0.115</c:v>
                </c:pt>
                <c:pt idx="4">
                  <c:v>0.105</c:v>
                </c:pt>
                <c:pt idx="5">
                  <c:v>9.5000000000000001E-2</c:v>
                </c:pt>
                <c:pt idx="6">
                  <c:v>8.5000000000000006E-2</c:v>
                </c:pt>
                <c:pt idx="7">
                  <c:v>7.4999999999999997E-2</c:v>
                </c:pt>
                <c:pt idx="8">
                  <c:v>6.5000000000000002E-2</c:v>
                </c:pt>
              </c:numCache>
            </c:numRef>
          </c:xVal>
          <c:yVal>
            <c:numRef>
              <c:f>'1b. Business Resilience '!$N$87:$N$95</c:f>
              <c:numCache>
                <c:formatCode>"$"#,##0.00</c:formatCode>
                <c:ptCount val="9"/>
                <c:pt idx="0">
                  <c:v>15405.854999999996</c:v>
                </c:pt>
                <c:pt idx="1">
                  <c:v>15937.115000000005</c:v>
                </c:pt>
                <c:pt idx="2">
                  <c:v>16468.375</c:v>
                </c:pt>
                <c:pt idx="3">
                  <c:v>16999.634999999995</c:v>
                </c:pt>
                <c:pt idx="4">
                  <c:v>17530.895000000004</c:v>
                </c:pt>
                <c:pt idx="5">
                  <c:v>18062.154999999999</c:v>
                </c:pt>
                <c:pt idx="6">
                  <c:v>18593.415000000001</c:v>
                </c:pt>
                <c:pt idx="7">
                  <c:v>19124.675000000003</c:v>
                </c:pt>
                <c:pt idx="8">
                  <c:v>19655.934999999998</c:v>
                </c:pt>
              </c:numCache>
            </c:numRef>
          </c:yVal>
          <c:smooth val="1"/>
          <c:extLst>
            <c:ext xmlns:c16="http://schemas.microsoft.com/office/drawing/2014/chart" uri="{C3380CC4-5D6E-409C-BE32-E72D297353CC}">
              <c16:uniqueId val="{00000006-6D7A-4B42-9899-4048C9221BC2}"/>
            </c:ext>
          </c:extLst>
        </c:ser>
        <c:ser>
          <c:idx val="7"/>
          <c:order val="7"/>
          <c:tx>
            <c:strRef>
              <c:f>'1b. Business Resilience '!$O$86</c:f>
              <c:strCache>
                <c:ptCount val="1"/>
                <c:pt idx="0">
                  <c:v>-0.008</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'1b. Business Resilience '!$G$87:$G$95</c:f>
              <c:numCache>
                <c:formatCode>0.00%</c:formatCode>
                <c:ptCount val="9"/>
                <c:pt idx="0">
                  <c:v>0.14499999999999999</c:v>
                </c:pt>
                <c:pt idx="1">
                  <c:v>0.13500000000000001</c:v>
                </c:pt>
                <c:pt idx="2">
                  <c:v>0.125</c:v>
                </c:pt>
                <c:pt idx="3">
                  <c:v>0.115</c:v>
                </c:pt>
                <c:pt idx="4">
                  <c:v>0.105</c:v>
                </c:pt>
                <c:pt idx="5">
                  <c:v>9.5000000000000001E-2</c:v>
                </c:pt>
                <c:pt idx="6">
                  <c:v>8.5000000000000006E-2</c:v>
                </c:pt>
                <c:pt idx="7">
                  <c:v>7.4999999999999997E-2</c:v>
                </c:pt>
                <c:pt idx="8">
                  <c:v>6.5000000000000002E-2</c:v>
                </c:pt>
              </c:numCache>
            </c:numRef>
          </c:xVal>
          <c:yVal>
            <c:numRef>
              <c:f>'1b. Business Resilience '!$O$87:$O$95</c:f>
              <c:numCache>
                <c:formatCode>"$"#,##0.00</c:formatCode>
                <c:ptCount val="9"/>
                <c:pt idx="0">
                  <c:v>13039.455000000002</c:v>
                </c:pt>
                <c:pt idx="1">
                  <c:v>13489.114999999998</c:v>
                </c:pt>
                <c:pt idx="2">
                  <c:v>13938.775000000001</c:v>
                </c:pt>
                <c:pt idx="3">
                  <c:v>14388.434999999998</c:v>
                </c:pt>
                <c:pt idx="4">
                  <c:v>14838.095000000001</c:v>
                </c:pt>
                <c:pt idx="5">
                  <c:v>15287.755000000001</c:v>
                </c:pt>
                <c:pt idx="6">
                  <c:v>15737.415000000001</c:v>
                </c:pt>
                <c:pt idx="7">
                  <c:v>16187.074999999997</c:v>
                </c:pt>
                <c:pt idx="8">
                  <c:v>16636.735000000001</c:v>
                </c:pt>
              </c:numCache>
            </c:numRef>
          </c:yVal>
          <c:smooth val="1"/>
          <c:extLst>
            <c:ext xmlns:c16="http://schemas.microsoft.com/office/drawing/2014/chart" uri="{C3380CC4-5D6E-409C-BE32-E72D297353CC}">
              <c16:uniqueId val="{00000007-6D7A-4B42-9899-4048C9221BC2}"/>
            </c:ext>
          </c:extLst>
        </c:ser>
        <c:ser>
          <c:idx val="8"/>
          <c:order val="8"/>
          <c:tx>
            <c:strRef>
              <c:f>'1b. Business Resilience '!$P$86</c:f>
              <c:strCache>
                <c:ptCount val="1"/>
                <c:pt idx="0">
                  <c:v>-0.009</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'1b. Business Resilience '!$G$87:$G$95</c:f>
              <c:numCache>
                <c:formatCode>0.00%</c:formatCode>
                <c:ptCount val="9"/>
                <c:pt idx="0">
                  <c:v>0.14499999999999999</c:v>
                </c:pt>
                <c:pt idx="1">
                  <c:v>0.13500000000000001</c:v>
                </c:pt>
                <c:pt idx="2">
                  <c:v>0.125</c:v>
                </c:pt>
                <c:pt idx="3">
                  <c:v>0.115</c:v>
                </c:pt>
                <c:pt idx="4">
                  <c:v>0.105</c:v>
                </c:pt>
                <c:pt idx="5">
                  <c:v>9.5000000000000001E-2</c:v>
                </c:pt>
                <c:pt idx="6">
                  <c:v>8.5000000000000006E-2</c:v>
                </c:pt>
                <c:pt idx="7">
                  <c:v>7.4999999999999997E-2</c:v>
                </c:pt>
                <c:pt idx="8">
                  <c:v>6.5000000000000002E-2</c:v>
                </c:pt>
              </c:numCache>
            </c:numRef>
          </c:xVal>
          <c:yVal>
            <c:numRef>
              <c:f>'1b. Business Resilience '!$P$87:$P$95</c:f>
              <c:numCache>
                <c:formatCode>"$"#,##0.00</c:formatCode>
                <c:ptCount val="9"/>
                <c:pt idx="0">
                  <c:v>10673.055</c:v>
                </c:pt>
                <c:pt idx="1">
                  <c:v>11041.114999999998</c:v>
                </c:pt>
                <c:pt idx="2">
                  <c:v>11409.174999999999</c:v>
                </c:pt>
                <c:pt idx="3">
                  <c:v>11777.235000000001</c:v>
                </c:pt>
                <c:pt idx="4">
                  <c:v>12145.294999999998</c:v>
                </c:pt>
                <c:pt idx="5">
                  <c:v>12513.355</c:v>
                </c:pt>
                <c:pt idx="6">
                  <c:v>12881.415000000001</c:v>
                </c:pt>
                <c:pt idx="7">
                  <c:v>13249.474999999999</c:v>
                </c:pt>
                <c:pt idx="8">
                  <c:v>13617.534999999996</c:v>
                </c:pt>
              </c:numCache>
            </c:numRef>
          </c:yVal>
          <c:smooth val="1"/>
          <c:extLst>
            <c:ext xmlns:c16="http://schemas.microsoft.com/office/drawing/2014/chart" uri="{C3380CC4-5D6E-409C-BE32-E72D297353CC}">
              <c16:uniqueId val="{00000008-6D7A-4B42-9899-4048C9221BC2}"/>
            </c:ext>
          </c:extLst>
        </c:ser>
        <c:ser>
          <c:idx val="9"/>
          <c:order val="9"/>
          <c:tx>
            <c:strRef>
              <c:f>'1b. Business Resilience '!$Q$86</c:f>
              <c:strCache>
                <c:ptCount val="1"/>
                <c:pt idx="0">
                  <c:v>-0.01</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'1b. Business Resilience '!$G$87:$G$95</c:f>
              <c:numCache>
                <c:formatCode>0.00%</c:formatCode>
                <c:ptCount val="9"/>
                <c:pt idx="0">
                  <c:v>0.14499999999999999</c:v>
                </c:pt>
                <c:pt idx="1">
                  <c:v>0.13500000000000001</c:v>
                </c:pt>
                <c:pt idx="2">
                  <c:v>0.125</c:v>
                </c:pt>
                <c:pt idx="3">
                  <c:v>0.115</c:v>
                </c:pt>
                <c:pt idx="4">
                  <c:v>0.105</c:v>
                </c:pt>
                <c:pt idx="5">
                  <c:v>9.5000000000000001E-2</c:v>
                </c:pt>
                <c:pt idx="6">
                  <c:v>8.5000000000000006E-2</c:v>
                </c:pt>
                <c:pt idx="7">
                  <c:v>7.4999999999999997E-2</c:v>
                </c:pt>
                <c:pt idx="8">
                  <c:v>6.5000000000000002E-2</c:v>
                </c:pt>
              </c:numCache>
            </c:numRef>
          </c:xVal>
          <c:yVal>
            <c:numRef>
              <c:f>'1b. Business Resilience '!$Q$87:$Q$95</c:f>
              <c:numCache>
                <c:formatCode>"$"#,##0.00</c:formatCode>
                <c:ptCount val="9"/>
                <c:pt idx="0">
                  <c:v>8331.3050000000003</c:v>
                </c:pt>
                <c:pt idx="1">
                  <c:v>8618.614999999998</c:v>
                </c:pt>
                <c:pt idx="2">
                  <c:v>8905.9249999999993</c:v>
                </c:pt>
                <c:pt idx="3">
                  <c:v>9193.2350000000006</c:v>
                </c:pt>
                <c:pt idx="4">
                  <c:v>9480.5449999999983</c:v>
                </c:pt>
                <c:pt idx="5">
                  <c:v>9767.8549999999996</c:v>
                </c:pt>
                <c:pt idx="6">
                  <c:v>10055.165000000001</c:v>
                </c:pt>
                <c:pt idx="7">
                  <c:v>10342.474999999999</c:v>
                </c:pt>
                <c:pt idx="8">
                  <c:v>10629.784999999996</c:v>
                </c:pt>
              </c:numCache>
            </c:numRef>
          </c:yVal>
          <c:smooth val="1"/>
          <c:extLst>
            <c:ext xmlns:c16="http://schemas.microsoft.com/office/drawing/2014/chart" uri="{C3380CC4-5D6E-409C-BE32-E72D297353CC}">
              <c16:uniqueId val="{00000009-6D7A-4B42-9899-4048C9221BC2}"/>
            </c:ext>
          </c:extLst>
        </c:ser>
        <c:dLbls>
          <c:showLegendKey val="0"/>
          <c:showVal val="0"/>
          <c:showCatName val="0"/>
          <c:showSerName val="0"/>
          <c:showPercent val="0"/>
          <c:showBubbleSize val="0"/>
        </c:dLbls>
        <c:axId val="843573568"/>
        <c:axId val="843585088"/>
      </c:scatterChart>
      <c:valAx>
        <c:axId val="843573568"/>
        <c:scaling>
          <c:orientation val="minMax"/>
          <c:min val="6.0000000000000012E-2"/>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SG"/>
                  <a:t>Weekday Variable Cost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3585088"/>
        <c:crosses val="autoZero"/>
        <c:crossBetween val="midCat"/>
      </c:valAx>
      <c:valAx>
        <c:axId val="8435850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SG"/>
                  <a:t>Profit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357356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a:t>Sensitivity 6</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'1b. Business Resilience '!$T$86</c:f>
              <c:strCache>
                <c:ptCount val="1"/>
                <c:pt idx="0">
                  <c:v>-0.0001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'1b. Business Resilience '!$S$87:$S$95</c:f>
              <c:numCache>
                <c:formatCode>0.00%</c:formatCode>
                <c:ptCount val="9"/>
                <c:pt idx="0">
                  <c:v>0.14499999999999999</c:v>
                </c:pt>
                <c:pt idx="1">
                  <c:v>0.13500000000000001</c:v>
                </c:pt>
                <c:pt idx="2">
                  <c:v>0.125</c:v>
                </c:pt>
                <c:pt idx="3">
                  <c:v>0.115</c:v>
                </c:pt>
                <c:pt idx="4">
                  <c:v>0.105</c:v>
                </c:pt>
                <c:pt idx="5">
                  <c:v>9.5000000000000001E-2</c:v>
                </c:pt>
                <c:pt idx="6">
                  <c:v>8.5000000000000006E-2</c:v>
                </c:pt>
                <c:pt idx="7">
                  <c:v>7.4999999999999997E-2</c:v>
                </c:pt>
                <c:pt idx="8">
                  <c:v>6.5000000000000002E-2</c:v>
                </c:pt>
              </c:numCache>
            </c:numRef>
          </c:xVal>
          <c:yVal>
            <c:numRef>
              <c:f>'1b. Business Resilience '!$T$87:$T$95</c:f>
              <c:numCache>
                <c:formatCode>"$"#,##0.00</c:formatCode>
                <c:ptCount val="9"/>
                <c:pt idx="0">
                  <c:v>44724.960000000006</c:v>
                </c:pt>
                <c:pt idx="1">
                  <c:v>46267.199999999997</c:v>
                </c:pt>
                <c:pt idx="2">
                  <c:v>47809.440000000002</c:v>
                </c:pt>
                <c:pt idx="3">
                  <c:v>49351.679999999993</c:v>
                </c:pt>
                <c:pt idx="4">
                  <c:v>50893.920000000013</c:v>
                </c:pt>
                <c:pt idx="5">
                  <c:v>52436.160000000003</c:v>
                </c:pt>
                <c:pt idx="6">
                  <c:v>53978.399999999994</c:v>
                </c:pt>
                <c:pt idx="7">
                  <c:v>55520.639999999999</c:v>
                </c:pt>
                <c:pt idx="8">
                  <c:v>57062.880000000005</c:v>
                </c:pt>
              </c:numCache>
            </c:numRef>
          </c:yVal>
          <c:smooth val="1"/>
          <c:extLst>
            <c:ext xmlns:c16="http://schemas.microsoft.com/office/drawing/2014/chart" uri="{C3380CC4-5D6E-409C-BE32-E72D297353CC}">
              <c16:uniqueId val="{00000000-5797-48B8-BF3F-60D3C70D211B}"/>
            </c:ext>
          </c:extLst>
        </c:ser>
        <c:ser>
          <c:idx val="1"/>
          <c:order val="1"/>
          <c:tx>
            <c:strRef>
              <c:f>'1b. Business Resilience '!$U$86</c:f>
              <c:strCache>
                <c:ptCount val="1"/>
                <c:pt idx="0">
                  <c:v>-0.0002</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'1b. Business Resilience '!$S$87:$S$95</c:f>
              <c:numCache>
                <c:formatCode>0.00%</c:formatCode>
                <c:ptCount val="9"/>
                <c:pt idx="0">
                  <c:v>0.14499999999999999</c:v>
                </c:pt>
                <c:pt idx="1">
                  <c:v>0.13500000000000001</c:v>
                </c:pt>
                <c:pt idx="2">
                  <c:v>0.125</c:v>
                </c:pt>
                <c:pt idx="3">
                  <c:v>0.115</c:v>
                </c:pt>
                <c:pt idx="4">
                  <c:v>0.105</c:v>
                </c:pt>
                <c:pt idx="5">
                  <c:v>9.5000000000000001E-2</c:v>
                </c:pt>
                <c:pt idx="6">
                  <c:v>8.5000000000000006E-2</c:v>
                </c:pt>
                <c:pt idx="7">
                  <c:v>7.4999999999999997E-2</c:v>
                </c:pt>
                <c:pt idx="8">
                  <c:v>6.5000000000000002E-2</c:v>
                </c:pt>
              </c:numCache>
            </c:numRef>
          </c:xVal>
          <c:yVal>
            <c:numRef>
              <c:f>'1b. Business Resilience '!$U$87:$U$95</c:f>
              <c:numCache>
                <c:formatCode>"$"#,##0.00</c:formatCode>
                <c:ptCount val="9"/>
                <c:pt idx="0">
                  <c:v>44396.100000000006</c:v>
                </c:pt>
                <c:pt idx="1">
                  <c:v>45927</c:v>
                </c:pt>
                <c:pt idx="2">
                  <c:v>47457.899999999994</c:v>
                </c:pt>
                <c:pt idx="3">
                  <c:v>48988.800000000003</c:v>
                </c:pt>
                <c:pt idx="4">
                  <c:v>50519.700000000012</c:v>
                </c:pt>
                <c:pt idx="5">
                  <c:v>52050.600000000006</c:v>
                </c:pt>
                <c:pt idx="6">
                  <c:v>53581.5</c:v>
                </c:pt>
                <c:pt idx="7">
                  <c:v>55112.399999999994</c:v>
                </c:pt>
                <c:pt idx="8">
                  <c:v>56643.3</c:v>
                </c:pt>
              </c:numCache>
            </c:numRef>
          </c:yVal>
          <c:smooth val="1"/>
          <c:extLst>
            <c:ext xmlns:c16="http://schemas.microsoft.com/office/drawing/2014/chart" uri="{C3380CC4-5D6E-409C-BE32-E72D297353CC}">
              <c16:uniqueId val="{00000001-5797-48B8-BF3F-60D3C70D211B}"/>
            </c:ext>
          </c:extLst>
        </c:ser>
        <c:ser>
          <c:idx val="2"/>
          <c:order val="2"/>
          <c:tx>
            <c:strRef>
              <c:f>'1b. Business Resilience '!$V$86</c:f>
              <c:strCache>
                <c:ptCount val="1"/>
                <c:pt idx="0">
                  <c:v>-0.0003</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'1b. Business Resilience '!$S$87:$S$95</c:f>
              <c:numCache>
                <c:formatCode>0.00%</c:formatCode>
                <c:ptCount val="9"/>
                <c:pt idx="0">
                  <c:v>0.14499999999999999</c:v>
                </c:pt>
                <c:pt idx="1">
                  <c:v>0.13500000000000001</c:v>
                </c:pt>
                <c:pt idx="2">
                  <c:v>0.125</c:v>
                </c:pt>
                <c:pt idx="3">
                  <c:v>0.115</c:v>
                </c:pt>
                <c:pt idx="4">
                  <c:v>0.105</c:v>
                </c:pt>
                <c:pt idx="5">
                  <c:v>9.5000000000000001E-2</c:v>
                </c:pt>
                <c:pt idx="6">
                  <c:v>8.5000000000000006E-2</c:v>
                </c:pt>
                <c:pt idx="7">
                  <c:v>7.4999999999999997E-2</c:v>
                </c:pt>
                <c:pt idx="8">
                  <c:v>6.5000000000000002E-2</c:v>
                </c:pt>
              </c:numCache>
            </c:numRef>
          </c:xVal>
          <c:yVal>
            <c:numRef>
              <c:f>'1b. Business Resilience '!$V$87:$V$95</c:f>
              <c:numCache>
                <c:formatCode>"$"#,##0.00</c:formatCode>
                <c:ptCount val="9"/>
                <c:pt idx="0">
                  <c:v>44094.645000000004</c:v>
                </c:pt>
                <c:pt idx="1">
                  <c:v>45615.149999999994</c:v>
                </c:pt>
                <c:pt idx="2">
                  <c:v>47135.654999999999</c:v>
                </c:pt>
                <c:pt idx="3">
                  <c:v>48656.160000000003</c:v>
                </c:pt>
                <c:pt idx="4">
                  <c:v>50176.665000000008</c:v>
                </c:pt>
                <c:pt idx="5">
                  <c:v>51697.17</c:v>
                </c:pt>
                <c:pt idx="6">
                  <c:v>53217.674999999988</c:v>
                </c:pt>
                <c:pt idx="7">
                  <c:v>54738.179999999993</c:v>
                </c:pt>
                <c:pt idx="8">
                  <c:v>56258.684999999998</c:v>
                </c:pt>
              </c:numCache>
            </c:numRef>
          </c:yVal>
          <c:smooth val="1"/>
          <c:extLst>
            <c:ext xmlns:c16="http://schemas.microsoft.com/office/drawing/2014/chart" uri="{C3380CC4-5D6E-409C-BE32-E72D297353CC}">
              <c16:uniqueId val="{00000002-5797-48B8-BF3F-60D3C70D211B}"/>
            </c:ext>
          </c:extLst>
        </c:ser>
        <c:ser>
          <c:idx val="3"/>
          <c:order val="3"/>
          <c:tx>
            <c:strRef>
              <c:f>'1b. Business Resilience '!$W$86</c:f>
              <c:strCache>
                <c:ptCount val="1"/>
                <c:pt idx="0">
                  <c:v>-0.0004</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'1b. Business Resilience '!$S$87:$S$95</c:f>
              <c:numCache>
                <c:formatCode>0.00%</c:formatCode>
                <c:ptCount val="9"/>
                <c:pt idx="0">
                  <c:v>0.14499999999999999</c:v>
                </c:pt>
                <c:pt idx="1">
                  <c:v>0.13500000000000001</c:v>
                </c:pt>
                <c:pt idx="2">
                  <c:v>0.125</c:v>
                </c:pt>
                <c:pt idx="3">
                  <c:v>0.115</c:v>
                </c:pt>
                <c:pt idx="4">
                  <c:v>0.105</c:v>
                </c:pt>
                <c:pt idx="5">
                  <c:v>9.5000000000000001E-2</c:v>
                </c:pt>
                <c:pt idx="6">
                  <c:v>8.5000000000000006E-2</c:v>
                </c:pt>
                <c:pt idx="7">
                  <c:v>7.4999999999999997E-2</c:v>
                </c:pt>
                <c:pt idx="8">
                  <c:v>6.5000000000000002E-2</c:v>
                </c:pt>
              </c:numCache>
            </c:numRef>
          </c:xVal>
          <c:yVal>
            <c:numRef>
              <c:f>'1b. Business Resilience '!$W$87:$W$95</c:f>
              <c:numCache>
                <c:formatCode>"$"#,##0.00</c:formatCode>
                <c:ptCount val="9"/>
                <c:pt idx="0">
                  <c:v>43765.785000000003</c:v>
                </c:pt>
                <c:pt idx="1">
                  <c:v>45274.95</c:v>
                </c:pt>
                <c:pt idx="2">
                  <c:v>46784.114999999991</c:v>
                </c:pt>
                <c:pt idx="3">
                  <c:v>48293.279999999999</c:v>
                </c:pt>
                <c:pt idx="4">
                  <c:v>49802.445000000007</c:v>
                </c:pt>
                <c:pt idx="5">
                  <c:v>51311.61</c:v>
                </c:pt>
                <c:pt idx="6">
                  <c:v>52820.774999999994</c:v>
                </c:pt>
                <c:pt idx="7">
                  <c:v>54329.94</c:v>
                </c:pt>
                <c:pt idx="8">
                  <c:v>55839.104999999996</c:v>
                </c:pt>
              </c:numCache>
            </c:numRef>
          </c:yVal>
          <c:smooth val="1"/>
          <c:extLst>
            <c:ext xmlns:c16="http://schemas.microsoft.com/office/drawing/2014/chart" uri="{C3380CC4-5D6E-409C-BE32-E72D297353CC}">
              <c16:uniqueId val="{00000003-5797-48B8-BF3F-60D3C70D211B}"/>
            </c:ext>
          </c:extLst>
        </c:ser>
        <c:ser>
          <c:idx val="4"/>
          <c:order val="4"/>
          <c:tx>
            <c:strRef>
              <c:f>'1b. Business Resilience '!$X$86</c:f>
              <c:strCache>
                <c:ptCount val="1"/>
                <c:pt idx="0">
                  <c:v>-0.0005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'1b. Business Resilience '!$S$87:$S$95</c:f>
              <c:numCache>
                <c:formatCode>0.00%</c:formatCode>
                <c:ptCount val="9"/>
                <c:pt idx="0">
                  <c:v>0.14499999999999999</c:v>
                </c:pt>
                <c:pt idx="1">
                  <c:v>0.13500000000000001</c:v>
                </c:pt>
                <c:pt idx="2">
                  <c:v>0.125</c:v>
                </c:pt>
                <c:pt idx="3">
                  <c:v>0.115</c:v>
                </c:pt>
                <c:pt idx="4">
                  <c:v>0.105</c:v>
                </c:pt>
                <c:pt idx="5">
                  <c:v>9.5000000000000001E-2</c:v>
                </c:pt>
                <c:pt idx="6">
                  <c:v>8.5000000000000006E-2</c:v>
                </c:pt>
                <c:pt idx="7">
                  <c:v>7.4999999999999997E-2</c:v>
                </c:pt>
                <c:pt idx="8">
                  <c:v>6.5000000000000002E-2</c:v>
                </c:pt>
              </c:numCache>
            </c:numRef>
          </c:xVal>
          <c:yVal>
            <c:numRef>
              <c:f>'1b. Business Resilience '!$X$87:$X$95</c:f>
              <c:numCache>
                <c:formatCode>"$"#,##0.00</c:formatCode>
                <c:ptCount val="9"/>
                <c:pt idx="0">
                  <c:v>43464.33</c:v>
                </c:pt>
                <c:pt idx="1">
                  <c:v>44963.100000000006</c:v>
                </c:pt>
                <c:pt idx="2">
                  <c:v>46461.869999999995</c:v>
                </c:pt>
                <c:pt idx="3">
                  <c:v>47960.639999999999</c:v>
                </c:pt>
                <c:pt idx="4">
                  <c:v>49459.41</c:v>
                </c:pt>
                <c:pt idx="5">
                  <c:v>50958.179999999993</c:v>
                </c:pt>
                <c:pt idx="6">
                  <c:v>52456.950000000012</c:v>
                </c:pt>
                <c:pt idx="7">
                  <c:v>53955.72</c:v>
                </c:pt>
                <c:pt idx="8">
                  <c:v>55454.490000000005</c:v>
                </c:pt>
              </c:numCache>
            </c:numRef>
          </c:yVal>
          <c:smooth val="1"/>
          <c:extLst>
            <c:ext xmlns:c16="http://schemas.microsoft.com/office/drawing/2014/chart" uri="{C3380CC4-5D6E-409C-BE32-E72D297353CC}">
              <c16:uniqueId val="{00000004-5797-48B8-BF3F-60D3C70D211B}"/>
            </c:ext>
          </c:extLst>
        </c:ser>
        <c:ser>
          <c:idx val="5"/>
          <c:order val="5"/>
          <c:tx>
            <c:strRef>
              <c:f>'1b. Business Resilience '!$Y$86</c:f>
              <c:strCache>
                <c:ptCount val="1"/>
                <c:pt idx="0">
                  <c:v>-0.0006</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'1b. Business Resilience '!$S$87:$S$95</c:f>
              <c:numCache>
                <c:formatCode>0.00%</c:formatCode>
                <c:ptCount val="9"/>
                <c:pt idx="0">
                  <c:v>0.14499999999999999</c:v>
                </c:pt>
                <c:pt idx="1">
                  <c:v>0.13500000000000001</c:v>
                </c:pt>
                <c:pt idx="2">
                  <c:v>0.125</c:v>
                </c:pt>
                <c:pt idx="3">
                  <c:v>0.115</c:v>
                </c:pt>
                <c:pt idx="4">
                  <c:v>0.105</c:v>
                </c:pt>
                <c:pt idx="5">
                  <c:v>9.5000000000000001E-2</c:v>
                </c:pt>
                <c:pt idx="6">
                  <c:v>8.5000000000000006E-2</c:v>
                </c:pt>
                <c:pt idx="7">
                  <c:v>7.4999999999999997E-2</c:v>
                </c:pt>
                <c:pt idx="8">
                  <c:v>6.5000000000000002E-2</c:v>
                </c:pt>
              </c:numCache>
            </c:numRef>
          </c:xVal>
          <c:yVal>
            <c:numRef>
              <c:f>'1b. Business Resilience '!$Y$87:$Y$95</c:f>
              <c:numCache>
                <c:formatCode>"$"#,##0.00</c:formatCode>
                <c:ptCount val="9"/>
                <c:pt idx="0">
                  <c:v>43135.47</c:v>
                </c:pt>
                <c:pt idx="1">
                  <c:v>44622.899999999994</c:v>
                </c:pt>
                <c:pt idx="2">
                  <c:v>46110.33</c:v>
                </c:pt>
                <c:pt idx="3">
                  <c:v>47597.760000000009</c:v>
                </c:pt>
                <c:pt idx="4">
                  <c:v>49085.19</c:v>
                </c:pt>
                <c:pt idx="5">
                  <c:v>50572.619999999995</c:v>
                </c:pt>
                <c:pt idx="6">
                  <c:v>52060.05</c:v>
                </c:pt>
                <c:pt idx="7">
                  <c:v>53547.48000000001</c:v>
                </c:pt>
                <c:pt idx="8">
                  <c:v>55034.91</c:v>
                </c:pt>
              </c:numCache>
            </c:numRef>
          </c:yVal>
          <c:smooth val="1"/>
          <c:extLst>
            <c:ext xmlns:c16="http://schemas.microsoft.com/office/drawing/2014/chart" uri="{C3380CC4-5D6E-409C-BE32-E72D297353CC}">
              <c16:uniqueId val="{00000005-5797-48B8-BF3F-60D3C70D211B}"/>
            </c:ext>
          </c:extLst>
        </c:ser>
        <c:ser>
          <c:idx val="6"/>
          <c:order val="6"/>
          <c:tx>
            <c:strRef>
              <c:f>'1b. Business Resilience '!$Z$86</c:f>
              <c:strCache>
                <c:ptCount val="1"/>
                <c:pt idx="0">
                  <c:v>-0.0007</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'1b. Business Resilience '!$S$87:$S$95</c:f>
              <c:numCache>
                <c:formatCode>0.00%</c:formatCode>
                <c:ptCount val="9"/>
                <c:pt idx="0">
                  <c:v>0.14499999999999999</c:v>
                </c:pt>
                <c:pt idx="1">
                  <c:v>0.13500000000000001</c:v>
                </c:pt>
                <c:pt idx="2">
                  <c:v>0.125</c:v>
                </c:pt>
                <c:pt idx="3">
                  <c:v>0.115</c:v>
                </c:pt>
                <c:pt idx="4">
                  <c:v>0.105</c:v>
                </c:pt>
                <c:pt idx="5">
                  <c:v>9.5000000000000001E-2</c:v>
                </c:pt>
                <c:pt idx="6">
                  <c:v>8.5000000000000006E-2</c:v>
                </c:pt>
                <c:pt idx="7">
                  <c:v>7.4999999999999997E-2</c:v>
                </c:pt>
                <c:pt idx="8">
                  <c:v>6.5000000000000002E-2</c:v>
                </c:pt>
              </c:numCache>
            </c:numRef>
          </c:xVal>
          <c:yVal>
            <c:numRef>
              <c:f>'1b. Business Resilience '!$Z$87:$Z$95</c:f>
              <c:numCache>
                <c:formatCode>"$"#,##0.00</c:formatCode>
                <c:ptCount val="9"/>
                <c:pt idx="0">
                  <c:v>42834.014999999999</c:v>
                </c:pt>
                <c:pt idx="1">
                  <c:v>44311.05</c:v>
                </c:pt>
                <c:pt idx="2">
                  <c:v>45788.084999999992</c:v>
                </c:pt>
                <c:pt idx="3">
                  <c:v>47265.119999999995</c:v>
                </c:pt>
                <c:pt idx="4">
                  <c:v>48742.154999999999</c:v>
                </c:pt>
                <c:pt idx="5">
                  <c:v>50219.19</c:v>
                </c:pt>
                <c:pt idx="6">
                  <c:v>51696.225000000006</c:v>
                </c:pt>
                <c:pt idx="7">
                  <c:v>53173.260000000009</c:v>
                </c:pt>
                <c:pt idx="8">
                  <c:v>54650.294999999998</c:v>
                </c:pt>
              </c:numCache>
            </c:numRef>
          </c:yVal>
          <c:smooth val="1"/>
          <c:extLst>
            <c:ext xmlns:c16="http://schemas.microsoft.com/office/drawing/2014/chart" uri="{C3380CC4-5D6E-409C-BE32-E72D297353CC}">
              <c16:uniqueId val="{00000006-5797-48B8-BF3F-60D3C70D211B}"/>
            </c:ext>
          </c:extLst>
        </c:ser>
        <c:ser>
          <c:idx val="7"/>
          <c:order val="7"/>
          <c:tx>
            <c:strRef>
              <c:f>'1b. Business Resilience '!$AA$86</c:f>
              <c:strCache>
                <c:ptCount val="1"/>
                <c:pt idx="0">
                  <c:v>-0.0008</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'1b. Business Resilience '!$S$87:$S$95</c:f>
              <c:numCache>
                <c:formatCode>0.00%</c:formatCode>
                <c:ptCount val="9"/>
                <c:pt idx="0">
                  <c:v>0.14499999999999999</c:v>
                </c:pt>
                <c:pt idx="1">
                  <c:v>0.13500000000000001</c:v>
                </c:pt>
                <c:pt idx="2">
                  <c:v>0.125</c:v>
                </c:pt>
                <c:pt idx="3">
                  <c:v>0.115</c:v>
                </c:pt>
                <c:pt idx="4">
                  <c:v>0.105</c:v>
                </c:pt>
                <c:pt idx="5">
                  <c:v>9.5000000000000001E-2</c:v>
                </c:pt>
                <c:pt idx="6">
                  <c:v>8.5000000000000006E-2</c:v>
                </c:pt>
                <c:pt idx="7">
                  <c:v>7.4999999999999997E-2</c:v>
                </c:pt>
                <c:pt idx="8">
                  <c:v>6.5000000000000002E-2</c:v>
                </c:pt>
              </c:numCache>
            </c:numRef>
          </c:xVal>
          <c:yVal>
            <c:numRef>
              <c:f>'1b. Business Resilience '!$AA$87:$AA$95</c:f>
              <c:numCache>
                <c:formatCode>"$"#,##0.00</c:formatCode>
                <c:ptCount val="9"/>
                <c:pt idx="0">
                  <c:v>42505.154999999999</c:v>
                </c:pt>
                <c:pt idx="1">
                  <c:v>43970.850000000006</c:v>
                </c:pt>
                <c:pt idx="2">
                  <c:v>45436.544999999998</c:v>
                </c:pt>
                <c:pt idx="3">
                  <c:v>46902.239999999991</c:v>
                </c:pt>
                <c:pt idx="4">
                  <c:v>48367.934999999998</c:v>
                </c:pt>
                <c:pt idx="5">
                  <c:v>49833.630000000005</c:v>
                </c:pt>
                <c:pt idx="6">
                  <c:v>51299.324999999997</c:v>
                </c:pt>
                <c:pt idx="7">
                  <c:v>52765.01999999999</c:v>
                </c:pt>
                <c:pt idx="8">
                  <c:v>54230.714999999997</c:v>
                </c:pt>
              </c:numCache>
            </c:numRef>
          </c:yVal>
          <c:smooth val="1"/>
          <c:extLst>
            <c:ext xmlns:c16="http://schemas.microsoft.com/office/drawing/2014/chart" uri="{C3380CC4-5D6E-409C-BE32-E72D297353CC}">
              <c16:uniqueId val="{00000007-5797-48B8-BF3F-60D3C70D211B}"/>
            </c:ext>
          </c:extLst>
        </c:ser>
        <c:ser>
          <c:idx val="8"/>
          <c:order val="8"/>
          <c:tx>
            <c:strRef>
              <c:f>'1b. Business Resilience '!$AB$86</c:f>
              <c:strCache>
                <c:ptCount val="1"/>
                <c:pt idx="0">
                  <c:v>-0.0009</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'1b. Business Resilience '!$S$87:$S$95</c:f>
              <c:numCache>
                <c:formatCode>0.00%</c:formatCode>
                <c:ptCount val="9"/>
                <c:pt idx="0">
                  <c:v>0.14499999999999999</c:v>
                </c:pt>
                <c:pt idx="1">
                  <c:v>0.13500000000000001</c:v>
                </c:pt>
                <c:pt idx="2">
                  <c:v>0.125</c:v>
                </c:pt>
                <c:pt idx="3">
                  <c:v>0.115</c:v>
                </c:pt>
                <c:pt idx="4">
                  <c:v>0.105</c:v>
                </c:pt>
                <c:pt idx="5">
                  <c:v>9.5000000000000001E-2</c:v>
                </c:pt>
                <c:pt idx="6">
                  <c:v>8.5000000000000006E-2</c:v>
                </c:pt>
                <c:pt idx="7">
                  <c:v>7.4999999999999997E-2</c:v>
                </c:pt>
                <c:pt idx="8">
                  <c:v>6.5000000000000002E-2</c:v>
                </c:pt>
              </c:numCache>
            </c:numRef>
          </c:xVal>
          <c:yVal>
            <c:numRef>
              <c:f>'1b. Business Resilience '!$AB$87:$AB$95</c:f>
              <c:numCache>
                <c:formatCode>"$"#,##0.00</c:formatCode>
                <c:ptCount val="9"/>
                <c:pt idx="0">
                  <c:v>42203.700000000012</c:v>
                </c:pt>
                <c:pt idx="1">
                  <c:v>43659</c:v>
                </c:pt>
                <c:pt idx="2">
                  <c:v>45114.3</c:v>
                </c:pt>
                <c:pt idx="3">
                  <c:v>46569.600000000006</c:v>
                </c:pt>
                <c:pt idx="4">
                  <c:v>48024.899999999994</c:v>
                </c:pt>
                <c:pt idx="5">
                  <c:v>49480.200000000012</c:v>
                </c:pt>
                <c:pt idx="6">
                  <c:v>50935.5</c:v>
                </c:pt>
                <c:pt idx="7">
                  <c:v>52390.8</c:v>
                </c:pt>
                <c:pt idx="8">
                  <c:v>53846.100000000006</c:v>
                </c:pt>
              </c:numCache>
            </c:numRef>
          </c:yVal>
          <c:smooth val="1"/>
          <c:extLst>
            <c:ext xmlns:c16="http://schemas.microsoft.com/office/drawing/2014/chart" uri="{C3380CC4-5D6E-409C-BE32-E72D297353CC}">
              <c16:uniqueId val="{00000008-5797-48B8-BF3F-60D3C70D211B}"/>
            </c:ext>
          </c:extLst>
        </c:ser>
        <c:ser>
          <c:idx val="9"/>
          <c:order val="9"/>
          <c:tx>
            <c:strRef>
              <c:f>'1b. Business Resilience '!$AC$86</c:f>
              <c:strCache>
                <c:ptCount val="1"/>
                <c:pt idx="0">
                  <c:v>-0.001</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'1b. Business Resilience '!$S$87:$S$95</c:f>
              <c:numCache>
                <c:formatCode>0.00%</c:formatCode>
                <c:ptCount val="9"/>
                <c:pt idx="0">
                  <c:v>0.14499999999999999</c:v>
                </c:pt>
                <c:pt idx="1">
                  <c:v>0.13500000000000001</c:v>
                </c:pt>
                <c:pt idx="2">
                  <c:v>0.125</c:v>
                </c:pt>
                <c:pt idx="3">
                  <c:v>0.115</c:v>
                </c:pt>
                <c:pt idx="4">
                  <c:v>0.105</c:v>
                </c:pt>
                <c:pt idx="5">
                  <c:v>9.5000000000000001E-2</c:v>
                </c:pt>
                <c:pt idx="6">
                  <c:v>8.5000000000000006E-2</c:v>
                </c:pt>
                <c:pt idx="7">
                  <c:v>7.4999999999999997E-2</c:v>
                </c:pt>
                <c:pt idx="8">
                  <c:v>6.5000000000000002E-2</c:v>
                </c:pt>
              </c:numCache>
            </c:numRef>
          </c:xVal>
          <c:yVal>
            <c:numRef>
              <c:f>'1b. Business Resilience '!$AC$87:$AC$95</c:f>
              <c:numCache>
                <c:formatCode>"$"#,##0.00</c:formatCode>
                <c:ptCount val="9"/>
                <c:pt idx="0">
                  <c:v>41902.244999999995</c:v>
                </c:pt>
                <c:pt idx="1">
                  <c:v>43347.149999999994</c:v>
                </c:pt>
                <c:pt idx="2">
                  <c:v>44792.054999999993</c:v>
                </c:pt>
                <c:pt idx="3">
                  <c:v>46236.959999999992</c:v>
                </c:pt>
                <c:pt idx="4">
                  <c:v>47681.865000000005</c:v>
                </c:pt>
                <c:pt idx="5">
                  <c:v>49126.770000000004</c:v>
                </c:pt>
                <c:pt idx="6">
                  <c:v>50571.675000000003</c:v>
                </c:pt>
                <c:pt idx="7">
                  <c:v>52016.58</c:v>
                </c:pt>
                <c:pt idx="8">
                  <c:v>53461.485000000001</c:v>
                </c:pt>
              </c:numCache>
            </c:numRef>
          </c:yVal>
          <c:smooth val="1"/>
          <c:extLst>
            <c:ext xmlns:c16="http://schemas.microsoft.com/office/drawing/2014/chart" uri="{C3380CC4-5D6E-409C-BE32-E72D297353CC}">
              <c16:uniqueId val="{00000009-5797-48B8-BF3F-60D3C70D211B}"/>
            </c:ext>
          </c:extLst>
        </c:ser>
        <c:dLbls>
          <c:showLegendKey val="0"/>
          <c:showVal val="0"/>
          <c:showCatName val="0"/>
          <c:showSerName val="0"/>
          <c:showPercent val="0"/>
          <c:showBubbleSize val="0"/>
        </c:dLbls>
        <c:axId val="784268864"/>
        <c:axId val="784276064"/>
      </c:scatterChart>
      <c:valAx>
        <c:axId val="784268864"/>
        <c:scaling>
          <c:orientation val="minMax"/>
          <c:min val="6.0000000000000012E-2"/>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SG"/>
                  <a:t>Weekend Variable Cost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4276064"/>
        <c:crosses val="autoZero"/>
        <c:crossBetween val="midCat"/>
      </c:valAx>
      <c:valAx>
        <c:axId val="784276064"/>
        <c:scaling>
          <c:orientation val="minMax"/>
          <c:max val="60000"/>
          <c:min val="4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SG"/>
                  <a:t>Profit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426886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a:t>Tradeoff Analysis</a:t>
            </a:r>
            <a:r>
              <a:rPr lang="en-SG" baseline="0"/>
              <a:t> (Weekday)</a:t>
            </a:r>
            <a:endParaRPr lang="en-SG"/>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SG"/>
        </a:p>
      </c:txPr>
    </c:title>
    <c:autoTitleDeleted val="0"/>
    <c:plotArea>
      <c:layout/>
      <c:scatterChart>
        <c:scatterStyle val="smoothMarker"/>
        <c:varyColors val="0"/>
        <c:ser>
          <c:idx val="0"/>
          <c:order val="0"/>
          <c:tx>
            <c:strRef>
              <c:f>'1c. Pricing Optimization'!$B$37</c:f>
              <c:strCache>
                <c:ptCount val="1"/>
                <c:pt idx="0">
                  <c:v>Revenue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'1c. Pricing Optimization'!$C$7:$O$7</c:f>
              <c:numCache>
                <c:formatCode>"$"#,##0.00</c:formatCode>
                <c:ptCount val="13"/>
                <c:pt idx="0">
                  <c:v>30</c:v>
                </c:pt>
                <c:pt idx="1">
                  <c:v>35</c:v>
                </c:pt>
                <c:pt idx="2">
                  <c:v>45</c:v>
                </c:pt>
                <c:pt idx="3">
                  <c:v>55</c:v>
                </c:pt>
                <c:pt idx="4">
                  <c:v>65</c:v>
                </c:pt>
                <c:pt idx="5">
                  <c:v>75</c:v>
                </c:pt>
                <c:pt idx="6">
                  <c:v>85</c:v>
                </c:pt>
                <c:pt idx="7">
                  <c:v>95</c:v>
                </c:pt>
                <c:pt idx="8">
                  <c:v>105</c:v>
                </c:pt>
                <c:pt idx="9">
                  <c:v>115</c:v>
                </c:pt>
                <c:pt idx="10">
                  <c:v>125</c:v>
                </c:pt>
                <c:pt idx="11">
                  <c:v>135</c:v>
                </c:pt>
                <c:pt idx="12">
                  <c:v>145</c:v>
                </c:pt>
              </c:numCache>
            </c:numRef>
          </c:xVal>
          <c:yVal>
            <c:numRef>
              <c:f>'1c. Pricing Optimization'!$C$37:$O$37</c:f>
              <c:numCache>
                <c:formatCode>"$"#,##0.00</c:formatCode>
                <c:ptCount val="13"/>
                <c:pt idx="0">
                  <c:v>33780</c:v>
                </c:pt>
                <c:pt idx="1">
                  <c:v>38430</c:v>
                </c:pt>
                <c:pt idx="2">
                  <c:v>46845</c:v>
                </c:pt>
                <c:pt idx="3">
                  <c:v>54175</c:v>
                </c:pt>
                <c:pt idx="4">
                  <c:v>60385</c:v>
                </c:pt>
                <c:pt idx="5">
                  <c:v>65400</c:v>
                </c:pt>
                <c:pt idx="6">
                  <c:v>69360</c:v>
                </c:pt>
                <c:pt idx="7">
                  <c:v>72200</c:v>
                </c:pt>
                <c:pt idx="8">
                  <c:v>73920</c:v>
                </c:pt>
                <c:pt idx="9">
                  <c:v>74405</c:v>
                </c:pt>
                <c:pt idx="10">
                  <c:v>73875</c:v>
                </c:pt>
                <c:pt idx="11">
                  <c:v>72225</c:v>
                </c:pt>
                <c:pt idx="12">
                  <c:v>69310</c:v>
                </c:pt>
              </c:numCache>
            </c:numRef>
          </c:yVal>
          <c:smooth val="1"/>
          <c:extLst>
            <c:ext xmlns:c16="http://schemas.microsoft.com/office/drawing/2014/chart" uri="{C3380CC4-5D6E-409C-BE32-E72D297353CC}">
              <c16:uniqueId val="{00000000-59D0-48F0-8DA2-F9CEF88562CC}"/>
            </c:ext>
          </c:extLst>
        </c:ser>
        <c:ser>
          <c:idx val="1"/>
          <c:order val="1"/>
          <c:tx>
            <c:strRef>
              <c:f>'1c. Pricing Optimization'!$B$38</c:f>
              <c:strCache>
                <c:ptCount val="1"/>
                <c:pt idx="0">
                  <c:v>Total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'1c. Pricing Optimization'!$C$7:$O$7</c:f>
              <c:numCache>
                <c:formatCode>"$"#,##0.00</c:formatCode>
                <c:ptCount val="13"/>
                <c:pt idx="0">
                  <c:v>30</c:v>
                </c:pt>
                <c:pt idx="1">
                  <c:v>35</c:v>
                </c:pt>
                <c:pt idx="2">
                  <c:v>45</c:v>
                </c:pt>
                <c:pt idx="3">
                  <c:v>55</c:v>
                </c:pt>
                <c:pt idx="4">
                  <c:v>65</c:v>
                </c:pt>
                <c:pt idx="5">
                  <c:v>75</c:v>
                </c:pt>
                <c:pt idx="6">
                  <c:v>85</c:v>
                </c:pt>
                <c:pt idx="7">
                  <c:v>95</c:v>
                </c:pt>
                <c:pt idx="8">
                  <c:v>105</c:v>
                </c:pt>
                <c:pt idx="9">
                  <c:v>115</c:v>
                </c:pt>
                <c:pt idx="10">
                  <c:v>125</c:v>
                </c:pt>
                <c:pt idx="11">
                  <c:v>135</c:v>
                </c:pt>
                <c:pt idx="12">
                  <c:v>145</c:v>
                </c:pt>
              </c:numCache>
            </c:numRef>
          </c:xVal>
          <c:yVal>
            <c:numRef>
              <c:f>'1c. Pricing Optimization'!$C$38:$O$38</c:f>
              <c:numCache>
                <c:formatCode>"$"#,##0.00</c:formatCode>
                <c:ptCount val="13"/>
                <c:pt idx="0">
                  <c:v>22632.6</c:v>
                </c:pt>
                <c:pt idx="1">
                  <c:v>25748.1</c:v>
                </c:pt>
                <c:pt idx="2">
                  <c:v>31386.149999999998</c:v>
                </c:pt>
                <c:pt idx="3">
                  <c:v>36297.25</c:v>
                </c:pt>
                <c:pt idx="4">
                  <c:v>40457.949999999997</c:v>
                </c:pt>
                <c:pt idx="5">
                  <c:v>43818</c:v>
                </c:pt>
                <c:pt idx="6">
                  <c:v>46471.199999999997</c:v>
                </c:pt>
                <c:pt idx="7">
                  <c:v>48374</c:v>
                </c:pt>
                <c:pt idx="8">
                  <c:v>49526.399999999994</c:v>
                </c:pt>
                <c:pt idx="9">
                  <c:v>49851.35</c:v>
                </c:pt>
                <c:pt idx="10">
                  <c:v>49496.25</c:v>
                </c:pt>
                <c:pt idx="11">
                  <c:v>48390.75</c:v>
                </c:pt>
                <c:pt idx="12">
                  <c:v>46437.7</c:v>
                </c:pt>
              </c:numCache>
            </c:numRef>
          </c:yVal>
          <c:smooth val="1"/>
          <c:extLst>
            <c:ext xmlns:c16="http://schemas.microsoft.com/office/drawing/2014/chart" uri="{C3380CC4-5D6E-409C-BE32-E72D297353CC}">
              <c16:uniqueId val="{00000001-59D0-48F0-8DA2-F9CEF88562CC}"/>
            </c:ext>
          </c:extLst>
        </c:ser>
        <c:ser>
          <c:idx val="2"/>
          <c:order val="2"/>
          <c:tx>
            <c:strRef>
              <c:f>'1c. Pricing Optimization'!$B$39</c:f>
              <c:strCache>
                <c:ptCount val="1"/>
                <c:pt idx="0">
                  <c:v>Profit</c:v>
                </c:pt>
              </c:strCache>
            </c:strRef>
          </c:tx>
          <c:spPr>
            <a:ln w="19050" cap="rnd">
              <a:solidFill>
                <a:srgbClr val="00B050"/>
              </a:solidFill>
              <a:round/>
            </a:ln>
            <a:effectLst/>
          </c:spPr>
          <c:marker>
            <c:symbol val="circle"/>
            <c:size val="5"/>
            <c:spPr>
              <a:solidFill>
                <a:schemeClr val="accent3"/>
              </a:solidFill>
              <a:ln w="9525">
                <a:solidFill>
                  <a:srgbClr val="00B050"/>
                </a:solidFill>
              </a:ln>
              <a:effectLst/>
            </c:spPr>
          </c:marker>
          <c:xVal>
            <c:numRef>
              <c:f>'1c. Pricing Optimization'!$C$7:$O$7</c:f>
              <c:numCache>
                <c:formatCode>"$"#,##0.00</c:formatCode>
                <c:ptCount val="13"/>
                <c:pt idx="0">
                  <c:v>30</c:v>
                </c:pt>
                <c:pt idx="1">
                  <c:v>35</c:v>
                </c:pt>
                <c:pt idx="2">
                  <c:v>45</c:v>
                </c:pt>
                <c:pt idx="3">
                  <c:v>55</c:v>
                </c:pt>
                <c:pt idx="4">
                  <c:v>65</c:v>
                </c:pt>
                <c:pt idx="5">
                  <c:v>75</c:v>
                </c:pt>
                <c:pt idx="6">
                  <c:v>85</c:v>
                </c:pt>
                <c:pt idx="7">
                  <c:v>95</c:v>
                </c:pt>
                <c:pt idx="8">
                  <c:v>105</c:v>
                </c:pt>
                <c:pt idx="9">
                  <c:v>115</c:v>
                </c:pt>
                <c:pt idx="10">
                  <c:v>125</c:v>
                </c:pt>
                <c:pt idx="11">
                  <c:v>135</c:v>
                </c:pt>
                <c:pt idx="12">
                  <c:v>145</c:v>
                </c:pt>
              </c:numCache>
            </c:numRef>
          </c:xVal>
          <c:yVal>
            <c:numRef>
              <c:f>'1c. Pricing Optimization'!$C$39:$O$39</c:f>
              <c:numCache>
                <c:formatCode>"$"#,##0.00</c:formatCode>
                <c:ptCount val="13"/>
                <c:pt idx="0">
                  <c:v>11147.400000000001</c:v>
                </c:pt>
                <c:pt idx="1">
                  <c:v>12681.900000000001</c:v>
                </c:pt>
                <c:pt idx="2">
                  <c:v>15458.850000000002</c:v>
                </c:pt>
                <c:pt idx="3">
                  <c:v>17877.75</c:v>
                </c:pt>
                <c:pt idx="4">
                  <c:v>19927.050000000003</c:v>
                </c:pt>
                <c:pt idx="5">
                  <c:v>21582</c:v>
                </c:pt>
                <c:pt idx="6">
                  <c:v>22888.800000000003</c:v>
                </c:pt>
                <c:pt idx="7">
                  <c:v>23826</c:v>
                </c:pt>
                <c:pt idx="8">
                  <c:v>24393.600000000006</c:v>
                </c:pt>
                <c:pt idx="9">
                  <c:v>24553.65</c:v>
                </c:pt>
                <c:pt idx="10">
                  <c:v>24378.75</c:v>
                </c:pt>
                <c:pt idx="11">
                  <c:v>23834.25</c:v>
                </c:pt>
                <c:pt idx="12">
                  <c:v>22872.300000000003</c:v>
                </c:pt>
              </c:numCache>
            </c:numRef>
          </c:yVal>
          <c:smooth val="1"/>
          <c:extLst>
            <c:ext xmlns:c16="http://schemas.microsoft.com/office/drawing/2014/chart" uri="{C3380CC4-5D6E-409C-BE32-E72D297353CC}">
              <c16:uniqueId val="{00000002-59D0-48F0-8DA2-F9CEF88562CC}"/>
            </c:ext>
          </c:extLst>
        </c:ser>
        <c:dLbls>
          <c:showLegendKey val="0"/>
          <c:showVal val="0"/>
          <c:showCatName val="0"/>
          <c:showSerName val="0"/>
          <c:showPercent val="0"/>
          <c:showBubbleSize val="0"/>
        </c:dLbls>
        <c:axId val="29012079"/>
        <c:axId val="1819241935"/>
      </c:scatterChart>
      <c:valAx>
        <c:axId val="29012079"/>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9241935"/>
        <c:crosses val="autoZero"/>
        <c:crossBetween val="midCat"/>
      </c:valAx>
      <c:valAx>
        <c:axId val="1819241935"/>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012079"/>
        <c:crosses val="autoZero"/>
        <c:crossBetween val="midCat"/>
      </c:valAx>
      <c:spPr>
        <a:noFill/>
        <a:ln>
          <a:solidFill>
            <a:sysClr val="windowText" lastClr="000000"/>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a:t>Tradeoff Analysis (Weekend)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'1c. Pricing Optimization'!$B$80</c:f>
              <c:strCache>
                <c:ptCount val="1"/>
                <c:pt idx="0">
                  <c:v>Revenue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'1c. Pricing Optimization'!$C$50:$O$50</c:f>
              <c:numCache>
                <c:formatCode>"$"#,##0.00</c:formatCode>
                <c:ptCount val="13"/>
                <c:pt idx="0">
                  <c:v>88.25</c:v>
                </c:pt>
                <c:pt idx="1">
                  <c:v>94.5</c:v>
                </c:pt>
                <c:pt idx="2">
                  <c:v>104.5</c:v>
                </c:pt>
                <c:pt idx="3">
                  <c:v>114.5</c:v>
                </c:pt>
                <c:pt idx="4">
                  <c:v>124.5</c:v>
                </c:pt>
                <c:pt idx="5">
                  <c:v>134.5</c:v>
                </c:pt>
                <c:pt idx="6">
                  <c:v>144.5</c:v>
                </c:pt>
                <c:pt idx="7">
                  <c:v>154.5</c:v>
                </c:pt>
                <c:pt idx="8">
                  <c:v>164.5</c:v>
                </c:pt>
                <c:pt idx="9">
                  <c:v>174.5</c:v>
                </c:pt>
                <c:pt idx="10">
                  <c:v>184.5</c:v>
                </c:pt>
                <c:pt idx="11">
                  <c:v>194.5</c:v>
                </c:pt>
                <c:pt idx="12">
                  <c:v>204.5</c:v>
                </c:pt>
              </c:numCache>
            </c:numRef>
          </c:xVal>
          <c:yVal>
            <c:numRef>
              <c:f>'1c. Pricing Optimization'!$C$80:$O$80</c:f>
              <c:numCache>
                <c:formatCode>"$"#,##0.00</c:formatCode>
                <c:ptCount val="13"/>
                <c:pt idx="0">
                  <c:v>107135.5</c:v>
                </c:pt>
                <c:pt idx="1">
                  <c:v>111888</c:v>
                </c:pt>
                <c:pt idx="2">
                  <c:v>118607.5</c:v>
                </c:pt>
                <c:pt idx="3">
                  <c:v>124461.5</c:v>
                </c:pt>
                <c:pt idx="4">
                  <c:v>129231</c:v>
                </c:pt>
                <c:pt idx="5">
                  <c:v>133155</c:v>
                </c:pt>
                <c:pt idx="6">
                  <c:v>135974.5</c:v>
                </c:pt>
                <c:pt idx="7">
                  <c:v>137814</c:v>
                </c:pt>
                <c:pt idx="8">
                  <c:v>138838</c:v>
                </c:pt>
                <c:pt idx="9">
                  <c:v>138727.5</c:v>
                </c:pt>
                <c:pt idx="10">
                  <c:v>137821.5</c:v>
                </c:pt>
                <c:pt idx="11">
                  <c:v>135761</c:v>
                </c:pt>
                <c:pt idx="12">
                  <c:v>132925</c:v>
                </c:pt>
              </c:numCache>
            </c:numRef>
          </c:yVal>
          <c:smooth val="1"/>
          <c:extLst>
            <c:ext xmlns:c16="http://schemas.microsoft.com/office/drawing/2014/chart" uri="{C3380CC4-5D6E-409C-BE32-E72D297353CC}">
              <c16:uniqueId val="{00000000-8B70-40D2-9BDF-758B4B6A3D5F}"/>
            </c:ext>
          </c:extLst>
        </c:ser>
        <c:ser>
          <c:idx val="1"/>
          <c:order val="1"/>
          <c:tx>
            <c:strRef>
              <c:f>'1c. Pricing Optimization'!$B$81</c:f>
              <c:strCache>
                <c:ptCount val="1"/>
                <c:pt idx="0">
                  <c:v>Total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'1c. Pricing Optimization'!$C$50:$O$50</c:f>
              <c:numCache>
                <c:formatCode>"$"#,##0.00</c:formatCode>
                <c:ptCount val="13"/>
                <c:pt idx="0">
                  <c:v>88.25</c:v>
                </c:pt>
                <c:pt idx="1">
                  <c:v>94.5</c:v>
                </c:pt>
                <c:pt idx="2">
                  <c:v>104.5</c:v>
                </c:pt>
                <c:pt idx="3">
                  <c:v>114.5</c:v>
                </c:pt>
                <c:pt idx="4">
                  <c:v>124.5</c:v>
                </c:pt>
                <c:pt idx="5">
                  <c:v>134.5</c:v>
                </c:pt>
                <c:pt idx="6">
                  <c:v>144.5</c:v>
                </c:pt>
                <c:pt idx="7">
                  <c:v>154.5</c:v>
                </c:pt>
                <c:pt idx="8">
                  <c:v>164.5</c:v>
                </c:pt>
                <c:pt idx="9">
                  <c:v>174.5</c:v>
                </c:pt>
                <c:pt idx="10">
                  <c:v>184.5</c:v>
                </c:pt>
                <c:pt idx="11">
                  <c:v>194.5</c:v>
                </c:pt>
                <c:pt idx="12">
                  <c:v>204.5</c:v>
                </c:pt>
              </c:numCache>
            </c:numRef>
          </c:xVal>
          <c:yVal>
            <c:numRef>
              <c:f>'1c. Pricing Optimization'!$C$81:$O$81</c:f>
              <c:numCache>
                <c:formatCode>"$"#,##0.00</c:formatCode>
                <c:ptCount val="13"/>
                <c:pt idx="0">
                  <c:v>71780.785000000003</c:v>
                </c:pt>
                <c:pt idx="1">
                  <c:v>74964.959999999992</c:v>
                </c:pt>
                <c:pt idx="2">
                  <c:v>79467.024999999994</c:v>
                </c:pt>
                <c:pt idx="3">
                  <c:v>83389.204999999987</c:v>
                </c:pt>
                <c:pt idx="4">
                  <c:v>86584.76999999999</c:v>
                </c:pt>
                <c:pt idx="5">
                  <c:v>89213.85</c:v>
                </c:pt>
                <c:pt idx="6">
                  <c:v>91102.915000000008</c:v>
                </c:pt>
                <c:pt idx="7">
                  <c:v>92335.38</c:v>
                </c:pt>
                <c:pt idx="8">
                  <c:v>93021.459999999992</c:v>
                </c:pt>
                <c:pt idx="9">
                  <c:v>92947.424999999988</c:v>
                </c:pt>
                <c:pt idx="10">
                  <c:v>92340.404999999999</c:v>
                </c:pt>
                <c:pt idx="11">
                  <c:v>90959.87</c:v>
                </c:pt>
                <c:pt idx="12">
                  <c:v>89059.75</c:v>
                </c:pt>
              </c:numCache>
            </c:numRef>
          </c:yVal>
          <c:smooth val="1"/>
          <c:extLst>
            <c:ext xmlns:c16="http://schemas.microsoft.com/office/drawing/2014/chart" uri="{C3380CC4-5D6E-409C-BE32-E72D297353CC}">
              <c16:uniqueId val="{00000001-8B70-40D2-9BDF-758B4B6A3D5F}"/>
            </c:ext>
          </c:extLst>
        </c:ser>
        <c:ser>
          <c:idx val="2"/>
          <c:order val="2"/>
          <c:tx>
            <c:strRef>
              <c:f>'1c. Pricing Optimization'!$B$82</c:f>
              <c:strCache>
                <c:ptCount val="1"/>
                <c:pt idx="0">
                  <c:v>Profit</c:v>
                </c:pt>
              </c:strCache>
            </c:strRef>
          </c:tx>
          <c:spPr>
            <a:ln w="19050" cap="rnd">
              <a:solidFill>
                <a:srgbClr val="00B050"/>
              </a:solidFill>
              <a:round/>
            </a:ln>
            <a:effectLst/>
          </c:spPr>
          <c:marker>
            <c:symbol val="circle"/>
            <c:size val="5"/>
            <c:spPr>
              <a:solidFill>
                <a:schemeClr val="accent3"/>
              </a:solidFill>
              <a:ln w="9525">
                <a:solidFill>
                  <a:srgbClr val="00B050"/>
                </a:solidFill>
              </a:ln>
              <a:effectLst/>
            </c:spPr>
          </c:marker>
          <c:xVal>
            <c:numRef>
              <c:f>'1c. Pricing Optimization'!$C$50:$O$50</c:f>
              <c:numCache>
                <c:formatCode>"$"#,##0.00</c:formatCode>
                <c:ptCount val="13"/>
                <c:pt idx="0">
                  <c:v>88.25</c:v>
                </c:pt>
                <c:pt idx="1">
                  <c:v>94.5</c:v>
                </c:pt>
                <c:pt idx="2">
                  <c:v>104.5</c:v>
                </c:pt>
                <c:pt idx="3">
                  <c:v>114.5</c:v>
                </c:pt>
                <c:pt idx="4">
                  <c:v>124.5</c:v>
                </c:pt>
                <c:pt idx="5">
                  <c:v>134.5</c:v>
                </c:pt>
                <c:pt idx="6">
                  <c:v>144.5</c:v>
                </c:pt>
                <c:pt idx="7">
                  <c:v>154.5</c:v>
                </c:pt>
                <c:pt idx="8">
                  <c:v>164.5</c:v>
                </c:pt>
                <c:pt idx="9">
                  <c:v>174.5</c:v>
                </c:pt>
                <c:pt idx="10">
                  <c:v>184.5</c:v>
                </c:pt>
                <c:pt idx="11">
                  <c:v>194.5</c:v>
                </c:pt>
                <c:pt idx="12">
                  <c:v>204.5</c:v>
                </c:pt>
              </c:numCache>
            </c:numRef>
          </c:xVal>
          <c:yVal>
            <c:numRef>
              <c:f>'1c. Pricing Optimization'!$C$82:$O$82</c:f>
              <c:numCache>
                <c:formatCode>"$"#,##0.00</c:formatCode>
                <c:ptCount val="13"/>
                <c:pt idx="0">
                  <c:v>35354.714999999997</c:v>
                </c:pt>
                <c:pt idx="1">
                  <c:v>36923.040000000008</c:v>
                </c:pt>
                <c:pt idx="2">
                  <c:v>39140.475000000006</c:v>
                </c:pt>
                <c:pt idx="3">
                  <c:v>41072.295000000013</c:v>
                </c:pt>
                <c:pt idx="4">
                  <c:v>42646.23000000001</c:v>
                </c:pt>
                <c:pt idx="5">
                  <c:v>43941.149999999994</c:v>
                </c:pt>
                <c:pt idx="6">
                  <c:v>44871.584999999992</c:v>
                </c:pt>
                <c:pt idx="7">
                  <c:v>45478.619999999995</c:v>
                </c:pt>
                <c:pt idx="8">
                  <c:v>45816.540000000008</c:v>
                </c:pt>
                <c:pt idx="9">
                  <c:v>45780.075000000012</c:v>
                </c:pt>
                <c:pt idx="10">
                  <c:v>45481.095000000001</c:v>
                </c:pt>
                <c:pt idx="11">
                  <c:v>44801.130000000005</c:v>
                </c:pt>
                <c:pt idx="12">
                  <c:v>43865.25</c:v>
                </c:pt>
              </c:numCache>
            </c:numRef>
          </c:yVal>
          <c:smooth val="1"/>
          <c:extLst>
            <c:ext xmlns:c16="http://schemas.microsoft.com/office/drawing/2014/chart" uri="{C3380CC4-5D6E-409C-BE32-E72D297353CC}">
              <c16:uniqueId val="{00000002-8B70-40D2-9BDF-758B4B6A3D5F}"/>
            </c:ext>
          </c:extLst>
        </c:ser>
        <c:dLbls>
          <c:showLegendKey val="0"/>
          <c:showVal val="0"/>
          <c:showCatName val="0"/>
          <c:showSerName val="0"/>
          <c:showPercent val="0"/>
          <c:showBubbleSize val="0"/>
        </c:dLbls>
        <c:axId val="829067664"/>
        <c:axId val="829060944"/>
      </c:scatterChart>
      <c:valAx>
        <c:axId val="829067664"/>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060944"/>
        <c:crosses val="autoZero"/>
        <c:crossBetween val="midCat"/>
      </c:valAx>
      <c:valAx>
        <c:axId val="82906094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067664"/>
        <c:crosses val="autoZero"/>
        <c:crossBetween val="midCat"/>
      </c:valAx>
      <c:spPr>
        <a:noFill/>
        <a:ln>
          <a:solidFill>
            <a:sysClr val="windowText" lastClr="000000"/>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8.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3</xdr:col>
      <xdr:colOff>1523048</xdr:colOff>
      <xdr:row>1</xdr:row>
      <xdr:rowOff>44290</xdr:rowOff>
    </xdr:from>
    <xdr:to>
      <xdr:col>8</xdr:col>
      <xdr:colOff>39529</xdr:colOff>
      <xdr:row>17</xdr:row>
      <xdr:rowOff>15715</xdr:rowOff>
    </xdr:to>
    <xdr:pic>
      <xdr:nvPicPr>
        <xdr:cNvPr id="2" name="image6.png" descr="Blue text on a black background&#10;&#10;AI-generated content may be incorrect.">
          <a:extLst>
            <a:ext uri="{FF2B5EF4-FFF2-40B4-BE49-F238E27FC236}">
              <a16:creationId xmlns:a16="http://schemas.microsoft.com/office/drawing/2014/main" id="{2234DA84-F82F-3E99-71B3-D341580DE118}"/>
            </a:ext>
          </a:extLst>
        </xdr:cNvPr>
        <xdr:cNvPicPr/>
      </xdr:nvPicPr>
      <xdr:blipFill>
        <a:blip xmlns:r="http://schemas.openxmlformats.org/officeDocument/2006/relationships" r:embed="rId1"/>
        <a:srcRect/>
        <a:stretch>
          <a:fillRect/>
        </a:stretch>
      </xdr:blipFill>
      <xdr:spPr>
        <a:xfrm>
          <a:off x="3344704" y="222884"/>
          <a:ext cx="5564981" cy="2819400"/>
        </a:xfrm>
        <a:prstGeom prst="rect">
          <a:avLst/>
        </a:prstGeom>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762000</xdr:colOff>
      <xdr:row>52</xdr:row>
      <xdr:rowOff>44354</xdr:rowOff>
    </xdr:from>
    <xdr:to>
      <xdr:col>13</xdr:col>
      <xdr:colOff>551329</xdr:colOff>
      <xdr:row>70</xdr:row>
      <xdr:rowOff>52294</xdr:rowOff>
    </xdr:to>
    <xdr:graphicFrame macro="">
      <xdr:nvGraphicFramePr>
        <xdr:cNvPr id="100" name="Chart 6">
          <a:extLst>
            <a:ext uri="{FF2B5EF4-FFF2-40B4-BE49-F238E27FC236}">
              <a16:creationId xmlns:a16="http://schemas.microsoft.com/office/drawing/2014/main" id="{C91DB585-0297-4318-95BA-0073C67C66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798523</xdr:colOff>
      <xdr:row>52</xdr:row>
      <xdr:rowOff>100839</xdr:rowOff>
    </xdr:from>
    <xdr:to>
      <xdr:col>28</xdr:col>
      <xdr:colOff>321790</xdr:colOff>
      <xdr:row>70</xdr:row>
      <xdr:rowOff>74706</xdr:rowOff>
    </xdr:to>
    <xdr:graphicFrame macro="">
      <xdr:nvGraphicFramePr>
        <xdr:cNvPr id="101" name="Chart 7">
          <a:extLst>
            <a:ext uri="{FF2B5EF4-FFF2-40B4-BE49-F238E27FC236}">
              <a16:creationId xmlns:a16="http://schemas.microsoft.com/office/drawing/2014/main" id="{2C64D166-B3F8-4B2C-80D5-25D2AA1E5D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560292</xdr:colOff>
      <xdr:row>4</xdr:row>
      <xdr:rowOff>2402</xdr:rowOff>
    </xdr:from>
    <xdr:to>
      <xdr:col>18</xdr:col>
      <xdr:colOff>258535</xdr:colOff>
      <xdr:row>9</xdr:row>
      <xdr:rowOff>30069</xdr:rowOff>
    </xdr:to>
    <xdr:sp macro="" textlink="">
      <xdr:nvSpPr>
        <xdr:cNvPr id="11" name="TextBox 8">
          <a:extLst>
            <a:ext uri="{FF2B5EF4-FFF2-40B4-BE49-F238E27FC236}">
              <a16:creationId xmlns:a16="http://schemas.microsoft.com/office/drawing/2014/main" id="{CCC63936-BC2F-420E-A85C-5EE3BEBD091A}"/>
            </a:ext>
          </a:extLst>
        </xdr:cNvPr>
        <xdr:cNvSpPr txBox="1"/>
      </xdr:nvSpPr>
      <xdr:spPr>
        <a:xfrm>
          <a:off x="7459113" y="995723"/>
          <a:ext cx="6597065" cy="912132"/>
        </a:xfrm>
        <a:prstGeom prst="rect">
          <a:avLst/>
        </a:prstGeom>
        <a:solidFill>
          <a:schemeClr val="accent2">
            <a:lumMod val="40000"/>
            <a:lumOff val="6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SG" sz="1100" b="1" u="sng"/>
            <a:t>Assumptions</a:t>
          </a:r>
        </a:p>
        <a:p>
          <a:pPr rtl="0"/>
          <a:r>
            <a:rPr lang="en-US" sz="1100" b="0" i="0">
              <a:solidFill>
                <a:schemeClr val="dk1"/>
              </a:solidFill>
              <a:effectLst/>
              <a:latin typeface="+mn-lt"/>
              <a:ea typeface="+mn-ea"/>
              <a:cs typeface="+mn-cs"/>
            </a:rPr>
            <a:t>- Lunch and Dinner pricing are obtained from industry 5* hotel prices and averaged to represent the model’s weekday and weekend prices.</a:t>
          </a:r>
          <a:endParaRPr lang="en-SG" sz="1100">
            <a:effectLst/>
          </a:endParaRPr>
        </a:p>
        <a:p>
          <a:pPr rtl="0"/>
          <a:r>
            <a:rPr lang="en-US" sz="1100" b="0" i="0">
              <a:solidFill>
                <a:schemeClr val="dk1"/>
              </a:solidFill>
              <a:effectLst/>
              <a:latin typeface="+mn-lt"/>
              <a:ea typeface="+mn-ea"/>
              <a:cs typeface="+mn-cs"/>
            </a:rPr>
            <a:t>- 1.5hrs used for customer dining duration where customers will stay for the entire duration</a:t>
          </a:r>
          <a:endParaRPr lang="en-SG">
            <a:effectLst/>
          </a:endParaRPr>
        </a:p>
      </xdr:txBody>
    </xdr:sp>
    <xdr:clientData/>
  </xdr:twoCellAnchor>
  <xdr:twoCellAnchor>
    <xdr:from>
      <xdr:col>7</xdr:col>
      <xdr:colOff>543246</xdr:colOff>
      <xdr:row>14</xdr:row>
      <xdr:rowOff>154294</xdr:rowOff>
    </xdr:from>
    <xdr:to>
      <xdr:col>18</xdr:col>
      <xdr:colOff>198211</xdr:colOff>
      <xdr:row>17</xdr:row>
      <xdr:rowOff>123265</xdr:rowOff>
    </xdr:to>
    <xdr:sp macro="" textlink="">
      <xdr:nvSpPr>
        <xdr:cNvPr id="21" name="TextBox 9">
          <a:extLst>
            <a:ext uri="{FF2B5EF4-FFF2-40B4-BE49-F238E27FC236}">
              <a16:creationId xmlns:a16="http://schemas.microsoft.com/office/drawing/2014/main" id="{105E1AD9-2968-4397-9860-59C583B828C8}"/>
            </a:ext>
          </a:extLst>
        </xdr:cNvPr>
        <xdr:cNvSpPr txBox="1"/>
      </xdr:nvSpPr>
      <xdr:spPr>
        <a:xfrm>
          <a:off x="7434864" y="3146265"/>
          <a:ext cx="6434523" cy="506853"/>
        </a:xfrm>
        <a:prstGeom prst="rect">
          <a:avLst/>
        </a:prstGeom>
        <a:solidFill>
          <a:schemeClr val="accent2">
            <a:lumMod val="40000"/>
            <a:lumOff val="6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SG" sz="1100" b="1" u="sng"/>
            <a:t>Assumptions</a:t>
          </a:r>
        </a:p>
        <a:p>
          <a:pPr rtl="0"/>
          <a:r>
            <a:rPr lang="en-US" sz="1100" b="0" i="0">
              <a:solidFill>
                <a:schemeClr val="dk1"/>
              </a:solidFill>
              <a:effectLst/>
              <a:latin typeface="+mn-lt"/>
              <a:ea typeface="+mn-ea"/>
              <a:cs typeface="+mn-cs"/>
            </a:rPr>
            <a:t>Fixed, variable and ingredient cost is obtained for average % from industry based on revenue.</a:t>
          </a:r>
          <a:endParaRPr lang="en-SG" sz="1100">
            <a:effectLst/>
          </a:endParaRPr>
        </a:p>
      </xdr:txBody>
    </xdr:sp>
    <xdr:clientData/>
  </xdr:twoCellAnchor>
  <xdr:twoCellAnchor>
    <xdr:from>
      <xdr:col>7</xdr:col>
      <xdr:colOff>582705</xdr:colOff>
      <xdr:row>26</xdr:row>
      <xdr:rowOff>123960</xdr:rowOff>
    </xdr:from>
    <xdr:to>
      <xdr:col>18</xdr:col>
      <xdr:colOff>231321</xdr:colOff>
      <xdr:row>29</xdr:row>
      <xdr:rowOff>89648</xdr:rowOff>
    </xdr:to>
    <xdr:sp macro="" textlink="">
      <xdr:nvSpPr>
        <xdr:cNvPr id="18" name="TextBox 10">
          <a:extLst>
            <a:ext uri="{FF2B5EF4-FFF2-40B4-BE49-F238E27FC236}">
              <a16:creationId xmlns:a16="http://schemas.microsoft.com/office/drawing/2014/main" id="{7134EDC3-D4FE-40A9-828D-6DC60187547F}"/>
            </a:ext>
          </a:extLst>
        </xdr:cNvPr>
        <xdr:cNvSpPr txBox="1"/>
      </xdr:nvSpPr>
      <xdr:spPr>
        <a:xfrm>
          <a:off x="7474323" y="5267460"/>
          <a:ext cx="6428174" cy="503570"/>
        </a:xfrm>
        <a:prstGeom prst="rect">
          <a:avLst/>
        </a:prstGeom>
        <a:solidFill>
          <a:schemeClr val="accent2">
            <a:lumMod val="40000"/>
            <a:lumOff val="6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SG" sz="1100" b="1" u="sng"/>
            <a:t>Assumptions</a:t>
          </a:r>
        </a:p>
        <a:p>
          <a:r>
            <a:rPr lang="en-SG" sz="1100"/>
            <a:t>- </a:t>
          </a:r>
          <a:r>
            <a:rPr lang="en-US" sz="1100" b="0" i="0">
              <a:solidFill>
                <a:schemeClr val="dk1"/>
              </a:solidFill>
              <a:effectLst/>
              <a:latin typeface="+mn-lt"/>
              <a:ea typeface="+mn-ea"/>
              <a:cs typeface="+mn-cs"/>
            </a:rPr>
            <a:t>Occupancy rate is based on how many customers will occupy each seat during the whole day.</a:t>
          </a:r>
          <a:endParaRPr lang="en-SG" sz="1100">
            <a:effectLst/>
          </a:endParaRPr>
        </a:p>
      </xdr:txBody>
    </xdr:sp>
    <xdr:clientData/>
  </xdr:twoCellAnchor>
  <xdr:twoCellAnchor>
    <xdr:from>
      <xdr:col>1</xdr:col>
      <xdr:colOff>18141</xdr:colOff>
      <xdr:row>42</xdr:row>
      <xdr:rowOff>72570</xdr:rowOff>
    </xdr:from>
    <xdr:to>
      <xdr:col>6</xdr:col>
      <xdr:colOff>492257</xdr:colOff>
      <xdr:row>47</xdr:row>
      <xdr:rowOff>18142</xdr:rowOff>
    </xdr:to>
    <xdr:sp macro="" textlink="">
      <xdr:nvSpPr>
        <xdr:cNvPr id="99" name="TextBox 10">
          <a:extLst>
            <a:ext uri="{FF2B5EF4-FFF2-40B4-BE49-F238E27FC236}">
              <a16:creationId xmlns:a16="http://schemas.microsoft.com/office/drawing/2014/main" id="{65A81376-10E6-4882-B41F-B125A37AEDEF}"/>
            </a:ext>
          </a:extLst>
        </xdr:cNvPr>
        <xdr:cNvSpPr txBox="1"/>
      </xdr:nvSpPr>
      <xdr:spPr>
        <a:xfrm>
          <a:off x="263070" y="8173356"/>
          <a:ext cx="6388687" cy="852715"/>
        </a:xfrm>
        <a:prstGeom prst="rect">
          <a:avLst/>
        </a:prstGeom>
        <a:solidFill>
          <a:schemeClr val="accent2">
            <a:lumMod val="40000"/>
            <a:lumOff val="6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SG" sz="1100" b="1" u="sng"/>
            <a:t>Assumptions</a:t>
          </a:r>
        </a:p>
        <a:p>
          <a:pPr rtl="0"/>
          <a:r>
            <a:rPr lang="en-SG" sz="1100"/>
            <a:t>- </a:t>
          </a:r>
          <a:r>
            <a:rPr lang="en-US" sz="1100" b="0" i="0">
              <a:solidFill>
                <a:schemeClr val="dk1"/>
              </a:solidFill>
              <a:effectLst/>
              <a:latin typeface="+mn-lt"/>
              <a:ea typeface="+mn-ea"/>
              <a:cs typeface="+mn-cs"/>
            </a:rPr>
            <a:t>Graphs is based on weekday and weekend prices as a whole. (Lunch + Dinner averaged</a:t>
          </a:r>
          <a:r>
            <a:rPr lang="en-US" sz="1100" b="0" i="0" baseline="0">
              <a:solidFill>
                <a:schemeClr val="dk1"/>
              </a:solidFill>
              <a:effectLst/>
              <a:latin typeface="+mn-lt"/>
              <a:ea typeface="+mn-ea"/>
              <a:cs typeface="+mn-cs"/>
            </a:rPr>
            <a:t> and combined</a:t>
          </a:r>
          <a:r>
            <a:rPr lang="en-US" sz="1100" b="0" i="0">
              <a:solidFill>
                <a:schemeClr val="dk1"/>
              </a:solidFill>
              <a:effectLst/>
              <a:latin typeface="+mn-lt"/>
              <a:ea typeface="+mn-ea"/>
              <a:cs typeface="+mn-cs"/>
            </a:rPr>
            <a:t>)</a:t>
          </a:r>
          <a:endParaRPr lang="en-SG" sz="1100">
            <a:effectLst/>
          </a:endParaRPr>
        </a:p>
        <a:p>
          <a:pPr rtl="0"/>
          <a:r>
            <a:rPr lang="en-US" sz="1100" b="0" i="0">
              <a:solidFill>
                <a:schemeClr val="dk1"/>
              </a:solidFill>
              <a:effectLst/>
              <a:latin typeface="+mn-lt"/>
              <a:ea typeface="+mn-ea"/>
              <a:cs typeface="+mn-cs"/>
            </a:rPr>
            <a:t>- For every $10 price increase, weekday demand drops by 5% and weekend demand drops by 4%.</a:t>
          </a:r>
          <a:endParaRPr lang="en-SG">
            <a:effectLst/>
          </a:endParaRPr>
        </a:p>
        <a:p>
          <a:pPr rtl="0"/>
          <a:r>
            <a:rPr lang="en-US" sz="1100" b="0" i="0">
              <a:solidFill>
                <a:schemeClr val="dk1"/>
              </a:solidFill>
              <a:effectLst/>
              <a:latin typeface="+mn-lt"/>
              <a:ea typeface="+mn-ea"/>
              <a:cs typeface="+mn-cs"/>
            </a:rPr>
            <a:t>- Equation of curve will be linear</a:t>
          </a:r>
          <a:r>
            <a:rPr lang="en-US" sz="1100" b="0" i="0" baseline="0">
              <a:solidFill>
                <a:schemeClr val="dk1"/>
              </a:solidFill>
              <a:effectLst/>
              <a:latin typeface="+mn-lt"/>
              <a:ea typeface="+mn-ea"/>
              <a:cs typeface="+mn-cs"/>
            </a:rPr>
            <a:t> without other factor that will make it curve.</a:t>
          </a:r>
          <a:endParaRPr lang="en-SG">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20169</xdr:colOff>
      <xdr:row>1</xdr:row>
      <xdr:rowOff>277637</xdr:rowOff>
    </xdr:from>
    <xdr:to>
      <xdr:col>15</xdr:col>
      <xdr:colOff>578970</xdr:colOff>
      <xdr:row>8</xdr:row>
      <xdr:rowOff>27215</xdr:rowOff>
    </xdr:to>
    <xdr:sp macro="" textlink="">
      <xdr:nvSpPr>
        <xdr:cNvPr id="94" name="TextBox 1">
          <a:extLst>
            <a:ext uri="{FF2B5EF4-FFF2-40B4-BE49-F238E27FC236}">
              <a16:creationId xmlns:a16="http://schemas.microsoft.com/office/drawing/2014/main" id="{CEA11B81-19CE-446C-AF67-ECB5AABE2AF2}"/>
            </a:ext>
          </a:extLst>
        </xdr:cNvPr>
        <xdr:cNvSpPr txBox="1"/>
      </xdr:nvSpPr>
      <xdr:spPr>
        <a:xfrm>
          <a:off x="5898455" y="749351"/>
          <a:ext cx="7271658" cy="1382435"/>
        </a:xfrm>
        <a:prstGeom prst="rect">
          <a:avLst/>
        </a:prstGeom>
        <a:solidFill>
          <a:schemeClr val="accent2">
            <a:lumMod val="40000"/>
            <a:lumOff val="6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SG" sz="1100" b="1"/>
            <a:t>Assumption:</a:t>
          </a:r>
          <a:br>
            <a:rPr lang="en-SG" sz="1100"/>
          </a:br>
          <a:r>
            <a:rPr lang="en-US" sz="1100" b="0" i="0">
              <a:solidFill>
                <a:schemeClr val="dk1"/>
              </a:solidFill>
              <a:effectLst/>
              <a:latin typeface="+mn-lt"/>
              <a:ea typeface="+mn-ea"/>
              <a:cs typeface="+mn-cs"/>
            </a:rPr>
            <a:t>Percentage change of each cost will be by increment/decrements of 1%.</a:t>
          </a:r>
          <a:endParaRPr lang="en-SG" sz="11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SG" sz="1100"/>
        </a:p>
        <a:p>
          <a:pPr marL="0" marR="0" lvl="0" indent="0" defTabSz="914400" eaLnBrk="1" fontAlgn="auto" latinLnBrk="0" hangingPunct="1">
            <a:lnSpc>
              <a:spcPct val="100000"/>
            </a:lnSpc>
            <a:spcBef>
              <a:spcPts val="0"/>
            </a:spcBef>
            <a:spcAft>
              <a:spcPts val="0"/>
            </a:spcAft>
            <a:buClrTx/>
            <a:buSzTx/>
            <a:buFontTx/>
            <a:buNone/>
            <a:tabLst/>
            <a:defRPr/>
          </a:pPr>
          <a:r>
            <a:rPr lang="en-SG" sz="1100" b="1"/>
            <a:t>Conclusion:</a:t>
          </a:r>
          <a:r>
            <a:rPr lang="en-SG" sz="1100" b="1" baseline="0"/>
            <a:t> </a:t>
          </a:r>
          <a:br>
            <a:rPr lang="en-SG" sz="1100" baseline="0"/>
          </a:br>
          <a:r>
            <a:rPr lang="en-SG" sz="1100" baseline="0"/>
            <a:t>Weekday Profit change is more sensitive to price-demand slope change.</a:t>
          </a:r>
          <a:br>
            <a:rPr lang="en-SG" sz="1100" baseline="0"/>
          </a:br>
          <a:r>
            <a:rPr lang="en-SG" sz="1100" baseline="0">
              <a:solidFill>
                <a:schemeClr val="dk1"/>
              </a:solidFill>
              <a:effectLst/>
              <a:latin typeface="+mn-lt"/>
              <a:ea typeface="+mn-ea"/>
              <a:cs typeface="+mn-cs"/>
            </a:rPr>
            <a:t>Weekend Profit change is more sensitive to individual cost change. </a:t>
          </a:r>
          <a:br>
            <a:rPr lang="en-SG" sz="1100" baseline="0">
              <a:solidFill>
                <a:schemeClr val="dk1"/>
              </a:solidFill>
              <a:effectLst/>
              <a:latin typeface="+mn-lt"/>
              <a:ea typeface="+mn-ea"/>
              <a:cs typeface="+mn-cs"/>
            </a:rPr>
          </a:br>
          <a:r>
            <a:rPr lang="en-SG" sz="1100" baseline="0">
              <a:solidFill>
                <a:schemeClr val="dk1"/>
              </a:solidFill>
              <a:effectLst/>
              <a:latin typeface="+mn-lt"/>
              <a:ea typeface="+mn-ea"/>
              <a:cs typeface="+mn-cs"/>
            </a:rPr>
            <a:t>Both models are more robust at lower cost percentages.</a:t>
          </a:r>
          <a:endParaRPr lang="en-SG">
            <a:effectLst/>
          </a:endParaRPr>
        </a:p>
        <a:p>
          <a:endParaRPr lang="en-SG" sz="1100" baseline="0"/>
        </a:p>
        <a:p>
          <a:endParaRPr lang="en-SG" sz="1100"/>
        </a:p>
      </xdr:txBody>
    </xdr:sp>
    <xdr:clientData/>
  </xdr:twoCellAnchor>
  <xdr:twoCellAnchor>
    <xdr:from>
      <xdr:col>6</xdr:col>
      <xdr:colOff>88899</xdr:colOff>
      <xdr:row>21</xdr:row>
      <xdr:rowOff>87312</xdr:rowOff>
    </xdr:from>
    <xdr:to>
      <xdr:col>16</xdr:col>
      <xdr:colOff>609600</xdr:colOff>
      <xdr:row>43</xdr:row>
      <xdr:rowOff>19049</xdr:rowOff>
    </xdr:to>
    <xdr:graphicFrame macro="">
      <xdr:nvGraphicFramePr>
        <xdr:cNvPr id="2" name="Chart 3">
          <a:extLst>
            <a:ext uri="{FF2B5EF4-FFF2-40B4-BE49-F238E27FC236}">
              <a16:creationId xmlns:a16="http://schemas.microsoft.com/office/drawing/2014/main" id="{52E4C445-8CF8-455B-A625-57AFD4CDB1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590549</xdr:colOff>
      <xdr:row>21</xdr:row>
      <xdr:rowOff>87311</xdr:rowOff>
    </xdr:from>
    <xdr:to>
      <xdr:col>29</xdr:col>
      <xdr:colOff>47625</xdr:colOff>
      <xdr:row>43</xdr:row>
      <xdr:rowOff>28574</xdr:rowOff>
    </xdr:to>
    <xdr:graphicFrame macro="">
      <xdr:nvGraphicFramePr>
        <xdr:cNvPr id="5" name="Chart 4">
          <a:extLst>
            <a:ext uri="{FF2B5EF4-FFF2-40B4-BE49-F238E27FC236}">
              <a16:creationId xmlns:a16="http://schemas.microsoft.com/office/drawing/2014/main" id="{334895AF-2781-48A5-A8EF-6CCF938B06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14380</xdr:colOff>
      <xdr:row>60</xdr:row>
      <xdr:rowOff>62845</xdr:rowOff>
    </xdr:from>
    <xdr:to>
      <xdr:col>16</xdr:col>
      <xdr:colOff>639856</xdr:colOff>
      <xdr:row>81</xdr:row>
      <xdr:rowOff>173877</xdr:rowOff>
    </xdr:to>
    <xdr:graphicFrame macro="">
      <xdr:nvGraphicFramePr>
        <xdr:cNvPr id="3" name="Chart 5">
          <a:extLst>
            <a:ext uri="{FF2B5EF4-FFF2-40B4-BE49-F238E27FC236}">
              <a16:creationId xmlns:a16="http://schemas.microsoft.com/office/drawing/2014/main" id="{B34EB264-CDC2-4C8B-BE62-A8FF0E30EB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9525</xdr:colOff>
      <xdr:row>60</xdr:row>
      <xdr:rowOff>54814</xdr:rowOff>
    </xdr:from>
    <xdr:to>
      <xdr:col>28</xdr:col>
      <xdr:colOff>647700</xdr:colOff>
      <xdr:row>81</xdr:row>
      <xdr:rowOff>146796</xdr:rowOff>
    </xdr:to>
    <xdr:graphicFrame macro="">
      <xdr:nvGraphicFramePr>
        <xdr:cNvPr id="45" name="Chart 6">
          <a:extLst>
            <a:ext uri="{FF2B5EF4-FFF2-40B4-BE49-F238E27FC236}">
              <a16:creationId xmlns:a16="http://schemas.microsoft.com/office/drawing/2014/main" id="{9759611F-8A79-4C46-9563-0CF3FBFD95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0</xdr:colOff>
      <xdr:row>95</xdr:row>
      <xdr:rowOff>172476</xdr:rowOff>
    </xdr:from>
    <xdr:to>
      <xdr:col>16</xdr:col>
      <xdr:colOff>652742</xdr:colOff>
      <xdr:row>118</xdr:row>
      <xdr:rowOff>142314</xdr:rowOff>
    </xdr:to>
    <xdr:graphicFrame macro="">
      <xdr:nvGraphicFramePr>
        <xdr:cNvPr id="8" name="Chart 7">
          <a:extLst>
            <a:ext uri="{FF2B5EF4-FFF2-40B4-BE49-F238E27FC236}">
              <a16:creationId xmlns:a16="http://schemas.microsoft.com/office/drawing/2014/main" id="{F1B2D00B-E81E-4FE3-9B5F-EA6CB1D04D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39781</xdr:colOff>
      <xdr:row>95</xdr:row>
      <xdr:rowOff>161271</xdr:rowOff>
    </xdr:from>
    <xdr:to>
      <xdr:col>29</xdr:col>
      <xdr:colOff>5603</xdr:colOff>
      <xdr:row>118</xdr:row>
      <xdr:rowOff>131109</xdr:rowOff>
    </xdr:to>
    <xdr:graphicFrame macro="">
      <xdr:nvGraphicFramePr>
        <xdr:cNvPr id="47" name="Chart 8">
          <a:extLst>
            <a:ext uri="{FF2B5EF4-FFF2-40B4-BE49-F238E27FC236}">
              <a16:creationId xmlns:a16="http://schemas.microsoft.com/office/drawing/2014/main" id="{3826E762-5458-4D32-991C-2A6FA16E59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16</xdr:col>
      <xdr:colOff>89085</xdr:colOff>
      <xdr:row>6</xdr:row>
      <xdr:rowOff>30442</xdr:rowOff>
    </xdr:from>
    <xdr:to>
      <xdr:col>27</xdr:col>
      <xdr:colOff>645644</xdr:colOff>
      <xdr:row>10</xdr:row>
      <xdr:rowOff>154215</xdr:rowOff>
    </xdr:to>
    <xdr:sp macro="" textlink="">
      <xdr:nvSpPr>
        <xdr:cNvPr id="250" name="TextBox 1">
          <a:extLst>
            <a:ext uri="{FF2B5EF4-FFF2-40B4-BE49-F238E27FC236}">
              <a16:creationId xmlns:a16="http://schemas.microsoft.com/office/drawing/2014/main" id="{24DEAE04-558C-4687-8010-2308608765E0}"/>
            </a:ext>
          </a:extLst>
        </xdr:cNvPr>
        <xdr:cNvSpPr txBox="1"/>
      </xdr:nvSpPr>
      <xdr:spPr>
        <a:xfrm>
          <a:off x="14431014" y="2044299"/>
          <a:ext cx="7877201" cy="849487"/>
        </a:xfrm>
        <a:prstGeom prst="rect">
          <a:avLst/>
        </a:prstGeom>
        <a:solidFill>
          <a:schemeClr val="accent2">
            <a:lumMod val="40000"/>
            <a:lumOff val="6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SG" sz="1100" b="1" u="sng"/>
            <a:t>Conclusion:</a:t>
          </a:r>
          <a:r>
            <a:rPr lang="en-SG" sz="1100" b="1" u="sng" baseline="0"/>
            <a:t> </a:t>
          </a:r>
          <a:br>
            <a:rPr lang="en-SG" sz="1100" baseline="0"/>
          </a:br>
          <a:r>
            <a:rPr lang="en-SG" sz="1100" baseline="0">
              <a:solidFill>
                <a:schemeClr val="dk1"/>
              </a:solidFill>
              <a:effectLst/>
              <a:latin typeface="+mn-lt"/>
              <a:ea typeface="+mn-ea"/>
              <a:cs typeface="+mn-cs"/>
            </a:rPr>
            <a:t>Cells (I7, I39) with </a:t>
          </a:r>
          <a:r>
            <a:rPr lang="en-SG" sz="1100" baseline="0">
              <a:solidFill>
                <a:srgbClr val="C00000"/>
              </a:solidFill>
              <a:effectLst/>
              <a:latin typeface="+mn-lt"/>
              <a:ea typeface="+mn-ea"/>
              <a:cs typeface="+mn-cs"/>
            </a:rPr>
            <a:t>red</a:t>
          </a:r>
          <a:r>
            <a:rPr lang="en-SG" sz="1100" baseline="0">
              <a:solidFill>
                <a:schemeClr val="dk1"/>
              </a:solidFill>
              <a:effectLst/>
              <a:latin typeface="+mn-lt"/>
              <a:ea typeface="+mn-ea"/>
              <a:cs typeface="+mn-cs"/>
            </a:rPr>
            <a:t> font is the original price and revenue.</a:t>
          </a:r>
          <a:endParaRPr lang="en-SG" sz="1100" baseline="0"/>
        </a:p>
        <a:p>
          <a:r>
            <a:rPr lang="en-SG" sz="1100" baseline="0"/>
            <a:t>Cells (L7, L39) filled in </a:t>
          </a:r>
          <a:r>
            <a:rPr lang="en-SG" sz="1100" baseline="0">
              <a:solidFill>
                <a:schemeClr val="accent6"/>
              </a:solidFill>
            </a:rPr>
            <a:t>green</a:t>
          </a:r>
          <a:r>
            <a:rPr lang="en-SG" sz="1100" baseline="0"/>
            <a:t> is the top most generated profit and price based on the price-demand curve.</a:t>
          </a:r>
        </a:p>
        <a:p>
          <a:r>
            <a:rPr lang="en-SG" sz="1100" baseline="0"/>
            <a:t>Based on the nearest whole number with increments of $10, the best price to set to generate the most profit will be $115.</a:t>
          </a:r>
        </a:p>
        <a:p>
          <a:endParaRPr lang="en-SG" sz="1100"/>
        </a:p>
      </xdr:txBody>
    </xdr:sp>
    <xdr:clientData/>
  </xdr:twoCellAnchor>
  <xdr:twoCellAnchor>
    <xdr:from>
      <xdr:col>16</xdr:col>
      <xdr:colOff>243622</xdr:colOff>
      <xdr:row>48</xdr:row>
      <xdr:rowOff>176119</xdr:rowOff>
    </xdr:from>
    <xdr:to>
      <xdr:col>28</xdr:col>
      <xdr:colOff>241700</xdr:colOff>
      <xdr:row>54</xdr:row>
      <xdr:rowOff>45358</xdr:rowOff>
    </xdr:to>
    <xdr:sp macro="" textlink="">
      <xdr:nvSpPr>
        <xdr:cNvPr id="248" name="TextBox 2">
          <a:extLst>
            <a:ext uri="{FF2B5EF4-FFF2-40B4-BE49-F238E27FC236}">
              <a16:creationId xmlns:a16="http://schemas.microsoft.com/office/drawing/2014/main" id="{299F13A9-62AD-4F37-8920-E5421D6E1F94}"/>
            </a:ext>
          </a:extLst>
        </xdr:cNvPr>
        <xdr:cNvSpPr txBox="1"/>
      </xdr:nvSpPr>
      <xdr:spPr>
        <a:xfrm>
          <a:off x="14585551" y="9447119"/>
          <a:ext cx="7990006" cy="957810"/>
        </a:xfrm>
        <a:prstGeom prst="rect">
          <a:avLst/>
        </a:prstGeom>
        <a:solidFill>
          <a:schemeClr val="accent2">
            <a:lumMod val="40000"/>
            <a:lumOff val="6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SG" sz="1100" b="1" u="sng"/>
            <a:t>Conclusion:</a:t>
          </a:r>
          <a:r>
            <a:rPr lang="en-SG" sz="1100" b="1" u="sng" baseline="0"/>
            <a:t> </a:t>
          </a:r>
        </a:p>
        <a:p>
          <a:r>
            <a:rPr lang="en-SG" sz="1100" baseline="0">
              <a:solidFill>
                <a:schemeClr val="dk1"/>
              </a:solidFill>
              <a:effectLst/>
              <a:latin typeface="+mn-lt"/>
              <a:ea typeface="+mn-ea"/>
              <a:cs typeface="+mn-cs"/>
            </a:rPr>
            <a:t>Cells (D50, D82) with </a:t>
          </a:r>
          <a:r>
            <a:rPr lang="en-SG" sz="1100" baseline="0">
              <a:solidFill>
                <a:srgbClr val="C00000"/>
              </a:solidFill>
              <a:effectLst/>
              <a:latin typeface="+mn-lt"/>
              <a:ea typeface="+mn-ea"/>
              <a:cs typeface="+mn-cs"/>
            </a:rPr>
            <a:t>red</a:t>
          </a:r>
          <a:r>
            <a:rPr lang="en-SG" sz="1100" baseline="0">
              <a:solidFill>
                <a:schemeClr val="dk1"/>
              </a:solidFill>
              <a:effectLst/>
              <a:latin typeface="+mn-lt"/>
              <a:ea typeface="+mn-ea"/>
              <a:cs typeface="+mn-cs"/>
            </a:rPr>
            <a:t> font is the original price and revenue.</a:t>
          </a:r>
        </a:p>
        <a:p>
          <a:r>
            <a:rPr lang="en-SG" sz="1100" baseline="0">
              <a:solidFill>
                <a:schemeClr val="dk1"/>
              </a:solidFill>
              <a:effectLst/>
              <a:latin typeface="+mn-lt"/>
              <a:ea typeface="+mn-ea"/>
              <a:cs typeface="+mn-cs"/>
            </a:rPr>
            <a:t>Cells (K50, K82) filled in </a:t>
          </a:r>
          <a:r>
            <a:rPr lang="en-SG" sz="1100" baseline="0">
              <a:solidFill>
                <a:srgbClr val="00B050"/>
              </a:solidFill>
              <a:effectLst/>
              <a:latin typeface="+mn-lt"/>
              <a:ea typeface="+mn-ea"/>
              <a:cs typeface="+mn-cs"/>
            </a:rPr>
            <a:t>green</a:t>
          </a:r>
          <a:r>
            <a:rPr lang="en-SG" sz="1100" baseline="0">
              <a:solidFill>
                <a:schemeClr val="dk1"/>
              </a:solidFill>
              <a:effectLst/>
              <a:latin typeface="+mn-lt"/>
              <a:ea typeface="+mn-ea"/>
              <a:cs typeface="+mn-cs"/>
            </a:rPr>
            <a:t> is the top most generated profit  and price based on the price-demand curve.</a:t>
          </a:r>
          <a:endParaRPr lang="en-SG">
            <a:effectLst/>
          </a:endParaRPr>
        </a:p>
        <a:p>
          <a:r>
            <a:rPr lang="en-SG" sz="1100" baseline="0">
              <a:solidFill>
                <a:schemeClr val="dk1"/>
              </a:solidFill>
              <a:effectLst/>
              <a:latin typeface="+mn-lt"/>
              <a:ea typeface="+mn-ea"/>
              <a:cs typeface="+mn-cs"/>
            </a:rPr>
            <a:t>Based on the nearest whole number with increments of $10, the best price to set to generate the most profit will be $164.50.</a:t>
          </a:r>
          <a:endParaRPr lang="en-SG">
            <a:effectLst/>
          </a:endParaRPr>
        </a:p>
        <a:p>
          <a:endParaRPr lang="en-SG" sz="1100"/>
        </a:p>
      </xdr:txBody>
    </xdr:sp>
    <xdr:clientData/>
  </xdr:twoCellAnchor>
  <xdr:twoCellAnchor>
    <xdr:from>
      <xdr:col>16</xdr:col>
      <xdr:colOff>181187</xdr:colOff>
      <xdr:row>14</xdr:row>
      <xdr:rowOff>47999</xdr:rowOff>
    </xdr:from>
    <xdr:to>
      <xdr:col>26</xdr:col>
      <xdr:colOff>593912</xdr:colOff>
      <xdr:row>39</xdr:row>
      <xdr:rowOff>66676</xdr:rowOff>
    </xdr:to>
    <xdr:graphicFrame macro="">
      <xdr:nvGraphicFramePr>
        <xdr:cNvPr id="7" name="Chart 3">
          <a:extLst>
            <a:ext uri="{FF2B5EF4-FFF2-40B4-BE49-F238E27FC236}">
              <a16:creationId xmlns:a16="http://schemas.microsoft.com/office/drawing/2014/main" id="{FA49CA06-A563-4D83-8245-796E9918D0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237750</xdr:colOff>
      <xdr:row>56</xdr:row>
      <xdr:rowOff>126065</xdr:rowOff>
    </xdr:from>
    <xdr:to>
      <xdr:col>26</xdr:col>
      <xdr:colOff>403412</xdr:colOff>
      <xdr:row>82</xdr:row>
      <xdr:rowOff>11206</xdr:rowOff>
    </xdr:to>
    <xdr:graphicFrame macro="">
      <xdr:nvGraphicFramePr>
        <xdr:cNvPr id="3" name="Chart 4">
          <a:extLst>
            <a:ext uri="{FF2B5EF4-FFF2-40B4-BE49-F238E27FC236}">
              <a16:creationId xmlns:a16="http://schemas.microsoft.com/office/drawing/2014/main" id="{B70C9097-2FEC-4203-BEAF-5E4DEB08A1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598714</xdr:colOff>
      <xdr:row>1</xdr:row>
      <xdr:rowOff>272143</xdr:rowOff>
    </xdr:from>
    <xdr:to>
      <xdr:col>8</xdr:col>
      <xdr:colOff>320701</xdr:colOff>
      <xdr:row>2</xdr:row>
      <xdr:rowOff>263071</xdr:rowOff>
    </xdr:to>
    <xdr:sp macro="" textlink="">
      <xdr:nvSpPr>
        <xdr:cNvPr id="133" name="TextBox 5">
          <a:extLst>
            <a:ext uri="{FF2B5EF4-FFF2-40B4-BE49-F238E27FC236}">
              <a16:creationId xmlns:a16="http://schemas.microsoft.com/office/drawing/2014/main" id="{258FEAD0-9208-4AA1-816F-ADDDBCBC6E1D}"/>
            </a:ext>
          </a:extLst>
        </xdr:cNvPr>
        <xdr:cNvSpPr txBox="1"/>
      </xdr:nvSpPr>
      <xdr:spPr>
        <a:xfrm>
          <a:off x="598714" y="743857"/>
          <a:ext cx="7877201" cy="462643"/>
        </a:xfrm>
        <a:prstGeom prst="rect">
          <a:avLst/>
        </a:prstGeom>
        <a:solidFill>
          <a:schemeClr val="accent2">
            <a:lumMod val="40000"/>
            <a:lumOff val="6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n-SG" sz="1100" b="1" u="sng"/>
            <a:t>Assumption:</a:t>
          </a:r>
          <a:br>
            <a:rPr lang="en-SG" sz="1100" baseline="0"/>
          </a:br>
          <a:r>
            <a:rPr lang="en-US" sz="1100" b="0" i="0">
              <a:solidFill>
                <a:schemeClr val="dk1"/>
              </a:solidFill>
              <a:effectLst/>
              <a:latin typeface="+mn-lt"/>
              <a:ea typeface="+mn-ea"/>
              <a:cs typeface="+mn-cs"/>
            </a:rPr>
            <a:t>Only best price for profit will be calculated instead of buffet/customer dining duration and no. of seats to lead of to next Module.</a:t>
          </a:r>
          <a:endParaRPr lang="en-SG" sz="1100">
            <a:effectLst/>
          </a:endParaRPr>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5</xdr:col>
      <xdr:colOff>419100</xdr:colOff>
      <xdr:row>2</xdr:row>
      <xdr:rowOff>9524</xdr:rowOff>
    </xdr:from>
    <xdr:ext cx="7391400" cy="3619047"/>
    <xdr:sp macro="" textlink="">
      <xdr:nvSpPr>
        <xdr:cNvPr id="53" name="TextBox 1">
          <a:extLst>
            <a:ext uri="{FF2B5EF4-FFF2-40B4-BE49-F238E27FC236}">
              <a16:creationId xmlns:a16="http://schemas.microsoft.com/office/drawing/2014/main" id="{2A9D9602-729B-4CF4-8A94-75B85C3FC8F5}"/>
            </a:ext>
          </a:extLst>
        </xdr:cNvPr>
        <xdr:cNvSpPr txBox="1"/>
      </xdr:nvSpPr>
      <xdr:spPr>
        <a:xfrm>
          <a:off x="6470276" y="692549"/>
          <a:ext cx="7391400" cy="3619047"/>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SG" sz="1100" b="1"/>
            <a:t>Assumptions:</a:t>
          </a:r>
        </a:p>
        <a:p>
          <a:pPr marL="0" marR="0" lvl="0" indent="0" defTabSz="914400" eaLnBrk="1" fontAlgn="auto" latinLnBrk="0" hangingPunct="1">
            <a:lnSpc>
              <a:spcPct val="100000"/>
            </a:lnSpc>
            <a:spcBef>
              <a:spcPts val="0"/>
            </a:spcBef>
            <a:spcAft>
              <a:spcPts val="0"/>
            </a:spcAft>
            <a:buClrTx/>
            <a:buSzTx/>
            <a:buFontTx/>
            <a:buNone/>
            <a:tabLst/>
            <a:defRPr/>
          </a:pPr>
          <a:r>
            <a:rPr lang="en-SG" sz="1500" baseline="0"/>
            <a:t>-Fixed cost (as % of max revenue): 7.5%  Full Timers, 17.5% rental</a:t>
          </a:r>
        </a:p>
        <a:p>
          <a:pPr marL="0" marR="0" lvl="0" indent="0" defTabSz="914400" eaLnBrk="1" fontAlgn="auto" latinLnBrk="0" hangingPunct="1">
            <a:lnSpc>
              <a:spcPct val="100000"/>
            </a:lnSpc>
            <a:spcBef>
              <a:spcPts val="0"/>
            </a:spcBef>
            <a:spcAft>
              <a:spcPts val="0"/>
            </a:spcAft>
            <a:buClrTx/>
            <a:buSzTx/>
            <a:buFontTx/>
            <a:buNone/>
            <a:tabLst/>
            <a:defRPr/>
          </a:pPr>
          <a:r>
            <a:rPr lang="en-SG" sz="1500" b="1" baseline="0"/>
            <a:t>- </a:t>
          </a:r>
          <a:r>
            <a:rPr lang="en-SG" sz="1500" b="0" baseline="0"/>
            <a:t>Variable cost (</a:t>
          </a:r>
          <a:r>
            <a:rPr lang="en-SG" sz="1500" baseline="0"/>
            <a:t>as % of total revenue): 31.5% ingredient cost, 5.5% Part Timers, 5% utilities</a:t>
          </a:r>
          <a:endParaRPr lang="en-SG" sz="1500" b="0"/>
        </a:p>
        <a:p>
          <a:r>
            <a:rPr lang="en-SG" sz="1500"/>
            <a:t>-Alcohol cost fixed rate (as % of alcohol revenue): 30%</a:t>
          </a:r>
        </a:p>
        <a:p>
          <a:r>
            <a:rPr lang="en-SG" sz="1500"/>
            <a:t>-Occupancy</a:t>
          </a:r>
          <a:r>
            <a:rPr lang="en-SG" sz="1500" baseline="0"/>
            <a:t> rate per seat consistent across weekday, weekend and holiday (based on same rates as sensitivity analysis)</a:t>
          </a:r>
          <a:endParaRPr lang="en-SG" sz="1500"/>
        </a:p>
        <a:p>
          <a:r>
            <a:rPr lang="en-SG" sz="1500" baseline="0"/>
            <a:t>-Fixed base price per type of day e.g. weekday vs weekend vs holiday (based on sensitivity analysis  on best price)</a:t>
          </a:r>
        </a:p>
        <a:p>
          <a:pPr marL="0" marR="0" lvl="0" indent="0" defTabSz="914400" eaLnBrk="1" fontAlgn="auto" latinLnBrk="0" hangingPunct="1">
            <a:lnSpc>
              <a:spcPct val="100000"/>
            </a:lnSpc>
            <a:spcBef>
              <a:spcPts val="0"/>
            </a:spcBef>
            <a:spcAft>
              <a:spcPts val="0"/>
            </a:spcAft>
            <a:buClrTx/>
            <a:buSzTx/>
            <a:buFontTx/>
            <a:buNone/>
            <a:tabLst/>
            <a:defRPr/>
          </a:pPr>
          <a:r>
            <a:rPr lang="en-SG" sz="1500"/>
            <a:t>- Demand</a:t>
          </a:r>
          <a:r>
            <a:rPr lang="en-SG" sz="1500" baseline="0"/>
            <a:t> curve and pricing for both weekend and holidays are the same</a:t>
          </a:r>
        </a:p>
        <a:p>
          <a:r>
            <a:rPr lang="en-SG" sz="1500"/>
            <a:t>-Differing</a:t>
          </a:r>
          <a:r>
            <a:rPr lang="en-SG" sz="1500" baseline="0"/>
            <a:t> alcohol uptake rate across each session, where:</a:t>
          </a:r>
        </a:p>
        <a:p>
          <a:pPr marL="0" marR="0" lvl="0" indent="0" defTabSz="914400" eaLnBrk="1" fontAlgn="auto" latinLnBrk="0" hangingPunct="1">
            <a:lnSpc>
              <a:spcPct val="100000"/>
            </a:lnSpc>
            <a:spcBef>
              <a:spcPts val="0"/>
            </a:spcBef>
            <a:spcAft>
              <a:spcPts val="0"/>
            </a:spcAft>
            <a:buClrTx/>
            <a:buSzTx/>
            <a:buFontTx/>
            <a:buNone/>
            <a:tabLst/>
            <a:defRPr/>
          </a:pPr>
          <a:r>
            <a:rPr lang="en-SG" sz="1500" baseline="0"/>
            <a:t>i) Alcohol uptake rate: holiday &gt; weekend &gt; weekday</a:t>
          </a:r>
        </a:p>
        <a:p>
          <a:r>
            <a:rPr lang="en-SG" sz="1500" baseline="0"/>
            <a:t>ii) Alcohol uptake rate: dinners &gt; lunches</a:t>
          </a:r>
        </a:p>
        <a:p>
          <a:r>
            <a:rPr lang="en-SG" sz="1500" baseline="0"/>
            <a:t>-Price elasticity of alcohol:</a:t>
          </a:r>
        </a:p>
        <a:p>
          <a:r>
            <a:rPr lang="en-SG" sz="1500" baseline="0"/>
            <a:t>i) Relatively more elastic during weekdays and lunches</a:t>
          </a:r>
        </a:p>
        <a:p>
          <a:r>
            <a:rPr lang="en-SG" sz="1500" baseline="0"/>
            <a:t>ii) Relatively less elastic during weekends, holidays and dinners</a:t>
          </a:r>
        </a:p>
        <a:p>
          <a:endParaRPr lang="en-SG" sz="1100" baseline="0"/>
        </a:p>
        <a:p>
          <a:endParaRPr lang="en-SG" sz="1100" baseline="0"/>
        </a:p>
        <a:p>
          <a:endParaRPr lang="en-SG" sz="1100" baseline="0"/>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50800</xdr:colOff>
          <xdr:row>0</xdr:row>
          <xdr:rowOff>38100</xdr:rowOff>
        </xdr:from>
        <xdr:to>
          <xdr:col>10</xdr:col>
          <xdr:colOff>0</xdr:colOff>
          <xdr:row>0</xdr:row>
          <xdr:rowOff>457200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500-000001A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ptos Narrow" charset="0"/>
                </a:rPr>
                <a:t>Change Arrivals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825500</xdr:colOff>
          <xdr:row>0</xdr:row>
          <xdr:rowOff>38100</xdr:rowOff>
        </xdr:from>
        <xdr:to>
          <xdr:col>11</xdr:col>
          <xdr:colOff>88900</xdr:colOff>
          <xdr:row>0</xdr:row>
          <xdr:rowOff>457200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500-000002A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ptos Narrow" charset="0"/>
                </a:rPr>
                <a:t>Run Simulation</a:t>
              </a:r>
            </a:p>
          </xdr:txBody>
        </xdr:sp>
        <xdr:clientData fPrintsWithSheet="0"/>
      </xdr:twoCellAnchor>
    </mc:Choice>
    <mc:Fallback/>
  </mc:AlternateContent>
  <xdr:twoCellAnchor>
    <xdr:from>
      <xdr:col>8</xdr:col>
      <xdr:colOff>1030111</xdr:colOff>
      <xdr:row>0</xdr:row>
      <xdr:rowOff>0</xdr:rowOff>
    </xdr:from>
    <xdr:to>
      <xdr:col>8</xdr:col>
      <xdr:colOff>1509889</xdr:colOff>
      <xdr:row>0</xdr:row>
      <xdr:rowOff>451556</xdr:rowOff>
    </xdr:to>
    <xdr:sp macro="" textlink="">
      <xdr:nvSpPr>
        <xdr:cNvPr id="2" name="Oval 1">
          <a:extLst>
            <a:ext uri="{FF2B5EF4-FFF2-40B4-BE49-F238E27FC236}">
              <a16:creationId xmlns:a16="http://schemas.microsoft.com/office/drawing/2014/main" id="{7AE8D10F-CE40-DF37-636E-E41E8CE1476E}"/>
            </a:ext>
          </a:extLst>
        </xdr:cNvPr>
        <xdr:cNvSpPr/>
      </xdr:nvSpPr>
      <xdr:spPr>
        <a:xfrm>
          <a:off x="14082889" y="0"/>
          <a:ext cx="479778" cy="451556"/>
        </a:xfrm>
        <a:prstGeom prst="ellipse">
          <a:avLst/>
        </a:prstGeom>
        <a:ln w="38100"/>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GB" sz="1800" b="1">
              <a:solidFill>
                <a:schemeClr val="tx1"/>
              </a:solidFill>
              <a:latin typeface="Arial" panose="020B0604020202020204" pitchFamily="34" charset="0"/>
              <a:cs typeface="Arial" panose="020B0604020202020204" pitchFamily="34" charset="0"/>
            </a:rPr>
            <a:t>1</a:t>
          </a:r>
        </a:p>
      </xdr:txBody>
    </xdr:sp>
    <xdr:clientData/>
  </xdr:twoCellAnchor>
  <xdr:twoCellAnchor>
    <xdr:from>
      <xdr:col>10</xdr:col>
      <xdr:colOff>155222</xdr:colOff>
      <xdr:row>0</xdr:row>
      <xdr:rowOff>0</xdr:rowOff>
    </xdr:from>
    <xdr:to>
      <xdr:col>10</xdr:col>
      <xdr:colOff>635000</xdr:colOff>
      <xdr:row>0</xdr:row>
      <xdr:rowOff>451556</xdr:rowOff>
    </xdr:to>
    <xdr:sp macro="" textlink="">
      <xdr:nvSpPr>
        <xdr:cNvPr id="3" name="Oval 2">
          <a:extLst>
            <a:ext uri="{FF2B5EF4-FFF2-40B4-BE49-F238E27FC236}">
              <a16:creationId xmlns:a16="http://schemas.microsoft.com/office/drawing/2014/main" id="{5AD3BC97-8509-3F49-A66E-6696332DBBDC}"/>
            </a:ext>
          </a:extLst>
        </xdr:cNvPr>
        <xdr:cNvSpPr/>
      </xdr:nvSpPr>
      <xdr:spPr>
        <a:xfrm>
          <a:off x="16989778" y="0"/>
          <a:ext cx="479778" cy="451556"/>
        </a:xfrm>
        <a:prstGeom prst="ellipse">
          <a:avLst/>
        </a:prstGeom>
        <a:ln w="38100"/>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GB" sz="1800" b="1">
              <a:solidFill>
                <a:schemeClr val="tx1"/>
              </a:solidFill>
              <a:latin typeface="Arial" panose="020B0604020202020204" pitchFamily="34" charset="0"/>
              <a:cs typeface="Arial" panose="020B0604020202020204" pitchFamily="34" charset="0"/>
            </a:rPr>
            <a:t>2</a:t>
          </a:r>
        </a:p>
      </xdr:txBody>
    </xdr:sp>
    <xdr:clientData/>
  </xdr:twoCellAnchor>
  <xdr:twoCellAnchor>
    <xdr:from>
      <xdr:col>8</xdr:col>
      <xdr:colOff>98778</xdr:colOff>
      <xdr:row>47</xdr:row>
      <xdr:rowOff>28222</xdr:rowOff>
    </xdr:from>
    <xdr:to>
      <xdr:col>11</xdr:col>
      <xdr:colOff>1679223</xdr:colOff>
      <xdr:row>60</xdr:row>
      <xdr:rowOff>12700</xdr:rowOff>
    </xdr:to>
    <xdr:sp macro="" textlink="">
      <xdr:nvSpPr>
        <xdr:cNvPr id="4" name="TextBox 3">
          <a:extLst>
            <a:ext uri="{FF2B5EF4-FFF2-40B4-BE49-F238E27FC236}">
              <a16:creationId xmlns:a16="http://schemas.microsoft.com/office/drawing/2014/main" id="{C6CF5225-1865-F122-0960-236C107EF2C6}"/>
            </a:ext>
          </a:extLst>
        </xdr:cNvPr>
        <xdr:cNvSpPr txBox="1"/>
      </xdr:nvSpPr>
      <xdr:spPr>
        <a:xfrm>
          <a:off x="13662378" y="9934222"/>
          <a:ext cx="7612945" cy="3324578"/>
        </a:xfrm>
        <a:prstGeom prst="rect">
          <a:avLst/>
        </a:prstGeom>
        <a:ln w="28575"/>
      </xdr:spPr>
      <xdr:style>
        <a:lnRef idx="2">
          <a:schemeClr val="accent6"/>
        </a:lnRef>
        <a:fillRef idx="1">
          <a:schemeClr val="lt1"/>
        </a:fillRef>
        <a:effectRef idx="0">
          <a:schemeClr val="accent6"/>
        </a:effectRef>
        <a:fontRef idx="minor">
          <a:schemeClr val="dk1"/>
        </a:fontRef>
      </xdr:style>
      <xdr:txBody>
        <a:bodyPr vertOverflow="clip" horzOverflow="clip" wrap="square" rtlCol="0" anchor="t"/>
        <a:lstStyle/>
        <a:p>
          <a:r>
            <a:rPr lang="en-GB" sz="1200" b="0" u="none">
              <a:latin typeface="Arial" panose="020B0604020202020204" pitchFamily="34" charset="0"/>
              <a:cs typeface="Arial" panose="020B0604020202020204" pitchFamily="34" charset="0"/>
            </a:rPr>
            <a:t>The</a:t>
          </a:r>
          <a:r>
            <a:rPr lang="en-GB" sz="1200" b="0" u="none" baseline="0">
              <a:latin typeface="Arial" panose="020B0604020202020204" pitchFamily="34" charset="0"/>
              <a:cs typeface="Arial" panose="020B0604020202020204" pitchFamily="34" charset="0"/>
            </a:rPr>
            <a:t> Data Table </a:t>
          </a:r>
          <a:r>
            <a:rPr lang="en-GB" sz="1200" b="1" u="none" baseline="0">
              <a:latin typeface="Arial" panose="020B0604020202020204" pitchFamily="34" charset="0"/>
              <a:cs typeface="Arial" panose="020B0604020202020204" pitchFamily="34" charset="0"/>
            </a:rPr>
            <a:t>(Table 5)</a:t>
          </a:r>
          <a:r>
            <a:rPr lang="en-GB" sz="1200" b="0" u="none" baseline="0">
              <a:latin typeface="Arial" panose="020B0604020202020204" pitchFamily="34" charset="0"/>
              <a:cs typeface="Arial" panose="020B0604020202020204" pitchFamily="34" charset="0"/>
            </a:rPr>
            <a:t> in B48:D80 is a one-time run to find the average waiting time. It uses the average waiting time calculated in cell P46 and the column-input cell as the 'Number of Servers' inputted in cell C6. We see that sometimes the waiting time does not decrease as number of servers increase. Hence, because it is an exponential distribution we would need more runs to stabilize the results. We see that</a:t>
          </a:r>
          <a:endParaRPr lang="en-GB" sz="1200" b="0" u="none">
            <a:latin typeface="Arial" panose="020B0604020202020204" pitchFamily="34" charset="0"/>
            <a:cs typeface="Arial" panose="020B0604020202020204" pitchFamily="34" charset="0"/>
          </a:endParaRPr>
        </a:p>
        <a:p>
          <a:endParaRPr lang="en-GB" sz="1200" b="1" u="sng">
            <a:latin typeface="Arial" panose="020B0604020202020204" pitchFamily="34" charset="0"/>
            <a:cs typeface="Arial" panose="020B0604020202020204" pitchFamily="34" charset="0"/>
          </a:endParaRPr>
        </a:p>
        <a:p>
          <a:r>
            <a:rPr lang="en-GB" sz="1200" b="1" u="sng">
              <a:latin typeface="Arial" panose="020B0604020202020204" pitchFamily="34" charset="0"/>
              <a:cs typeface="Arial" panose="020B0604020202020204" pitchFamily="34" charset="0"/>
            </a:rPr>
            <a:t>Step 1: Changing Arrivals Scenario:</a:t>
          </a:r>
          <a:br>
            <a:rPr lang="en-GB" sz="1200" b="1" u="sng">
              <a:latin typeface="Arial" panose="020B0604020202020204" pitchFamily="34" charset="0"/>
              <a:cs typeface="Arial" panose="020B0604020202020204" pitchFamily="34" charset="0"/>
            </a:rPr>
          </a:br>
          <a:r>
            <a:rPr lang="en-GB" sz="1200" b="0" u="none">
              <a:latin typeface="Arial" panose="020B0604020202020204" pitchFamily="34" charset="0"/>
              <a:cs typeface="Arial" panose="020B0604020202020204" pitchFamily="34" charset="0"/>
            </a:rPr>
            <a:t>In cell J1, click on 'Change</a:t>
          </a:r>
          <a:r>
            <a:rPr lang="en-GB" sz="1200" b="0" u="none" baseline="0">
              <a:latin typeface="Arial" panose="020B0604020202020204" pitchFamily="34" charset="0"/>
              <a:cs typeface="Arial" panose="020B0604020202020204" pitchFamily="34" charset="0"/>
            </a:rPr>
            <a:t> Arrivals Scenario' to the scenario you'd like to simulate. This will change the value in cell I15 where the average value of 17 customers per 10 minutes would be multiplied by the scenario factor. This will give an idea of the crowd that would come in  different scenarios. </a:t>
          </a:r>
        </a:p>
        <a:p>
          <a:endParaRPr lang="en-GB" sz="1200" b="0" u="none" baseline="0">
            <a:latin typeface="Arial" panose="020B0604020202020204" pitchFamily="34" charset="0"/>
            <a:cs typeface="Arial" panose="020B0604020202020204" pitchFamily="34" charset="0"/>
          </a:endParaRPr>
        </a:p>
        <a:p>
          <a:r>
            <a:rPr lang="en-GB" sz="1200" b="1" u="sng" baseline="0">
              <a:latin typeface="Arial" panose="020B0604020202020204" pitchFamily="34" charset="0"/>
              <a:cs typeface="Arial" panose="020B0604020202020204" pitchFamily="34" charset="0"/>
            </a:rPr>
            <a:t>Step 2: Run Simulation</a:t>
          </a:r>
        </a:p>
        <a:p>
          <a:r>
            <a:rPr lang="en-GB" sz="1200" b="0" i="0" u="none" baseline="0">
              <a:latin typeface="Arial" panose="020B0604020202020204" pitchFamily="34" charset="0"/>
              <a:cs typeface="Arial" panose="020B0604020202020204" pitchFamily="34" charset="0"/>
            </a:rPr>
            <a:t>In cell K1, click on 'Run Simulation' and input how many runs you would like to simulate. This will auto-populate the arrivals based on cell scenario factor from I15 and import it to G48. The number of simulations you chose to run is also populated on cell G49. Afterwards, it will populate the waiting time based on the number of servers on any given scenario from cell F51:G80.</a:t>
          </a:r>
        </a:p>
        <a:p>
          <a:endParaRPr lang="en-GB" sz="1200" b="0" i="0" u="none" baseline="0">
            <a:latin typeface="Arial" panose="020B0604020202020204" pitchFamily="34" charset="0"/>
            <a:cs typeface="Arial" panose="020B0604020202020204" pitchFamily="34" charset="0"/>
          </a:endParaRPr>
        </a:p>
        <a:p>
          <a:r>
            <a:rPr lang="en-GB" sz="1200" b="0" i="1" u="none" baseline="0">
              <a:solidFill>
                <a:srgbClr val="FFC000"/>
              </a:solidFill>
              <a:latin typeface="Arial" panose="020B0604020202020204" pitchFamily="34" charset="0"/>
              <a:cs typeface="Arial" panose="020B0604020202020204" pitchFamily="34" charset="0"/>
            </a:rPr>
            <a:t>Warning: Because there is a data table in the sheet, keep the simulation run number low  to avoid hanging your excel.</a:t>
          </a:r>
          <a:endParaRPr lang="en-GB" sz="1200" b="0" i="1" u="none">
            <a:solidFill>
              <a:srgbClr val="FFC000"/>
            </a:solidFill>
            <a:latin typeface="Arial" panose="020B0604020202020204" pitchFamily="34" charset="0"/>
            <a:cs typeface="Arial" panose="020B0604020202020204" pitchFamily="34" charset="0"/>
          </a:endParaRPr>
        </a:p>
      </xdr:txBody>
    </xdr:sp>
    <xdr:clientData/>
  </xdr:twoCellAnchor>
  <xdr:twoCellAnchor>
    <xdr:from>
      <xdr:col>11</xdr:col>
      <xdr:colOff>225778</xdr:colOff>
      <xdr:row>83</xdr:row>
      <xdr:rowOff>42333</xdr:rowOff>
    </xdr:from>
    <xdr:to>
      <xdr:col>14</xdr:col>
      <xdr:colOff>1566333</xdr:colOff>
      <xdr:row>88</xdr:row>
      <xdr:rowOff>0</xdr:rowOff>
    </xdr:to>
    <xdr:sp macro="" textlink="">
      <xdr:nvSpPr>
        <xdr:cNvPr id="5" name="TextBox 4">
          <a:extLst>
            <a:ext uri="{FF2B5EF4-FFF2-40B4-BE49-F238E27FC236}">
              <a16:creationId xmlns:a16="http://schemas.microsoft.com/office/drawing/2014/main" id="{F788A7DF-283A-3740-9511-07CF1F47074C}"/>
            </a:ext>
          </a:extLst>
        </xdr:cNvPr>
        <xdr:cNvSpPr txBox="1"/>
      </xdr:nvSpPr>
      <xdr:spPr>
        <a:xfrm>
          <a:off x="19821878" y="18495433"/>
          <a:ext cx="7614355" cy="986367"/>
        </a:xfrm>
        <a:prstGeom prst="rect">
          <a:avLst/>
        </a:prstGeom>
        <a:ln w="28575"/>
      </xdr:spPr>
      <xdr:style>
        <a:lnRef idx="2">
          <a:schemeClr val="accent6"/>
        </a:lnRef>
        <a:fillRef idx="1">
          <a:schemeClr val="lt1"/>
        </a:fillRef>
        <a:effectRef idx="0">
          <a:schemeClr val="accent6"/>
        </a:effectRef>
        <a:fontRef idx="minor">
          <a:schemeClr val="dk1"/>
        </a:fontRef>
      </xdr:style>
      <xdr:txBody>
        <a:bodyPr vertOverflow="clip" horzOverflow="clip" wrap="square" rtlCol="0" anchor="t"/>
        <a:lstStyle/>
        <a:p>
          <a:r>
            <a:rPr lang="en-GB" sz="1200" b="1" u="none">
              <a:latin typeface="Arial" panose="020B0604020202020204" pitchFamily="34" charset="0"/>
              <a:cs typeface="Arial" panose="020B0604020202020204" pitchFamily="34" charset="0"/>
            </a:rPr>
            <a:t>Note: </a:t>
          </a:r>
          <a:r>
            <a:rPr lang="en-GB" sz="1200" b="0" u="none">
              <a:latin typeface="Arial" panose="020B0604020202020204" pitchFamily="34" charset="0"/>
              <a:cs typeface="Arial" panose="020B0604020202020204" pitchFamily="34" charset="0"/>
            </a:rPr>
            <a:t>The result on table 7 was copy-pasted from</a:t>
          </a:r>
          <a:r>
            <a:rPr lang="en-GB" sz="1200" b="0" u="none" baseline="0">
              <a:latin typeface="Arial" panose="020B0604020202020204" pitchFamily="34" charset="0"/>
              <a:cs typeface="Arial" panose="020B0604020202020204" pitchFamily="34" charset="0"/>
            </a:rPr>
            <a:t> the runs done on Table 6. Table 5 was deleted before running 1000 simulations so that it can process in less than 2 minutes. </a:t>
          </a:r>
        </a:p>
        <a:p>
          <a:endParaRPr lang="en-GB" sz="1200" b="0" i="1" u="none" baseline="0">
            <a:latin typeface="Arial" panose="020B0604020202020204" pitchFamily="34" charset="0"/>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GB" sz="1200" b="1" i="0" u="none" baseline="0">
              <a:latin typeface="Arial" panose="020B0604020202020204" pitchFamily="34" charset="0"/>
              <a:cs typeface="Arial" panose="020B0604020202020204" pitchFamily="34" charset="0"/>
            </a:rPr>
            <a:t>Finding: </a:t>
          </a:r>
          <a:r>
            <a:rPr lang="en-GB" sz="1200" b="0" i="0" u="none" baseline="0">
              <a:latin typeface="Arial" panose="020B0604020202020204" pitchFamily="34" charset="0"/>
              <a:cs typeface="Arial" panose="020B0604020202020204" pitchFamily="34" charset="0"/>
            </a:rPr>
            <a:t>As you can see, after 100 simulation runs - the average waiting time stabilized and it is as expected. The more servers we have, the lesser a table has wait for a server to succeed their requests.</a:t>
          </a:r>
        </a:p>
        <a:p>
          <a:endParaRPr lang="en-GB" sz="1200" b="0" i="1" u="none">
            <a:latin typeface="Arial" panose="020B0604020202020204" pitchFamily="34" charset="0"/>
            <a:cs typeface="Arial" panose="020B0604020202020204" pitchFamily="34" charset="0"/>
          </a:endParaRPr>
        </a:p>
      </xdr:txBody>
    </xdr:sp>
    <xdr:clientData/>
  </xdr:twoCellAnchor>
  <xdr:twoCellAnchor>
    <xdr:from>
      <xdr:col>19</xdr:col>
      <xdr:colOff>1</xdr:colOff>
      <xdr:row>2</xdr:row>
      <xdr:rowOff>42333</xdr:rowOff>
    </xdr:from>
    <xdr:to>
      <xdr:col>22</xdr:col>
      <xdr:colOff>25400</xdr:colOff>
      <xdr:row>15</xdr:row>
      <xdr:rowOff>127000</xdr:rowOff>
    </xdr:to>
    <xdr:sp macro="" textlink="">
      <xdr:nvSpPr>
        <xdr:cNvPr id="6" name="TextBox 5">
          <a:extLst>
            <a:ext uri="{FF2B5EF4-FFF2-40B4-BE49-F238E27FC236}">
              <a16:creationId xmlns:a16="http://schemas.microsoft.com/office/drawing/2014/main" id="{A2B1EE8A-AD91-114C-95DE-64B8499C9E0B}"/>
            </a:ext>
          </a:extLst>
        </xdr:cNvPr>
        <xdr:cNvSpPr txBox="1"/>
      </xdr:nvSpPr>
      <xdr:spPr>
        <a:xfrm>
          <a:off x="32308801" y="728133"/>
          <a:ext cx="16954499" cy="2751667"/>
        </a:xfrm>
        <a:prstGeom prst="rect">
          <a:avLst/>
        </a:prstGeom>
        <a:ln w="28575"/>
      </xdr:spPr>
      <xdr:style>
        <a:lnRef idx="2">
          <a:schemeClr val="accent6"/>
        </a:lnRef>
        <a:fillRef idx="1">
          <a:schemeClr val="lt1"/>
        </a:fillRef>
        <a:effectRef idx="0">
          <a:schemeClr val="accent6"/>
        </a:effectRef>
        <a:fontRef idx="minor">
          <a:schemeClr val="dk1"/>
        </a:fontRef>
      </xdr:style>
      <xdr:txBody>
        <a:bodyPr vertOverflow="clip" horzOverflow="clip" wrap="square" rtlCol="0" anchor="t"/>
        <a:lstStyle/>
        <a:p>
          <a:r>
            <a:rPr lang="en-US" sz="1200" i="1" u="sng" dirty="0">
              <a:latin typeface="Arial" panose="020B0604020202020204" pitchFamily="34" charset="0"/>
              <a:cs typeface="Arial" panose="020B0604020202020204" pitchFamily="34" charset="0"/>
            </a:rPr>
            <a:t>Seating and Capacity</a:t>
          </a:r>
        </a:p>
        <a:p>
          <a:pPr marL="342900" indent="-342900">
            <a:buFont typeface="Arial" panose="020B0604020202020204" pitchFamily="34" charset="0"/>
            <a:buChar char="•"/>
          </a:pPr>
          <a:r>
            <a:rPr lang="en-SG" sz="1200" dirty="0">
              <a:latin typeface="Arial" panose="020B0604020202020204" pitchFamily="34" charset="0"/>
              <a:cs typeface="Arial" panose="020B0604020202020204" pitchFamily="34" charset="0"/>
            </a:rPr>
            <a:t>One table only can fit a maximum of 4.</a:t>
          </a:r>
        </a:p>
        <a:p>
          <a:pPr marL="342900" indent="-342900">
            <a:buFont typeface="Arial" panose="020B0604020202020204" pitchFamily="34" charset="0"/>
            <a:buChar char="•"/>
          </a:pPr>
          <a:r>
            <a:rPr lang="en-SG" sz="1200" dirty="0">
              <a:latin typeface="Arial" panose="020B0604020202020204" pitchFamily="34" charset="0"/>
              <a:cs typeface="Arial" panose="020B0604020202020204" pitchFamily="34" charset="0"/>
            </a:rPr>
            <a:t>Every party, even if less than 4 is treated as requiring/freeing 1 table to account for no one seated with strangers from another group.</a:t>
          </a:r>
        </a:p>
        <a:p>
          <a:pPr marL="342900" indent="-342900">
            <a:buFont typeface="Arial" panose="020B0604020202020204" pitchFamily="34" charset="0"/>
            <a:buChar char="•"/>
          </a:pPr>
          <a:r>
            <a:rPr lang="en-SG" sz="1200" dirty="0">
              <a:latin typeface="Arial" panose="020B0604020202020204" pitchFamily="34" charset="0"/>
              <a:cs typeface="Arial" panose="020B0604020202020204" pitchFamily="34" charset="0"/>
            </a:rPr>
            <a:t>Seats are immediately available upon clearing</a:t>
          </a:r>
        </a:p>
        <a:p>
          <a:endParaRPr lang="en-SG" sz="1200" dirty="0">
            <a:latin typeface="Arial" panose="020B0604020202020204" pitchFamily="34" charset="0"/>
            <a:cs typeface="Arial" panose="020B0604020202020204" pitchFamily="34" charset="0"/>
          </a:endParaRPr>
        </a:p>
        <a:p>
          <a:r>
            <a:rPr lang="en-SG" sz="1200" i="1" u="sng" dirty="0">
              <a:latin typeface="Arial" panose="020B0604020202020204" pitchFamily="34" charset="0"/>
              <a:cs typeface="Arial" panose="020B0604020202020204" pitchFamily="34" charset="0"/>
            </a:rPr>
            <a:t>Dining &amp; Services Time</a:t>
          </a:r>
        </a:p>
        <a:p>
          <a:pPr marL="342900" indent="-342900">
            <a:buFont typeface="Arial" panose="020B0604020202020204" pitchFamily="34" charset="0"/>
            <a:buChar char="•"/>
          </a:pPr>
          <a:r>
            <a:rPr lang="en-SG" sz="1200" dirty="0">
              <a:latin typeface="Arial" panose="020B0604020202020204" pitchFamily="34" charset="0"/>
              <a:cs typeface="Arial" panose="020B0604020202020204" pitchFamily="34" charset="0"/>
            </a:rPr>
            <a:t>Each server is available in the defined 10 minutes time bucket and works continuously at full capacity.</a:t>
          </a:r>
        </a:p>
        <a:p>
          <a:pPr marL="342900" indent="-342900">
            <a:buFont typeface="Arial" panose="020B0604020202020204" pitchFamily="34" charset="0"/>
            <a:buChar char="•"/>
          </a:pPr>
          <a:r>
            <a:rPr lang="en-SG" sz="1200" dirty="0">
              <a:latin typeface="Arial" panose="020B0604020202020204" pitchFamily="34" charset="0"/>
              <a:cs typeface="Arial" panose="020B0604020202020204" pitchFamily="34" charset="0"/>
            </a:rPr>
            <a:t>Service time is calculated for each table, not per customer with a duration of 5 minutes.</a:t>
          </a:r>
        </a:p>
        <a:p>
          <a:pPr marL="342900" indent="-342900">
            <a:buFont typeface="Arial" panose="020B0604020202020204" pitchFamily="34" charset="0"/>
            <a:buChar char="•"/>
          </a:pPr>
          <a:r>
            <a:rPr lang="en-SG" sz="1200" dirty="0">
              <a:latin typeface="Arial" panose="020B0604020202020204" pitchFamily="34" charset="0"/>
              <a:cs typeface="Arial" panose="020B0604020202020204" pitchFamily="34" charset="0"/>
            </a:rPr>
            <a:t>Based on research, less than 5 minutes of waiting time is considered good customer satisfaction.</a:t>
          </a:r>
        </a:p>
        <a:p>
          <a:pPr marL="342900" indent="-342900">
            <a:buFont typeface="Arial" panose="020B0604020202020204" pitchFamily="34" charset="0"/>
            <a:buChar char="•"/>
          </a:pPr>
          <a:r>
            <a:rPr lang="en-SG" sz="1200" dirty="0">
              <a:latin typeface="Arial" panose="020B0604020202020204" pitchFamily="34" charset="0"/>
              <a:cs typeface="Arial" panose="020B0604020202020204" pitchFamily="34" charset="0"/>
            </a:rPr>
            <a:t>Customers dine-in for the full 90 minutes limit and never leave before this duration, but leave exactly at 90 minutes</a:t>
          </a:r>
        </a:p>
        <a:p>
          <a:endParaRPr lang="en-SG" sz="1200" dirty="0">
            <a:latin typeface="Arial" panose="020B0604020202020204" pitchFamily="34" charset="0"/>
            <a:cs typeface="Arial" panose="020B0604020202020204" pitchFamily="34" charset="0"/>
          </a:endParaRPr>
        </a:p>
        <a:p>
          <a:r>
            <a:rPr lang="en-SG" sz="1200" i="1" u="sng" dirty="0">
              <a:latin typeface="Arial" panose="020B0604020202020204" pitchFamily="34" charset="0"/>
              <a:cs typeface="Arial" panose="020B0604020202020204" pitchFamily="34" charset="0"/>
            </a:rPr>
            <a:t>Arrivals &amp; Queue</a:t>
          </a:r>
        </a:p>
        <a:p>
          <a:pPr marL="342900" indent="-342900">
            <a:buFont typeface="Arial" panose="020B0604020202020204" pitchFamily="34" charset="0"/>
            <a:buChar char="•"/>
          </a:pPr>
          <a:r>
            <a:rPr lang="en-SG" sz="1200" dirty="0">
              <a:latin typeface="Arial" panose="020B0604020202020204" pitchFamily="34" charset="0"/>
              <a:cs typeface="Arial" panose="020B0604020202020204" pitchFamily="34" charset="0"/>
            </a:rPr>
            <a:t>All waiting customers stay in queue until seated, no one leaves the queue.</a:t>
          </a:r>
        </a:p>
        <a:p>
          <a:pPr marL="342900" indent="-342900">
            <a:buFont typeface="Arial" panose="020B0604020202020204" pitchFamily="34" charset="0"/>
            <a:buChar char="•"/>
          </a:pPr>
          <a:r>
            <a:rPr lang="en-SG" sz="1200" dirty="0">
              <a:latin typeface="Arial" panose="020B0604020202020204" pitchFamily="34" charset="0"/>
              <a:cs typeface="Arial" panose="020B0604020202020204" pitchFamily="34" charset="0"/>
            </a:rPr>
            <a:t>Arrivals follow an exponential distribution with a factor included depending on scenario.</a:t>
          </a:r>
        </a:p>
        <a:p>
          <a:pPr marL="342900" indent="-342900">
            <a:buFont typeface="Arial" panose="020B0604020202020204" pitchFamily="34" charset="0"/>
            <a:buChar char="•"/>
          </a:pPr>
          <a:r>
            <a:rPr lang="en-SG" sz="1200" dirty="0">
              <a:latin typeface="Arial" panose="020B0604020202020204" pitchFamily="34" charset="0"/>
              <a:cs typeface="Arial" panose="020B0604020202020204" pitchFamily="34" charset="0"/>
            </a:rPr>
            <a:t>Only dinner is modelled as it assumes that lunch would have lower occupancy, so number of servers during dinner would naturally be more.</a:t>
          </a:r>
        </a:p>
      </xdr:txBody>
    </xdr:sp>
    <xdr:clientData/>
  </xdr:twoCellAnchor>
  <xdr:twoCellAnchor>
    <xdr:from>
      <xdr:col>18</xdr:col>
      <xdr:colOff>14111</xdr:colOff>
      <xdr:row>0</xdr:row>
      <xdr:rowOff>14111</xdr:rowOff>
    </xdr:from>
    <xdr:to>
      <xdr:col>18</xdr:col>
      <xdr:colOff>14111</xdr:colOff>
      <xdr:row>130</xdr:row>
      <xdr:rowOff>183445</xdr:rowOff>
    </xdr:to>
    <xdr:cxnSp macro="">
      <xdr:nvCxnSpPr>
        <xdr:cNvPr id="8" name="Straight Connector 7">
          <a:extLst>
            <a:ext uri="{FF2B5EF4-FFF2-40B4-BE49-F238E27FC236}">
              <a16:creationId xmlns:a16="http://schemas.microsoft.com/office/drawing/2014/main" id="{B358D84F-9731-A1F3-753C-293E53723FE9}"/>
            </a:ext>
          </a:extLst>
        </xdr:cNvPr>
        <xdr:cNvCxnSpPr/>
      </xdr:nvCxnSpPr>
      <xdr:spPr>
        <a:xfrm>
          <a:off x="32046333" y="14111"/>
          <a:ext cx="0" cy="26613556"/>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0</xdr:colOff>
      <xdr:row>123</xdr:row>
      <xdr:rowOff>0</xdr:rowOff>
    </xdr:from>
    <xdr:to>
      <xdr:col>8</xdr:col>
      <xdr:colOff>502355</xdr:colOff>
      <xdr:row>127</xdr:row>
      <xdr:rowOff>101600</xdr:rowOff>
    </xdr:to>
    <xdr:sp macro="" textlink="">
      <xdr:nvSpPr>
        <xdr:cNvPr id="10" name="TextBox 9">
          <a:extLst>
            <a:ext uri="{FF2B5EF4-FFF2-40B4-BE49-F238E27FC236}">
              <a16:creationId xmlns:a16="http://schemas.microsoft.com/office/drawing/2014/main" id="{31C42CD5-831B-004F-BBB2-4ED7B5C0CA1F}"/>
            </a:ext>
          </a:extLst>
        </xdr:cNvPr>
        <xdr:cNvSpPr txBox="1"/>
      </xdr:nvSpPr>
      <xdr:spPr>
        <a:xfrm>
          <a:off x="6451600" y="26631900"/>
          <a:ext cx="7614355" cy="927100"/>
        </a:xfrm>
        <a:prstGeom prst="rect">
          <a:avLst/>
        </a:prstGeom>
        <a:ln w="28575"/>
      </xdr:spPr>
      <xdr:style>
        <a:lnRef idx="2">
          <a:schemeClr val="accent6"/>
        </a:lnRef>
        <a:fillRef idx="1">
          <a:schemeClr val="lt1"/>
        </a:fillRef>
        <a:effectRef idx="0">
          <a:schemeClr val="accent6"/>
        </a:effectRef>
        <a:fontRef idx="minor">
          <a:schemeClr val="dk1"/>
        </a:fontRef>
      </xdr:style>
      <xdr:txBody>
        <a:bodyPr vertOverflow="clip" horzOverflow="clip" wrap="square" rtlCol="0" anchor="t"/>
        <a:lstStyle/>
        <a:p>
          <a:r>
            <a:rPr lang="en-GB" sz="1200" b="1" u="none">
              <a:latin typeface="Arial" panose="020B0604020202020204" pitchFamily="34" charset="0"/>
              <a:cs typeface="Arial" panose="020B0604020202020204" pitchFamily="34" charset="0"/>
            </a:rPr>
            <a:t>Conclusion: </a:t>
          </a:r>
          <a:r>
            <a:rPr lang="en-SG" sz="1200" dirty="0"/>
            <a:t>To maintain average wait times below five minutes, we recommend staffing a baseline of </a:t>
          </a:r>
          <a:r>
            <a:rPr lang="en-SG" sz="1200" b="1" dirty="0"/>
            <a:t>17 servers</a:t>
          </a:r>
          <a:r>
            <a:rPr lang="en-SG" sz="1200" dirty="0"/>
            <a:t> for regular dinner service. During peak‐demand scenarios such as promotional events on public holidays, the server count should increase to </a:t>
          </a:r>
          <a:r>
            <a:rPr lang="en-SG" sz="1200" b="1" dirty="0"/>
            <a:t>at least 21</a:t>
          </a:r>
          <a:r>
            <a:rPr lang="en-SG" sz="1200" dirty="0"/>
            <a:t>. Conversely, to optimize labour costs during off-peak periods (for example, weekday services with lower patronage), the hotel can reduce its servers accordingly.</a:t>
          </a:r>
        </a:p>
        <a:p>
          <a:endParaRPr lang="en-GB" sz="1200" b="0" i="1" u="none">
            <a:latin typeface="Arial" panose="020B0604020202020204" pitchFamily="34" charset="0"/>
            <a:cs typeface="Arial" panose="020B0604020202020204"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oneCellAnchor>
    <xdr:from>
      <xdr:col>19</xdr:col>
      <xdr:colOff>1493102</xdr:colOff>
      <xdr:row>3</xdr:row>
      <xdr:rowOff>32657</xdr:rowOff>
    </xdr:from>
    <xdr:ext cx="5288699" cy="2808514"/>
    <xdr:sp macro="" textlink="">
      <xdr:nvSpPr>
        <xdr:cNvPr id="64" name="TextBox 1">
          <a:extLst>
            <a:ext uri="{FF2B5EF4-FFF2-40B4-BE49-F238E27FC236}">
              <a16:creationId xmlns:a16="http://schemas.microsoft.com/office/drawing/2014/main" id="{F595A17F-8479-48CE-847A-C6F59AD7AD34}"/>
            </a:ext>
          </a:extLst>
        </xdr:cNvPr>
        <xdr:cNvSpPr txBox="1"/>
      </xdr:nvSpPr>
      <xdr:spPr>
        <a:xfrm>
          <a:off x="24723216" y="2536371"/>
          <a:ext cx="5288699" cy="2808514"/>
        </a:xfrm>
        <a:prstGeom prst="rect">
          <a:avLst/>
        </a:prstGeom>
        <a:ln w="28575"/>
      </xdr:spPr>
      <xdr:style>
        <a:lnRef idx="2">
          <a:schemeClr val="accent6"/>
        </a:lnRef>
        <a:fillRef idx="1">
          <a:schemeClr val="lt1"/>
        </a:fillRef>
        <a:effectRef idx="0">
          <a:schemeClr val="accent6"/>
        </a:effectRef>
        <a:fontRef idx="minor">
          <a:schemeClr val="dk1"/>
        </a:fontRef>
      </xdr:style>
      <xdr:txBody>
        <a:bodyPr vertOverflow="clip" horzOverflow="clip" wrap="square" rtlCol="0" anchor="t"/>
        <a:lstStyle/>
        <a:p>
          <a:r>
            <a:rPr lang="en-SG" sz="1200" i="1" u="sng">
              <a:solidFill>
                <a:schemeClr val="dk1"/>
              </a:solidFill>
              <a:latin typeface="Arial" panose="020B0604020202020204" pitchFamily="34" charset="0"/>
              <a:ea typeface="+mn-ea"/>
              <a:cs typeface="Arial" panose="020B0604020202020204" pitchFamily="34" charset="0"/>
            </a:rPr>
            <a:t>Operational Assumptions:</a:t>
          </a:r>
        </a:p>
        <a:p>
          <a:pPr marL="171450" indent="-171450" rtl="0">
            <a:buFont typeface="Arial" panose="020B0604020202020204" pitchFamily="34" charset="0"/>
            <a:buChar char="•"/>
          </a:pPr>
          <a:r>
            <a:rPr lang="en-SG" sz="1200" i="0" u="none">
              <a:solidFill>
                <a:schemeClr val="dk1"/>
              </a:solidFill>
              <a:latin typeface="Arial" panose="020B0604020202020204" pitchFamily="34" charset="0"/>
              <a:ea typeface="+mn-ea"/>
              <a:cs typeface="Arial" panose="020B0604020202020204" pitchFamily="34" charset="0"/>
            </a:rPr>
            <a:t>Max seating Capacity - 260 Customers at any one time</a:t>
          </a:r>
        </a:p>
        <a:p>
          <a:pPr marL="171450" indent="-171450" rtl="0">
            <a:buFont typeface="Arial" panose="020B0604020202020204" pitchFamily="34" charset="0"/>
            <a:buChar char="•"/>
          </a:pPr>
          <a:r>
            <a:rPr lang="en-SG" sz="1200" i="0" u="none">
              <a:solidFill>
                <a:schemeClr val="dk1"/>
              </a:solidFill>
              <a:latin typeface="Arial" panose="020B0604020202020204" pitchFamily="34" charset="0"/>
              <a:ea typeface="+mn-ea"/>
              <a:cs typeface="Arial" panose="020B0604020202020204" pitchFamily="34" charset="0"/>
            </a:rPr>
            <a:t>For Service Crew – More Part-timers than Full-timers for staff flexibility (set a min-max PT:FT ratio)</a:t>
          </a:r>
        </a:p>
        <a:p>
          <a:pPr marL="171450" indent="-171450" rtl="0">
            <a:buFont typeface="Arial" panose="020B0604020202020204" pitchFamily="34" charset="0"/>
            <a:buChar char="•"/>
          </a:pPr>
          <a:r>
            <a:rPr lang="en-SG" sz="1200" i="0" u="none">
              <a:solidFill>
                <a:schemeClr val="dk1"/>
              </a:solidFill>
              <a:latin typeface="Arial" panose="020B0604020202020204" pitchFamily="34" charset="0"/>
              <a:ea typeface="+mn-ea"/>
              <a:cs typeface="Arial" panose="020B0604020202020204" pitchFamily="34" charset="0"/>
            </a:rPr>
            <a:t>Same no. of Full-timers work for both shifts, no. of Part-timers can vary for both shifts</a:t>
          </a:r>
        </a:p>
        <a:p>
          <a:pPr marL="171450" indent="-171450" rtl="0">
            <a:buFont typeface="Arial" panose="020B0604020202020204" pitchFamily="34" charset="0"/>
            <a:buChar char="•"/>
          </a:pPr>
          <a:r>
            <a:rPr lang="en-SG" sz="1200" i="0" u="none">
              <a:solidFill>
                <a:schemeClr val="dk1"/>
              </a:solidFill>
              <a:latin typeface="Arial" panose="020B0604020202020204" pitchFamily="34" charset="0"/>
              <a:ea typeface="+mn-ea"/>
              <a:cs typeface="Arial" panose="020B0604020202020204" pitchFamily="34" charset="0"/>
            </a:rPr>
            <a:t>For Full-timer staff: 6 day work week – Approximate no. of off days using a Utilisation Rate</a:t>
          </a:r>
        </a:p>
        <a:p>
          <a:pPr marL="171450" indent="-171450" rtl="0">
            <a:buFont typeface="Arial" panose="020B0604020202020204" pitchFamily="34" charset="0"/>
            <a:buChar char="•"/>
          </a:pPr>
          <a:r>
            <a:rPr lang="en-SG" sz="1200" i="0" u="none">
              <a:solidFill>
                <a:schemeClr val="dk1"/>
              </a:solidFill>
              <a:latin typeface="Arial" panose="020B0604020202020204" pitchFamily="34" charset="0"/>
              <a:ea typeface="+mn-ea"/>
              <a:cs typeface="Arial" panose="020B0604020202020204" pitchFamily="34" charset="0"/>
            </a:rPr>
            <a:t>Assumed a Minimum no. of Full-timers crew to support operations for each role.</a:t>
          </a:r>
        </a:p>
        <a:p>
          <a:pPr marL="171450" indent="-171450" rtl="0">
            <a:buFont typeface="Arial" panose="020B0604020202020204" pitchFamily="34" charset="0"/>
            <a:buChar char="•"/>
          </a:pPr>
          <a:r>
            <a:rPr lang="en-SG" sz="1200" i="0" u="none">
              <a:solidFill>
                <a:schemeClr val="dk1"/>
              </a:solidFill>
              <a:latin typeface="Arial" panose="020B0604020202020204" pitchFamily="34" charset="0"/>
              <a:ea typeface="+mn-ea"/>
              <a:cs typeface="Arial" panose="020B0604020202020204" pitchFamily="34" charset="0"/>
            </a:rPr>
            <a:t>Assume no OT for Staff</a:t>
          </a:r>
        </a:p>
        <a:p>
          <a:pPr marL="0" indent="0" rtl="0">
            <a:buFont typeface="Arial" panose="020B0604020202020204" pitchFamily="34" charset="0"/>
            <a:buNone/>
          </a:pPr>
          <a:endParaRPr lang="en-SG" sz="1200" i="1" u="sng">
            <a:solidFill>
              <a:schemeClr val="dk1"/>
            </a:solidFill>
            <a:latin typeface="Arial" panose="020B0604020202020204" pitchFamily="34" charset="0"/>
            <a:ea typeface="+mn-ea"/>
            <a:cs typeface="Arial" panose="020B0604020202020204" pitchFamily="34" charset="0"/>
          </a:endParaRPr>
        </a:p>
        <a:p>
          <a:pPr marL="0" indent="0" rtl="0">
            <a:buFont typeface="Arial" panose="020B0604020202020204" pitchFamily="34" charset="0"/>
            <a:buNone/>
          </a:pPr>
          <a:r>
            <a:rPr lang="en-SG" sz="1200" i="1" u="sng">
              <a:solidFill>
                <a:schemeClr val="dk1"/>
              </a:solidFill>
              <a:latin typeface="Arial" panose="020B0604020202020204" pitchFamily="34" charset="0"/>
              <a:ea typeface="+mn-ea"/>
              <a:cs typeface="Arial" panose="020B0604020202020204" pitchFamily="34" charset="0"/>
            </a:rPr>
            <a:t>Customer Satisfaction</a:t>
          </a:r>
        </a:p>
        <a:p>
          <a:pPr marL="171450" indent="-171450" rtl="0">
            <a:buFont typeface="Arial" panose="020B0604020202020204" pitchFamily="34" charset="0"/>
            <a:buChar char="•"/>
          </a:pPr>
          <a:r>
            <a:rPr lang="en-SG" sz="1200" i="0" u="none">
              <a:solidFill>
                <a:schemeClr val="dk1"/>
              </a:solidFill>
              <a:latin typeface="Arial" panose="020B0604020202020204" pitchFamily="34" charset="0"/>
              <a:ea typeface="+mn-ea"/>
              <a:cs typeface="Arial" panose="020B0604020202020204" pitchFamily="34" charset="0"/>
            </a:rPr>
            <a:t>Set a Customer to Staff Ratio for customer satisfaction for both Customer to Service Crew and Kitchen Crew</a:t>
          </a:r>
        </a:p>
        <a:p>
          <a:pPr marL="0" indent="0" rtl="0">
            <a:buFont typeface="Arial" panose="020B0604020202020204" pitchFamily="34" charset="0"/>
            <a:buNone/>
          </a:pPr>
          <a:endParaRPr lang="en-SG" sz="1200" i="1" u="sng">
            <a:solidFill>
              <a:schemeClr val="dk1"/>
            </a:solidFill>
            <a:latin typeface="Arial" panose="020B0604020202020204" pitchFamily="34" charset="0"/>
            <a:ea typeface="+mn-ea"/>
            <a:cs typeface="Arial" panose="020B0604020202020204" pitchFamily="34" charset="0"/>
          </a:endParaRPr>
        </a:p>
        <a:p>
          <a:pPr marL="0" indent="0" rtl="0">
            <a:buFont typeface="Arial" panose="020B0604020202020204" pitchFamily="34" charset="0"/>
            <a:buNone/>
          </a:pPr>
          <a:r>
            <a:rPr lang="en-SG" sz="1200" i="1" u="sng">
              <a:solidFill>
                <a:schemeClr val="dk1"/>
              </a:solidFill>
              <a:latin typeface="Arial" panose="020B0604020202020204" pitchFamily="34" charset="0"/>
              <a:ea typeface="+mn-ea"/>
              <a:cs typeface="Arial" panose="020B0604020202020204" pitchFamily="34" charset="0"/>
            </a:rPr>
            <a:t>Wages</a:t>
          </a:r>
        </a:p>
        <a:p>
          <a:pPr marL="171450" indent="-171450" rtl="0">
            <a:buFont typeface="Arial" panose="020B0604020202020204" pitchFamily="34" charset="0"/>
            <a:buChar char="•"/>
          </a:pPr>
          <a:r>
            <a:rPr lang="en-SG" sz="1200" i="0" u="none">
              <a:solidFill>
                <a:schemeClr val="dk1"/>
              </a:solidFill>
              <a:latin typeface="Arial" panose="020B0604020202020204" pitchFamily="34" charset="0"/>
              <a:ea typeface="+mn-ea"/>
              <a:cs typeface="Arial" panose="020B0604020202020204" pitchFamily="34" charset="0"/>
            </a:rPr>
            <a:t>Part-timer Wages – Per Hour, 1.5x for Weekend, 2x for PH</a:t>
          </a:r>
        </a:p>
        <a:p>
          <a:pPr marL="171450" indent="-171450" rtl="0">
            <a:buFont typeface="Arial" panose="020B0604020202020204" pitchFamily="34" charset="0"/>
            <a:buChar char="•"/>
          </a:pPr>
          <a:r>
            <a:rPr lang="en-SG" sz="1200" i="0" u="none">
              <a:solidFill>
                <a:schemeClr val="dk1"/>
              </a:solidFill>
              <a:latin typeface="Arial" panose="020B0604020202020204" pitchFamily="34" charset="0"/>
              <a:ea typeface="+mn-ea"/>
              <a:cs typeface="Arial" panose="020B0604020202020204" pitchFamily="34" charset="0"/>
            </a:rPr>
            <a:t>Full-timer Wages – Per Month</a:t>
          </a:r>
        </a:p>
        <a:p>
          <a:endParaRPr lang="en-SG" sz="1200" i="1" u="sng">
            <a:solidFill>
              <a:schemeClr val="dk1"/>
            </a:solidFill>
            <a:latin typeface="Arial" panose="020B0604020202020204" pitchFamily="34" charset="0"/>
            <a:ea typeface="+mn-ea"/>
            <a:cs typeface="Arial" panose="020B0604020202020204" pitchFamily="34" charset="0"/>
          </a:endParaRPr>
        </a:p>
      </xdr:txBody>
    </xdr:sp>
    <xdr:clientData/>
  </xdr:oneCellAnchor>
  <xdr:twoCellAnchor editAs="oneCell">
    <xdr:from>
      <xdr:col>22</xdr:col>
      <xdr:colOff>180110</xdr:colOff>
      <xdr:row>61</xdr:row>
      <xdr:rowOff>27709</xdr:rowOff>
    </xdr:from>
    <xdr:to>
      <xdr:col>23</xdr:col>
      <xdr:colOff>1112698</xdr:colOff>
      <xdr:row>76</xdr:row>
      <xdr:rowOff>374074</xdr:rowOff>
    </xdr:to>
    <xdr:pic>
      <xdr:nvPicPr>
        <xdr:cNvPr id="6" name="Picture 5">
          <a:extLst>
            <a:ext uri="{FF2B5EF4-FFF2-40B4-BE49-F238E27FC236}">
              <a16:creationId xmlns:a16="http://schemas.microsoft.com/office/drawing/2014/main" id="{F9C24B41-C047-B546-5345-B8AC7AFF19F7}"/>
            </a:ext>
          </a:extLst>
        </xdr:cNvPr>
        <xdr:cNvPicPr>
          <a:picLocks noChangeAspect="1"/>
        </xdr:cNvPicPr>
      </xdr:nvPicPr>
      <xdr:blipFill>
        <a:blip xmlns:r="http://schemas.openxmlformats.org/officeDocument/2006/relationships" r:embed="rId1"/>
        <a:stretch>
          <a:fillRect/>
        </a:stretch>
      </xdr:blipFill>
      <xdr:spPr>
        <a:xfrm>
          <a:off x="29288510" y="20490873"/>
          <a:ext cx="4728733" cy="4391892"/>
        </a:xfrm>
        <a:prstGeom prst="rect">
          <a:avLst/>
        </a:prstGeom>
      </xdr:spPr>
    </xdr:pic>
    <xdr:clientData/>
  </xdr:twoCellAnchor>
  <xdr:twoCellAnchor editAs="oneCell">
    <xdr:from>
      <xdr:col>21</xdr:col>
      <xdr:colOff>119743</xdr:colOff>
      <xdr:row>79</xdr:row>
      <xdr:rowOff>7713</xdr:rowOff>
    </xdr:from>
    <xdr:to>
      <xdr:col>22</xdr:col>
      <xdr:colOff>816429</xdr:colOff>
      <xdr:row>85</xdr:row>
      <xdr:rowOff>185158</xdr:rowOff>
    </xdr:to>
    <xdr:pic>
      <xdr:nvPicPr>
        <xdr:cNvPr id="7" name="Picture 6">
          <a:extLst>
            <a:ext uri="{FF2B5EF4-FFF2-40B4-BE49-F238E27FC236}">
              <a16:creationId xmlns:a16="http://schemas.microsoft.com/office/drawing/2014/main" id="{F869FCB8-9DCA-E500-675A-E6DD63E5D279}"/>
            </a:ext>
          </a:extLst>
        </xdr:cNvPr>
        <xdr:cNvPicPr>
          <a:picLocks noChangeAspect="1"/>
        </xdr:cNvPicPr>
      </xdr:nvPicPr>
      <xdr:blipFill>
        <a:blip xmlns:r="http://schemas.openxmlformats.org/officeDocument/2006/relationships" r:embed="rId2"/>
        <a:stretch>
          <a:fillRect/>
        </a:stretch>
      </xdr:blipFill>
      <xdr:spPr>
        <a:xfrm>
          <a:off x="27334029" y="28430313"/>
          <a:ext cx="2579914" cy="1353102"/>
        </a:xfrm>
        <a:prstGeom prst="rect">
          <a:avLst/>
        </a:prstGeom>
      </xdr:spPr>
    </xdr:pic>
    <xdr:clientData/>
  </xdr:twoCellAnchor>
  <xdr:oneCellAnchor>
    <xdr:from>
      <xdr:col>1</xdr:col>
      <xdr:colOff>130628</xdr:colOff>
      <xdr:row>1</xdr:row>
      <xdr:rowOff>43542</xdr:rowOff>
    </xdr:from>
    <xdr:ext cx="6574972" cy="2764972"/>
    <xdr:sp macro="" textlink="">
      <xdr:nvSpPr>
        <xdr:cNvPr id="2" name="TextBox 1">
          <a:extLst>
            <a:ext uri="{FF2B5EF4-FFF2-40B4-BE49-F238E27FC236}">
              <a16:creationId xmlns:a16="http://schemas.microsoft.com/office/drawing/2014/main" id="{0CA43282-3B1F-9B2B-7729-36620CC762D1}"/>
            </a:ext>
          </a:extLst>
        </xdr:cNvPr>
        <xdr:cNvSpPr txBox="1"/>
      </xdr:nvSpPr>
      <xdr:spPr>
        <a:xfrm>
          <a:off x="1959428" y="849085"/>
          <a:ext cx="6574972" cy="2764972"/>
        </a:xfrm>
        <a:prstGeom prst="rect">
          <a:avLst/>
        </a:prstGeom>
        <a:ln w="28575"/>
      </xdr:spPr>
      <xdr:style>
        <a:lnRef idx="2">
          <a:schemeClr val="accent6"/>
        </a:lnRef>
        <a:fillRef idx="1">
          <a:schemeClr val="lt1"/>
        </a:fillRef>
        <a:effectRef idx="0">
          <a:schemeClr val="accent6"/>
        </a:effectRef>
        <a:fontRef idx="minor">
          <a:schemeClr val="dk1"/>
        </a:fontRef>
      </xdr:style>
      <xdr:txBody>
        <a:bodyPr vertOverflow="clip" horzOverflow="clip" wrap="square" rtlCol="0" anchor="t"/>
        <a:lstStyle/>
        <a:p>
          <a:r>
            <a:rPr lang="en-SG" sz="1200" i="1" u="sng">
              <a:solidFill>
                <a:schemeClr val="dk1"/>
              </a:solidFill>
              <a:latin typeface="Arial" panose="020B0604020202020204" pitchFamily="34" charset="0"/>
              <a:ea typeface="+mn-ea"/>
              <a:cs typeface="Arial" panose="020B0604020202020204" pitchFamily="34" charset="0"/>
            </a:rPr>
            <a:t>User Guide:</a:t>
          </a:r>
        </a:p>
        <a:p>
          <a:r>
            <a:rPr lang="en-SG" sz="1200" i="0" u="none">
              <a:solidFill>
                <a:schemeClr val="dk1"/>
              </a:solidFill>
              <a:latin typeface="Arial" panose="020B0604020202020204" pitchFamily="34" charset="0"/>
              <a:ea typeface="+mn-ea"/>
              <a:cs typeface="Arial" panose="020B0604020202020204" pitchFamily="34" charset="0"/>
            </a:rPr>
            <a:t>Inputs - light blue cells</a:t>
          </a:r>
        </a:p>
        <a:p>
          <a:r>
            <a:rPr lang="en-SG" sz="1200" i="0" u="none">
              <a:solidFill>
                <a:schemeClr val="dk1"/>
              </a:solidFill>
              <a:latin typeface="Arial" panose="020B0604020202020204" pitchFamily="34" charset="0"/>
              <a:ea typeface="+mn-ea"/>
              <a:cs typeface="Arial" panose="020B0604020202020204" pitchFamily="34" charset="0"/>
            </a:rPr>
            <a:t>Formulas - yellow cells</a:t>
          </a:r>
        </a:p>
        <a:p>
          <a:endParaRPr lang="en-SG" sz="1200" i="0" u="none">
            <a:solidFill>
              <a:schemeClr val="dk1"/>
            </a:solidFill>
            <a:latin typeface="Arial" panose="020B0604020202020204" pitchFamily="34" charset="0"/>
            <a:ea typeface="+mn-ea"/>
            <a:cs typeface="Arial" panose="020B0604020202020204" pitchFamily="34" charset="0"/>
          </a:endParaRPr>
        </a:p>
        <a:p>
          <a:r>
            <a:rPr lang="en-SG" sz="1200" i="0" u="none">
              <a:solidFill>
                <a:schemeClr val="dk1"/>
              </a:solidFill>
              <a:latin typeface="Arial" panose="020B0604020202020204" pitchFamily="34" charset="0"/>
              <a:ea typeface="+mn-ea"/>
              <a:cs typeface="Arial" panose="020B0604020202020204" pitchFamily="34" charset="0"/>
            </a:rPr>
            <a:t>Enter the inputs:</a:t>
          </a:r>
          <a:br>
            <a:rPr lang="en-SG" sz="1200" i="0" u="none">
              <a:solidFill>
                <a:schemeClr val="dk1"/>
              </a:solidFill>
              <a:latin typeface="Arial" panose="020B0604020202020204" pitchFamily="34" charset="0"/>
              <a:ea typeface="+mn-ea"/>
              <a:cs typeface="Arial" panose="020B0604020202020204" pitchFamily="34" charset="0"/>
            </a:rPr>
          </a:br>
          <a:r>
            <a:rPr lang="en-SG" sz="1200" i="0" u="none">
              <a:solidFill>
                <a:schemeClr val="dk1"/>
              </a:solidFill>
              <a:latin typeface="Arial" panose="020B0604020202020204" pitchFamily="34" charset="0"/>
              <a:ea typeface="+mn-ea"/>
              <a:cs typeface="Arial" panose="020B0604020202020204" pitchFamily="34" charset="0"/>
            </a:rPr>
            <a:t>1) Select a month and year from the drop down (Jan 2025 to Dec 2025)</a:t>
          </a:r>
        </a:p>
        <a:p>
          <a:r>
            <a:rPr lang="en-SG" sz="1200" i="0" u="none">
              <a:solidFill>
                <a:schemeClr val="dk1"/>
              </a:solidFill>
              <a:latin typeface="Arial" panose="020B0604020202020204" pitchFamily="34" charset="0"/>
              <a:ea typeface="+mn-ea"/>
              <a:cs typeface="Arial" panose="020B0604020202020204" pitchFamily="34" charset="0"/>
            </a:rPr>
            <a:t>2) Key in operation details:</a:t>
          </a:r>
        </a:p>
        <a:p>
          <a:pPr marL="171450" indent="-171450">
            <a:buFont typeface="Arial" panose="020B0604020202020204" pitchFamily="34" charset="0"/>
            <a:buChar char="•"/>
          </a:pPr>
          <a:r>
            <a:rPr lang="en-SG" sz="1200" i="0" u="none">
              <a:solidFill>
                <a:schemeClr val="dk1"/>
              </a:solidFill>
              <a:latin typeface="Arial" panose="020B0604020202020204" pitchFamily="34" charset="0"/>
              <a:ea typeface="+mn-ea"/>
              <a:cs typeface="Arial" panose="020B0604020202020204" pitchFamily="34" charset="0"/>
            </a:rPr>
            <a:t>Hours and Estimated customer seating capacity per shift</a:t>
          </a:r>
        </a:p>
        <a:p>
          <a:pPr marL="171450" indent="-171450">
            <a:buFont typeface="Arial" panose="020B0604020202020204" pitchFamily="34" charset="0"/>
            <a:buChar char="•"/>
          </a:pPr>
          <a:r>
            <a:rPr lang="en-SG" sz="1200" i="0" u="none">
              <a:solidFill>
                <a:schemeClr val="dk1"/>
              </a:solidFill>
              <a:latin typeface="Arial" panose="020B0604020202020204" pitchFamily="34" charset="0"/>
              <a:ea typeface="+mn-ea"/>
              <a:cs typeface="Arial" panose="020B0604020202020204" pitchFamily="34" charset="0"/>
            </a:rPr>
            <a:t>No. of working and off-days per week for full-timers</a:t>
          </a:r>
        </a:p>
        <a:p>
          <a:pPr marL="171450" indent="-171450">
            <a:buFont typeface="Arial" panose="020B0604020202020204" pitchFamily="34" charset="0"/>
            <a:buChar char="•"/>
          </a:pPr>
          <a:r>
            <a:rPr lang="en-SG" sz="1200" i="0" u="none">
              <a:solidFill>
                <a:schemeClr val="dk1"/>
              </a:solidFill>
              <a:latin typeface="Arial" panose="020B0604020202020204" pitchFamily="34" charset="0"/>
              <a:ea typeface="+mn-ea"/>
              <a:cs typeface="Arial" panose="020B0604020202020204" pitchFamily="34" charset="0"/>
            </a:rPr>
            <a:t>Staff Wages</a:t>
          </a:r>
        </a:p>
        <a:p>
          <a:pPr marL="171450" indent="-171450">
            <a:buFont typeface="Arial" panose="020B0604020202020204" pitchFamily="34" charset="0"/>
            <a:buChar char="•"/>
          </a:pPr>
          <a:r>
            <a:rPr lang="en-SG" sz="1200" i="0" u="none">
              <a:solidFill>
                <a:schemeClr val="dk1"/>
              </a:solidFill>
              <a:latin typeface="Arial" panose="020B0604020202020204" pitchFamily="34" charset="0"/>
              <a:ea typeface="+mn-ea"/>
              <a:cs typeface="Arial" panose="020B0604020202020204" pitchFamily="34" charset="0"/>
            </a:rPr>
            <a:t>Operation Constraints/ Service Quality Requirements</a:t>
          </a:r>
        </a:p>
        <a:p>
          <a:pPr marL="171450" indent="-171450">
            <a:buFont typeface="Arial" panose="020B0604020202020204" pitchFamily="34" charset="0"/>
            <a:buChar char="•"/>
          </a:pPr>
          <a:r>
            <a:rPr lang="en-SG" sz="1200" i="0" u="none">
              <a:solidFill>
                <a:schemeClr val="dk1"/>
              </a:solidFill>
              <a:latin typeface="Arial" panose="020B0604020202020204" pitchFamily="34" charset="0"/>
              <a:ea typeface="+mn-ea"/>
              <a:cs typeface="Arial" panose="020B0604020202020204" pitchFamily="34" charset="0"/>
            </a:rPr>
            <a:t>Number of staff per role and part-timer for service crew</a:t>
          </a:r>
        </a:p>
        <a:p>
          <a:pPr marL="171450" indent="-171450">
            <a:buFont typeface="Arial" panose="020B0604020202020204" pitchFamily="34" charset="0"/>
            <a:buChar char="•"/>
          </a:pPr>
          <a:r>
            <a:rPr lang="en-SG" sz="1200" i="0" u="none">
              <a:solidFill>
                <a:schemeClr val="dk1"/>
              </a:solidFill>
              <a:latin typeface="Arial" panose="020B0604020202020204" pitchFamily="34" charset="0"/>
              <a:ea typeface="+mn-ea"/>
              <a:cs typeface="Arial" panose="020B0604020202020204" pitchFamily="34" charset="0"/>
            </a:rPr>
            <a:t>Min. no. of Full-timers</a:t>
          </a:r>
        </a:p>
        <a:p>
          <a:pPr marL="0" indent="0">
            <a:buFont typeface="Arial" panose="020B0604020202020204" pitchFamily="34" charset="0"/>
            <a:buNone/>
          </a:pPr>
          <a:r>
            <a:rPr lang="en-SG" sz="1200" i="0" u="none">
              <a:solidFill>
                <a:schemeClr val="dk1"/>
              </a:solidFill>
              <a:latin typeface="Arial" panose="020B0604020202020204" pitchFamily="34" charset="0"/>
              <a:ea typeface="+mn-ea"/>
              <a:cs typeface="Arial" panose="020B0604020202020204" pitchFamily="34" charset="0"/>
            </a:rPr>
            <a:t>3) Enter Solver (Data Tab -&gt; Solver) and solver to obtain optimised manpower with min. cost in cell O55</a:t>
          </a:r>
        </a:p>
        <a:p>
          <a:pPr marL="0" indent="0">
            <a:buFont typeface="Arial" panose="020B0604020202020204" pitchFamily="34" charset="0"/>
            <a:buNone/>
          </a:pPr>
          <a:endParaRPr lang="en-SG" sz="1200" i="1" u="sng">
            <a:solidFill>
              <a:schemeClr val="dk1"/>
            </a:solidFill>
            <a:latin typeface="Arial" panose="020B0604020202020204" pitchFamily="34" charset="0"/>
            <a:ea typeface="+mn-ea"/>
            <a:cs typeface="Arial" panose="020B0604020202020204" pitchFamily="34" charset="0"/>
          </a:endParaRPr>
        </a:p>
        <a:p>
          <a:pPr marL="171450" indent="-171450">
            <a:buFont typeface="Arial" panose="020B0604020202020204" pitchFamily="34" charset="0"/>
            <a:buChar char="•"/>
          </a:pPr>
          <a:endParaRPr lang="en-SG" sz="1200" i="1" u="sng">
            <a:solidFill>
              <a:schemeClr val="dk1"/>
            </a:solidFill>
            <a:latin typeface="Arial" panose="020B0604020202020204" pitchFamily="34" charset="0"/>
            <a:ea typeface="+mn-ea"/>
            <a:cs typeface="Arial" panose="020B0604020202020204" pitchFamily="34" charset="0"/>
          </a:endParaRPr>
        </a:p>
      </xdr:txBody>
    </xdr:sp>
    <xdr:clientData/>
  </xdr:oneCellAnchor>
</xdr:wsDr>
</file>

<file path=xl/drawings/drawing8.xml><?xml version="1.0" encoding="utf-8"?>
<xdr:wsDr xmlns:xdr="http://schemas.openxmlformats.org/drawingml/2006/spreadsheetDrawing" xmlns:a="http://schemas.openxmlformats.org/drawingml/2006/main">
  <xdr:oneCellAnchor>
    <xdr:from>
      <xdr:col>5</xdr:col>
      <xdr:colOff>992470</xdr:colOff>
      <xdr:row>4</xdr:row>
      <xdr:rowOff>79374</xdr:rowOff>
    </xdr:from>
    <xdr:ext cx="5455425" cy="1642244"/>
    <xdr:sp macro="" textlink="">
      <xdr:nvSpPr>
        <xdr:cNvPr id="2" name="TextBox 1">
          <a:extLst>
            <a:ext uri="{FF2B5EF4-FFF2-40B4-BE49-F238E27FC236}">
              <a16:creationId xmlns:a16="http://schemas.microsoft.com/office/drawing/2014/main" id="{4B0F6AD8-DBF4-4281-901D-6ADC57AE6F23}"/>
            </a:ext>
          </a:extLst>
        </xdr:cNvPr>
        <xdr:cNvSpPr txBox="1"/>
      </xdr:nvSpPr>
      <xdr:spPr>
        <a:xfrm>
          <a:off x="5526370" y="1089024"/>
          <a:ext cx="5455425" cy="1642244"/>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SG" sz="1100" b="1"/>
            <a:t>Assumptions:</a:t>
          </a:r>
        </a:p>
        <a:p>
          <a:pPr marL="0" marR="0" lvl="0" indent="0" defTabSz="914400" eaLnBrk="1" fontAlgn="auto" latinLnBrk="0" hangingPunct="1">
            <a:lnSpc>
              <a:spcPct val="100000"/>
            </a:lnSpc>
            <a:spcBef>
              <a:spcPts val="0"/>
            </a:spcBef>
            <a:spcAft>
              <a:spcPts val="0"/>
            </a:spcAft>
            <a:buClrTx/>
            <a:buSzTx/>
            <a:buFontTx/>
            <a:buNone/>
            <a:tabLst/>
            <a:defRPr/>
          </a:pPr>
          <a:r>
            <a:rPr lang="en-SG" sz="1100" baseline="0"/>
            <a:t>-Total cost (as % of total revenue): 35% ingredient cost, 5.5% Part Timers, 7.5%  Full Timers, 5% Utilities, 17.5% rental</a:t>
          </a:r>
          <a:endParaRPr lang="en-SG" sz="1100" b="1"/>
        </a:p>
        <a:p>
          <a:r>
            <a:rPr lang="en-SG" sz="1100"/>
            <a:t>-Alcohol cost (as % of alcohol revenue): 30%</a:t>
          </a:r>
        </a:p>
        <a:p>
          <a:r>
            <a:rPr lang="en-SG" sz="1100"/>
            <a:t>-Fixed linear demand formula across all 6 sessions, derived from sensitivity analysis done</a:t>
          </a:r>
        </a:p>
        <a:p>
          <a:r>
            <a:rPr lang="en-SG" sz="1100"/>
            <a:t>-Differing</a:t>
          </a:r>
          <a:r>
            <a:rPr lang="en-SG" sz="1100" baseline="0"/>
            <a:t> alcohol uptake rate across each session e.g. weekday lunch having the lowest at 5%</a:t>
          </a:r>
        </a:p>
        <a:p>
          <a:r>
            <a:rPr lang="en-SG" sz="1100" baseline="0"/>
            <a:t>-Fixed base price per type of day e.g. weekday vs weekend vs holiday - referencing 4.2 tradeoff analysis on best price</a:t>
          </a:r>
        </a:p>
        <a:p>
          <a:endParaRPr lang="en-SG" sz="1100"/>
        </a:p>
      </xdr:txBody>
    </xdr:sp>
    <xdr:clientData/>
  </xdr:oneCellAnchor>
</xdr:wsDr>
</file>

<file path=xl/drawings/drawing9.xml><?xml version="1.0" encoding="utf-8"?>
<xdr:wsDr xmlns:xdr="http://schemas.openxmlformats.org/drawingml/2006/spreadsheetDrawing" xmlns:a="http://schemas.openxmlformats.org/drawingml/2006/main">
  <xdr:twoCellAnchor editAs="oneCell">
    <xdr:from>
      <xdr:col>0</xdr:col>
      <xdr:colOff>502285</xdr:colOff>
      <xdr:row>74</xdr:row>
      <xdr:rowOff>179071</xdr:rowOff>
    </xdr:from>
    <xdr:to>
      <xdr:col>8</xdr:col>
      <xdr:colOff>535940</xdr:colOff>
      <xdr:row>96</xdr:row>
      <xdr:rowOff>599</xdr:rowOff>
    </xdr:to>
    <xdr:pic>
      <xdr:nvPicPr>
        <xdr:cNvPr id="14" name="Picture 2">
          <a:extLst>
            <a:ext uri="{FF2B5EF4-FFF2-40B4-BE49-F238E27FC236}">
              <a16:creationId xmlns:a16="http://schemas.microsoft.com/office/drawing/2014/main" id="{760CD6F0-5C8E-4ABC-F90C-AA7C7829B14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2285" y="13571221"/>
          <a:ext cx="4758690" cy="3790913"/>
        </a:xfrm>
        <a:prstGeom prst="rect">
          <a:avLst/>
        </a:prstGeom>
      </xdr:spPr>
    </xdr:pic>
    <xdr:clientData/>
  </xdr:twoCellAnchor>
  <xdr:twoCellAnchor editAs="oneCell">
    <xdr:from>
      <xdr:col>1</xdr:col>
      <xdr:colOff>17145</xdr:colOff>
      <xdr:row>97</xdr:row>
      <xdr:rowOff>44897</xdr:rowOff>
    </xdr:from>
    <xdr:to>
      <xdr:col>7</xdr:col>
      <xdr:colOff>436245</xdr:colOff>
      <xdr:row>122</xdr:row>
      <xdr:rowOff>113665</xdr:rowOff>
    </xdr:to>
    <xdr:pic>
      <xdr:nvPicPr>
        <xdr:cNvPr id="19" name="Picture 4">
          <a:extLst>
            <a:ext uri="{FF2B5EF4-FFF2-40B4-BE49-F238E27FC236}">
              <a16:creationId xmlns:a16="http://schemas.microsoft.com/office/drawing/2014/main" id="{4EEB3988-1645-26D3-70A2-CAE07CC7524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170" y="17580422"/>
          <a:ext cx="3966210" cy="4591873"/>
        </a:xfrm>
        <a:prstGeom prst="rect">
          <a:avLst/>
        </a:prstGeom>
      </xdr:spPr>
    </xdr:pic>
    <xdr:clientData/>
  </xdr:twoCellAnchor>
  <xdr:twoCellAnchor editAs="oneCell">
    <xdr:from>
      <xdr:col>1</xdr:col>
      <xdr:colOff>20955</xdr:colOff>
      <xdr:row>35</xdr:row>
      <xdr:rowOff>20956</xdr:rowOff>
    </xdr:from>
    <xdr:to>
      <xdr:col>8</xdr:col>
      <xdr:colOff>524510</xdr:colOff>
      <xdr:row>41</xdr:row>
      <xdr:rowOff>111604</xdr:rowOff>
    </xdr:to>
    <xdr:pic>
      <xdr:nvPicPr>
        <xdr:cNvPr id="9" name="Picture 1">
          <a:extLst>
            <a:ext uri="{FF2B5EF4-FFF2-40B4-BE49-F238E27FC236}">
              <a16:creationId xmlns:a16="http://schemas.microsoft.com/office/drawing/2014/main" id="{C7EC65A1-8771-717F-8BA4-51E5CA1F652A}"/>
            </a:ext>
          </a:extLst>
        </xdr:cNvPr>
        <xdr:cNvPicPr>
          <a:picLocks noChangeAspect="1"/>
        </xdr:cNvPicPr>
      </xdr:nvPicPr>
      <xdr:blipFill>
        <a:blip xmlns:r="http://schemas.openxmlformats.org/officeDocument/2006/relationships" r:embed="rId3"/>
        <a:stretch>
          <a:fillRect/>
        </a:stretch>
      </xdr:blipFill>
      <xdr:spPr>
        <a:xfrm>
          <a:off x="601980" y="6355081"/>
          <a:ext cx="4627245" cy="1174593"/>
        </a:xfrm>
        <a:prstGeom prst="rect">
          <a:avLst/>
        </a:prstGeom>
      </xdr:spPr>
    </xdr:pic>
    <xdr:clientData/>
  </xdr:twoCellAnchor>
  <xdr:twoCellAnchor editAs="oneCell">
    <xdr:from>
      <xdr:col>1</xdr:col>
      <xdr:colOff>0</xdr:colOff>
      <xdr:row>44</xdr:row>
      <xdr:rowOff>85726</xdr:rowOff>
    </xdr:from>
    <xdr:to>
      <xdr:col>9</xdr:col>
      <xdr:colOff>542290</xdr:colOff>
      <xdr:row>48</xdr:row>
      <xdr:rowOff>140685</xdr:rowOff>
    </xdr:to>
    <xdr:pic>
      <xdr:nvPicPr>
        <xdr:cNvPr id="4" name="Picture 3">
          <a:extLst>
            <a:ext uri="{FF2B5EF4-FFF2-40B4-BE49-F238E27FC236}">
              <a16:creationId xmlns:a16="http://schemas.microsoft.com/office/drawing/2014/main" id="{F6945E02-E78A-866A-5A2A-5FAD93681DCA}"/>
            </a:ext>
          </a:extLst>
        </xdr:cNvPr>
        <xdr:cNvPicPr>
          <a:picLocks noChangeAspect="1"/>
        </xdr:cNvPicPr>
      </xdr:nvPicPr>
      <xdr:blipFill>
        <a:blip xmlns:r="http://schemas.openxmlformats.org/officeDocument/2006/relationships" r:embed="rId4"/>
        <a:stretch>
          <a:fillRect/>
        </a:stretch>
      </xdr:blipFill>
      <xdr:spPr>
        <a:xfrm>
          <a:off x="600075" y="6781801"/>
          <a:ext cx="5345430" cy="780764"/>
        </a:xfrm>
        <a:prstGeom prst="rect">
          <a:avLst/>
        </a:prstGeom>
      </xdr:spPr>
    </xdr:pic>
    <xdr:clientData/>
  </xdr:twoCellAnchor>
  <xdr:twoCellAnchor editAs="oneCell">
    <xdr:from>
      <xdr:col>0</xdr:col>
      <xdr:colOff>581025</xdr:colOff>
      <xdr:row>58</xdr:row>
      <xdr:rowOff>38100</xdr:rowOff>
    </xdr:from>
    <xdr:to>
      <xdr:col>11</xdr:col>
      <xdr:colOff>484829</xdr:colOff>
      <xdr:row>73</xdr:row>
      <xdr:rowOff>2540</xdr:rowOff>
    </xdr:to>
    <xdr:pic>
      <xdr:nvPicPr>
        <xdr:cNvPr id="8" name="Picture 5">
          <a:extLst>
            <a:ext uri="{FF2B5EF4-FFF2-40B4-BE49-F238E27FC236}">
              <a16:creationId xmlns:a16="http://schemas.microsoft.com/office/drawing/2014/main" id="{70839F8F-1F39-BDFF-A81B-B9C1D2074DA7}"/>
            </a:ext>
          </a:extLst>
        </xdr:cNvPr>
        <xdr:cNvPicPr>
          <a:picLocks noChangeAspect="1"/>
        </xdr:cNvPicPr>
      </xdr:nvPicPr>
      <xdr:blipFill>
        <a:blip xmlns:r="http://schemas.openxmlformats.org/officeDocument/2006/relationships" r:embed="rId5"/>
        <a:stretch>
          <a:fillRect/>
        </a:stretch>
      </xdr:blipFill>
      <xdr:spPr>
        <a:xfrm>
          <a:off x="581025" y="9267825"/>
          <a:ext cx="7170109" cy="281749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NG Jin Yao" id="{37BE0DF2-F916-45FC-89DC-BD49D89EB8A1}" userId="S::jinyao.ng.2024@mitb.smu.edu.sg::b5e2a066-0fe7-4870-a34d-8f690966131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40" dT="2025-06-16T13:51:49.11" personId="{37BE0DF2-F916-45FC-89DC-BD49D89EB8A1}" id="{2771B424-55BE-40A6-A777-31B3090D3586}">
    <text xml:space="preserve">Formula calc service crew
</text>
  </threadedComment>
  <threadedComment ref="C42" dT="2025-06-16T13:57:34.38" personId="{37BE0DF2-F916-45FC-89DC-BD49D89EB8A1}" id="{C6B04069-6535-4191-B362-B7AFFDE51497}">
    <text>Set to max of either lunch or dinner capacity, as all full timer and will be present for both shift</text>
  </threadedComment>
  <threadedComment ref="D42" dT="2025-06-16T13:51:36.90" personId="{37BE0DF2-F916-45FC-89DC-BD49D89EB8A1}" id="{441601A1-8F51-4CB7-8816-107E50936A8D}">
    <text xml:space="preserve">Diff formula calc kitchen crew
</text>
  </threadedComment>
  <threadedComment ref="O55" dT="2025-06-16T14:25:23.55" personId="{37BE0DF2-F916-45FC-89DC-BD49D89EB8A1}" id="{996FA5FE-946A-43BC-8623-4A8B6850B7D7}">
    <text>Solver Target to Min</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6.xml"/><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7.xml"/><Relationship Id="rId4" Type="http://schemas.microsoft.com/office/2017/10/relationships/threadedComment" Target="../threadedComments/threadedComment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5D60A9-8036-40AD-BE38-673B3720DA1C}">
  <sheetPr>
    <tabColor theme="8" tint="0.59999389629810485"/>
  </sheetPr>
  <dimension ref="D19:K30"/>
  <sheetViews>
    <sheetView topLeftCell="B9" zoomScale="80" zoomScaleNormal="80" zoomScaleSheetLayoutView="80" workbookViewId="0">
      <selection activeCell="E27" sqref="E27"/>
    </sheetView>
  </sheetViews>
  <sheetFormatPr baseColWidth="10" defaultColWidth="8.83203125" defaultRowHeight="15" x14ac:dyDescent="0.2"/>
  <cols>
    <col min="1" max="3" width="8.83203125" style="9"/>
    <col min="4" max="4" width="22.5" style="9" customWidth="1"/>
    <col min="5" max="5" width="27.5" style="9" customWidth="1"/>
    <col min="6" max="6" width="24.5" style="9" bestFit="1" customWidth="1"/>
    <col min="7" max="7" width="19.5" style="9" customWidth="1"/>
    <col min="8" max="10" width="8.83203125" style="9"/>
    <col min="11" max="11" width="31.5" style="9" customWidth="1"/>
    <col min="12" max="16384" width="8.83203125" style="9"/>
  </cols>
  <sheetData>
    <row r="19" spans="4:11" ht="32" x14ac:dyDescent="0.4">
      <c r="D19" s="237"/>
      <c r="E19" s="241"/>
      <c r="F19" s="238" t="s">
        <v>0</v>
      </c>
      <c r="G19" s="237"/>
      <c r="H19" s="237"/>
      <c r="I19" s="237"/>
      <c r="J19" s="237"/>
      <c r="K19" s="237"/>
    </row>
    <row r="20" spans="4:11" ht="32" x14ac:dyDescent="0.4">
      <c r="D20" s="237"/>
      <c r="E20" s="239" t="s">
        <v>1</v>
      </c>
      <c r="F20" s="237"/>
      <c r="G20" s="237"/>
      <c r="H20" s="237"/>
      <c r="I20" s="237"/>
      <c r="J20" s="237"/>
      <c r="K20" s="237"/>
    </row>
    <row r="21" spans="4:11" ht="32" x14ac:dyDescent="0.4">
      <c r="D21" s="237"/>
      <c r="E21" s="237"/>
      <c r="F21" s="240">
        <v>45832</v>
      </c>
      <c r="G21" s="237"/>
      <c r="H21" s="237"/>
      <c r="I21" s="237"/>
      <c r="J21" s="237"/>
      <c r="K21" s="237"/>
    </row>
    <row r="22" spans="4:11" ht="32" x14ac:dyDescent="0.4">
      <c r="D22" s="237"/>
      <c r="E22" s="237"/>
      <c r="F22" s="238" t="s">
        <v>2</v>
      </c>
      <c r="G22" s="237"/>
      <c r="H22" s="237"/>
      <c r="I22" s="237"/>
      <c r="J22" s="237"/>
      <c r="K22" s="237"/>
    </row>
    <row r="23" spans="4:11" ht="32" x14ac:dyDescent="0.4">
      <c r="D23" s="237"/>
      <c r="E23" s="237"/>
      <c r="F23" s="238" t="s">
        <v>3</v>
      </c>
      <c r="G23" s="237"/>
      <c r="H23" s="237"/>
      <c r="I23" s="237"/>
      <c r="J23" s="237"/>
      <c r="K23" s="237"/>
    </row>
    <row r="24" spans="4:11" ht="32" x14ac:dyDescent="0.4">
      <c r="D24" s="237"/>
      <c r="E24" s="237"/>
      <c r="F24" s="238" t="s">
        <v>4</v>
      </c>
      <c r="G24" s="237"/>
      <c r="H24" s="237"/>
      <c r="I24" s="237"/>
      <c r="J24" s="237"/>
      <c r="K24" s="237"/>
    </row>
    <row r="25" spans="4:11" ht="32" x14ac:dyDescent="0.4">
      <c r="D25" s="237"/>
      <c r="E25" s="237"/>
      <c r="F25" s="238" t="s">
        <v>5</v>
      </c>
      <c r="G25" s="237"/>
      <c r="H25" s="237"/>
      <c r="I25" s="237"/>
      <c r="J25" s="237"/>
      <c r="K25" s="237"/>
    </row>
    <row r="26" spans="4:11" ht="32" x14ac:dyDescent="0.4">
      <c r="D26" s="237"/>
      <c r="E26" s="237"/>
      <c r="F26" s="238" t="s">
        <v>6</v>
      </c>
      <c r="G26" s="237"/>
      <c r="H26" s="237"/>
      <c r="I26" s="237"/>
      <c r="J26" s="237"/>
      <c r="K26" s="237"/>
    </row>
    <row r="27" spans="4:11" ht="32" x14ac:dyDescent="0.4">
      <c r="D27" s="237"/>
      <c r="E27" s="237"/>
      <c r="F27" s="238" t="s">
        <v>7</v>
      </c>
      <c r="G27" s="237"/>
      <c r="H27" s="237"/>
      <c r="I27" s="237"/>
      <c r="J27" s="237"/>
      <c r="K27" s="237"/>
    </row>
    <row r="28" spans="4:11" ht="32" x14ac:dyDescent="0.4">
      <c r="D28" s="237"/>
      <c r="E28" s="237"/>
      <c r="F28" s="237"/>
      <c r="G28" s="237"/>
      <c r="H28" s="237"/>
      <c r="I28" s="237"/>
      <c r="J28" s="237"/>
      <c r="K28" s="237"/>
    </row>
    <row r="29" spans="4:11" ht="32" x14ac:dyDescent="0.4">
      <c r="D29" s="237"/>
      <c r="E29" s="237"/>
      <c r="F29" s="237"/>
      <c r="G29" s="237"/>
      <c r="H29" s="237"/>
      <c r="I29" s="237"/>
      <c r="J29" s="237"/>
      <c r="K29" s="237"/>
    </row>
    <row r="30" spans="4:11" ht="32" x14ac:dyDescent="0.4">
      <c r="D30" s="237"/>
      <c r="E30" s="237"/>
      <c r="F30" s="237"/>
      <c r="G30" s="237"/>
      <c r="H30" s="237"/>
      <c r="I30" s="237"/>
      <c r="J30" s="237"/>
      <c r="K30" s="237"/>
    </row>
  </sheetData>
  <pageMargins left="0.7" right="0.7" top="0.75" bottom="0.75" header="0.3" footer="0.3"/>
  <pageSetup scale="51"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17617-75B9-4EFD-9FBA-E82717EADD73}">
  <sheetPr codeName="Sheet4">
    <tabColor rgb="FFFFC000"/>
  </sheetPr>
  <dimension ref="A1:AC71"/>
  <sheetViews>
    <sheetView showGridLines="0" topLeftCell="A5" zoomScale="85" zoomScaleNormal="85" workbookViewId="0">
      <selection activeCell="N43" sqref="N43"/>
    </sheetView>
  </sheetViews>
  <sheetFormatPr baseColWidth="10" defaultColWidth="8.5" defaultRowHeight="15" x14ac:dyDescent="0.2"/>
  <cols>
    <col min="1" max="1" width="3.5" style="120" customWidth="1"/>
    <col min="2" max="2" width="28.83203125" style="120" customWidth="1"/>
    <col min="3" max="3" width="11.5" style="120" bestFit="1" customWidth="1"/>
    <col min="4" max="4" width="16.5" style="120" customWidth="1"/>
    <col min="5" max="6" width="14" style="120" bestFit="1" customWidth="1"/>
    <col min="7" max="7" width="10.5" style="120" bestFit="1" customWidth="1"/>
    <col min="8" max="14" width="8.5" style="120"/>
    <col min="15" max="15" width="10.1640625" style="120" customWidth="1"/>
    <col min="16" max="17" width="8.5" style="120"/>
    <col min="18" max="18" width="10.1640625" style="120" bestFit="1" customWidth="1"/>
    <col min="19" max="19" width="10.5" style="120" bestFit="1" customWidth="1"/>
    <col min="20" max="20" width="12.6640625" style="120" customWidth="1"/>
    <col min="21" max="21" width="11.5" style="120" bestFit="1" customWidth="1"/>
    <col min="22" max="22" width="14" style="120" bestFit="1" customWidth="1"/>
    <col min="23" max="23" width="11.5" style="120" bestFit="1" customWidth="1"/>
    <col min="24" max="16384" width="8.5" style="120"/>
  </cols>
  <sheetData>
    <row r="1" spans="1:25" s="236" customFormat="1" ht="37" x14ac:dyDescent="0.45">
      <c r="A1" s="189" t="s">
        <v>8</v>
      </c>
      <c r="B1" s="190"/>
      <c r="C1" s="190"/>
      <c r="D1" s="190"/>
      <c r="E1" s="190"/>
      <c r="F1" s="190"/>
      <c r="G1" s="190"/>
      <c r="H1" s="190"/>
      <c r="I1" s="190"/>
      <c r="J1" s="190"/>
      <c r="K1" s="190"/>
      <c r="L1" s="190"/>
      <c r="M1" s="190"/>
      <c r="N1" s="190"/>
      <c r="O1" s="190"/>
      <c r="P1" s="190"/>
      <c r="Q1" s="190"/>
      <c r="R1" s="190"/>
      <c r="S1" s="190"/>
      <c r="T1" s="190"/>
      <c r="U1" s="190"/>
      <c r="V1" s="190"/>
      <c r="W1" s="190"/>
      <c r="X1" s="190"/>
      <c r="Y1" s="190"/>
    </row>
    <row r="3" spans="1:25" x14ac:dyDescent="0.2">
      <c r="B3" s="119" t="s">
        <v>9</v>
      </c>
    </row>
    <row r="4" spans="1:25" x14ac:dyDescent="0.2">
      <c r="C4" s="544" t="s">
        <v>10</v>
      </c>
      <c r="D4" s="544"/>
      <c r="E4" s="544" t="s">
        <v>11</v>
      </c>
      <c r="F4" s="544"/>
    </row>
    <row r="5" spans="1:25" x14ac:dyDescent="0.2">
      <c r="C5" s="419" t="s">
        <v>12</v>
      </c>
      <c r="D5" s="419" t="s">
        <v>13</v>
      </c>
      <c r="E5" s="419" t="s">
        <v>12</v>
      </c>
      <c r="F5" s="419" t="s">
        <v>13</v>
      </c>
    </row>
    <row r="6" spans="1:25" x14ac:dyDescent="0.2">
      <c r="B6" s="415" t="s">
        <v>14</v>
      </c>
      <c r="C6" s="121">
        <f>ROUND(SUM('Appendix 1. Data Sources'!C6:E6)/3,0)</f>
        <v>73</v>
      </c>
      <c r="D6" s="121">
        <f>ROUND(SUM('Appendix 1. Data Sources'!C7:F7)/3,0)</f>
        <v>97</v>
      </c>
      <c r="E6" s="121">
        <f>ROUND(SUM('Appendix 1. Data Sources'!C10:E10)/3,0)</f>
        <v>78</v>
      </c>
      <c r="F6" s="121">
        <f>ROUND(SUM('Appendix 1. Data Sources'!C11:E11)/3,0)</f>
        <v>111</v>
      </c>
    </row>
    <row r="7" spans="1:25" x14ac:dyDescent="0.2">
      <c r="B7" s="415" t="s">
        <v>15</v>
      </c>
      <c r="C7" s="545">
        <f>AVERAGE(C6:D6)</f>
        <v>85</v>
      </c>
      <c r="D7" s="545"/>
      <c r="E7" s="545">
        <f>AVERAGE(E6:F6)</f>
        <v>94.5</v>
      </c>
      <c r="F7" s="545"/>
    </row>
    <row r="8" spans="1:25" x14ac:dyDescent="0.2">
      <c r="B8" s="415" t="s">
        <v>16</v>
      </c>
      <c r="C8" s="121">
        <f>'Appendix 1. Data Sources'!C56</f>
        <v>2.5</v>
      </c>
      <c r="D8" s="121">
        <f>'Appendix 1. Data Sources'!C57</f>
        <v>4</v>
      </c>
      <c r="E8" s="121">
        <v>3</v>
      </c>
      <c r="F8" s="121">
        <f>'Appendix 1. Data Sources'!C57</f>
        <v>4</v>
      </c>
    </row>
    <row r="9" spans="1:25" x14ac:dyDescent="0.2">
      <c r="B9" s="415" t="s">
        <v>17</v>
      </c>
      <c r="C9" s="545">
        <f>SUM(C8:D8)</f>
        <v>6.5</v>
      </c>
      <c r="D9" s="545"/>
      <c r="E9" s="545">
        <f>SUM(E8:F8)</f>
        <v>7</v>
      </c>
      <c r="F9" s="545"/>
    </row>
    <row r="10" spans="1:25" ht="32" x14ac:dyDescent="0.2">
      <c r="B10" s="416" t="s">
        <v>18</v>
      </c>
      <c r="C10" s="121">
        <v>1.5</v>
      </c>
      <c r="D10" s="121">
        <v>1.5</v>
      </c>
      <c r="E10" s="121">
        <v>1.5</v>
      </c>
      <c r="F10" s="121">
        <v>1.5</v>
      </c>
    </row>
    <row r="11" spans="1:25" x14ac:dyDescent="0.2">
      <c r="B11" s="415" t="s">
        <v>19</v>
      </c>
      <c r="C11" s="545">
        <f>'Appendix 1. Data Sources'!C53</f>
        <v>260</v>
      </c>
      <c r="D11" s="545"/>
      <c r="E11" s="545"/>
      <c r="F11" s="545"/>
    </row>
    <row r="13" spans="1:25" x14ac:dyDescent="0.2">
      <c r="B13" s="119" t="s">
        <v>20</v>
      </c>
    </row>
    <row r="14" spans="1:25" x14ac:dyDescent="0.2">
      <c r="C14" s="544" t="s">
        <v>10</v>
      </c>
      <c r="D14" s="544"/>
      <c r="E14" s="544" t="s">
        <v>11</v>
      </c>
      <c r="F14" s="544"/>
    </row>
    <row r="15" spans="1:25" x14ac:dyDescent="0.2">
      <c r="C15" s="419" t="s">
        <v>12</v>
      </c>
      <c r="D15" s="419" t="s">
        <v>13</v>
      </c>
      <c r="E15" s="419" t="s">
        <v>12</v>
      </c>
      <c r="F15" s="419" t="s">
        <v>13</v>
      </c>
    </row>
    <row r="16" spans="1:25" x14ac:dyDescent="0.2">
      <c r="B16" s="415" t="s">
        <v>21</v>
      </c>
      <c r="C16" s="394">
        <f>'Appendix 1. Data Sources'!C63</f>
        <v>0.75</v>
      </c>
      <c r="D16" s="394">
        <f>'Appendix 1. Data Sources'!C65</f>
        <v>0.7</v>
      </c>
      <c r="E16" s="394">
        <f>'Appendix 1. Data Sources'!C64</f>
        <v>1</v>
      </c>
      <c r="F16" s="394">
        <f>'Appendix 1. Data Sources'!C66</f>
        <v>0.95</v>
      </c>
    </row>
    <row r="17" spans="2:9" ht="16" x14ac:dyDescent="0.2">
      <c r="B17" s="416" t="s">
        <v>22</v>
      </c>
      <c r="C17" s="548">
        <f>AVERAGE(C16:D16)</f>
        <v>0.72499999999999998</v>
      </c>
      <c r="D17" s="548"/>
      <c r="E17" s="548">
        <f>AVERAGE(E16:F16)</f>
        <v>0.97499999999999998</v>
      </c>
      <c r="F17" s="548"/>
    </row>
    <row r="18" spans="2:9" x14ac:dyDescent="0.2">
      <c r="B18" s="415" t="s">
        <v>23</v>
      </c>
      <c r="C18" s="546">
        <f>'Appendix 1. Data Sources'!C87</f>
        <v>0.315</v>
      </c>
      <c r="D18" s="546"/>
      <c r="E18" s="546"/>
      <c r="F18" s="546"/>
    </row>
    <row r="19" spans="2:9" x14ac:dyDescent="0.2">
      <c r="B19" s="415" t="s">
        <v>24</v>
      </c>
      <c r="C19" s="549">
        <f>$C$18*C37</f>
        <v>21848.400000000001</v>
      </c>
      <c r="D19" s="549"/>
      <c r="E19" s="549">
        <f>$C$18*E37</f>
        <v>35244.720000000001</v>
      </c>
      <c r="F19" s="549"/>
    </row>
    <row r="20" spans="2:9" x14ac:dyDescent="0.2">
      <c r="B20" s="415" t="s">
        <v>25</v>
      </c>
      <c r="C20" s="546">
        <f>'Appendix 1. Data Sources'!C96+'Appendix 1. Data Sources'!B99</f>
        <v>0.10500000000000001</v>
      </c>
      <c r="D20" s="546"/>
      <c r="E20" s="546"/>
      <c r="F20" s="546"/>
    </row>
    <row r="21" spans="2:9" x14ac:dyDescent="0.2">
      <c r="B21" s="415" t="s">
        <v>26</v>
      </c>
      <c r="C21" s="549">
        <f>$C$20*C37</f>
        <v>7282.8000000000011</v>
      </c>
      <c r="D21" s="549"/>
      <c r="E21" s="549">
        <f>$C$20*E37</f>
        <v>11748.240000000002</v>
      </c>
      <c r="F21" s="549"/>
    </row>
    <row r="22" spans="2:9" x14ac:dyDescent="0.2">
      <c r="B22" s="415" t="s">
        <v>27</v>
      </c>
      <c r="C22" s="547">
        <f>'Appendix 1. Data Sources'!C109+'Appendix 1. Data Sources'!C118</f>
        <v>0.25</v>
      </c>
      <c r="D22" s="547"/>
      <c r="E22" s="547"/>
      <c r="F22" s="547"/>
    </row>
    <row r="23" spans="2:9" x14ac:dyDescent="0.2">
      <c r="B23" s="415" t="s">
        <v>28</v>
      </c>
      <c r="C23" s="550">
        <f>$C$22*C37</f>
        <v>17340</v>
      </c>
      <c r="D23" s="551"/>
      <c r="E23" s="550">
        <f>$C$22*E37</f>
        <v>27972</v>
      </c>
      <c r="F23" s="551"/>
    </row>
    <row r="25" spans="2:9" x14ac:dyDescent="0.2">
      <c r="B25" s="119" t="s">
        <v>29</v>
      </c>
      <c r="I25" s="122"/>
    </row>
    <row r="26" spans="2:9" x14ac:dyDescent="0.2">
      <c r="C26" s="540" t="s">
        <v>10</v>
      </c>
      <c r="D26" s="541"/>
      <c r="E26" s="540" t="s">
        <v>11</v>
      </c>
      <c r="F26" s="541"/>
      <c r="I26" s="122"/>
    </row>
    <row r="27" spans="2:9" x14ac:dyDescent="0.2">
      <c r="C27" s="419" t="s">
        <v>12</v>
      </c>
      <c r="D27" s="419" t="s">
        <v>13</v>
      </c>
      <c r="E27" s="419" t="s">
        <v>12</v>
      </c>
      <c r="F27" s="419" t="s">
        <v>13</v>
      </c>
    </row>
    <row r="28" spans="2:9" x14ac:dyDescent="0.2">
      <c r="B28" s="417" t="s">
        <v>30</v>
      </c>
      <c r="C28" s="395">
        <f>C8/C10</f>
        <v>1.6666666666666667</v>
      </c>
      <c r="D28" s="395">
        <f>D8/D10</f>
        <v>2.6666666666666665</v>
      </c>
      <c r="E28" s="395">
        <f>E8/E10</f>
        <v>2</v>
      </c>
      <c r="F28" s="395">
        <f>F8/F10</f>
        <v>2.6666666666666665</v>
      </c>
    </row>
    <row r="29" spans="2:9" x14ac:dyDescent="0.2">
      <c r="B29" s="417" t="s">
        <v>31</v>
      </c>
      <c r="C29" s="542">
        <f>ROUND(SUM(C28:D28),2)</f>
        <v>4.33</v>
      </c>
      <c r="D29" s="543"/>
      <c r="E29" s="542">
        <f>ROUND(SUM(E28:F28),2)</f>
        <v>4.67</v>
      </c>
      <c r="F29" s="543"/>
    </row>
    <row r="30" spans="2:9" x14ac:dyDescent="0.2">
      <c r="B30" s="417" t="s">
        <v>32</v>
      </c>
      <c r="C30" s="395">
        <f>ROUND(C28*$C$11*C17,0)</f>
        <v>314</v>
      </c>
      <c r="D30" s="395">
        <f>ROUND(D28*$C$11*$C$17,0)</f>
        <v>503</v>
      </c>
      <c r="E30" s="395">
        <f>ROUND(E28*$C$11*$E$17,0)</f>
        <v>507</v>
      </c>
      <c r="F30" s="395">
        <f>ROUND(F28*$C$11*$E$17,0)</f>
        <v>676</v>
      </c>
    </row>
    <row r="31" spans="2:9" ht="16" x14ac:dyDescent="0.2">
      <c r="B31" s="418" t="s">
        <v>33</v>
      </c>
      <c r="C31" s="542">
        <f>ROUND(C29*C17*$C$11,0)</f>
        <v>816</v>
      </c>
      <c r="D31" s="543"/>
      <c r="E31" s="542">
        <f>ROUND(E29*E17*$C$11,0)</f>
        <v>1184</v>
      </c>
      <c r="F31" s="543"/>
    </row>
    <row r="34" spans="2:6" x14ac:dyDescent="0.2">
      <c r="B34" s="119" t="s">
        <v>34</v>
      </c>
    </row>
    <row r="35" spans="2:6" x14ac:dyDescent="0.2">
      <c r="C35" s="540" t="s">
        <v>10</v>
      </c>
      <c r="D35" s="541"/>
      <c r="E35" s="540" t="s">
        <v>11</v>
      </c>
      <c r="F35" s="541"/>
    </row>
    <row r="36" spans="2:6" x14ac:dyDescent="0.2">
      <c r="C36" s="419" t="s">
        <v>12</v>
      </c>
      <c r="D36" s="419" t="s">
        <v>13</v>
      </c>
      <c r="E36" s="419" t="s">
        <v>12</v>
      </c>
      <c r="F36" s="419" t="s">
        <v>13</v>
      </c>
    </row>
    <row r="37" spans="2:6" x14ac:dyDescent="0.2">
      <c r="B37" s="415" t="s">
        <v>35</v>
      </c>
      <c r="C37" s="550">
        <f>C31*C7</f>
        <v>69360</v>
      </c>
      <c r="D37" s="551"/>
      <c r="E37" s="550">
        <f>E31*E7</f>
        <v>111888</v>
      </c>
      <c r="F37" s="551"/>
    </row>
    <row r="38" spans="2:6" x14ac:dyDescent="0.2">
      <c r="B38" s="415" t="s">
        <v>36</v>
      </c>
      <c r="C38" s="550">
        <f>SUM(C19:C23)</f>
        <v>46471.555</v>
      </c>
      <c r="D38" s="551"/>
      <c r="E38" s="550">
        <f>SUM(E19:E23)</f>
        <v>74964.960000000006</v>
      </c>
      <c r="F38" s="551"/>
    </row>
    <row r="39" spans="2:6" x14ac:dyDescent="0.2">
      <c r="B39" s="415" t="s">
        <v>37</v>
      </c>
      <c r="C39" s="550">
        <f>C37-C38</f>
        <v>22888.445</v>
      </c>
      <c r="D39" s="551"/>
      <c r="E39" s="550">
        <f>E37-E38</f>
        <v>36923.039999999994</v>
      </c>
      <c r="F39" s="551"/>
    </row>
    <row r="42" spans="2:6" x14ac:dyDescent="0.2">
      <c r="B42" s="119" t="s">
        <v>38</v>
      </c>
    </row>
    <row r="49" spans="2:29" x14ac:dyDescent="0.2">
      <c r="B49" s="266" t="s">
        <v>10</v>
      </c>
      <c r="C49" s="123"/>
      <c r="D49" s="123"/>
      <c r="E49" s="123"/>
      <c r="F49" s="123"/>
      <c r="G49" s="124" t="s">
        <v>39</v>
      </c>
      <c r="H49" s="123"/>
      <c r="I49" s="123"/>
      <c r="J49" s="123"/>
      <c r="K49" s="123"/>
      <c r="L49" s="123"/>
      <c r="M49" s="123"/>
      <c r="N49" s="125"/>
      <c r="P49" s="266" t="s">
        <v>11</v>
      </c>
      <c r="Q49" s="123"/>
      <c r="R49" s="123"/>
      <c r="S49" s="123"/>
      <c r="T49" s="123"/>
      <c r="U49" s="123"/>
      <c r="V49" s="124" t="s">
        <v>39</v>
      </c>
      <c r="W49" s="123"/>
      <c r="X49" s="123"/>
      <c r="Y49" s="123"/>
      <c r="Z49" s="123"/>
      <c r="AA49" s="123"/>
      <c r="AB49" s="123"/>
      <c r="AC49" s="125"/>
    </row>
    <row r="50" spans="2:29" ht="32" x14ac:dyDescent="0.2">
      <c r="B50" s="126"/>
      <c r="C50" s="8" t="s">
        <v>14</v>
      </c>
      <c r="D50" s="254" t="s">
        <v>40</v>
      </c>
      <c r="E50" s="8" t="s">
        <v>35</v>
      </c>
      <c r="G50" s="120" t="s">
        <v>41</v>
      </c>
      <c r="N50" s="127"/>
      <c r="P50" s="126"/>
      <c r="R50" s="8" t="s">
        <v>14</v>
      </c>
      <c r="S50" s="254" t="s">
        <v>40</v>
      </c>
      <c r="T50" s="8" t="s">
        <v>35</v>
      </c>
      <c r="V50" s="120" t="s">
        <v>42</v>
      </c>
      <c r="AC50" s="127"/>
    </row>
    <row r="51" spans="2:29" x14ac:dyDescent="0.2">
      <c r="B51" s="126"/>
      <c r="C51" s="250">
        <v>30</v>
      </c>
      <c r="D51" s="252">
        <v>1</v>
      </c>
      <c r="E51" s="250">
        <f>ROUND($C$29*$C$11*D51,0)*C51</f>
        <v>33780</v>
      </c>
      <c r="G51" s="120" t="s">
        <v>43</v>
      </c>
      <c r="N51" s="127"/>
      <c r="P51" s="126"/>
      <c r="R51" s="250">
        <v>88.25</v>
      </c>
      <c r="S51" s="252">
        <v>1</v>
      </c>
      <c r="T51" s="250">
        <f t="shared" ref="T51:T63" si="0">ROUND($E$29*$C$11*S51,0)*R51</f>
        <v>107135.5</v>
      </c>
      <c r="V51" s="120" t="s">
        <v>44</v>
      </c>
      <c r="AC51" s="127"/>
    </row>
    <row r="52" spans="2:29" x14ac:dyDescent="0.2">
      <c r="B52" s="126"/>
      <c r="C52" s="250">
        <v>35</v>
      </c>
      <c r="D52" s="252">
        <v>0.97499999999999998</v>
      </c>
      <c r="E52" s="250">
        <f t="shared" ref="E52:E63" si="1">ROUND($C$29*$C$11*D52,0)*C52</f>
        <v>38430</v>
      </c>
      <c r="G52" s="120" t="s">
        <v>45</v>
      </c>
      <c r="N52" s="127"/>
      <c r="P52" s="126"/>
      <c r="R52" s="255">
        <v>94.5</v>
      </c>
      <c r="S52" s="256">
        <v>0.97499999999999998</v>
      </c>
      <c r="T52" s="250">
        <f t="shared" si="0"/>
        <v>111888</v>
      </c>
      <c r="V52" s="120" t="s">
        <v>46</v>
      </c>
      <c r="AC52" s="127"/>
    </row>
    <row r="53" spans="2:29" x14ac:dyDescent="0.2">
      <c r="B53" s="126"/>
      <c r="C53" s="250">
        <v>45</v>
      </c>
      <c r="D53" s="252">
        <v>0.92500000000000004</v>
      </c>
      <c r="E53" s="250">
        <f t="shared" si="1"/>
        <v>46845</v>
      </c>
      <c r="N53" s="127"/>
      <c r="P53" s="126"/>
      <c r="R53" s="250">
        <v>104.5</v>
      </c>
      <c r="S53" s="252">
        <v>0.93500000000000005</v>
      </c>
      <c r="T53" s="250">
        <f t="shared" si="0"/>
        <v>118607.5</v>
      </c>
      <c r="AC53" s="127"/>
    </row>
    <row r="54" spans="2:29" x14ac:dyDescent="0.2">
      <c r="B54" s="126"/>
      <c r="C54" s="250">
        <v>55</v>
      </c>
      <c r="D54" s="252">
        <v>0.875</v>
      </c>
      <c r="E54" s="250">
        <f t="shared" si="1"/>
        <v>54175</v>
      </c>
      <c r="N54" s="127"/>
      <c r="P54" s="126"/>
      <c r="R54" s="250">
        <v>114.5</v>
      </c>
      <c r="S54" s="252">
        <v>0.89500000000000002</v>
      </c>
      <c r="T54" s="250">
        <f t="shared" si="0"/>
        <v>124461.5</v>
      </c>
      <c r="AC54" s="127"/>
    </row>
    <row r="55" spans="2:29" x14ac:dyDescent="0.2">
      <c r="B55" s="126"/>
      <c r="C55" s="250">
        <v>65</v>
      </c>
      <c r="D55" s="252">
        <v>0.82499999999999996</v>
      </c>
      <c r="E55" s="250">
        <f t="shared" si="1"/>
        <v>60385</v>
      </c>
      <c r="N55" s="127"/>
      <c r="P55" s="126"/>
      <c r="R55" s="250">
        <v>124.5</v>
      </c>
      <c r="S55" s="252">
        <v>0.85499999999999998</v>
      </c>
      <c r="T55" s="250">
        <f t="shared" si="0"/>
        <v>129231</v>
      </c>
      <c r="AC55" s="127"/>
    </row>
    <row r="56" spans="2:29" x14ac:dyDescent="0.2">
      <c r="B56" s="126"/>
      <c r="C56" s="250">
        <v>75</v>
      </c>
      <c r="D56" s="252">
        <v>0.77500000000000002</v>
      </c>
      <c r="E56" s="250">
        <f t="shared" si="1"/>
        <v>65400</v>
      </c>
      <c r="N56" s="127"/>
      <c r="P56" s="126"/>
      <c r="R56" s="250">
        <v>134.5</v>
      </c>
      <c r="S56" s="252">
        <v>0.81499999999999995</v>
      </c>
      <c r="T56" s="250">
        <f t="shared" si="0"/>
        <v>133155</v>
      </c>
      <c r="AC56" s="127"/>
    </row>
    <row r="57" spans="2:29" x14ac:dyDescent="0.2">
      <c r="B57" s="126"/>
      <c r="C57" s="255">
        <v>85</v>
      </c>
      <c r="D57" s="256">
        <v>0.72499999999999998</v>
      </c>
      <c r="E57" s="250">
        <f t="shared" si="1"/>
        <v>69360</v>
      </c>
      <c r="N57" s="127"/>
      <c r="P57" s="126"/>
      <c r="R57" s="250">
        <v>144.5</v>
      </c>
      <c r="S57" s="252">
        <v>0.77500000000000002</v>
      </c>
      <c r="T57" s="250">
        <f t="shared" si="0"/>
        <v>135974.5</v>
      </c>
      <c r="AC57" s="127"/>
    </row>
    <row r="58" spans="2:29" x14ac:dyDescent="0.2">
      <c r="B58" s="126"/>
      <c r="C58" s="250">
        <v>95</v>
      </c>
      <c r="D58" s="252">
        <v>0.67500000000000004</v>
      </c>
      <c r="E58" s="250">
        <f t="shared" si="1"/>
        <v>72200</v>
      </c>
      <c r="N58" s="127"/>
      <c r="P58" s="126"/>
      <c r="R58" s="250">
        <v>154.5</v>
      </c>
      <c r="S58" s="252">
        <v>0.73499999999999999</v>
      </c>
      <c r="T58" s="250">
        <f t="shared" si="0"/>
        <v>137814</v>
      </c>
      <c r="AC58" s="127"/>
    </row>
    <row r="59" spans="2:29" x14ac:dyDescent="0.2">
      <c r="B59" s="126"/>
      <c r="C59" s="250">
        <v>105</v>
      </c>
      <c r="D59" s="252">
        <v>0.625</v>
      </c>
      <c r="E59" s="250">
        <f t="shared" si="1"/>
        <v>73920</v>
      </c>
      <c r="N59" s="127"/>
      <c r="P59" s="126"/>
      <c r="R59" s="250">
        <v>164.5</v>
      </c>
      <c r="S59" s="252">
        <v>0.69500000000000095</v>
      </c>
      <c r="T59" s="250">
        <f t="shared" si="0"/>
        <v>138838</v>
      </c>
      <c r="AC59" s="127"/>
    </row>
    <row r="60" spans="2:29" x14ac:dyDescent="0.2">
      <c r="B60" s="126"/>
      <c r="C60" s="250">
        <v>115</v>
      </c>
      <c r="D60" s="252">
        <v>0.57499999999999996</v>
      </c>
      <c r="E60" s="250">
        <f t="shared" si="1"/>
        <v>74405</v>
      </c>
      <c r="N60" s="127"/>
      <c r="P60" s="126"/>
      <c r="R60" s="250">
        <v>174.5</v>
      </c>
      <c r="S60" s="252">
        <v>0.65500000000000103</v>
      </c>
      <c r="T60" s="250">
        <f t="shared" si="0"/>
        <v>138727.5</v>
      </c>
      <c r="AC60" s="127"/>
    </row>
    <row r="61" spans="2:29" x14ac:dyDescent="0.2">
      <c r="B61" s="126"/>
      <c r="C61" s="250">
        <v>125</v>
      </c>
      <c r="D61" s="252">
        <v>0.52500000000000002</v>
      </c>
      <c r="E61" s="250">
        <f t="shared" si="1"/>
        <v>73875</v>
      </c>
      <c r="N61" s="127"/>
      <c r="P61" s="126"/>
      <c r="R61" s="250">
        <v>184.5</v>
      </c>
      <c r="S61" s="252">
        <v>0.61500000000000099</v>
      </c>
      <c r="T61" s="250">
        <f t="shared" si="0"/>
        <v>137821.5</v>
      </c>
      <c r="AC61" s="127"/>
    </row>
    <row r="62" spans="2:29" x14ac:dyDescent="0.2">
      <c r="B62" s="126"/>
      <c r="C62" s="250">
        <v>135</v>
      </c>
      <c r="D62" s="252">
        <v>0.47499999999999998</v>
      </c>
      <c r="E62" s="250">
        <f t="shared" si="1"/>
        <v>72225</v>
      </c>
      <c r="N62" s="127"/>
      <c r="P62" s="126"/>
      <c r="R62" s="250">
        <v>194.5</v>
      </c>
      <c r="S62" s="252">
        <v>0.57500000000000095</v>
      </c>
      <c r="T62" s="250">
        <f t="shared" si="0"/>
        <v>135761</v>
      </c>
      <c r="AC62" s="127"/>
    </row>
    <row r="63" spans="2:29" x14ac:dyDescent="0.2">
      <c r="B63" s="126"/>
      <c r="C63" s="250">
        <v>145</v>
      </c>
      <c r="D63" s="252">
        <v>0.42499999999999999</v>
      </c>
      <c r="E63" s="250">
        <f t="shared" si="1"/>
        <v>69310</v>
      </c>
      <c r="N63" s="127"/>
      <c r="P63" s="126"/>
      <c r="R63" s="250">
        <v>204.5</v>
      </c>
      <c r="S63" s="252">
        <v>0.53500000000000103</v>
      </c>
      <c r="T63" s="250">
        <f t="shared" si="0"/>
        <v>132925</v>
      </c>
      <c r="AC63" s="127"/>
    </row>
    <row r="64" spans="2:29" x14ac:dyDescent="0.2">
      <c r="B64" s="126"/>
      <c r="N64" s="127"/>
      <c r="P64" s="126"/>
      <c r="AC64" s="127"/>
    </row>
    <row r="65" spans="2:29" x14ac:dyDescent="0.2">
      <c r="B65" s="126"/>
      <c r="N65" s="127"/>
      <c r="P65" s="126"/>
      <c r="AC65" s="127"/>
    </row>
    <row r="66" spans="2:29" x14ac:dyDescent="0.2">
      <c r="B66" s="126"/>
      <c r="N66" s="127"/>
      <c r="P66" s="126"/>
      <c r="AC66" s="127"/>
    </row>
    <row r="67" spans="2:29" x14ac:dyDescent="0.2">
      <c r="B67" s="126"/>
      <c r="N67" s="127"/>
      <c r="P67" s="126"/>
      <c r="AC67" s="127"/>
    </row>
    <row r="68" spans="2:29" x14ac:dyDescent="0.2">
      <c r="B68" s="126"/>
      <c r="N68" s="127"/>
      <c r="P68" s="126"/>
      <c r="AC68" s="127"/>
    </row>
    <row r="69" spans="2:29" x14ac:dyDescent="0.2">
      <c r="B69" s="126"/>
      <c r="N69" s="127"/>
      <c r="P69" s="126"/>
      <c r="AC69" s="127"/>
    </row>
    <row r="70" spans="2:29" x14ac:dyDescent="0.2">
      <c r="B70" s="126"/>
      <c r="N70" s="127"/>
      <c r="P70" s="126"/>
      <c r="AC70" s="127"/>
    </row>
    <row r="71" spans="2:29" x14ac:dyDescent="0.2">
      <c r="B71" s="128"/>
      <c r="C71" s="129"/>
      <c r="D71" s="129"/>
      <c r="E71" s="129"/>
      <c r="F71" s="129"/>
      <c r="G71" s="129"/>
      <c r="H71" s="129"/>
      <c r="I71" s="129"/>
      <c r="J71" s="129"/>
      <c r="K71" s="129"/>
      <c r="L71" s="129"/>
      <c r="M71" s="129"/>
      <c r="N71" s="130"/>
      <c r="P71" s="128"/>
      <c r="Q71" s="129"/>
      <c r="R71" s="129"/>
      <c r="S71" s="129"/>
      <c r="T71" s="129"/>
      <c r="U71" s="129"/>
      <c r="V71" s="129"/>
      <c r="W71" s="129"/>
      <c r="X71" s="129"/>
      <c r="Y71" s="129"/>
      <c r="Z71" s="129"/>
      <c r="AA71" s="129"/>
      <c r="AB71" s="129"/>
      <c r="AC71" s="130"/>
    </row>
  </sheetData>
  <mergeCells count="34">
    <mergeCell ref="C37:D37"/>
    <mergeCell ref="E37:F37"/>
    <mergeCell ref="E38:F38"/>
    <mergeCell ref="C38:D38"/>
    <mergeCell ref="C39:D39"/>
    <mergeCell ref="E39:F39"/>
    <mergeCell ref="C11:F11"/>
    <mergeCell ref="C20:F20"/>
    <mergeCell ref="C22:F22"/>
    <mergeCell ref="C18:F18"/>
    <mergeCell ref="C26:D26"/>
    <mergeCell ref="E26:F26"/>
    <mergeCell ref="C14:D14"/>
    <mergeCell ref="E14:F14"/>
    <mergeCell ref="C17:D17"/>
    <mergeCell ref="E17:F17"/>
    <mergeCell ref="C19:D19"/>
    <mergeCell ref="E19:F19"/>
    <mergeCell ref="C21:D21"/>
    <mergeCell ref="E21:F21"/>
    <mergeCell ref="C23:D23"/>
    <mergeCell ref="E23:F23"/>
    <mergeCell ref="C4:D4"/>
    <mergeCell ref="E4:F4"/>
    <mergeCell ref="C7:D7"/>
    <mergeCell ref="E7:F7"/>
    <mergeCell ref="C9:D9"/>
    <mergeCell ref="E9:F9"/>
    <mergeCell ref="C35:D35"/>
    <mergeCell ref="E35:F35"/>
    <mergeCell ref="C29:D29"/>
    <mergeCell ref="E29:F29"/>
    <mergeCell ref="C31:D31"/>
    <mergeCell ref="E31:F31"/>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2A1DE1-AB27-41F3-AB27-BA526AF77B46}">
  <sheetPr>
    <tabColor rgb="FFFFC000"/>
  </sheetPr>
  <dimension ref="A1:AG121"/>
  <sheetViews>
    <sheetView showGridLines="0" topLeftCell="C2" zoomScale="85" zoomScaleNormal="85" workbookViewId="0">
      <selection activeCell="D19" sqref="D19"/>
    </sheetView>
  </sheetViews>
  <sheetFormatPr baseColWidth="10" defaultColWidth="8.83203125" defaultRowHeight="15" x14ac:dyDescent="0.2"/>
  <cols>
    <col min="1" max="1" width="14.83203125" customWidth="1"/>
    <col min="2" max="2" width="38.5" bestFit="1" customWidth="1"/>
    <col min="3" max="3" width="10" bestFit="1" customWidth="1"/>
    <col min="4" max="4" width="11" bestFit="1" customWidth="1"/>
    <col min="5" max="5" width="11.83203125" bestFit="1" customWidth="1"/>
    <col min="7" max="7" width="10.1640625" customWidth="1"/>
    <col min="8" max="17" width="10" bestFit="1" customWidth="1"/>
    <col min="19" max="19" width="11.83203125" customWidth="1"/>
    <col min="20" max="20" width="9.33203125" customWidth="1"/>
    <col min="21" max="29" width="10" bestFit="1" customWidth="1"/>
  </cols>
  <sheetData>
    <row r="1" spans="1:33" ht="37" x14ac:dyDescent="0.45">
      <c r="A1" s="396" t="s">
        <v>47</v>
      </c>
      <c r="B1" s="397"/>
      <c r="C1" s="397"/>
      <c r="D1" s="397"/>
      <c r="E1" s="397"/>
      <c r="F1" s="397"/>
      <c r="G1" s="397"/>
      <c r="H1" s="397"/>
      <c r="I1" s="397"/>
      <c r="J1" s="397"/>
      <c r="K1" s="397"/>
      <c r="L1" s="397"/>
      <c r="M1" s="397"/>
      <c r="N1" s="397"/>
      <c r="O1" s="397"/>
      <c r="P1" s="397"/>
      <c r="Q1" s="397"/>
      <c r="R1" s="397"/>
      <c r="S1" s="397"/>
      <c r="T1" s="397"/>
      <c r="U1" s="397"/>
      <c r="V1" s="397"/>
      <c r="W1" s="397"/>
      <c r="X1" s="397"/>
      <c r="Y1" s="397"/>
      <c r="Z1" s="397"/>
      <c r="AA1" s="397"/>
      <c r="AB1" s="397"/>
      <c r="AC1" s="397"/>
      <c r="AD1" s="397"/>
      <c r="AE1" s="397"/>
      <c r="AF1" s="397"/>
      <c r="AG1" s="398"/>
    </row>
    <row r="2" spans="1:33" ht="28.5" customHeight="1" x14ac:dyDescent="0.45">
      <c r="A2" s="451"/>
      <c r="AG2" s="400"/>
    </row>
    <row r="3" spans="1:33" ht="28.5" customHeight="1" x14ac:dyDescent="0.45">
      <c r="A3" s="451"/>
      <c r="AG3" s="400"/>
    </row>
    <row r="4" spans="1:33" x14ac:dyDescent="0.2">
      <c r="A4" s="399"/>
      <c r="AG4" s="400"/>
    </row>
    <row r="5" spans="1:33" x14ac:dyDescent="0.2">
      <c r="A5" s="399"/>
      <c r="AG5" s="400"/>
    </row>
    <row r="6" spans="1:33" x14ac:dyDescent="0.2">
      <c r="A6" s="399"/>
      <c r="AG6" s="400"/>
    </row>
    <row r="7" spans="1:33" x14ac:dyDescent="0.2">
      <c r="A7" s="399"/>
      <c r="B7" s="34" t="s">
        <v>9</v>
      </c>
      <c r="AG7" s="400"/>
    </row>
    <row r="8" spans="1:33" x14ac:dyDescent="0.2">
      <c r="A8" s="399"/>
      <c r="C8" s="419" t="s">
        <v>10</v>
      </c>
      <c r="D8" s="419" t="s">
        <v>11</v>
      </c>
      <c r="AG8" s="400"/>
    </row>
    <row r="9" spans="1:33" x14ac:dyDescent="0.2">
      <c r="A9" s="399"/>
      <c r="B9" s="329" t="s">
        <v>15</v>
      </c>
      <c r="C9" s="250">
        <v>85</v>
      </c>
      <c r="D9" s="244">
        <v>94.5</v>
      </c>
      <c r="AG9" s="400"/>
    </row>
    <row r="10" spans="1:33" x14ac:dyDescent="0.2">
      <c r="A10" s="399"/>
      <c r="B10" s="329" t="s">
        <v>17</v>
      </c>
      <c r="C10" s="552">
        <v>6.5</v>
      </c>
      <c r="D10" s="553"/>
      <c r="F10" s="422"/>
      <c r="G10" s="411"/>
      <c r="H10" s="411"/>
      <c r="I10" s="411"/>
      <c r="J10" s="411"/>
      <c r="K10" s="411"/>
      <c r="L10" s="411"/>
      <c r="M10" s="411"/>
      <c r="N10" s="411"/>
      <c r="O10" s="411"/>
      <c r="P10" s="411"/>
      <c r="Q10" s="411"/>
      <c r="R10" s="411"/>
      <c r="S10" s="411"/>
      <c r="T10" s="411"/>
      <c r="U10" s="411"/>
      <c r="V10" s="411"/>
      <c r="W10" s="411"/>
      <c r="X10" s="411"/>
      <c r="Y10" s="411"/>
      <c r="Z10" s="411"/>
      <c r="AA10" s="411"/>
      <c r="AB10" s="411"/>
      <c r="AC10" s="411"/>
      <c r="AD10" s="412"/>
      <c r="AG10" s="400"/>
    </row>
    <row r="11" spans="1:33" x14ac:dyDescent="0.2">
      <c r="A11" s="399"/>
      <c r="B11" s="329" t="s">
        <v>19</v>
      </c>
      <c r="C11" s="545">
        <v>260</v>
      </c>
      <c r="D11" s="545"/>
      <c r="F11" s="399"/>
      <c r="G11" s="13" t="s">
        <v>48</v>
      </c>
      <c r="S11" s="13" t="s">
        <v>49</v>
      </c>
      <c r="AD11" s="400"/>
      <c r="AG11" s="400"/>
    </row>
    <row r="12" spans="1:33" x14ac:dyDescent="0.2">
      <c r="A12" s="399"/>
      <c r="C12" s="30"/>
      <c r="D12" s="30"/>
      <c r="F12" s="399"/>
      <c r="AD12" s="400"/>
      <c r="AG12" s="400"/>
    </row>
    <row r="13" spans="1:33" x14ac:dyDescent="0.2">
      <c r="A13" s="399"/>
      <c r="C13" s="30"/>
      <c r="D13" s="30"/>
      <c r="F13" s="399"/>
      <c r="G13" s="401">
        <f>C41</f>
        <v>22888.445</v>
      </c>
      <c r="H13" s="402">
        <v>-1E-3</v>
      </c>
      <c r="I13" s="402">
        <v>-2E-3</v>
      </c>
      <c r="J13" s="402">
        <v>-3.0000000000000001E-3</v>
      </c>
      <c r="K13" s="402">
        <v>-4.0000000000000001E-3</v>
      </c>
      <c r="L13" s="402">
        <v>-5.0000000000000001E-3</v>
      </c>
      <c r="M13" s="402">
        <v>-6.0000000000000001E-3</v>
      </c>
      <c r="N13" s="402">
        <v>-7.0000000000000001E-3</v>
      </c>
      <c r="O13" s="402">
        <v>-8.0000000000000002E-3</v>
      </c>
      <c r="P13" s="402">
        <v>-8.9999999999999993E-3</v>
      </c>
      <c r="Q13" s="402">
        <v>-0.01</v>
      </c>
      <c r="S13" s="403">
        <f>D41</f>
        <v>36923.040000000008</v>
      </c>
      <c r="T13" s="402">
        <v>-1E-4</v>
      </c>
      <c r="U13" s="402">
        <v>-2.0000000000000001E-4</v>
      </c>
      <c r="V13" s="402">
        <v>-2.9999999999999997E-4</v>
      </c>
      <c r="W13" s="402">
        <v>-4.0000000000000002E-4</v>
      </c>
      <c r="X13" s="402">
        <v>-5.0000000000000001E-4</v>
      </c>
      <c r="Y13" s="402">
        <v>-5.9999999999999995E-4</v>
      </c>
      <c r="Z13" s="402">
        <v>-6.9999999999999999E-4</v>
      </c>
      <c r="AA13" s="402">
        <v>-8.0000000000000004E-4</v>
      </c>
      <c r="AB13" s="402">
        <v>-8.9999999999999998E-4</v>
      </c>
      <c r="AC13" s="402">
        <v>-1E-3</v>
      </c>
      <c r="AD13" s="400"/>
      <c r="AG13" s="400"/>
    </row>
    <row r="14" spans="1:33" x14ac:dyDescent="0.2">
      <c r="A14" s="399"/>
      <c r="B14" s="34"/>
      <c r="C14" s="30"/>
      <c r="D14" s="30"/>
      <c r="F14" s="399"/>
      <c r="G14" s="404">
        <v>0.34499999999999997</v>
      </c>
      <c r="H14" s="132">
        <f t="dataTable" ref="H14:Q20" dt2D="1" dtr="1" r1="C27" r2="C18"/>
        <v>30574.145000000004</v>
      </c>
      <c r="I14" s="132">
        <v>28126.145000000004</v>
      </c>
      <c r="J14" s="132">
        <v>25703.645000000004</v>
      </c>
      <c r="K14" s="132">
        <v>23255.645000000004</v>
      </c>
      <c r="L14" s="251">
        <v>20807.645000000004</v>
      </c>
      <c r="M14" s="132">
        <v>18385.145000000004</v>
      </c>
      <c r="N14" s="132">
        <v>15937.145000000004</v>
      </c>
      <c r="O14" s="132">
        <v>13489.145</v>
      </c>
      <c r="P14" s="132">
        <v>11041.145000000004</v>
      </c>
      <c r="Q14" s="132">
        <v>8618.6450000000041</v>
      </c>
      <c r="S14" s="404">
        <v>0.34499999999999997</v>
      </c>
      <c r="T14" s="132">
        <f t="dataTable" ref="T14:AC20" dt2D="1" dtr="1" r1="D27" r2="C18" ca="1"/>
        <v>46267.199999999997</v>
      </c>
      <c r="U14" s="132">
        <v>45927</v>
      </c>
      <c r="V14" s="132">
        <v>45615.150000000009</v>
      </c>
      <c r="W14" s="132">
        <v>45274.95</v>
      </c>
      <c r="X14" s="251">
        <v>44963.100000000006</v>
      </c>
      <c r="Y14" s="132">
        <v>44622.899999999994</v>
      </c>
      <c r="Z14" s="132">
        <v>44311.05</v>
      </c>
      <c r="AA14" s="132">
        <v>43970.850000000006</v>
      </c>
      <c r="AB14" s="132">
        <v>43659</v>
      </c>
      <c r="AC14" s="132">
        <v>43347.150000000009</v>
      </c>
      <c r="AD14" s="400"/>
      <c r="AG14" s="400"/>
    </row>
    <row r="15" spans="1:33" x14ac:dyDescent="0.2">
      <c r="A15" s="399"/>
      <c r="B15" s="34" t="s">
        <v>20</v>
      </c>
      <c r="C15" s="30"/>
      <c r="D15" s="30"/>
      <c r="F15" s="399"/>
      <c r="G15" s="404">
        <v>0.33500000000000002</v>
      </c>
      <c r="H15" s="132">
        <v>31593.294999999998</v>
      </c>
      <c r="I15" s="132">
        <v>29063.695</v>
      </c>
      <c r="J15" s="132">
        <v>26560.445</v>
      </c>
      <c r="K15" s="132">
        <v>24030.845000000001</v>
      </c>
      <c r="L15" s="251">
        <v>21501.244999999995</v>
      </c>
      <c r="M15" s="132">
        <v>18997.994999999995</v>
      </c>
      <c r="N15" s="132">
        <v>16468.395000000004</v>
      </c>
      <c r="O15" s="132">
        <v>13938.794999999998</v>
      </c>
      <c r="P15" s="132">
        <v>11409.195</v>
      </c>
      <c r="Q15" s="132">
        <v>8905.9449999999997</v>
      </c>
      <c r="S15" s="404">
        <v>0.33500000000000002</v>
      </c>
      <c r="T15" s="132">
        <v>47809.440000000002</v>
      </c>
      <c r="U15" s="132">
        <v>47457.899999999994</v>
      </c>
      <c r="V15" s="132">
        <v>47135.654999999999</v>
      </c>
      <c r="W15" s="132">
        <v>46784.114999999991</v>
      </c>
      <c r="X15" s="251">
        <v>46461.869999999995</v>
      </c>
      <c r="Y15" s="132">
        <v>46110.329999999987</v>
      </c>
      <c r="Z15" s="132">
        <v>45788.084999999992</v>
      </c>
      <c r="AA15" s="132">
        <v>45436.544999999998</v>
      </c>
      <c r="AB15" s="132">
        <v>45114.299999999988</v>
      </c>
      <c r="AC15" s="132">
        <v>44792.054999999993</v>
      </c>
      <c r="AD15" s="400"/>
      <c r="AG15" s="400"/>
    </row>
    <row r="16" spans="1:33" x14ac:dyDescent="0.2">
      <c r="A16" s="399"/>
      <c r="C16" s="421" t="s">
        <v>10</v>
      </c>
      <c r="D16" s="419" t="s">
        <v>11</v>
      </c>
      <c r="F16" s="399"/>
      <c r="G16" s="404">
        <v>0.32500000000000001</v>
      </c>
      <c r="H16" s="132">
        <v>32612.445000000007</v>
      </c>
      <c r="I16" s="132">
        <v>30001.245000000003</v>
      </c>
      <c r="J16" s="132">
        <v>27417.245000000003</v>
      </c>
      <c r="K16" s="132">
        <v>24806.044999999998</v>
      </c>
      <c r="L16" s="251">
        <v>22194.845000000001</v>
      </c>
      <c r="M16" s="132">
        <v>19610.845000000001</v>
      </c>
      <c r="N16" s="132">
        <v>16999.645000000004</v>
      </c>
      <c r="O16" s="132">
        <v>14388.445</v>
      </c>
      <c r="P16" s="132">
        <v>11777.245000000003</v>
      </c>
      <c r="Q16" s="132">
        <v>9193.2450000000026</v>
      </c>
      <c r="S16" s="404">
        <v>0.32500000000000001</v>
      </c>
      <c r="T16" s="132">
        <v>49351.679999999993</v>
      </c>
      <c r="U16" s="132">
        <v>48988.800000000003</v>
      </c>
      <c r="V16" s="132">
        <v>48656.160000000003</v>
      </c>
      <c r="W16" s="132">
        <v>48293.279999999999</v>
      </c>
      <c r="X16" s="251">
        <v>47960.639999999999</v>
      </c>
      <c r="Y16" s="132">
        <v>47597.760000000009</v>
      </c>
      <c r="Z16" s="132">
        <v>47265.119999999995</v>
      </c>
      <c r="AA16" s="132">
        <v>46902.239999999991</v>
      </c>
      <c r="AB16" s="132">
        <v>46569.600000000006</v>
      </c>
      <c r="AC16" s="132">
        <v>46236.960000000006</v>
      </c>
      <c r="AD16" s="400"/>
      <c r="AG16" s="400"/>
    </row>
    <row r="17" spans="1:33" x14ac:dyDescent="0.2">
      <c r="A17" s="399"/>
      <c r="B17" s="329" t="s">
        <v>22</v>
      </c>
      <c r="C17" s="252">
        <f>C27*C9+C26</f>
        <v>0.72499999999999987</v>
      </c>
      <c r="D17" s="252">
        <f>ROUND(D27*D9+D26,3)</f>
        <v>0.97499999999999998</v>
      </c>
      <c r="F17" s="399"/>
      <c r="G17" s="404">
        <v>0.315</v>
      </c>
      <c r="H17" s="251">
        <v>33631.595000000001</v>
      </c>
      <c r="I17" s="251">
        <v>30938.794999999998</v>
      </c>
      <c r="J17" s="251">
        <v>28274.044999999998</v>
      </c>
      <c r="K17" s="251">
        <v>25581.245000000003</v>
      </c>
      <c r="L17" s="251">
        <v>22888.445</v>
      </c>
      <c r="M17" s="251">
        <v>20223.695</v>
      </c>
      <c r="N17" s="251">
        <v>17530.895000000004</v>
      </c>
      <c r="O17" s="251">
        <v>14838.095000000001</v>
      </c>
      <c r="P17" s="251">
        <v>12145.294999999998</v>
      </c>
      <c r="Q17" s="251">
        <v>9480.5449999999983</v>
      </c>
      <c r="S17" s="404">
        <v>0.315</v>
      </c>
      <c r="T17" s="251">
        <v>50893.920000000013</v>
      </c>
      <c r="U17" s="251">
        <v>50519.700000000012</v>
      </c>
      <c r="V17" s="251">
        <v>50176.665000000008</v>
      </c>
      <c r="W17" s="251">
        <v>49802.445000000007</v>
      </c>
      <c r="X17" s="251">
        <v>49459.41</v>
      </c>
      <c r="Y17" s="251">
        <v>49085.19</v>
      </c>
      <c r="Z17" s="251">
        <v>48742.154999999999</v>
      </c>
      <c r="AA17" s="251">
        <v>48367.934999999998</v>
      </c>
      <c r="AB17" s="251">
        <v>48024.899999999994</v>
      </c>
      <c r="AC17" s="251">
        <v>47681.865000000005</v>
      </c>
      <c r="AD17" s="400"/>
      <c r="AG17" s="400"/>
    </row>
    <row r="18" spans="1:33" x14ac:dyDescent="0.2">
      <c r="A18" s="399"/>
      <c r="B18" s="329" t="s">
        <v>23</v>
      </c>
      <c r="C18" s="554">
        <v>0.315</v>
      </c>
      <c r="D18" s="555"/>
      <c r="F18" s="399"/>
      <c r="G18" s="404">
        <v>0.30499999999999999</v>
      </c>
      <c r="H18" s="132">
        <v>34650.744999999995</v>
      </c>
      <c r="I18" s="132">
        <v>31876.345000000001</v>
      </c>
      <c r="J18" s="132">
        <v>29130.845000000001</v>
      </c>
      <c r="K18" s="132">
        <v>26356.445000000007</v>
      </c>
      <c r="L18" s="251">
        <v>23582.044999999998</v>
      </c>
      <c r="M18" s="132">
        <v>20836.544999999998</v>
      </c>
      <c r="N18" s="132">
        <v>18062.145000000004</v>
      </c>
      <c r="O18" s="132">
        <v>15287.745000000003</v>
      </c>
      <c r="P18" s="132">
        <v>12513.345000000001</v>
      </c>
      <c r="Q18" s="132">
        <v>9767.8450000000012</v>
      </c>
      <c r="S18" s="404">
        <v>0.30499999999999999</v>
      </c>
      <c r="T18" s="132">
        <v>52436.160000000003</v>
      </c>
      <c r="U18" s="132">
        <v>52050.600000000006</v>
      </c>
      <c r="V18" s="132">
        <v>51697.170000000013</v>
      </c>
      <c r="W18" s="132">
        <v>51311.61</v>
      </c>
      <c r="X18" s="251">
        <v>50958.179999999993</v>
      </c>
      <c r="Y18" s="132">
        <v>50572.619999999995</v>
      </c>
      <c r="Z18" s="132">
        <v>50219.19</v>
      </c>
      <c r="AA18" s="132">
        <v>49833.630000000005</v>
      </c>
      <c r="AB18" s="132">
        <v>49480.2</v>
      </c>
      <c r="AC18" s="132">
        <v>49126.770000000004</v>
      </c>
      <c r="AD18" s="400"/>
      <c r="AG18" s="400"/>
    </row>
    <row r="19" spans="1:33" x14ac:dyDescent="0.2">
      <c r="A19" s="399"/>
      <c r="B19" s="329" t="s">
        <v>24</v>
      </c>
      <c r="C19" s="250">
        <f>C18*C39</f>
        <v>21848.400000000001</v>
      </c>
      <c r="D19" s="250">
        <f>C18*D39</f>
        <v>35244.720000000001</v>
      </c>
      <c r="F19" s="399"/>
      <c r="G19" s="404">
        <v>0.29499999999999998</v>
      </c>
      <c r="H19" s="132">
        <v>35669.895000000004</v>
      </c>
      <c r="I19" s="132">
        <v>32813.895000000004</v>
      </c>
      <c r="J19" s="132">
        <v>29987.645000000004</v>
      </c>
      <c r="K19" s="132">
        <v>27131.645000000004</v>
      </c>
      <c r="L19" s="251">
        <v>24275.645000000004</v>
      </c>
      <c r="M19" s="132">
        <v>21449.395000000004</v>
      </c>
      <c r="N19" s="132">
        <v>18593.395000000004</v>
      </c>
      <c r="O19" s="132">
        <v>15737.395</v>
      </c>
      <c r="P19" s="132">
        <v>12881.395000000004</v>
      </c>
      <c r="Q19" s="132">
        <v>10055.145</v>
      </c>
      <c r="S19" s="404">
        <v>0.29499999999999998</v>
      </c>
      <c r="T19" s="132">
        <v>53978.400000000009</v>
      </c>
      <c r="U19" s="132">
        <v>53581.5</v>
      </c>
      <c r="V19" s="132">
        <v>53217.675000000003</v>
      </c>
      <c r="W19" s="132">
        <v>52820.774999999994</v>
      </c>
      <c r="X19" s="251">
        <v>52456.950000000012</v>
      </c>
      <c r="Y19" s="132">
        <v>52060.05</v>
      </c>
      <c r="Z19" s="132">
        <v>51696.225000000006</v>
      </c>
      <c r="AA19" s="132">
        <v>51299.325000000012</v>
      </c>
      <c r="AB19" s="132">
        <v>50935.5</v>
      </c>
      <c r="AC19" s="132">
        <v>50571.675000000003</v>
      </c>
      <c r="AD19" s="400"/>
      <c r="AG19" s="400"/>
    </row>
    <row r="20" spans="1:33" x14ac:dyDescent="0.2">
      <c r="A20" s="399"/>
      <c r="B20" s="329" t="s">
        <v>25</v>
      </c>
      <c r="C20" s="554">
        <f>0.105</f>
        <v>0.105</v>
      </c>
      <c r="D20" s="555"/>
      <c r="F20" s="399"/>
      <c r="G20" s="404">
        <v>0.28499999999999998</v>
      </c>
      <c r="H20" s="132">
        <v>36689.045000000006</v>
      </c>
      <c r="I20" s="132">
        <v>33751.445</v>
      </c>
      <c r="J20" s="132">
        <v>30844.445</v>
      </c>
      <c r="K20" s="132">
        <v>27906.845000000001</v>
      </c>
      <c r="L20" s="251">
        <v>24969.245000000003</v>
      </c>
      <c r="M20" s="132">
        <v>22062.245000000003</v>
      </c>
      <c r="N20" s="132">
        <v>19124.645000000004</v>
      </c>
      <c r="O20" s="132">
        <v>16187.045000000002</v>
      </c>
      <c r="P20" s="132">
        <v>13249.445</v>
      </c>
      <c r="Q20" s="132">
        <v>10342.445</v>
      </c>
      <c r="S20" s="404">
        <v>0.28499999999999998</v>
      </c>
      <c r="T20" s="132">
        <v>55520.640000000014</v>
      </c>
      <c r="U20" s="132">
        <v>55112.400000000009</v>
      </c>
      <c r="V20" s="132">
        <v>54738.180000000008</v>
      </c>
      <c r="W20" s="132">
        <v>54329.94</v>
      </c>
      <c r="X20" s="251">
        <v>53955.72</v>
      </c>
      <c r="Y20" s="132">
        <v>53547.48000000001</v>
      </c>
      <c r="Z20" s="132">
        <v>53173.260000000009</v>
      </c>
      <c r="AA20" s="132">
        <v>52765.020000000004</v>
      </c>
      <c r="AB20" s="132">
        <v>52390.8</v>
      </c>
      <c r="AC20" s="132">
        <v>52016.58</v>
      </c>
      <c r="AD20" s="400"/>
      <c r="AG20" s="400"/>
    </row>
    <row r="21" spans="1:33" x14ac:dyDescent="0.2">
      <c r="A21" s="399"/>
      <c r="B21" s="329" t="s">
        <v>26</v>
      </c>
      <c r="C21" s="250">
        <f>C20*C39</f>
        <v>7282.8</v>
      </c>
      <c r="D21" s="250">
        <f>C20*D39</f>
        <v>11748.24</v>
      </c>
      <c r="F21" s="399"/>
      <c r="AD21" s="400"/>
      <c r="AG21" s="400"/>
    </row>
    <row r="22" spans="1:33" x14ac:dyDescent="0.2">
      <c r="A22" s="399"/>
      <c r="B22" s="329" t="s">
        <v>27</v>
      </c>
      <c r="C22" s="556">
        <v>0.25</v>
      </c>
      <c r="D22" s="557"/>
      <c r="F22" s="399"/>
      <c r="AD22" s="400"/>
      <c r="AG22" s="400"/>
    </row>
    <row r="23" spans="1:33" x14ac:dyDescent="0.2">
      <c r="A23" s="399"/>
      <c r="B23" s="329" t="s">
        <v>28</v>
      </c>
      <c r="C23" s="250">
        <f>C22*C39</f>
        <v>17340</v>
      </c>
      <c r="D23" s="250">
        <f>C22*D39</f>
        <v>27972</v>
      </c>
      <c r="F23" s="399"/>
      <c r="AD23" s="400"/>
      <c r="AG23" s="400"/>
    </row>
    <row r="24" spans="1:33" x14ac:dyDescent="0.2">
      <c r="A24" s="399"/>
      <c r="B24" s="13"/>
      <c r="C24" s="30"/>
      <c r="D24" s="30"/>
      <c r="F24" s="399"/>
      <c r="AD24" s="400"/>
      <c r="AG24" s="400"/>
    </row>
    <row r="25" spans="1:33" x14ac:dyDescent="0.2">
      <c r="A25" s="399"/>
      <c r="C25" s="30"/>
      <c r="D25" s="30"/>
      <c r="F25" s="399"/>
      <c r="AD25" s="400"/>
      <c r="AG25" s="400"/>
    </row>
    <row r="26" spans="1:33" x14ac:dyDescent="0.2">
      <c r="A26" s="399"/>
      <c r="B26" s="329" t="s">
        <v>50</v>
      </c>
      <c r="C26" s="8">
        <v>1.1499999999999999</v>
      </c>
      <c r="D26" s="8">
        <v>1.353</v>
      </c>
      <c r="F26" s="399"/>
      <c r="AD26" s="400"/>
      <c r="AG26" s="400"/>
    </row>
    <row r="27" spans="1:33" x14ac:dyDescent="0.2">
      <c r="A27" s="399"/>
      <c r="B27" s="329" t="s">
        <v>51</v>
      </c>
      <c r="C27" s="8">
        <v>-5.0000000000000001E-3</v>
      </c>
      <c r="D27" s="8">
        <v>-4.0000000000000001E-3</v>
      </c>
      <c r="F27" s="399"/>
      <c r="AD27" s="400"/>
      <c r="AG27" s="400"/>
    </row>
    <row r="28" spans="1:33" x14ac:dyDescent="0.2">
      <c r="A28" s="399"/>
      <c r="C28" s="30"/>
      <c r="D28" s="30"/>
      <c r="F28" s="399"/>
      <c r="AD28" s="400"/>
      <c r="AG28" s="400"/>
    </row>
    <row r="29" spans="1:33" x14ac:dyDescent="0.2">
      <c r="A29" s="399"/>
      <c r="C29" s="30"/>
      <c r="D29" s="30"/>
      <c r="F29" s="399"/>
      <c r="AD29" s="400"/>
      <c r="AG29" s="400"/>
    </row>
    <row r="30" spans="1:33" x14ac:dyDescent="0.2">
      <c r="A30" s="399"/>
      <c r="B30" s="34" t="s">
        <v>29</v>
      </c>
      <c r="C30" s="30"/>
      <c r="D30" s="30"/>
      <c r="F30" s="399"/>
      <c r="AD30" s="400"/>
      <c r="AG30" s="400"/>
    </row>
    <row r="31" spans="1:33" x14ac:dyDescent="0.2">
      <c r="A31" s="399"/>
      <c r="C31" s="421" t="s">
        <v>10</v>
      </c>
      <c r="D31" s="419" t="s">
        <v>11</v>
      </c>
      <c r="F31" s="399"/>
      <c r="AD31" s="400"/>
      <c r="AG31" s="400"/>
    </row>
    <row r="32" spans="1:33" ht="14" customHeight="1" x14ac:dyDescent="0.2">
      <c r="A32" s="399"/>
      <c r="B32" s="420" t="s">
        <v>52</v>
      </c>
      <c r="C32" s="552">
        <v>1.5</v>
      </c>
      <c r="D32" s="553"/>
      <c r="F32" s="399"/>
      <c r="AD32" s="400"/>
      <c r="AG32" s="400"/>
    </row>
    <row r="33" spans="1:33" x14ac:dyDescent="0.2">
      <c r="A33" s="399"/>
      <c r="B33" s="329" t="s">
        <v>31</v>
      </c>
      <c r="C33" s="8">
        <f>ROUND(C10/C32,2)</f>
        <v>4.33</v>
      </c>
      <c r="D33" s="8">
        <v>4.67</v>
      </c>
      <c r="F33" s="399"/>
      <c r="AD33" s="400"/>
      <c r="AG33" s="400"/>
    </row>
    <row r="34" spans="1:33" x14ac:dyDescent="0.2">
      <c r="A34" s="399"/>
      <c r="B34" s="329" t="s">
        <v>53</v>
      </c>
      <c r="C34" s="8">
        <f>ROUND($C$33*C17*$C$11,0)</f>
        <v>816</v>
      </c>
      <c r="D34" s="8">
        <f>ROUND($D$33*D17*$C$11,0)</f>
        <v>1184</v>
      </c>
      <c r="F34" s="399"/>
      <c r="AD34" s="400"/>
      <c r="AG34" s="400"/>
    </row>
    <row r="35" spans="1:33" x14ac:dyDescent="0.2">
      <c r="A35" s="399"/>
      <c r="C35" s="30"/>
      <c r="D35" s="30"/>
      <c r="F35" s="399"/>
      <c r="AD35" s="400"/>
      <c r="AG35" s="400"/>
    </row>
    <row r="36" spans="1:33" x14ac:dyDescent="0.2">
      <c r="A36" s="399"/>
      <c r="C36" s="30"/>
      <c r="D36" s="30"/>
      <c r="F36" s="399"/>
      <c r="AD36" s="400"/>
      <c r="AG36" s="400"/>
    </row>
    <row r="37" spans="1:33" x14ac:dyDescent="0.2">
      <c r="A37" s="399"/>
      <c r="B37" s="34" t="s">
        <v>34</v>
      </c>
      <c r="C37" s="30"/>
      <c r="D37" s="30"/>
      <c r="F37" s="399"/>
      <c r="AD37" s="400"/>
      <c r="AG37" s="400"/>
    </row>
    <row r="38" spans="1:33" x14ac:dyDescent="0.2">
      <c r="A38" s="399"/>
      <c r="C38" s="419" t="s">
        <v>10</v>
      </c>
      <c r="D38" s="419" t="s">
        <v>11</v>
      </c>
      <c r="F38" s="399"/>
      <c r="AD38" s="400"/>
      <c r="AG38" s="400"/>
    </row>
    <row r="39" spans="1:33" x14ac:dyDescent="0.2">
      <c r="A39" s="399"/>
      <c r="B39" s="329" t="s">
        <v>35</v>
      </c>
      <c r="C39" s="250">
        <f>C34*C9</f>
        <v>69360</v>
      </c>
      <c r="D39" s="250">
        <f>D34*D9</f>
        <v>111888</v>
      </c>
      <c r="F39" s="399"/>
      <c r="AD39" s="400"/>
      <c r="AG39" s="400"/>
    </row>
    <row r="40" spans="1:33" x14ac:dyDescent="0.2">
      <c r="A40" s="399"/>
      <c r="B40" s="329" t="s">
        <v>36</v>
      </c>
      <c r="C40" s="250">
        <f>SUM(C19:C23)</f>
        <v>46471.555</v>
      </c>
      <c r="D40" s="250">
        <f>SUM(D19:D23)</f>
        <v>74964.959999999992</v>
      </c>
      <c r="F40" s="399"/>
      <c r="AD40" s="400"/>
      <c r="AG40" s="400"/>
    </row>
    <row r="41" spans="1:33" x14ac:dyDescent="0.2">
      <c r="A41" s="399"/>
      <c r="B41" s="329" t="s">
        <v>37</v>
      </c>
      <c r="C41" s="250">
        <f>C39-C40</f>
        <v>22888.445</v>
      </c>
      <c r="D41" s="250">
        <f>D39-D40</f>
        <v>36923.040000000008</v>
      </c>
      <c r="F41" s="399"/>
      <c r="AD41" s="400"/>
      <c r="AG41" s="400"/>
    </row>
    <row r="42" spans="1:33" x14ac:dyDescent="0.2">
      <c r="A42" s="399"/>
      <c r="F42" s="399"/>
      <c r="AD42" s="400"/>
      <c r="AG42" s="400"/>
    </row>
    <row r="43" spans="1:33" x14ac:dyDescent="0.2">
      <c r="A43" s="399"/>
      <c r="F43" s="399"/>
      <c r="AD43" s="400"/>
      <c r="AG43" s="400"/>
    </row>
    <row r="44" spans="1:33" x14ac:dyDescent="0.2">
      <c r="A44" s="399"/>
      <c r="F44" s="399"/>
      <c r="AD44" s="400"/>
      <c r="AG44" s="400"/>
    </row>
    <row r="45" spans="1:33" x14ac:dyDescent="0.2">
      <c r="A45" s="399"/>
      <c r="F45" s="399"/>
      <c r="AD45" s="400"/>
      <c r="AG45" s="400"/>
    </row>
    <row r="46" spans="1:33" x14ac:dyDescent="0.2">
      <c r="A46" s="399"/>
      <c r="F46" s="399"/>
      <c r="G46" s="13" t="s">
        <v>54</v>
      </c>
      <c r="S46" s="13" t="s">
        <v>55</v>
      </c>
      <c r="AD46" s="400"/>
      <c r="AG46" s="400"/>
    </row>
    <row r="47" spans="1:33" x14ac:dyDescent="0.2">
      <c r="A47" s="399"/>
      <c r="F47" s="399"/>
      <c r="AD47" s="400"/>
      <c r="AG47" s="400"/>
    </row>
    <row r="48" spans="1:33" x14ac:dyDescent="0.2">
      <c r="A48" s="399"/>
      <c r="F48" s="399"/>
      <c r="G48" s="403">
        <f>C41</f>
        <v>22888.445</v>
      </c>
      <c r="H48" s="402">
        <v>-1E-3</v>
      </c>
      <c r="I48" s="402">
        <v>-2E-3</v>
      </c>
      <c r="J48" s="402">
        <v>-3.0000000000000001E-3</v>
      </c>
      <c r="K48" s="402">
        <v>-4.0000000000000001E-3</v>
      </c>
      <c r="L48" s="402">
        <v>-5.0000000000000001E-3</v>
      </c>
      <c r="M48" s="402">
        <v>-6.0000000000000001E-3</v>
      </c>
      <c r="N48" s="402">
        <v>-7.0000000000000001E-3</v>
      </c>
      <c r="O48" s="402">
        <v>-8.0000000000000002E-3</v>
      </c>
      <c r="P48" s="402">
        <v>-8.9999999999999993E-3</v>
      </c>
      <c r="Q48" s="402">
        <v>-0.01</v>
      </c>
      <c r="S48" s="403">
        <f>D41</f>
        <v>36923.040000000008</v>
      </c>
      <c r="T48" s="402">
        <v>-1E-4</v>
      </c>
      <c r="U48" s="402">
        <v>-2.0000000000000001E-4</v>
      </c>
      <c r="V48" s="402">
        <v>-2.9999999999999997E-4</v>
      </c>
      <c r="W48" s="402">
        <v>-4.0000000000000002E-4</v>
      </c>
      <c r="X48" s="402">
        <v>-5.0000000000000001E-4</v>
      </c>
      <c r="Y48" s="402">
        <v>-5.9999999999999995E-4</v>
      </c>
      <c r="Z48" s="402">
        <v>-6.9999999999999999E-4</v>
      </c>
      <c r="AA48" s="402">
        <v>-8.0000000000000004E-4</v>
      </c>
      <c r="AB48" s="402">
        <v>-8.9999999999999998E-4</v>
      </c>
      <c r="AC48" s="402">
        <v>-1E-3</v>
      </c>
      <c r="AD48" s="400"/>
      <c r="AG48" s="400"/>
    </row>
    <row r="49" spans="1:33" x14ac:dyDescent="0.2">
      <c r="A49" s="399"/>
      <c r="F49" s="399"/>
      <c r="G49" s="405">
        <v>0.3</v>
      </c>
      <c r="H49" s="132">
        <f t="dataTable" ref="H49:Q59" dt2D="1" dtr="1" r1="C27" r2="C22" ca="1"/>
        <v>28535.794999999998</v>
      </c>
      <c r="I49" s="132">
        <v>26250.994999999995</v>
      </c>
      <c r="J49" s="132">
        <v>23989.994999999995</v>
      </c>
      <c r="K49" s="132">
        <v>21705.195000000007</v>
      </c>
      <c r="L49" s="251">
        <v>19420.395000000004</v>
      </c>
      <c r="M49" s="132">
        <v>17159.395000000004</v>
      </c>
      <c r="N49" s="132">
        <v>14874.595000000001</v>
      </c>
      <c r="O49" s="132">
        <v>12589.795000000002</v>
      </c>
      <c r="P49" s="132">
        <v>10304.995000000003</v>
      </c>
      <c r="Q49" s="132">
        <v>8043.9950000000026</v>
      </c>
      <c r="S49" s="405">
        <v>0.3</v>
      </c>
      <c r="T49" s="132">
        <f t="dataTable" ref="T49:AC59" dt2D="1" dtr="1" r1="D27" r2="C22" ca="1"/>
        <v>43182.720000000001</v>
      </c>
      <c r="U49" s="132">
        <v>42865.200000000012</v>
      </c>
      <c r="V49" s="132">
        <v>42574.14</v>
      </c>
      <c r="W49" s="132">
        <v>42256.619999999995</v>
      </c>
      <c r="X49" s="251">
        <v>41965.56</v>
      </c>
      <c r="Y49" s="132">
        <v>41648.040000000008</v>
      </c>
      <c r="Z49" s="132">
        <v>41356.98000000001</v>
      </c>
      <c r="AA49" s="132">
        <v>41039.459999999992</v>
      </c>
      <c r="AB49" s="132">
        <v>40748.399999999994</v>
      </c>
      <c r="AC49" s="132">
        <v>40457.339999999997</v>
      </c>
      <c r="AD49" s="400"/>
      <c r="AG49" s="400"/>
    </row>
    <row r="50" spans="1:33" x14ac:dyDescent="0.2">
      <c r="A50" s="399"/>
      <c r="F50" s="399"/>
      <c r="G50" s="405">
        <v>0.28999999999999998</v>
      </c>
      <c r="H50" s="132">
        <v>29554.955000000002</v>
      </c>
      <c r="I50" s="132">
        <v>27188.554999999993</v>
      </c>
      <c r="J50" s="132">
        <v>24846.805</v>
      </c>
      <c r="K50" s="132">
        <v>22480.404999999999</v>
      </c>
      <c r="L50" s="251">
        <v>20114.005000000005</v>
      </c>
      <c r="M50" s="132">
        <v>17772.255000000005</v>
      </c>
      <c r="N50" s="132">
        <v>15405.855000000003</v>
      </c>
      <c r="O50" s="132">
        <v>13039.455000000002</v>
      </c>
      <c r="P50" s="132">
        <v>10673.055</v>
      </c>
      <c r="Q50" s="132">
        <v>8331.3050000000003</v>
      </c>
      <c r="S50" s="405">
        <v>0.28999999999999998</v>
      </c>
      <c r="T50" s="132">
        <v>44724.960000000006</v>
      </c>
      <c r="U50" s="132">
        <v>44396.100000000006</v>
      </c>
      <c r="V50" s="132">
        <v>44094.645000000004</v>
      </c>
      <c r="W50" s="132">
        <v>43765.785000000003</v>
      </c>
      <c r="X50" s="251">
        <v>43464.330000000016</v>
      </c>
      <c r="Y50" s="132">
        <v>43135.47</v>
      </c>
      <c r="Z50" s="132">
        <v>42834.014999999999</v>
      </c>
      <c r="AA50" s="132">
        <v>42505.154999999999</v>
      </c>
      <c r="AB50" s="132">
        <v>42203.700000000012</v>
      </c>
      <c r="AC50" s="132">
        <v>41902.24500000001</v>
      </c>
      <c r="AD50" s="400"/>
      <c r="AG50" s="400"/>
    </row>
    <row r="51" spans="1:33" x14ac:dyDescent="0.2">
      <c r="A51" s="399"/>
      <c r="F51" s="399"/>
      <c r="G51" s="405">
        <v>0.28000000000000003</v>
      </c>
      <c r="H51" s="132">
        <v>30574.114999999991</v>
      </c>
      <c r="I51" s="132">
        <v>28126.114999999991</v>
      </c>
      <c r="J51" s="132">
        <v>25703.614999999998</v>
      </c>
      <c r="K51" s="132">
        <v>23255.615000000005</v>
      </c>
      <c r="L51" s="251">
        <v>20807.614999999998</v>
      </c>
      <c r="M51" s="132">
        <v>18385.114999999998</v>
      </c>
      <c r="N51" s="132">
        <v>15937.114999999998</v>
      </c>
      <c r="O51" s="132">
        <v>13489.115000000002</v>
      </c>
      <c r="P51" s="132">
        <v>11041.114999999998</v>
      </c>
      <c r="Q51" s="132">
        <v>8618.614999999998</v>
      </c>
      <c r="S51" s="405">
        <v>0.28000000000000003</v>
      </c>
      <c r="T51" s="132">
        <v>46267.200000000012</v>
      </c>
      <c r="U51" s="132">
        <v>45927</v>
      </c>
      <c r="V51" s="132">
        <v>45615.149999999994</v>
      </c>
      <c r="W51" s="132">
        <v>45274.95</v>
      </c>
      <c r="X51" s="251">
        <v>44963.100000000006</v>
      </c>
      <c r="Y51" s="132">
        <v>44622.899999999994</v>
      </c>
      <c r="Z51" s="132">
        <v>44311.049999999988</v>
      </c>
      <c r="AA51" s="132">
        <v>43970.849999999991</v>
      </c>
      <c r="AB51" s="132">
        <v>43659</v>
      </c>
      <c r="AC51" s="132">
        <v>43347.149999999994</v>
      </c>
      <c r="AD51" s="400"/>
      <c r="AG51" s="400"/>
    </row>
    <row r="52" spans="1:33" x14ac:dyDescent="0.2">
      <c r="A52" s="399"/>
      <c r="F52" s="399"/>
      <c r="G52" s="405">
        <v>0.27</v>
      </c>
      <c r="H52" s="132">
        <v>31593.274999999994</v>
      </c>
      <c r="I52" s="132">
        <v>29063.675000000003</v>
      </c>
      <c r="J52" s="132">
        <v>26560.425000000003</v>
      </c>
      <c r="K52" s="132">
        <v>24030.824999999997</v>
      </c>
      <c r="L52" s="251">
        <v>21501.224999999999</v>
      </c>
      <c r="M52" s="132">
        <v>18997.974999999999</v>
      </c>
      <c r="N52" s="132">
        <v>16468.375</v>
      </c>
      <c r="O52" s="132">
        <v>13938.775000000001</v>
      </c>
      <c r="P52" s="132">
        <v>11409.174999999999</v>
      </c>
      <c r="Q52" s="132">
        <v>8905.9249999999993</v>
      </c>
      <c r="S52" s="405">
        <v>0.27</v>
      </c>
      <c r="T52" s="132">
        <v>47809.440000000002</v>
      </c>
      <c r="U52" s="132">
        <v>47457.899999999994</v>
      </c>
      <c r="V52" s="132">
        <v>47135.654999999999</v>
      </c>
      <c r="W52" s="132">
        <v>46784.114999999991</v>
      </c>
      <c r="X52" s="251">
        <v>46461.869999999995</v>
      </c>
      <c r="Y52" s="132">
        <v>46110.33</v>
      </c>
      <c r="Z52" s="132">
        <v>45788.084999999992</v>
      </c>
      <c r="AA52" s="132">
        <v>45436.544999999998</v>
      </c>
      <c r="AB52" s="132">
        <v>45114.299999999988</v>
      </c>
      <c r="AC52" s="132">
        <v>44792.054999999993</v>
      </c>
      <c r="AD52" s="400"/>
      <c r="AG52" s="400"/>
    </row>
    <row r="53" spans="1:33" x14ac:dyDescent="0.2">
      <c r="A53" s="399"/>
      <c r="F53" s="399"/>
      <c r="G53" s="405">
        <v>0.26</v>
      </c>
      <c r="H53" s="132">
        <v>32612.434999999998</v>
      </c>
      <c r="I53" s="132">
        <v>30001.235000000001</v>
      </c>
      <c r="J53" s="132">
        <v>27417.235000000001</v>
      </c>
      <c r="K53" s="132">
        <v>24806.035000000003</v>
      </c>
      <c r="L53" s="251">
        <v>22194.834999999999</v>
      </c>
      <c r="M53" s="132">
        <v>19610.834999999999</v>
      </c>
      <c r="N53" s="132">
        <v>16999.635000000002</v>
      </c>
      <c r="O53" s="132">
        <v>14388.435000000005</v>
      </c>
      <c r="P53" s="132">
        <v>11777.235000000001</v>
      </c>
      <c r="Q53" s="132">
        <v>9193.2350000000006</v>
      </c>
      <c r="S53" s="405">
        <v>0.26</v>
      </c>
      <c r="T53" s="132">
        <v>49351.680000000008</v>
      </c>
      <c r="U53" s="132">
        <v>48988.800000000003</v>
      </c>
      <c r="V53" s="132">
        <v>48656.160000000003</v>
      </c>
      <c r="W53" s="132">
        <v>48293.279999999999</v>
      </c>
      <c r="X53" s="251">
        <v>47960.639999999999</v>
      </c>
      <c r="Y53" s="132">
        <v>47597.760000000009</v>
      </c>
      <c r="Z53" s="132">
        <v>47265.119999999995</v>
      </c>
      <c r="AA53" s="132">
        <v>46902.239999999991</v>
      </c>
      <c r="AB53" s="132">
        <v>46569.600000000006</v>
      </c>
      <c r="AC53" s="132">
        <v>46236.960000000006</v>
      </c>
      <c r="AD53" s="400"/>
      <c r="AG53" s="400"/>
    </row>
    <row r="54" spans="1:33" x14ac:dyDescent="0.2">
      <c r="A54" s="399"/>
      <c r="F54" s="399"/>
      <c r="G54" s="405">
        <v>0.25</v>
      </c>
      <c r="H54" s="251">
        <v>33631.595000000001</v>
      </c>
      <c r="I54" s="251">
        <v>30938.794999999998</v>
      </c>
      <c r="J54" s="251">
        <v>28274.044999999998</v>
      </c>
      <c r="K54" s="251">
        <v>25581.245000000003</v>
      </c>
      <c r="L54" s="251">
        <v>22888.445</v>
      </c>
      <c r="M54" s="251">
        <v>20223.695</v>
      </c>
      <c r="N54" s="251">
        <v>17530.895000000004</v>
      </c>
      <c r="O54" s="251">
        <v>14838.095000000001</v>
      </c>
      <c r="P54" s="251">
        <v>12145.294999999998</v>
      </c>
      <c r="Q54" s="251">
        <v>9480.5449999999983</v>
      </c>
      <c r="S54" s="405">
        <v>0.25</v>
      </c>
      <c r="T54" s="251">
        <v>50893.920000000013</v>
      </c>
      <c r="U54" s="251">
        <v>50519.700000000012</v>
      </c>
      <c r="V54" s="251">
        <v>50176.665000000008</v>
      </c>
      <c r="W54" s="251">
        <v>49802.445000000007</v>
      </c>
      <c r="X54" s="251">
        <v>49459.41</v>
      </c>
      <c r="Y54" s="251">
        <v>49085.19</v>
      </c>
      <c r="Z54" s="251">
        <v>48742.154999999999</v>
      </c>
      <c r="AA54" s="251">
        <v>48367.934999999998</v>
      </c>
      <c r="AB54" s="251">
        <v>48024.899999999994</v>
      </c>
      <c r="AC54" s="251">
        <v>47681.865000000005</v>
      </c>
      <c r="AD54" s="400"/>
      <c r="AG54" s="400"/>
    </row>
    <row r="55" spans="1:33" x14ac:dyDescent="0.2">
      <c r="A55" s="399"/>
      <c r="F55" s="399"/>
      <c r="G55" s="405">
        <v>0.24</v>
      </c>
      <c r="H55" s="132">
        <v>34650.755000000005</v>
      </c>
      <c r="I55" s="132">
        <v>31876.354999999996</v>
      </c>
      <c r="J55" s="132">
        <v>29130.854999999996</v>
      </c>
      <c r="K55" s="132">
        <v>26356.455000000002</v>
      </c>
      <c r="L55" s="251">
        <v>23582.055</v>
      </c>
      <c r="M55" s="132">
        <v>20836.555</v>
      </c>
      <c r="N55" s="132">
        <v>18062.154999999999</v>
      </c>
      <c r="O55" s="132">
        <v>15287.754999999997</v>
      </c>
      <c r="P55" s="132">
        <v>12513.355000000003</v>
      </c>
      <c r="Q55" s="132">
        <v>9767.8549999999996</v>
      </c>
      <c r="S55" s="405">
        <v>0.24</v>
      </c>
      <c r="T55" s="132">
        <v>52436.160000000003</v>
      </c>
      <c r="U55" s="132">
        <v>52050.600000000006</v>
      </c>
      <c r="V55" s="132">
        <v>51697.170000000013</v>
      </c>
      <c r="W55" s="132">
        <v>51311.61</v>
      </c>
      <c r="X55" s="251">
        <v>50958.180000000008</v>
      </c>
      <c r="Y55" s="132">
        <v>50572.619999999995</v>
      </c>
      <c r="Z55" s="132">
        <v>50219.19</v>
      </c>
      <c r="AA55" s="132">
        <v>49833.630000000005</v>
      </c>
      <c r="AB55" s="132">
        <v>49480.200000000012</v>
      </c>
      <c r="AC55" s="132">
        <v>49126.770000000004</v>
      </c>
      <c r="AD55" s="400"/>
      <c r="AG55" s="400"/>
    </row>
    <row r="56" spans="1:33" x14ac:dyDescent="0.2">
      <c r="A56" s="399"/>
      <c r="F56" s="399"/>
      <c r="G56" s="405">
        <v>0.23</v>
      </c>
      <c r="H56" s="132">
        <v>35669.914999999994</v>
      </c>
      <c r="I56" s="132">
        <v>32813.914999999994</v>
      </c>
      <c r="J56" s="132">
        <v>29987.664999999994</v>
      </c>
      <c r="K56" s="132">
        <v>27131.665000000001</v>
      </c>
      <c r="L56" s="251">
        <v>24275.665000000001</v>
      </c>
      <c r="M56" s="132">
        <v>21449.415000000001</v>
      </c>
      <c r="N56" s="132">
        <v>18593.415000000001</v>
      </c>
      <c r="O56" s="132">
        <v>15737.415000000001</v>
      </c>
      <c r="P56" s="132">
        <v>12881.415000000001</v>
      </c>
      <c r="Q56" s="132">
        <v>10055.165000000001</v>
      </c>
      <c r="S56" s="405">
        <v>0.23</v>
      </c>
      <c r="T56" s="132">
        <v>53978.399999999994</v>
      </c>
      <c r="U56" s="132">
        <v>53581.5</v>
      </c>
      <c r="V56" s="132">
        <v>53217.675000000003</v>
      </c>
      <c r="W56" s="132">
        <v>52820.774999999994</v>
      </c>
      <c r="X56" s="251">
        <v>52456.950000000012</v>
      </c>
      <c r="Y56" s="132">
        <v>52060.05</v>
      </c>
      <c r="Z56" s="132">
        <v>51696.225000000006</v>
      </c>
      <c r="AA56" s="132">
        <v>51299.324999999997</v>
      </c>
      <c r="AB56" s="132">
        <v>50935.5</v>
      </c>
      <c r="AC56" s="132">
        <v>50571.675000000003</v>
      </c>
      <c r="AD56" s="400"/>
      <c r="AG56" s="400"/>
    </row>
    <row r="57" spans="1:33" x14ac:dyDescent="0.2">
      <c r="A57" s="399"/>
      <c r="F57" s="399"/>
      <c r="G57" s="405">
        <v>0.22</v>
      </c>
      <c r="H57" s="132">
        <v>36689.074999999997</v>
      </c>
      <c r="I57" s="132">
        <v>33751.474999999999</v>
      </c>
      <c r="J57" s="132">
        <v>30844.474999999999</v>
      </c>
      <c r="K57" s="132">
        <v>27906.875</v>
      </c>
      <c r="L57" s="251">
        <v>24969.274999999994</v>
      </c>
      <c r="M57" s="132">
        <v>22062.274999999994</v>
      </c>
      <c r="N57" s="132">
        <v>19124.675000000003</v>
      </c>
      <c r="O57" s="132">
        <v>16187.075000000001</v>
      </c>
      <c r="P57" s="132">
        <v>13249.474999999999</v>
      </c>
      <c r="Q57" s="132">
        <v>10342.474999999999</v>
      </c>
      <c r="S57" s="405">
        <v>0.22</v>
      </c>
      <c r="T57" s="132">
        <v>55520.640000000014</v>
      </c>
      <c r="U57" s="132">
        <v>55112.399999999994</v>
      </c>
      <c r="V57" s="132">
        <v>54738.179999999993</v>
      </c>
      <c r="W57" s="132">
        <v>54329.94</v>
      </c>
      <c r="X57" s="251">
        <v>53955.72</v>
      </c>
      <c r="Y57" s="132">
        <v>53547.48000000001</v>
      </c>
      <c r="Z57" s="132">
        <v>53173.259999999995</v>
      </c>
      <c r="AA57" s="132">
        <v>52765.01999999999</v>
      </c>
      <c r="AB57" s="132">
        <v>52390.8</v>
      </c>
      <c r="AC57" s="132">
        <v>52016.58</v>
      </c>
      <c r="AD57" s="400"/>
      <c r="AG57" s="400"/>
    </row>
    <row r="58" spans="1:33" x14ac:dyDescent="0.2">
      <c r="A58" s="399"/>
      <c r="F58" s="399"/>
      <c r="G58" s="405">
        <v>0.21</v>
      </c>
      <c r="H58" s="132">
        <v>37708.235000000001</v>
      </c>
      <c r="I58" s="132">
        <v>34689.035000000003</v>
      </c>
      <c r="J58" s="132">
        <v>31701.285000000003</v>
      </c>
      <c r="K58" s="132">
        <v>28682.085000000006</v>
      </c>
      <c r="L58" s="251">
        <v>25662.885000000002</v>
      </c>
      <c r="M58" s="132">
        <v>22675.135000000002</v>
      </c>
      <c r="N58" s="132">
        <v>19655.934999999998</v>
      </c>
      <c r="O58" s="132">
        <v>16636.735000000001</v>
      </c>
      <c r="P58" s="132">
        <v>13617.535000000003</v>
      </c>
      <c r="Q58" s="132">
        <v>10629.785</v>
      </c>
      <c r="S58" s="405">
        <v>0.21</v>
      </c>
      <c r="T58" s="132">
        <v>57062.880000000005</v>
      </c>
      <c r="U58" s="132">
        <v>56643.3</v>
      </c>
      <c r="V58" s="132">
        <v>56258.684999999998</v>
      </c>
      <c r="W58" s="132">
        <v>55839.104999999996</v>
      </c>
      <c r="X58" s="251">
        <v>55454.490000000005</v>
      </c>
      <c r="Y58" s="132">
        <v>55034.91</v>
      </c>
      <c r="Z58" s="132">
        <v>54650.294999999998</v>
      </c>
      <c r="AA58" s="132">
        <v>54230.714999999997</v>
      </c>
      <c r="AB58" s="132">
        <v>53846.100000000006</v>
      </c>
      <c r="AC58" s="132">
        <v>53461.485000000015</v>
      </c>
      <c r="AD58" s="400"/>
      <c r="AG58" s="400"/>
    </row>
    <row r="59" spans="1:33" x14ac:dyDescent="0.2">
      <c r="A59" s="399"/>
      <c r="F59" s="399"/>
      <c r="G59" s="405">
        <v>0.2</v>
      </c>
      <c r="H59" s="132">
        <v>38727.395000000004</v>
      </c>
      <c r="I59" s="132">
        <v>35626.595000000001</v>
      </c>
      <c r="J59" s="132">
        <v>32558.095000000001</v>
      </c>
      <c r="K59" s="132">
        <v>29457.294999999998</v>
      </c>
      <c r="L59" s="251">
        <v>26356.494999999995</v>
      </c>
      <c r="M59" s="132">
        <v>23287.994999999995</v>
      </c>
      <c r="N59" s="132">
        <v>20187.195</v>
      </c>
      <c r="O59" s="132">
        <v>17086.395</v>
      </c>
      <c r="P59" s="132">
        <v>13985.595000000001</v>
      </c>
      <c r="Q59" s="132">
        <v>10917.095000000001</v>
      </c>
      <c r="S59" s="405">
        <v>0.2</v>
      </c>
      <c r="T59" s="132">
        <v>58605.119999999995</v>
      </c>
      <c r="U59" s="132">
        <v>58174.200000000012</v>
      </c>
      <c r="V59" s="132">
        <v>57779.19</v>
      </c>
      <c r="W59" s="132">
        <v>57348.26999999999</v>
      </c>
      <c r="X59" s="251">
        <v>56953.260000000009</v>
      </c>
      <c r="Y59" s="132">
        <v>56522.34</v>
      </c>
      <c r="Z59" s="132">
        <v>56127.33</v>
      </c>
      <c r="AA59" s="132">
        <v>55696.41</v>
      </c>
      <c r="AB59" s="132">
        <v>55301.399999999994</v>
      </c>
      <c r="AC59" s="132">
        <v>54906.39</v>
      </c>
      <c r="AD59" s="400"/>
      <c r="AG59" s="400"/>
    </row>
    <row r="60" spans="1:33" x14ac:dyDescent="0.2">
      <c r="A60" s="399"/>
      <c r="F60" s="399"/>
      <c r="AD60" s="400"/>
      <c r="AG60" s="400"/>
    </row>
    <row r="61" spans="1:33" x14ac:dyDescent="0.2">
      <c r="A61" s="399"/>
      <c r="F61" s="399"/>
      <c r="AD61" s="400"/>
      <c r="AG61" s="400"/>
    </row>
    <row r="62" spans="1:33" x14ac:dyDescent="0.2">
      <c r="A62" s="399"/>
      <c r="F62" s="399"/>
      <c r="AD62" s="400"/>
      <c r="AG62" s="400"/>
    </row>
    <row r="63" spans="1:33" x14ac:dyDescent="0.2">
      <c r="A63" s="399"/>
      <c r="F63" s="399"/>
      <c r="AD63" s="400"/>
      <c r="AG63" s="400"/>
    </row>
    <row r="64" spans="1:33" x14ac:dyDescent="0.2">
      <c r="A64" s="399"/>
      <c r="F64" s="399"/>
      <c r="AD64" s="400"/>
      <c r="AG64" s="400"/>
    </row>
    <row r="65" spans="1:33" x14ac:dyDescent="0.2">
      <c r="A65" s="399"/>
      <c r="F65" s="399"/>
      <c r="AD65" s="400"/>
      <c r="AG65" s="400"/>
    </row>
    <row r="66" spans="1:33" x14ac:dyDescent="0.2">
      <c r="A66" s="399"/>
      <c r="F66" s="399"/>
      <c r="AD66" s="400"/>
      <c r="AG66" s="400"/>
    </row>
    <row r="67" spans="1:33" x14ac:dyDescent="0.2">
      <c r="A67" s="399"/>
      <c r="F67" s="399"/>
      <c r="AD67" s="400"/>
      <c r="AG67" s="400"/>
    </row>
    <row r="68" spans="1:33" x14ac:dyDescent="0.2">
      <c r="A68" s="399"/>
      <c r="F68" s="399"/>
      <c r="AD68" s="400"/>
      <c r="AG68" s="400"/>
    </row>
    <row r="69" spans="1:33" x14ac:dyDescent="0.2">
      <c r="A69" s="399"/>
      <c r="F69" s="399"/>
      <c r="AD69" s="400"/>
      <c r="AG69" s="400"/>
    </row>
    <row r="70" spans="1:33" x14ac:dyDescent="0.2">
      <c r="A70" s="399"/>
      <c r="F70" s="399"/>
      <c r="AD70" s="400"/>
      <c r="AG70" s="400"/>
    </row>
    <row r="71" spans="1:33" x14ac:dyDescent="0.2">
      <c r="A71" s="399"/>
      <c r="F71" s="399"/>
      <c r="AD71" s="400"/>
      <c r="AG71" s="400"/>
    </row>
    <row r="72" spans="1:33" x14ac:dyDescent="0.2">
      <c r="A72" s="399"/>
      <c r="F72" s="399"/>
      <c r="AD72" s="400"/>
      <c r="AG72" s="400"/>
    </row>
    <row r="73" spans="1:33" x14ac:dyDescent="0.2">
      <c r="A73" s="399"/>
      <c r="F73" s="399"/>
      <c r="AD73" s="400"/>
      <c r="AG73" s="400"/>
    </row>
    <row r="74" spans="1:33" x14ac:dyDescent="0.2">
      <c r="A74" s="399"/>
      <c r="F74" s="399"/>
      <c r="AD74" s="400"/>
      <c r="AG74" s="400"/>
    </row>
    <row r="75" spans="1:33" x14ac:dyDescent="0.2">
      <c r="A75" s="399"/>
      <c r="F75" s="399"/>
      <c r="AD75" s="400"/>
      <c r="AG75" s="400"/>
    </row>
    <row r="76" spans="1:33" x14ac:dyDescent="0.2">
      <c r="A76" s="399"/>
      <c r="F76" s="399"/>
      <c r="AD76" s="400"/>
      <c r="AG76" s="400"/>
    </row>
    <row r="77" spans="1:33" x14ac:dyDescent="0.2">
      <c r="A77" s="399"/>
      <c r="F77" s="399"/>
      <c r="AD77" s="400"/>
      <c r="AG77" s="400"/>
    </row>
    <row r="78" spans="1:33" x14ac:dyDescent="0.2">
      <c r="A78" s="399"/>
      <c r="F78" s="399"/>
      <c r="AD78" s="400"/>
      <c r="AG78" s="400"/>
    </row>
    <row r="79" spans="1:33" x14ac:dyDescent="0.2">
      <c r="A79" s="399"/>
      <c r="F79" s="399"/>
      <c r="AD79" s="400"/>
      <c r="AG79" s="400"/>
    </row>
    <row r="80" spans="1:33" x14ac:dyDescent="0.2">
      <c r="A80" s="399"/>
      <c r="F80" s="399"/>
      <c r="AD80" s="400"/>
      <c r="AG80" s="400"/>
    </row>
    <row r="81" spans="1:33" x14ac:dyDescent="0.2">
      <c r="A81" s="399"/>
      <c r="F81" s="399"/>
      <c r="AD81" s="400"/>
      <c r="AG81" s="400"/>
    </row>
    <row r="82" spans="1:33" x14ac:dyDescent="0.2">
      <c r="A82" s="399"/>
      <c r="F82" s="399"/>
      <c r="AD82" s="400"/>
      <c r="AG82" s="400"/>
    </row>
    <row r="83" spans="1:33" x14ac:dyDescent="0.2">
      <c r="A83" s="399"/>
      <c r="F83" s="399"/>
      <c r="AD83" s="400"/>
      <c r="AG83" s="400"/>
    </row>
    <row r="84" spans="1:33" x14ac:dyDescent="0.2">
      <c r="A84" s="399"/>
      <c r="F84" s="399"/>
      <c r="G84" s="13" t="s">
        <v>56</v>
      </c>
      <c r="S84" s="13" t="s">
        <v>57</v>
      </c>
      <c r="AD84" s="400"/>
      <c r="AG84" s="400"/>
    </row>
    <row r="85" spans="1:33" x14ac:dyDescent="0.2">
      <c r="A85" s="399"/>
      <c r="F85" s="399"/>
      <c r="AD85" s="400"/>
      <c r="AG85" s="400"/>
    </row>
    <row r="86" spans="1:33" x14ac:dyDescent="0.2">
      <c r="A86" s="399"/>
      <c r="F86" s="399"/>
      <c r="G86" s="403">
        <f>C41</f>
        <v>22888.445</v>
      </c>
      <c r="H86" s="402">
        <v>-1E-3</v>
      </c>
      <c r="I86" s="402">
        <v>-2E-3</v>
      </c>
      <c r="J86" s="402">
        <v>-3.0000000000000001E-3</v>
      </c>
      <c r="K86" s="402">
        <v>-4.0000000000000001E-3</v>
      </c>
      <c r="L86" s="402">
        <v>-5.0000000000000001E-3</v>
      </c>
      <c r="M86" s="402">
        <v>-6.0000000000000001E-3</v>
      </c>
      <c r="N86" s="402">
        <v>-7.0000000000000001E-3</v>
      </c>
      <c r="O86" s="402">
        <v>-8.0000000000000002E-3</v>
      </c>
      <c r="P86" s="402">
        <v>-8.9999999999999993E-3</v>
      </c>
      <c r="Q86" s="402">
        <v>-0.01</v>
      </c>
      <c r="S86" s="403">
        <f>D41</f>
        <v>36923.040000000008</v>
      </c>
      <c r="T86" s="402">
        <v>-1E-4</v>
      </c>
      <c r="U86" s="402">
        <v>-2.0000000000000001E-4</v>
      </c>
      <c r="V86" s="402">
        <v>-2.9999999999999997E-4</v>
      </c>
      <c r="W86" s="402">
        <v>-4.0000000000000002E-4</v>
      </c>
      <c r="X86" s="402">
        <v>-5.0000000000000001E-4</v>
      </c>
      <c r="Y86" s="402">
        <v>-5.9999999999999995E-4</v>
      </c>
      <c r="Z86" s="402">
        <v>-6.9999999999999999E-4</v>
      </c>
      <c r="AA86" s="402">
        <v>-8.0000000000000004E-4</v>
      </c>
      <c r="AB86" s="402">
        <v>-8.9999999999999998E-4</v>
      </c>
      <c r="AC86" s="402">
        <v>-1E-3</v>
      </c>
      <c r="AD86" s="400"/>
      <c r="AG86" s="400"/>
    </row>
    <row r="87" spans="1:33" x14ac:dyDescent="0.2">
      <c r="A87" s="399"/>
      <c r="F87" s="399"/>
      <c r="G87" s="406">
        <v>0.14499999999999999</v>
      </c>
      <c r="H87" s="132">
        <f t="dataTable" ref="H87:Q95" dt2D="1" dtr="1" r1="C27" r2="C20" ca="1"/>
        <v>29554.955000000002</v>
      </c>
      <c r="I87" s="132">
        <v>27188.554999999993</v>
      </c>
      <c r="J87" s="132">
        <v>24846.805</v>
      </c>
      <c r="K87" s="132">
        <v>22480.404999999999</v>
      </c>
      <c r="L87" s="251">
        <v>20114.004999999997</v>
      </c>
      <c r="M87" s="132">
        <v>17772.254999999997</v>
      </c>
      <c r="N87" s="132">
        <v>15405.854999999996</v>
      </c>
      <c r="O87" s="132">
        <v>13039.455000000002</v>
      </c>
      <c r="P87" s="132">
        <v>10673.055</v>
      </c>
      <c r="Q87" s="132">
        <v>8331.3050000000003</v>
      </c>
      <c r="S87" s="406">
        <v>0.14499999999999999</v>
      </c>
      <c r="T87" s="132">
        <f t="dataTable" ref="T87:AC95" dt2D="1" dtr="1" r1="D27" r2="C20" ca="1"/>
        <v>44724.960000000006</v>
      </c>
      <c r="U87" s="132">
        <v>44396.100000000006</v>
      </c>
      <c r="V87" s="132">
        <v>44094.645000000004</v>
      </c>
      <c r="W87" s="132">
        <v>43765.785000000003</v>
      </c>
      <c r="X87" s="251">
        <v>43464.33</v>
      </c>
      <c r="Y87" s="132">
        <v>43135.47</v>
      </c>
      <c r="Z87" s="132">
        <v>42834.014999999999</v>
      </c>
      <c r="AA87" s="132">
        <v>42505.154999999999</v>
      </c>
      <c r="AB87" s="132">
        <v>42203.700000000012</v>
      </c>
      <c r="AC87" s="132">
        <v>41902.244999999995</v>
      </c>
      <c r="AD87" s="400"/>
      <c r="AG87" s="400"/>
    </row>
    <row r="88" spans="1:33" x14ac:dyDescent="0.2">
      <c r="A88" s="399"/>
      <c r="F88" s="399"/>
      <c r="G88" s="406">
        <v>0.13500000000000001</v>
      </c>
      <c r="H88" s="132">
        <v>30574.115000000005</v>
      </c>
      <c r="I88" s="132">
        <v>28126.114999999991</v>
      </c>
      <c r="J88" s="132">
        <v>25703.614999999998</v>
      </c>
      <c r="K88" s="132">
        <v>23255.615000000005</v>
      </c>
      <c r="L88" s="251">
        <v>20807.614999999998</v>
      </c>
      <c r="M88" s="132">
        <v>18385.114999999998</v>
      </c>
      <c r="N88" s="132">
        <v>15937.115000000005</v>
      </c>
      <c r="O88" s="132">
        <v>13489.114999999998</v>
      </c>
      <c r="P88" s="132">
        <v>11041.114999999998</v>
      </c>
      <c r="Q88" s="132">
        <v>8618.614999999998</v>
      </c>
      <c r="S88" s="406">
        <v>0.13500000000000001</v>
      </c>
      <c r="T88" s="132">
        <v>46267.199999999997</v>
      </c>
      <c r="U88" s="132">
        <v>45927</v>
      </c>
      <c r="V88" s="132">
        <v>45615.149999999994</v>
      </c>
      <c r="W88" s="132">
        <v>45274.95</v>
      </c>
      <c r="X88" s="251">
        <v>44963.100000000006</v>
      </c>
      <c r="Y88" s="132">
        <v>44622.899999999994</v>
      </c>
      <c r="Z88" s="132">
        <v>44311.05</v>
      </c>
      <c r="AA88" s="132">
        <v>43970.850000000006</v>
      </c>
      <c r="AB88" s="132">
        <v>43659</v>
      </c>
      <c r="AC88" s="132">
        <v>43347.149999999994</v>
      </c>
      <c r="AD88" s="400"/>
      <c r="AG88" s="400"/>
    </row>
    <row r="89" spans="1:33" x14ac:dyDescent="0.2">
      <c r="A89" s="399"/>
      <c r="F89" s="399"/>
      <c r="G89" s="406">
        <v>0.125</v>
      </c>
      <c r="H89" s="132">
        <v>31593.274999999994</v>
      </c>
      <c r="I89" s="132">
        <v>29063.675000000003</v>
      </c>
      <c r="J89" s="132">
        <v>26560.425000000003</v>
      </c>
      <c r="K89" s="132">
        <v>24030.824999999997</v>
      </c>
      <c r="L89" s="251">
        <v>21501.224999999999</v>
      </c>
      <c r="M89" s="132">
        <v>18997.974999999999</v>
      </c>
      <c r="N89" s="132">
        <v>16468.375</v>
      </c>
      <c r="O89" s="132">
        <v>13938.775000000001</v>
      </c>
      <c r="P89" s="132">
        <v>11409.174999999999</v>
      </c>
      <c r="Q89" s="132">
        <v>8905.9249999999993</v>
      </c>
      <c r="S89" s="406">
        <v>0.125</v>
      </c>
      <c r="T89" s="132">
        <v>47809.440000000002</v>
      </c>
      <c r="U89" s="132">
        <v>47457.899999999994</v>
      </c>
      <c r="V89" s="132">
        <v>47135.654999999999</v>
      </c>
      <c r="W89" s="132">
        <v>46784.114999999991</v>
      </c>
      <c r="X89" s="251">
        <v>46461.869999999995</v>
      </c>
      <c r="Y89" s="132">
        <v>46110.33</v>
      </c>
      <c r="Z89" s="132">
        <v>45788.084999999992</v>
      </c>
      <c r="AA89" s="132">
        <v>45436.544999999998</v>
      </c>
      <c r="AB89" s="132">
        <v>45114.3</v>
      </c>
      <c r="AC89" s="132">
        <v>44792.054999999993</v>
      </c>
      <c r="AD89" s="400"/>
      <c r="AG89" s="400"/>
    </row>
    <row r="90" spans="1:33" x14ac:dyDescent="0.2">
      <c r="A90" s="399"/>
      <c r="F90" s="399"/>
      <c r="G90" s="406">
        <v>0.115</v>
      </c>
      <c r="H90" s="132">
        <v>32612.434999999998</v>
      </c>
      <c r="I90" s="132">
        <v>30001.235000000001</v>
      </c>
      <c r="J90" s="132">
        <v>27417.235000000001</v>
      </c>
      <c r="K90" s="132">
        <v>24806.034999999996</v>
      </c>
      <c r="L90" s="251">
        <v>22194.834999999992</v>
      </c>
      <c r="M90" s="132">
        <v>19610.834999999992</v>
      </c>
      <c r="N90" s="132">
        <v>16999.634999999995</v>
      </c>
      <c r="O90" s="132">
        <v>14388.434999999998</v>
      </c>
      <c r="P90" s="132">
        <v>11777.235000000001</v>
      </c>
      <c r="Q90" s="132">
        <v>9193.2350000000006</v>
      </c>
      <c r="S90" s="406">
        <v>0.115</v>
      </c>
      <c r="T90" s="132">
        <v>49351.679999999993</v>
      </c>
      <c r="U90" s="132">
        <v>48988.800000000003</v>
      </c>
      <c r="V90" s="132">
        <v>48656.160000000003</v>
      </c>
      <c r="W90" s="132">
        <v>48293.279999999999</v>
      </c>
      <c r="X90" s="251">
        <v>47960.639999999999</v>
      </c>
      <c r="Y90" s="132">
        <v>47597.760000000009</v>
      </c>
      <c r="Z90" s="132">
        <v>47265.119999999995</v>
      </c>
      <c r="AA90" s="132">
        <v>46902.239999999991</v>
      </c>
      <c r="AB90" s="132">
        <v>46569.600000000006</v>
      </c>
      <c r="AC90" s="132">
        <v>46236.959999999992</v>
      </c>
      <c r="AD90" s="400"/>
      <c r="AG90" s="400"/>
    </row>
    <row r="91" spans="1:33" x14ac:dyDescent="0.2">
      <c r="A91" s="399"/>
      <c r="F91" s="399"/>
      <c r="G91" s="406">
        <v>0.105</v>
      </c>
      <c r="H91" s="251">
        <v>33631.595000000001</v>
      </c>
      <c r="I91" s="251">
        <v>30938.794999999998</v>
      </c>
      <c r="J91" s="251">
        <v>28274.044999999998</v>
      </c>
      <c r="K91" s="251">
        <v>25581.245000000003</v>
      </c>
      <c r="L91" s="251">
        <v>22888.445</v>
      </c>
      <c r="M91" s="251">
        <v>20223.695</v>
      </c>
      <c r="N91" s="251">
        <v>17530.895000000004</v>
      </c>
      <c r="O91" s="251">
        <v>14838.095000000001</v>
      </c>
      <c r="P91" s="251">
        <v>12145.294999999998</v>
      </c>
      <c r="Q91" s="251">
        <v>9480.5449999999983</v>
      </c>
      <c r="S91" s="406">
        <v>0.105</v>
      </c>
      <c r="T91" s="251">
        <v>50893.920000000013</v>
      </c>
      <c r="U91" s="251">
        <v>50519.700000000012</v>
      </c>
      <c r="V91" s="251">
        <v>50176.665000000008</v>
      </c>
      <c r="W91" s="251">
        <v>49802.445000000007</v>
      </c>
      <c r="X91" s="251">
        <v>49459.41</v>
      </c>
      <c r="Y91" s="251">
        <v>49085.19</v>
      </c>
      <c r="Z91" s="251">
        <v>48742.154999999999</v>
      </c>
      <c r="AA91" s="251">
        <v>48367.934999999998</v>
      </c>
      <c r="AB91" s="251">
        <v>48024.899999999994</v>
      </c>
      <c r="AC91" s="251">
        <v>47681.865000000005</v>
      </c>
      <c r="AD91" s="400"/>
      <c r="AG91" s="400"/>
    </row>
    <row r="92" spans="1:33" x14ac:dyDescent="0.2">
      <c r="A92" s="399"/>
      <c r="F92" s="399"/>
      <c r="G92" s="406">
        <v>9.5000000000000001E-2</v>
      </c>
      <c r="H92" s="132">
        <v>34650.755000000005</v>
      </c>
      <c r="I92" s="132">
        <v>31876.354999999996</v>
      </c>
      <c r="J92" s="132">
        <v>29130.854999999996</v>
      </c>
      <c r="K92" s="132">
        <v>26356.455000000002</v>
      </c>
      <c r="L92" s="251">
        <v>23582.054999999993</v>
      </c>
      <c r="M92" s="132">
        <v>20836.554999999993</v>
      </c>
      <c r="N92" s="132">
        <v>18062.154999999999</v>
      </c>
      <c r="O92" s="132">
        <v>15287.755000000001</v>
      </c>
      <c r="P92" s="132">
        <v>12513.355</v>
      </c>
      <c r="Q92" s="132">
        <v>9767.8549999999996</v>
      </c>
      <c r="S92" s="406">
        <v>9.5000000000000001E-2</v>
      </c>
      <c r="T92" s="132">
        <v>52436.160000000003</v>
      </c>
      <c r="U92" s="132">
        <v>52050.600000000006</v>
      </c>
      <c r="V92" s="132">
        <v>51697.17</v>
      </c>
      <c r="W92" s="132">
        <v>51311.61</v>
      </c>
      <c r="X92" s="251">
        <v>50958.179999999993</v>
      </c>
      <c r="Y92" s="132">
        <v>50572.619999999995</v>
      </c>
      <c r="Z92" s="132">
        <v>50219.19</v>
      </c>
      <c r="AA92" s="132">
        <v>49833.630000000005</v>
      </c>
      <c r="AB92" s="132">
        <v>49480.200000000012</v>
      </c>
      <c r="AC92" s="132">
        <v>49126.770000000004</v>
      </c>
      <c r="AD92" s="400"/>
      <c r="AG92" s="400"/>
    </row>
    <row r="93" spans="1:33" x14ac:dyDescent="0.2">
      <c r="A93" s="399"/>
      <c r="F93" s="399"/>
      <c r="G93" s="406">
        <v>8.5000000000000006E-2</v>
      </c>
      <c r="H93" s="132">
        <v>35669.915000000008</v>
      </c>
      <c r="I93" s="132">
        <v>32813.915000000001</v>
      </c>
      <c r="J93" s="132">
        <v>29987.665000000001</v>
      </c>
      <c r="K93" s="132">
        <v>27131.665000000001</v>
      </c>
      <c r="L93" s="251">
        <v>24275.665000000001</v>
      </c>
      <c r="M93" s="132">
        <v>21449.415000000001</v>
      </c>
      <c r="N93" s="132">
        <v>18593.415000000001</v>
      </c>
      <c r="O93" s="132">
        <v>15737.415000000001</v>
      </c>
      <c r="P93" s="132">
        <v>12881.415000000001</v>
      </c>
      <c r="Q93" s="132">
        <v>10055.165000000001</v>
      </c>
      <c r="S93" s="406">
        <v>8.5000000000000006E-2</v>
      </c>
      <c r="T93" s="132">
        <v>53978.399999999994</v>
      </c>
      <c r="U93" s="132">
        <v>53581.5</v>
      </c>
      <c r="V93" s="132">
        <v>53217.674999999988</v>
      </c>
      <c r="W93" s="132">
        <v>52820.774999999994</v>
      </c>
      <c r="X93" s="251">
        <v>52456.950000000012</v>
      </c>
      <c r="Y93" s="132">
        <v>52060.05</v>
      </c>
      <c r="Z93" s="132">
        <v>51696.225000000006</v>
      </c>
      <c r="AA93" s="132">
        <v>51299.324999999997</v>
      </c>
      <c r="AB93" s="132">
        <v>50935.5</v>
      </c>
      <c r="AC93" s="132">
        <v>50571.675000000003</v>
      </c>
      <c r="AD93" s="400"/>
      <c r="AG93" s="400"/>
    </row>
    <row r="94" spans="1:33" x14ac:dyDescent="0.2">
      <c r="A94" s="399"/>
      <c r="F94" s="399"/>
      <c r="G94" s="406">
        <v>7.4999999999999997E-2</v>
      </c>
      <c r="H94" s="132">
        <v>36689.074999999997</v>
      </c>
      <c r="I94" s="132">
        <v>33751.474999999999</v>
      </c>
      <c r="J94" s="132">
        <v>30844.474999999999</v>
      </c>
      <c r="K94" s="132">
        <v>27906.875</v>
      </c>
      <c r="L94" s="251">
        <v>24969.274999999994</v>
      </c>
      <c r="M94" s="132">
        <v>22062.274999999994</v>
      </c>
      <c r="N94" s="132">
        <v>19124.675000000003</v>
      </c>
      <c r="O94" s="132">
        <v>16187.074999999997</v>
      </c>
      <c r="P94" s="132">
        <v>13249.474999999999</v>
      </c>
      <c r="Q94" s="132">
        <v>10342.474999999999</v>
      </c>
      <c r="S94" s="406">
        <v>7.4999999999999997E-2</v>
      </c>
      <c r="T94" s="132">
        <v>55520.639999999999</v>
      </c>
      <c r="U94" s="132">
        <v>55112.399999999994</v>
      </c>
      <c r="V94" s="132">
        <v>54738.179999999993</v>
      </c>
      <c r="W94" s="132">
        <v>54329.94</v>
      </c>
      <c r="X94" s="251">
        <v>53955.72</v>
      </c>
      <c r="Y94" s="132">
        <v>53547.48000000001</v>
      </c>
      <c r="Z94" s="132">
        <v>53173.260000000009</v>
      </c>
      <c r="AA94" s="132">
        <v>52765.01999999999</v>
      </c>
      <c r="AB94" s="132">
        <v>52390.8</v>
      </c>
      <c r="AC94" s="132">
        <v>52016.58</v>
      </c>
      <c r="AD94" s="400"/>
      <c r="AG94" s="400"/>
    </row>
    <row r="95" spans="1:33" x14ac:dyDescent="0.2">
      <c r="A95" s="399"/>
      <c r="F95" s="399"/>
      <c r="G95" s="406">
        <v>6.5000000000000002E-2</v>
      </c>
      <c r="H95" s="132">
        <v>37708.235000000001</v>
      </c>
      <c r="I95" s="132">
        <v>34689.035000000003</v>
      </c>
      <c r="J95" s="132">
        <v>31701.285000000003</v>
      </c>
      <c r="K95" s="132">
        <v>28682.085000000006</v>
      </c>
      <c r="L95" s="251">
        <v>25662.884999999995</v>
      </c>
      <c r="M95" s="132">
        <v>22675.134999999995</v>
      </c>
      <c r="N95" s="132">
        <v>19655.934999999998</v>
      </c>
      <c r="O95" s="132">
        <v>16636.735000000001</v>
      </c>
      <c r="P95" s="132">
        <v>13617.534999999996</v>
      </c>
      <c r="Q95" s="132">
        <v>10629.784999999996</v>
      </c>
      <c r="S95" s="406">
        <v>6.5000000000000002E-2</v>
      </c>
      <c r="T95" s="132">
        <v>57062.880000000005</v>
      </c>
      <c r="U95" s="132">
        <v>56643.3</v>
      </c>
      <c r="V95" s="132">
        <v>56258.684999999998</v>
      </c>
      <c r="W95" s="132">
        <v>55839.104999999996</v>
      </c>
      <c r="X95" s="251">
        <v>55454.490000000005</v>
      </c>
      <c r="Y95" s="132">
        <v>55034.91</v>
      </c>
      <c r="Z95" s="132">
        <v>54650.294999999998</v>
      </c>
      <c r="AA95" s="132">
        <v>54230.714999999997</v>
      </c>
      <c r="AB95" s="132">
        <v>53846.100000000006</v>
      </c>
      <c r="AC95" s="132">
        <v>53461.485000000001</v>
      </c>
      <c r="AD95" s="400"/>
      <c r="AG95" s="400"/>
    </row>
    <row r="96" spans="1:33" x14ac:dyDescent="0.2">
      <c r="A96" s="399"/>
      <c r="F96" s="399"/>
      <c r="AD96" s="400"/>
      <c r="AG96" s="400"/>
    </row>
    <row r="97" spans="1:33" x14ac:dyDescent="0.2">
      <c r="A97" s="399"/>
      <c r="F97" s="399"/>
      <c r="AD97" s="400"/>
      <c r="AG97" s="400"/>
    </row>
    <row r="98" spans="1:33" x14ac:dyDescent="0.2">
      <c r="A98" s="399"/>
      <c r="F98" s="399"/>
      <c r="AD98" s="400"/>
      <c r="AG98" s="400"/>
    </row>
    <row r="99" spans="1:33" x14ac:dyDescent="0.2">
      <c r="A99" s="399"/>
      <c r="F99" s="399"/>
      <c r="AD99" s="400"/>
      <c r="AG99" s="400"/>
    </row>
    <row r="100" spans="1:33" x14ac:dyDescent="0.2">
      <c r="A100" s="399"/>
      <c r="F100" s="399"/>
      <c r="AD100" s="400"/>
      <c r="AG100" s="400"/>
    </row>
    <row r="101" spans="1:33" x14ac:dyDescent="0.2">
      <c r="A101" s="399"/>
      <c r="F101" s="399"/>
      <c r="AD101" s="400"/>
      <c r="AG101" s="400"/>
    </row>
    <row r="102" spans="1:33" x14ac:dyDescent="0.2">
      <c r="A102" s="399"/>
      <c r="F102" s="399"/>
      <c r="AD102" s="400"/>
      <c r="AG102" s="400"/>
    </row>
    <row r="103" spans="1:33" x14ac:dyDescent="0.2">
      <c r="A103" s="399"/>
      <c r="F103" s="399"/>
      <c r="AD103" s="400"/>
      <c r="AG103" s="400"/>
    </row>
    <row r="104" spans="1:33" x14ac:dyDescent="0.2">
      <c r="A104" s="399"/>
      <c r="F104" s="399"/>
      <c r="AD104" s="400"/>
      <c r="AG104" s="400"/>
    </row>
    <row r="105" spans="1:33" x14ac:dyDescent="0.2">
      <c r="A105" s="399"/>
      <c r="F105" s="399"/>
      <c r="AD105" s="400"/>
      <c r="AG105" s="400"/>
    </row>
    <row r="106" spans="1:33" x14ac:dyDescent="0.2">
      <c r="A106" s="399"/>
      <c r="F106" s="399"/>
      <c r="AD106" s="400"/>
      <c r="AG106" s="400"/>
    </row>
    <row r="107" spans="1:33" x14ac:dyDescent="0.2">
      <c r="A107" s="399"/>
      <c r="F107" s="399"/>
      <c r="AD107" s="400"/>
      <c r="AG107" s="400"/>
    </row>
    <row r="108" spans="1:33" x14ac:dyDescent="0.2">
      <c r="A108" s="399"/>
      <c r="F108" s="399"/>
      <c r="AD108" s="400"/>
      <c r="AG108" s="400"/>
    </row>
    <row r="109" spans="1:33" x14ac:dyDescent="0.2">
      <c r="A109" s="399"/>
      <c r="F109" s="399"/>
      <c r="AD109" s="400"/>
      <c r="AG109" s="400"/>
    </row>
    <row r="110" spans="1:33" x14ac:dyDescent="0.2">
      <c r="A110" s="399"/>
      <c r="F110" s="399"/>
      <c r="AD110" s="400"/>
      <c r="AG110" s="400"/>
    </row>
    <row r="111" spans="1:33" x14ac:dyDescent="0.2">
      <c r="A111" s="399"/>
      <c r="F111" s="399"/>
      <c r="AD111" s="400"/>
      <c r="AG111" s="400"/>
    </row>
    <row r="112" spans="1:33" x14ac:dyDescent="0.2">
      <c r="A112" s="399"/>
      <c r="F112" s="399"/>
      <c r="AD112" s="400"/>
      <c r="AG112" s="400"/>
    </row>
    <row r="113" spans="1:33" x14ac:dyDescent="0.2">
      <c r="A113" s="399"/>
      <c r="F113" s="399"/>
      <c r="AD113" s="400"/>
      <c r="AG113" s="400"/>
    </row>
    <row r="114" spans="1:33" x14ac:dyDescent="0.2">
      <c r="A114" s="399"/>
      <c r="F114" s="399"/>
      <c r="AD114" s="400"/>
      <c r="AG114" s="400"/>
    </row>
    <row r="115" spans="1:33" x14ac:dyDescent="0.2">
      <c r="A115" s="399"/>
      <c r="F115" s="399"/>
      <c r="AD115" s="400"/>
      <c r="AG115" s="400"/>
    </row>
    <row r="116" spans="1:33" x14ac:dyDescent="0.2">
      <c r="A116" s="399"/>
      <c r="F116" s="399"/>
      <c r="AD116" s="400"/>
      <c r="AG116" s="400"/>
    </row>
    <row r="117" spans="1:33" x14ac:dyDescent="0.2">
      <c r="A117" s="399"/>
      <c r="F117" s="399"/>
      <c r="AD117" s="400"/>
      <c r="AG117" s="400"/>
    </row>
    <row r="118" spans="1:33" x14ac:dyDescent="0.2">
      <c r="A118" s="399"/>
      <c r="F118" s="399"/>
      <c r="AD118" s="400"/>
      <c r="AG118" s="400"/>
    </row>
    <row r="119" spans="1:33" x14ac:dyDescent="0.2">
      <c r="A119" s="399"/>
      <c r="F119" s="399"/>
      <c r="AD119" s="400"/>
      <c r="AG119" s="400"/>
    </row>
    <row r="120" spans="1:33" x14ac:dyDescent="0.2">
      <c r="A120" s="399"/>
      <c r="F120" s="407"/>
      <c r="G120" s="408"/>
      <c r="H120" s="408"/>
      <c r="I120" s="408"/>
      <c r="J120" s="408"/>
      <c r="K120" s="408"/>
      <c r="L120" s="408"/>
      <c r="M120" s="408"/>
      <c r="N120" s="408"/>
      <c r="O120" s="408"/>
      <c r="P120" s="408"/>
      <c r="Q120" s="408"/>
      <c r="R120" s="408"/>
      <c r="S120" s="408"/>
      <c r="T120" s="408"/>
      <c r="U120" s="408"/>
      <c r="V120" s="408"/>
      <c r="W120" s="408"/>
      <c r="X120" s="408"/>
      <c r="Y120" s="408"/>
      <c r="Z120" s="408"/>
      <c r="AA120" s="408"/>
      <c r="AB120" s="408"/>
      <c r="AC120" s="408"/>
      <c r="AD120" s="409"/>
      <c r="AG120" s="400"/>
    </row>
    <row r="121" spans="1:33" x14ac:dyDescent="0.2">
      <c r="A121" s="407"/>
      <c r="B121" s="408"/>
      <c r="C121" s="408"/>
      <c r="D121" s="408"/>
      <c r="E121" s="408"/>
      <c r="F121" s="408"/>
      <c r="G121" s="408"/>
      <c r="H121" s="408"/>
      <c r="I121" s="408"/>
      <c r="J121" s="408"/>
      <c r="K121" s="408"/>
      <c r="L121" s="408"/>
      <c r="M121" s="408"/>
      <c r="N121" s="408"/>
      <c r="O121" s="408"/>
      <c r="P121" s="408"/>
      <c r="Q121" s="408"/>
      <c r="R121" s="408"/>
      <c r="S121" s="408"/>
      <c r="T121" s="408"/>
      <c r="U121" s="408"/>
      <c r="V121" s="408"/>
      <c r="W121" s="408"/>
      <c r="X121" s="408"/>
      <c r="Y121" s="408"/>
      <c r="Z121" s="408"/>
      <c r="AA121" s="408"/>
      <c r="AB121" s="408"/>
      <c r="AC121" s="408"/>
      <c r="AD121" s="408"/>
      <c r="AE121" s="408"/>
      <c r="AF121" s="408"/>
      <c r="AG121" s="409"/>
    </row>
  </sheetData>
  <mergeCells count="6">
    <mergeCell ref="C32:D32"/>
    <mergeCell ref="C10:D10"/>
    <mergeCell ref="C11:D11"/>
    <mergeCell ref="C18:D18"/>
    <mergeCell ref="C20:D20"/>
    <mergeCell ref="C22:D22"/>
  </mergeCells>
  <conditionalFormatting sqref="H14:Q20">
    <cfRule type="colorScale" priority="6">
      <colorScale>
        <cfvo type="min"/>
        <cfvo type="max"/>
        <color rgb="FFFFEF9C"/>
        <color rgb="FF63BE7B"/>
      </colorScale>
    </cfRule>
    <cfRule type="colorScale" priority="8">
      <colorScale>
        <cfvo type="min"/>
        <cfvo type="percentile" val="50"/>
        <cfvo type="max"/>
        <color rgb="FFF8696B"/>
        <color rgb="FFFFEB84"/>
        <color rgb="FF63BE7B"/>
      </colorScale>
    </cfRule>
  </conditionalFormatting>
  <conditionalFormatting sqref="T14:AC20">
    <cfRule type="colorScale" priority="5">
      <colorScale>
        <cfvo type="min"/>
        <cfvo type="max"/>
        <color rgb="FFFFEF9C"/>
        <color rgb="FF63BE7B"/>
      </colorScale>
    </cfRule>
    <cfRule type="colorScale" priority="7">
      <colorScale>
        <cfvo type="min"/>
        <cfvo type="percentile" val="50"/>
        <cfvo type="max"/>
        <color rgb="FFF8696B"/>
        <color rgb="FFFFEB84"/>
        <color rgb="FF63BE7B"/>
      </colorScale>
    </cfRule>
  </conditionalFormatting>
  <conditionalFormatting sqref="H49:Q59">
    <cfRule type="colorScale" priority="4">
      <colorScale>
        <cfvo type="min"/>
        <cfvo type="max"/>
        <color rgb="FFFFEF9C"/>
        <color rgb="FF63BE7B"/>
      </colorScale>
    </cfRule>
  </conditionalFormatting>
  <conditionalFormatting sqref="T49:AC59">
    <cfRule type="colorScale" priority="3">
      <colorScale>
        <cfvo type="min"/>
        <cfvo type="max"/>
        <color rgb="FFFFEF9C"/>
        <color rgb="FF63BE7B"/>
      </colorScale>
    </cfRule>
  </conditionalFormatting>
  <conditionalFormatting sqref="H87:Q95">
    <cfRule type="colorScale" priority="2">
      <colorScale>
        <cfvo type="min"/>
        <cfvo type="max"/>
        <color rgb="FFFFEF9C"/>
        <color rgb="FF63BE7B"/>
      </colorScale>
    </cfRule>
  </conditionalFormatting>
  <conditionalFormatting sqref="T87:AC95">
    <cfRule type="colorScale" priority="1">
      <colorScale>
        <cfvo type="min"/>
        <cfvo type="max"/>
        <color rgb="FFFFEF9C"/>
        <color rgb="FF63BE7B"/>
      </colorScale>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9F173-B517-4830-91CD-4F543727B50E}">
  <sheetPr>
    <tabColor rgb="FFFFC000"/>
  </sheetPr>
  <dimension ref="A1:AG108"/>
  <sheetViews>
    <sheetView showGridLines="0" topLeftCell="B32" zoomScale="70" zoomScaleNormal="70" workbookViewId="0">
      <selection activeCell="AE65" sqref="AE65"/>
    </sheetView>
  </sheetViews>
  <sheetFormatPr baseColWidth="10" defaultColWidth="8.83203125" defaultRowHeight="15" x14ac:dyDescent="0.2"/>
  <cols>
    <col min="2" max="2" width="41" customWidth="1"/>
    <col min="3" max="3" width="10.83203125" bestFit="1" customWidth="1"/>
    <col min="4" max="4" width="11.83203125" bestFit="1" customWidth="1"/>
    <col min="5" max="14" width="11.1640625" bestFit="1" customWidth="1"/>
    <col min="15" max="15" width="12" customWidth="1"/>
    <col min="16" max="17" width="9.83203125" bestFit="1" customWidth="1"/>
    <col min="19" max="29" width="9.83203125" bestFit="1" customWidth="1"/>
  </cols>
  <sheetData>
    <row r="1" spans="1:33" ht="37" x14ac:dyDescent="0.45">
      <c r="A1" s="396" t="s">
        <v>58</v>
      </c>
      <c r="B1" s="397"/>
      <c r="C1" s="397"/>
      <c r="D1" s="397"/>
      <c r="E1" s="397"/>
      <c r="F1" s="397"/>
      <c r="G1" s="397"/>
      <c r="H1" s="397"/>
      <c r="I1" s="397"/>
      <c r="J1" s="397"/>
      <c r="K1" s="397"/>
      <c r="L1" s="397"/>
      <c r="M1" s="397"/>
      <c r="N1" s="397"/>
      <c r="O1" s="397"/>
      <c r="P1" s="397"/>
      <c r="Q1" s="397"/>
      <c r="R1" s="397"/>
      <c r="S1" s="397"/>
      <c r="T1" s="397"/>
      <c r="U1" s="397"/>
      <c r="V1" s="397"/>
      <c r="W1" s="397"/>
      <c r="X1" s="397"/>
      <c r="Y1" s="397"/>
      <c r="Z1" s="397"/>
      <c r="AA1" s="397"/>
      <c r="AB1" s="397"/>
      <c r="AC1" s="397"/>
      <c r="AD1" s="397"/>
      <c r="AE1" s="397"/>
      <c r="AF1" s="397"/>
      <c r="AG1" s="398"/>
    </row>
    <row r="2" spans="1:33" ht="37" x14ac:dyDescent="0.45">
      <c r="A2" s="451"/>
      <c r="AG2" s="400"/>
    </row>
    <row r="3" spans="1:33" ht="37" x14ac:dyDescent="0.45">
      <c r="A3" s="451"/>
      <c r="AG3" s="400"/>
    </row>
    <row r="4" spans="1:33" ht="19" x14ac:dyDescent="0.25">
      <c r="A4" s="399"/>
      <c r="B4" s="410" t="s">
        <v>59</v>
      </c>
      <c r="C4" s="397"/>
      <c r="D4" s="411"/>
      <c r="E4" s="411"/>
      <c r="F4" s="411"/>
      <c r="G4" s="411"/>
      <c r="H4" s="411"/>
      <c r="I4" s="411"/>
      <c r="J4" s="411"/>
      <c r="K4" s="411"/>
      <c r="L4" s="411"/>
      <c r="M4" s="411"/>
      <c r="N4" s="411"/>
      <c r="O4" s="411"/>
      <c r="P4" s="411"/>
      <c r="Q4" s="411"/>
      <c r="R4" s="411"/>
      <c r="S4" s="411"/>
      <c r="T4" s="411"/>
      <c r="U4" s="411"/>
      <c r="V4" s="411"/>
      <c r="W4" s="411"/>
      <c r="X4" s="411"/>
      <c r="Y4" s="411"/>
      <c r="Z4" s="411"/>
      <c r="AA4" s="411"/>
      <c r="AB4" s="411"/>
      <c r="AC4" s="412"/>
      <c r="AG4" s="400"/>
    </row>
    <row r="5" spans="1:33" x14ac:dyDescent="0.2">
      <c r="A5" s="399"/>
      <c r="B5" s="413" t="s">
        <v>9</v>
      </c>
      <c r="AC5" s="400"/>
      <c r="AG5" s="400"/>
    </row>
    <row r="6" spans="1:33" x14ac:dyDescent="0.2">
      <c r="A6" s="399"/>
      <c r="B6" s="399"/>
      <c r="C6" s="544" t="s">
        <v>10</v>
      </c>
      <c r="D6" s="544"/>
      <c r="E6" s="544"/>
      <c r="F6" s="544"/>
      <c r="G6" s="544"/>
      <c r="H6" s="544"/>
      <c r="I6" s="544"/>
      <c r="J6" s="544"/>
      <c r="K6" s="544"/>
      <c r="L6" s="544"/>
      <c r="M6" s="544"/>
      <c r="N6" s="544"/>
      <c r="O6" s="544"/>
      <c r="AC6" s="400"/>
      <c r="AG6" s="400"/>
    </row>
    <row r="7" spans="1:33" x14ac:dyDescent="0.2">
      <c r="A7" s="399"/>
      <c r="B7" s="329" t="s">
        <v>15</v>
      </c>
      <c r="C7" s="132">
        <v>30</v>
      </c>
      <c r="D7" s="250">
        <v>35</v>
      </c>
      <c r="E7" s="250">
        <v>45</v>
      </c>
      <c r="F7" s="250">
        <v>55</v>
      </c>
      <c r="G7" s="250">
        <v>65</v>
      </c>
      <c r="H7" s="250">
        <v>75</v>
      </c>
      <c r="I7" s="452">
        <v>85</v>
      </c>
      <c r="J7" s="250">
        <v>95</v>
      </c>
      <c r="K7" s="250">
        <v>105</v>
      </c>
      <c r="L7" s="450">
        <v>115</v>
      </c>
      <c r="M7" s="250">
        <v>125</v>
      </c>
      <c r="N7" s="250">
        <v>135</v>
      </c>
      <c r="O7" s="250">
        <v>145</v>
      </c>
      <c r="AC7" s="400"/>
      <c r="AG7" s="400"/>
    </row>
    <row r="8" spans="1:33" x14ac:dyDescent="0.2">
      <c r="A8" s="399"/>
      <c r="B8" s="329" t="s">
        <v>17</v>
      </c>
      <c r="C8" s="249">
        <v>6.5</v>
      </c>
      <c r="D8" s="249">
        <v>6.5</v>
      </c>
      <c r="E8" s="249">
        <v>6.5</v>
      </c>
      <c r="F8" s="249">
        <v>6.5</v>
      </c>
      <c r="G8" s="249">
        <v>6.5</v>
      </c>
      <c r="H8" s="249">
        <v>6.5</v>
      </c>
      <c r="I8" s="249">
        <v>6.5</v>
      </c>
      <c r="J8" s="249">
        <v>6.5</v>
      </c>
      <c r="K8" s="249">
        <v>6.5</v>
      </c>
      <c r="L8" s="249">
        <v>6.5</v>
      </c>
      <c r="M8" s="249">
        <v>6.5</v>
      </c>
      <c r="N8" s="249">
        <v>6.5</v>
      </c>
      <c r="O8" s="249">
        <v>6.5</v>
      </c>
      <c r="AC8" s="400"/>
      <c r="AG8" s="400"/>
    </row>
    <row r="9" spans="1:33" x14ac:dyDescent="0.2">
      <c r="A9" s="399"/>
      <c r="B9" s="329" t="s">
        <v>19</v>
      </c>
      <c r="C9" s="8">
        <v>260</v>
      </c>
      <c r="D9" s="8">
        <v>260</v>
      </c>
      <c r="E9" s="8">
        <v>260</v>
      </c>
      <c r="F9" s="8">
        <v>260</v>
      </c>
      <c r="G9" s="8">
        <v>260</v>
      </c>
      <c r="H9" s="8">
        <v>260</v>
      </c>
      <c r="I9" s="8">
        <v>260</v>
      </c>
      <c r="J9" s="8">
        <v>260</v>
      </c>
      <c r="K9" s="8">
        <v>260</v>
      </c>
      <c r="L9" s="8">
        <v>260</v>
      </c>
      <c r="M9" s="8">
        <v>260</v>
      </c>
      <c r="N9" s="8">
        <v>260</v>
      </c>
      <c r="O9" s="8">
        <v>260</v>
      </c>
      <c r="AC9" s="400"/>
      <c r="AG9" s="400"/>
    </row>
    <row r="10" spans="1:33" x14ac:dyDescent="0.2">
      <c r="A10" s="399"/>
      <c r="B10" s="399"/>
      <c r="C10" s="30"/>
      <c r="AC10" s="400"/>
      <c r="AG10" s="400"/>
    </row>
    <row r="11" spans="1:33" x14ac:dyDescent="0.2">
      <c r="A11" s="399"/>
      <c r="B11" s="399"/>
      <c r="C11" s="30"/>
      <c r="AC11" s="400"/>
      <c r="AG11" s="400"/>
    </row>
    <row r="12" spans="1:33" x14ac:dyDescent="0.2">
      <c r="A12" s="399"/>
      <c r="B12" s="413"/>
      <c r="C12" s="30"/>
      <c r="AC12" s="400"/>
      <c r="AG12" s="400"/>
    </row>
    <row r="13" spans="1:33" x14ac:dyDescent="0.2">
      <c r="A13" s="399"/>
      <c r="B13" s="413" t="s">
        <v>20</v>
      </c>
      <c r="C13" s="30"/>
      <c r="AC13" s="400"/>
      <c r="AG13" s="400"/>
    </row>
    <row r="14" spans="1:33" x14ac:dyDescent="0.2">
      <c r="A14" s="399"/>
      <c r="B14" s="399"/>
      <c r="C14" s="544" t="s">
        <v>10</v>
      </c>
      <c r="D14" s="544"/>
      <c r="E14" s="544"/>
      <c r="F14" s="544"/>
      <c r="G14" s="544"/>
      <c r="H14" s="544"/>
      <c r="I14" s="544"/>
      <c r="J14" s="544"/>
      <c r="K14" s="544"/>
      <c r="L14" s="544"/>
      <c r="M14" s="544"/>
      <c r="N14" s="544"/>
      <c r="O14" s="544"/>
      <c r="AC14" s="400"/>
      <c r="AG14" s="400"/>
    </row>
    <row r="15" spans="1:33" x14ac:dyDescent="0.2">
      <c r="A15" s="399"/>
      <c r="B15" s="329" t="s">
        <v>22</v>
      </c>
      <c r="C15" s="252">
        <f>C25*C7+C24</f>
        <v>0.99999999999999989</v>
      </c>
      <c r="D15" s="252">
        <f t="shared" ref="D15:H15" si="0">D25*D7+D24</f>
        <v>0.97499999999999987</v>
      </c>
      <c r="E15" s="252">
        <f t="shared" si="0"/>
        <v>0.92499999999999993</v>
      </c>
      <c r="F15" s="252">
        <f>F25*F7+F24</f>
        <v>0.87499999999999989</v>
      </c>
      <c r="G15" s="252">
        <f>G25*G7+G24</f>
        <v>0.82499999999999996</v>
      </c>
      <c r="H15" s="252">
        <f t="shared" si="0"/>
        <v>0.77499999999999991</v>
      </c>
      <c r="I15" s="252">
        <f>I25*I7+I24</f>
        <v>0.72499999999999987</v>
      </c>
      <c r="J15" s="252">
        <f t="shared" ref="J15:O15" si="1">J25*J7+J24</f>
        <v>0.67499999999999982</v>
      </c>
      <c r="K15" s="252">
        <f t="shared" si="1"/>
        <v>0.62499999999999989</v>
      </c>
      <c r="L15" s="252">
        <f t="shared" si="1"/>
        <v>0.57499999999999984</v>
      </c>
      <c r="M15" s="252">
        <f t="shared" si="1"/>
        <v>0.52499999999999991</v>
      </c>
      <c r="N15" s="252">
        <f t="shared" si="1"/>
        <v>0.47499999999999987</v>
      </c>
      <c r="O15" s="252">
        <f t="shared" si="1"/>
        <v>0.42499999999999993</v>
      </c>
      <c r="AC15" s="400"/>
      <c r="AG15" s="400"/>
    </row>
    <row r="16" spans="1:33" x14ac:dyDescent="0.2">
      <c r="A16" s="399"/>
      <c r="B16" s="329" t="s">
        <v>23</v>
      </c>
      <c r="C16" s="257">
        <v>0.315</v>
      </c>
      <c r="D16" s="257">
        <v>0.315</v>
      </c>
      <c r="E16" s="257">
        <v>0.315</v>
      </c>
      <c r="F16" s="257">
        <v>0.315</v>
      </c>
      <c r="G16" s="257">
        <v>0.315</v>
      </c>
      <c r="H16" s="257">
        <v>0.315</v>
      </c>
      <c r="I16" s="257">
        <v>0.315</v>
      </c>
      <c r="J16" s="257">
        <v>0.315</v>
      </c>
      <c r="K16" s="257">
        <v>0.315</v>
      </c>
      <c r="L16" s="257">
        <v>0.315</v>
      </c>
      <c r="M16" s="257">
        <v>0.315</v>
      </c>
      <c r="N16" s="257">
        <v>0.315</v>
      </c>
      <c r="O16" s="257">
        <v>0.315</v>
      </c>
      <c r="AC16" s="400"/>
      <c r="AG16" s="400"/>
    </row>
    <row r="17" spans="1:33" x14ac:dyDescent="0.2">
      <c r="A17" s="399"/>
      <c r="B17" s="329" t="s">
        <v>24</v>
      </c>
      <c r="C17" s="250">
        <f t="shared" ref="C17:O17" si="2">C16*C37</f>
        <v>10640.7</v>
      </c>
      <c r="D17" s="250">
        <f t="shared" si="2"/>
        <v>12105.45</v>
      </c>
      <c r="E17" s="250">
        <f t="shared" si="2"/>
        <v>14756.174999999999</v>
      </c>
      <c r="F17" s="250">
        <f t="shared" si="2"/>
        <v>17065.125</v>
      </c>
      <c r="G17" s="250">
        <f t="shared" si="2"/>
        <v>19021.275000000001</v>
      </c>
      <c r="H17" s="250">
        <f t="shared" si="2"/>
        <v>20601</v>
      </c>
      <c r="I17" s="250">
        <f t="shared" si="2"/>
        <v>21848.400000000001</v>
      </c>
      <c r="J17" s="250">
        <f t="shared" si="2"/>
        <v>22743</v>
      </c>
      <c r="K17" s="250">
        <f t="shared" si="2"/>
        <v>23284.799999999999</v>
      </c>
      <c r="L17" s="250">
        <f t="shared" si="2"/>
        <v>23437.575000000001</v>
      </c>
      <c r="M17" s="250">
        <f t="shared" si="2"/>
        <v>23270.625</v>
      </c>
      <c r="N17" s="250">
        <f t="shared" si="2"/>
        <v>22750.875</v>
      </c>
      <c r="O17" s="250">
        <f t="shared" si="2"/>
        <v>21832.65</v>
      </c>
      <c r="AC17" s="400"/>
      <c r="AG17" s="400"/>
    </row>
    <row r="18" spans="1:33" x14ac:dyDescent="0.2">
      <c r="A18" s="399"/>
      <c r="B18" s="329" t="s">
        <v>25</v>
      </c>
      <c r="C18" s="252">
        <f>0.105</f>
        <v>0.105</v>
      </c>
      <c r="D18" s="252">
        <f t="shared" ref="D18:O18" si="3">0.105</f>
        <v>0.105</v>
      </c>
      <c r="E18" s="252">
        <f t="shared" si="3"/>
        <v>0.105</v>
      </c>
      <c r="F18" s="252">
        <f t="shared" si="3"/>
        <v>0.105</v>
      </c>
      <c r="G18" s="252">
        <f t="shared" si="3"/>
        <v>0.105</v>
      </c>
      <c r="H18" s="252">
        <f t="shared" si="3"/>
        <v>0.105</v>
      </c>
      <c r="I18" s="252">
        <f t="shared" si="3"/>
        <v>0.105</v>
      </c>
      <c r="J18" s="252">
        <f t="shared" si="3"/>
        <v>0.105</v>
      </c>
      <c r="K18" s="252">
        <f t="shared" si="3"/>
        <v>0.105</v>
      </c>
      <c r="L18" s="252">
        <f t="shared" si="3"/>
        <v>0.105</v>
      </c>
      <c r="M18" s="252">
        <f t="shared" si="3"/>
        <v>0.105</v>
      </c>
      <c r="N18" s="252">
        <f t="shared" si="3"/>
        <v>0.105</v>
      </c>
      <c r="O18" s="252">
        <f t="shared" si="3"/>
        <v>0.105</v>
      </c>
      <c r="AC18" s="400"/>
      <c r="AG18" s="400"/>
    </row>
    <row r="19" spans="1:33" x14ac:dyDescent="0.2">
      <c r="A19" s="399"/>
      <c r="B19" s="329" t="s">
        <v>26</v>
      </c>
      <c r="C19" s="250">
        <f t="shared" ref="C19:O19" si="4">C18*C37</f>
        <v>3546.9</v>
      </c>
      <c r="D19" s="250">
        <f t="shared" si="4"/>
        <v>4035.1499999999996</v>
      </c>
      <c r="E19" s="250">
        <f t="shared" si="4"/>
        <v>4918.7249999999995</v>
      </c>
      <c r="F19" s="250">
        <f t="shared" si="4"/>
        <v>5688.375</v>
      </c>
      <c r="G19" s="250">
        <f t="shared" si="4"/>
        <v>6340.4250000000002</v>
      </c>
      <c r="H19" s="250">
        <f t="shared" si="4"/>
        <v>6867</v>
      </c>
      <c r="I19" s="250">
        <f t="shared" si="4"/>
        <v>7282.8</v>
      </c>
      <c r="J19" s="250">
        <f t="shared" si="4"/>
        <v>7581</v>
      </c>
      <c r="K19" s="250">
        <f t="shared" si="4"/>
        <v>7761.5999999999995</v>
      </c>
      <c r="L19" s="250">
        <f t="shared" si="4"/>
        <v>7812.5249999999996</v>
      </c>
      <c r="M19" s="250">
        <f t="shared" si="4"/>
        <v>7756.875</v>
      </c>
      <c r="N19" s="250">
        <f t="shared" si="4"/>
        <v>7583.625</v>
      </c>
      <c r="O19" s="250">
        <f t="shared" si="4"/>
        <v>7277.55</v>
      </c>
      <c r="AC19" s="400"/>
      <c r="AG19" s="400"/>
    </row>
    <row r="20" spans="1:33" x14ac:dyDescent="0.2">
      <c r="A20" s="399"/>
      <c r="B20" s="329" t="s">
        <v>27</v>
      </c>
      <c r="C20" s="258">
        <v>0.25</v>
      </c>
      <c r="D20" s="258">
        <v>0.25</v>
      </c>
      <c r="E20" s="258">
        <v>0.25</v>
      </c>
      <c r="F20" s="258">
        <v>0.25</v>
      </c>
      <c r="G20" s="258">
        <v>0.25</v>
      </c>
      <c r="H20" s="258">
        <v>0.25</v>
      </c>
      <c r="I20" s="258">
        <v>0.25</v>
      </c>
      <c r="J20" s="258">
        <v>0.25</v>
      </c>
      <c r="K20" s="258">
        <v>0.25</v>
      </c>
      <c r="L20" s="258">
        <v>0.25</v>
      </c>
      <c r="M20" s="258">
        <v>0.25</v>
      </c>
      <c r="N20" s="258">
        <v>0.25</v>
      </c>
      <c r="O20" s="258">
        <v>0.25</v>
      </c>
      <c r="AC20" s="400"/>
      <c r="AG20" s="400"/>
    </row>
    <row r="21" spans="1:33" x14ac:dyDescent="0.2">
      <c r="A21" s="399"/>
      <c r="B21" s="329" t="s">
        <v>28</v>
      </c>
      <c r="C21" s="250">
        <f t="shared" ref="C21:O21" si="5">C20*C37</f>
        <v>8445</v>
      </c>
      <c r="D21" s="250">
        <f t="shared" si="5"/>
        <v>9607.5</v>
      </c>
      <c r="E21" s="250">
        <f t="shared" si="5"/>
        <v>11711.25</v>
      </c>
      <c r="F21" s="250">
        <f t="shared" si="5"/>
        <v>13543.75</v>
      </c>
      <c r="G21" s="250">
        <f t="shared" si="5"/>
        <v>15096.25</v>
      </c>
      <c r="H21" s="250">
        <f t="shared" si="5"/>
        <v>16350</v>
      </c>
      <c r="I21" s="250">
        <f t="shared" si="5"/>
        <v>17340</v>
      </c>
      <c r="J21" s="250">
        <f t="shared" si="5"/>
        <v>18050</v>
      </c>
      <c r="K21" s="250">
        <f t="shared" si="5"/>
        <v>18480</v>
      </c>
      <c r="L21" s="250">
        <f t="shared" si="5"/>
        <v>18601.25</v>
      </c>
      <c r="M21" s="250">
        <f t="shared" si="5"/>
        <v>18468.75</v>
      </c>
      <c r="N21" s="250">
        <f t="shared" si="5"/>
        <v>18056.25</v>
      </c>
      <c r="O21" s="250">
        <f t="shared" si="5"/>
        <v>17327.5</v>
      </c>
      <c r="AC21" s="400"/>
      <c r="AG21" s="400"/>
    </row>
    <row r="22" spans="1:33" x14ac:dyDescent="0.2">
      <c r="A22" s="399"/>
      <c r="B22" s="399"/>
      <c r="C22" s="30"/>
      <c r="AC22" s="400"/>
      <c r="AG22" s="400"/>
    </row>
    <row r="23" spans="1:33" x14ac:dyDescent="0.2">
      <c r="A23" s="399"/>
      <c r="B23" s="399"/>
      <c r="C23" s="30"/>
      <c r="AC23" s="400"/>
      <c r="AG23" s="400"/>
    </row>
    <row r="24" spans="1:33" x14ac:dyDescent="0.2">
      <c r="A24" s="399"/>
      <c r="B24" s="329" t="s">
        <v>50</v>
      </c>
      <c r="C24" s="8">
        <v>1.1499999999999999</v>
      </c>
      <c r="D24" s="8">
        <v>1.1499999999999999</v>
      </c>
      <c r="E24" s="8">
        <v>1.1499999999999999</v>
      </c>
      <c r="F24" s="8">
        <v>1.1499999999999999</v>
      </c>
      <c r="G24" s="8">
        <v>1.1499999999999999</v>
      </c>
      <c r="H24" s="8">
        <v>1.1499999999999999</v>
      </c>
      <c r="I24" s="8">
        <v>1.1499999999999999</v>
      </c>
      <c r="J24" s="8">
        <v>1.1499999999999999</v>
      </c>
      <c r="K24" s="8">
        <v>1.1499999999999999</v>
      </c>
      <c r="L24" s="8">
        <v>1.1499999999999999</v>
      </c>
      <c r="M24" s="8">
        <v>1.1499999999999999</v>
      </c>
      <c r="N24" s="8">
        <v>1.1499999999999999</v>
      </c>
      <c r="O24" s="8">
        <v>1.1499999999999999</v>
      </c>
      <c r="AC24" s="400"/>
      <c r="AG24" s="400"/>
    </row>
    <row r="25" spans="1:33" x14ac:dyDescent="0.2">
      <c r="A25" s="399"/>
      <c r="B25" s="329" t="s">
        <v>51</v>
      </c>
      <c r="C25" s="8">
        <v>-5.0000000000000001E-3</v>
      </c>
      <c r="D25" s="8">
        <v>-5.0000000000000001E-3</v>
      </c>
      <c r="E25" s="8">
        <v>-5.0000000000000001E-3</v>
      </c>
      <c r="F25" s="8">
        <v>-5.0000000000000001E-3</v>
      </c>
      <c r="G25" s="8">
        <v>-5.0000000000000001E-3</v>
      </c>
      <c r="H25" s="8">
        <v>-5.0000000000000001E-3</v>
      </c>
      <c r="I25" s="8">
        <v>-5.0000000000000001E-3</v>
      </c>
      <c r="J25" s="8">
        <v>-5.0000000000000001E-3</v>
      </c>
      <c r="K25" s="8">
        <v>-5.0000000000000001E-3</v>
      </c>
      <c r="L25" s="8">
        <v>-5.0000000000000001E-3</v>
      </c>
      <c r="M25" s="8">
        <v>-5.0000000000000001E-3</v>
      </c>
      <c r="N25" s="8">
        <v>-5.0000000000000001E-3</v>
      </c>
      <c r="O25" s="8">
        <v>-5.0000000000000001E-3</v>
      </c>
      <c r="AC25" s="400"/>
      <c r="AG25" s="400"/>
    </row>
    <row r="26" spans="1:33" x14ac:dyDescent="0.2">
      <c r="A26" s="399"/>
      <c r="B26" s="399"/>
      <c r="C26" s="30"/>
      <c r="AC26" s="400"/>
      <c r="AG26" s="400"/>
    </row>
    <row r="27" spans="1:33" x14ac:dyDescent="0.2">
      <c r="A27" s="399"/>
      <c r="B27" s="399"/>
      <c r="C27" s="30"/>
      <c r="AC27" s="400"/>
      <c r="AG27" s="400"/>
    </row>
    <row r="28" spans="1:33" x14ac:dyDescent="0.2">
      <c r="A28" s="399"/>
      <c r="B28" s="413" t="s">
        <v>29</v>
      </c>
      <c r="C28" s="30"/>
      <c r="AC28" s="400"/>
      <c r="AG28" s="400"/>
    </row>
    <row r="29" spans="1:33" x14ac:dyDescent="0.2">
      <c r="A29" s="399"/>
      <c r="B29" s="399"/>
      <c r="C29" s="544" t="s">
        <v>10</v>
      </c>
      <c r="D29" s="544"/>
      <c r="E29" s="544"/>
      <c r="F29" s="544"/>
      <c r="G29" s="544"/>
      <c r="H29" s="544"/>
      <c r="I29" s="544"/>
      <c r="J29" s="544"/>
      <c r="K29" s="544"/>
      <c r="L29" s="544"/>
      <c r="M29" s="544"/>
      <c r="N29" s="544"/>
      <c r="O29" s="544"/>
      <c r="AC29" s="400"/>
      <c r="AG29" s="400"/>
    </row>
    <row r="30" spans="1:33" ht="14" customHeight="1" x14ac:dyDescent="0.2">
      <c r="A30" s="399"/>
      <c r="B30" s="420" t="s">
        <v>52</v>
      </c>
      <c r="C30" s="8">
        <v>1.5</v>
      </c>
      <c r="D30" s="8">
        <v>1.5</v>
      </c>
      <c r="E30" s="8">
        <v>1.5</v>
      </c>
      <c r="F30" s="8">
        <v>1.5</v>
      </c>
      <c r="G30" s="8">
        <v>1.5</v>
      </c>
      <c r="H30" s="8">
        <v>1.5</v>
      </c>
      <c r="I30" s="8">
        <v>1.5</v>
      </c>
      <c r="J30" s="8">
        <v>1.5</v>
      </c>
      <c r="K30" s="8">
        <v>1.5</v>
      </c>
      <c r="L30" s="8">
        <v>1.5</v>
      </c>
      <c r="M30" s="8">
        <v>1.5</v>
      </c>
      <c r="N30" s="8">
        <v>1.5</v>
      </c>
      <c r="O30" s="8">
        <v>1.5</v>
      </c>
      <c r="AC30" s="400"/>
      <c r="AG30" s="400"/>
    </row>
    <row r="31" spans="1:33" x14ac:dyDescent="0.2">
      <c r="A31" s="399"/>
      <c r="B31" s="329" t="s">
        <v>31</v>
      </c>
      <c r="C31" s="8">
        <f>ROUND(C8/C30,2)</f>
        <v>4.33</v>
      </c>
      <c r="D31" s="8">
        <f t="shared" ref="D31:O31" si="6">ROUND(D8/D30,2)</f>
        <v>4.33</v>
      </c>
      <c r="E31" s="8">
        <f t="shared" si="6"/>
        <v>4.33</v>
      </c>
      <c r="F31" s="8">
        <f t="shared" si="6"/>
        <v>4.33</v>
      </c>
      <c r="G31" s="8">
        <f>ROUND(G8/G30,2)</f>
        <v>4.33</v>
      </c>
      <c r="H31" s="8">
        <f t="shared" si="6"/>
        <v>4.33</v>
      </c>
      <c r="I31" s="8">
        <f t="shared" si="6"/>
        <v>4.33</v>
      </c>
      <c r="J31" s="8">
        <f t="shared" si="6"/>
        <v>4.33</v>
      </c>
      <c r="K31" s="8">
        <f t="shared" si="6"/>
        <v>4.33</v>
      </c>
      <c r="L31" s="8">
        <f t="shared" si="6"/>
        <v>4.33</v>
      </c>
      <c r="M31" s="8">
        <f t="shared" si="6"/>
        <v>4.33</v>
      </c>
      <c r="N31" s="8">
        <f t="shared" si="6"/>
        <v>4.33</v>
      </c>
      <c r="O31" s="8">
        <f t="shared" si="6"/>
        <v>4.33</v>
      </c>
      <c r="S31" s="13"/>
      <c r="AC31" s="400"/>
      <c r="AG31" s="400"/>
    </row>
    <row r="32" spans="1:33" x14ac:dyDescent="0.2">
      <c r="A32" s="399"/>
      <c r="B32" s="329" t="s">
        <v>53</v>
      </c>
      <c r="C32" s="8">
        <f>ROUND(C31*C15*C9,0)</f>
        <v>1126</v>
      </c>
      <c r="D32" s="8">
        <f t="shared" ref="D32:O32" si="7">ROUND(D31*D15*D9,0)</f>
        <v>1098</v>
      </c>
      <c r="E32" s="8">
        <f t="shared" si="7"/>
        <v>1041</v>
      </c>
      <c r="F32" s="8">
        <f>ROUND(F31*F15*F9,0)</f>
        <v>985</v>
      </c>
      <c r="G32" s="8">
        <f t="shared" si="7"/>
        <v>929</v>
      </c>
      <c r="H32" s="8">
        <f t="shared" si="7"/>
        <v>872</v>
      </c>
      <c r="I32" s="8">
        <f t="shared" si="7"/>
        <v>816</v>
      </c>
      <c r="J32" s="8">
        <f t="shared" si="7"/>
        <v>760</v>
      </c>
      <c r="K32" s="8">
        <f t="shared" si="7"/>
        <v>704</v>
      </c>
      <c r="L32" s="8">
        <f t="shared" si="7"/>
        <v>647</v>
      </c>
      <c r="M32" s="8">
        <f t="shared" si="7"/>
        <v>591</v>
      </c>
      <c r="N32" s="8">
        <f t="shared" si="7"/>
        <v>535</v>
      </c>
      <c r="O32" s="8">
        <f t="shared" si="7"/>
        <v>478</v>
      </c>
      <c r="AC32" s="400"/>
      <c r="AG32" s="400"/>
    </row>
    <row r="33" spans="1:33" x14ac:dyDescent="0.2">
      <c r="A33" s="399"/>
      <c r="B33" s="413"/>
      <c r="C33" s="30"/>
      <c r="AC33" s="400"/>
      <c r="AG33" s="400"/>
    </row>
    <row r="34" spans="1:33" x14ac:dyDescent="0.2">
      <c r="A34" s="399"/>
      <c r="B34" s="399"/>
      <c r="C34" s="30"/>
      <c r="AC34" s="400"/>
      <c r="AG34" s="400"/>
    </row>
    <row r="35" spans="1:33" x14ac:dyDescent="0.2">
      <c r="A35" s="399"/>
      <c r="B35" s="413" t="s">
        <v>34</v>
      </c>
      <c r="C35" s="30"/>
      <c r="AC35" s="400"/>
      <c r="AG35" s="400"/>
    </row>
    <row r="36" spans="1:33" x14ac:dyDescent="0.2">
      <c r="A36" s="399"/>
      <c r="B36" s="399"/>
      <c r="C36" s="544" t="s">
        <v>10</v>
      </c>
      <c r="D36" s="544"/>
      <c r="E36" s="544"/>
      <c r="F36" s="544"/>
      <c r="G36" s="544"/>
      <c r="H36" s="544"/>
      <c r="I36" s="544"/>
      <c r="J36" s="544"/>
      <c r="K36" s="544"/>
      <c r="L36" s="544"/>
      <c r="M36" s="544"/>
      <c r="N36" s="544"/>
      <c r="O36" s="544"/>
      <c r="AC36" s="400"/>
      <c r="AG36" s="400"/>
    </row>
    <row r="37" spans="1:33" x14ac:dyDescent="0.2">
      <c r="A37" s="399"/>
      <c r="B37" s="329" t="s">
        <v>35</v>
      </c>
      <c r="C37" s="250">
        <f t="shared" ref="C37:O37" si="8">C32*C7</f>
        <v>33780</v>
      </c>
      <c r="D37" s="250">
        <f t="shared" si="8"/>
        <v>38430</v>
      </c>
      <c r="E37" s="250">
        <f t="shared" si="8"/>
        <v>46845</v>
      </c>
      <c r="F37" s="250">
        <f t="shared" si="8"/>
        <v>54175</v>
      </c>
      <c r="G37" s="250">
        <f t="shared" si="8"/>
        <v>60385</v>
      </c>
      <c r="H37" s="250">
        <f t="shared" si="8"/>
        <v>65400</v>
      </c>
      <c r="I37" s="250">
        <f t="shared" si="8"/>
        <v>69360</v>
      </c>
      <c r="J37" s="250">
        <f t="shared" si="8"/>
        <v>72200</v>
      </c>
      <c r="K37" s="250">
        <f t="shared" si="8"/>
        <v>73920</v>
      </c>
      <c r="L37" s="250">
        <f t="shared" si="8"/>
        <v>74405</v>
      </c>
      <c r="M37" s="250">
        <f t="shared" si="8"/>
        <v>73875</v>
      </c>
      <c r="N37" s="250">
        <f t="shared" si="8"/>
        <v>72225</v>
      </c>
      <c r="O37" s="250">
        <f t="shared" si="8"/>
        <v>69310</v>
      </c>
      <c r="AC37" s="400"/>
      <c r="AG37" s="400"/>
    </row>
    <row r="38" spans="1:33" x14ac:dyDescent="0.2">
      <c r="A38" s="399"/>
      <c r="B38" s="329" t="s">
        <v>36</v>
      </c>
      <c r="C38" s="250">
        <f t="shared" ref="C38:O38" si="9">C17+C19+C21</f>
        <v>22632.6</v>
      </c>
      <c r="D38" s="250">
        <f t="shared" si="9"/>
        <v>25748.1</v>
      </c>
      <c r="E38" s="250">
        <f t="shared" si="9"/>
        <v>31386.149999999998</v>
      </c>
      <c r="F38" s="250">
        <f t="shared" si="9"/>
        <v>36297.25</v>
      </c>
      <c r="G38" s="250">
        <f t="shared" si="9"/>
        <v>40457.949999999997</v>
      </c>
      <c r="H38" s="250">
        <f t="shared" si="9"/>
        <v>43818</v>
      </c>
      <c r="I38" s="250">
        <f t="shared" si="9"/>
        <v>46471.199999999997</v>
      </c>
      <c r="J38" s="250">
        <f t="shared" si="9"/>
        <v>48374</v>
      </c>
      <c r="K38" s="250">
        <f t="shared" si="9"/>
        <v>49526.399999999994</v>
      </c>
      <c r="L38" s="250">
        <f t="shared" si="9"/>
        <v>49851.35</v>
      </c>
      <c r="M38" s="250">
        <f t="shared" si="9"/>
        <v>49496.25</v>
      </c>
      <c r="N38" s="250">
        <f t="shared" si="9"/>
        <v>48390.75</v>
      </c>
      <c r="O38" s="250">
        <f t="shared" si="9"/>
        <v>46437.7</v>
      </c>
      <c r="AC38" s="400"/>
      <c r="AG38" s="400"/>
    </row>
    <row r="39" spans="1:33" x14ac:dyDescent="0.2">
      <c r="A39" s="399"/>
      <c r="B39" s="329" t="s">
        <v>37</v>
      </c>
      <c r="C39" s="250">
        <f>C37-C38</f>
        <v>11147.400000000001</v>
      </c>
      <c r="D39" s="250">
        <f t="shared" ref="D39:O39" si="10">D37-D38</f>
        <v>12681.900000000001</v>
      </c>
      <c r="E39" s="250">
        <f t="shared" si="10"/>
        <v>15458.850000000002</v>
      </c>
      <c r="F39" s="250">
        <f t="shared" si="10"/>
        <v>17877.75</v>
      </c>
      <c r="G39" s="250">
        <f t="shared" si="10"/>
        <v>19927.050000000003</v>
      </c>
      <c r="H39" s="250">
        <f t="shared" si="10"/>
        <v>21582</v>
      </c>
      <c r="I39" s="452">
        <f t="shared" si="10"/>
        <v>22888.800000000003</v>
      </c>
      <c r="J39" s="250">
        <f t="shared" si="10"/>
        <v>23826</v>
      </c>
      <c r="K39" s="250">
        <f t="shared" si="10"/>
        <v>24393.600000000006</v>
      </c>
      <c r="L39" s="250">
        <f t="shared" si="10"/>
        <v>24553.65</v>
      </c>
      <c r="M39" s="250">
        <f t="shared" si="10"/>
        <v>24378.75</v>
      </c>
      <c r="N39" s="250">
        <f t="shared" si="10"/>
        <v>23834.25</v>
      </c>
      <c r="O39" s="250">
        <f t="shared" si="10"/>
        <v>22872.300000000003</v>
      </c>
      <c r="AC39" s="400"/>
      <c r="AG39" s="400"/>
    </row>
    <row r="40" spans="1:33" x14ac:dyDescent="0.2">
      <c r="A40" s="399"/>
      <c r="B40" s="399"/>
      <c r="AC40" s="400"/>
      <c r="AG40" s="400"/>
    </row>
    <row r="41" spans="1:33" x14ac:dyDescent="0.2">
      <c r="A41" s="399"/>
      <c r="B41" s="399"/>
      <c r="AC41" s="400"/>
      <c r="AG41" s="400"/>
    </row>
    <row r="42" spans="1:33" x14ac:dyDescent="0.2">
      <c r="A42" s="399"/>
      <c r="B42" s="399"/>
      <c r="AC42" s="400"/>
      <c r="AG42" s="400"/>
    </row>
    <row r="43" spans="1:33" x14ac:dyDescent="0.2">
      <c r="A43" s="399"/>
      <c r="B43" s="399"/>
      <c r="AC43" s="400"/>
      <c r="AG43" s="400"/>
    </row>
    <row r="44" spans="1:33" x14ac:dyDescent="0.2">
      <c r="A44" s="399"/>
      <c r="B44" s="407"/>
      <c r="C44" s="408"/>
      <c r="D44" s="408"/>
      <c r="E44" s="408"/>
      <c r="F44" s="408"/>
      <c r="G44" s="408"/>
      <c r="H44" s="408"/>
      <c r="I44" s="408"/>
      <c r="J44" s="408"/>
      <c r="K44" s="408"/>
      <c r="L44" s="408"/>
      <c r="M44" s="408"/>
      <c r="N44" s="408"/>
      <c r="O44" s="408"/>
      <c r="P44" s="408"/>
      <c r="Q44" s="408"/>
      <c r="R44" s="408"/>
      <c r="S44" s="408"/>
      <c r="T44" s="408"/>
      <c r="U44" s="408"/>
      <c r="V44" s="408"/>
      <c r="W44" s="408"/>
      <c r="X44" s="408"/>
      <c r="Y44" s="408"/>
      <c r="Z44" s="408"/>
      <c r="AA44" s="408"/>
      <c r="AB44" s="408"/>
      <c r="AC44" s="409"/>
      <c r="AG44" s="400"/>
    </row>
    <row r="45" spans="1:33" x14ac:dyDescent="0.2">
      <c r="A45" s="399"/>
      <c r="AG45" s="400"/>
    </row>
    <row r="46" spans="1:33" ht="19" x14ac:dyDescent="0.25">
      <c r="A46" s="399"/>
      <c r="B46" s="410" t="s">
        <v>60</v>
      </c>
      <c r="C46" s="397"/>
      <c r="D46" s="411"/>
      <c r="E46" s="411"/>
      <c r="F46" s="411"/>
      <c r="G46" s="411"/>
      <c r="H46" s="411"/>
      <c r="I46" s="411"/>
      <c r="J46" s="411"/>
      <c r="K46" s="411"/>
      <c r="L46" s="411"/>
      <c r="M46" s="411"/>
      <c r="N46" s="411"/>
      <c r="O46" s="411"/>
      <c r="P46" s="411"/>
      <c r="Q46" s="411"/>
      <c r="R46" s="411"/>
      <c r="S46" s="411"/>
      <c r="T46" s="411"/>
      <c r="U46" s="411"/>
      <c r="V46" s="411"/>
      <c r="W46" s="411"/>
      <c r="X46" s="411"/>
      <c r="Y46" s="411"/>
      <c r="Z46" s="411"/>
      <c r="AA46" s="411"/>
      <c r="AB46" s="411"/>
      <c r="AC46" s="412"/>
      <c r="AG46" s="400"/>
    </row>
    <row r="47" spans="1:33" ht="19" x14ac:dyDescent="0.25">
      <c r="A47" s="399"/>
      <c r="B47" s="414"/>
      <c r="AC47" s="400"/>
      <c r="AG47" s="400"/>
    </row>
    <row r="48" spans="1:33" x14ac:dyDescent="0.2">
      <c r="A48" s="399"/>
      <c r="B48" s="413" t="s">
        <v>9</v>
      </c>
      <c r="AC48" s="400"/>
      <c r="AG48" s="400"/>
    </row>
    <row r="49" spans="1:33" x14ac:dyDescent="0.2">
      <c r="A49" s="399"/>
      <c r="B49" s="399"/>
      <c r="C49" s="544" t="s">
        <v>11</v>
      </c>
      <c r="D49" s="544"/>
      <c r="E49" s="544"/>
      <c r="F49" s="544"/>
      <c r="G49" s="544"/>
      <c r="H49" s="544"/>
      <c r="I49" s="544"/>
      <c r="J49" s="544"/>
      <c r="K49" s="544"/>
      <c r="L49" s="544"/>
      <c r="M49" s="544"/>
      <c r="N49" s="544"/>
      <c r="O49" s="544"/>
      <c r="AC49" s="400"/>
      <c r="AG49" s="400"/>
    </row>
    <row r="50" spans="1:33" x14ac:dyDescent="0.2">
      <c r="A50" s="399"/>
      <c r="B50" s="329" t="s">
        <v>15</v>
      </c>
      <c r="C50" s="132">
        <v>88.25</v>
      </c>
      <c r="D50" s="452">
        <v>94.5</v>
      </c>
      <c r="E50" s="250">
        <v>104.5</v>
      </c>
      <c r="F50" s="250">
        <v>114.5</v>
      </c>
      <c r="G50" s="250">
        <v>124.5</v>
      </c>
      <c r="H50" s="250">
        <v>134.5</v>
      </c>
      <c r="I50" s="250">
        <v>144.5</v>
      </c>
      <c r="J50" s="250">
        <v>154.5</v>
      </c>
      <c r="K50" s="450">
        <v>164.5</v>
      </c>
      <c r="L50" s="250">
        <v>174.5</v>
      </c>
      <c r="M50" s="250">
        <v>184.5</v>
      </c>
      <c r="N50" s="250">
        <v>194.5</v>
      </c>
      <c r="O50" s="250">
        <v>204.5</v>
      </c>
      <c r="AC50" s="400"/>
      <c r="AG50" s="400"/>
    </row>
    <row r="51" spans="1:33" x14ac:dyDescent="0.2">
      <c r="A51" s="399"/>
      <c r="B51" s="329" t="s">
        <v>17</v>
      </c>
      <c r="C51" s="249">
        <v>6.5</v>
      </c>
      <c r="D51" s="249">
        <v>6.5</v>
      </c>
      <c r="E51" s="249">
        <v>6.5</v>
      </c>
      <c r="F51" s="249">
        <v>6.5</v>
      </c>
      <c r="G51" s="249">
        <v>6.5</v>
      </c>
      <c r="H51" s="249">
        <v>6.5</v>
      </c>
      <c r="I51" s="249">
        <v>6.5</v>
      </c>
      <c r="J51" s="249">
        <v>6.5</v>
      </c>
      <c r="K51" s="249">
        <v>6.5</v>
      </c>
      <c r="L51" s="249">
        <v>6.5</v>
      </c>
      <c r="M51" s="249">
        <v>6.5</v>
      </c>
      <c r="N51" s="249">
        <v>6.5</v>
      </c>
      <c r="O51" s="249">
        <v>6.5</v>
      </c>
      <c r="AC51" s="400"/>
      <c r="AG51" s="400"/>
    </row>
    <row r="52" spans="1:33" x14ac:dyDescent="0.2">
      <c r="A52" s="399"/>
      <c r="B52" s="329" t="s">
        <v>19</v>
      </c>
      <c r="C52" s="8">
        <v>260</v>
      </c>
      <c r="D52" s="8">
        <v>260</v>
      </c>
      <c r="E52" s="8">
        <v>260</v>
      </c>
      <c r="F52" s="8">
        <v>260</v>
      </c>
      <c r="G52" s="8">
        <v>260</v>
      </c>
      <c r="H52" s="8">
        <v>260</v>
      </c>
      <c r="I52" s="8">
        <v>260</v>
      </c>
      <c r="J52" s="8">
        <v>260</v>
      </c>
      <c r="K52" s="8">
        <v>260</v>
      </c>
      <c r="L52" s="8">
        <v>260</v>
      </c>
      <c r="M52" s="8">
        <v>260</v>
      </c>
      <c r="N52" s="8">
        <v>260</v>
      </c>
      <c r="O52" s="8">
        <v>260</v>
      </c>
      <c r="AC52" s="400"/>
      <c r="AG52" s="400"/>
    </row>
    <row r="53" spans="1:33" x14ac:dyDescent="0.2">
      <c r="A53" s="399"/>
      <c r="B53" s="399"/>
      <c r="C53" s="30"/>
      <c r="AC53" s="400"/>
      <c r="AG53" s="400"/>
    </row>
    <row r="54" spans="1:33" x14ac:dyDescent="0.2">
      <c r="A54" s="399"/>
      <c r="B54" s="399"/>
      <c r="C54" s="30"/>
      <c r="AC54" s="400"/>
      <c r="AG54" s="400"/>
    </row>
    <row r="55" spans="1:33" x14ac:dyDescent="0.2">
      <c r="A55" s="399"/>
      <c r="B55" s="413"/>
      <c r="C55" s="30"/>
      <c r="AC55" s="400"/>
      <c r="AG55" s="400"/>
    </row>
    <row r="56" spans="1:33" x14ac:dyDescent="0.2">
      <c r="A56" s="399"/>
      <c r="B56" s="413" t="s">
        <v>20</v>
      </c>
      <c r="C56" s="30"/>
      <c r="AC56" s="400"/>
      <c r="AG56" s="400"/>
    </row>
    <row r="57" spans="1:33" x14ac:dyDescent="0.2">
      <c r="A57" s="399"/>
      <c r="B57" s="399"/>
      <c r="C57" s="544" t="s">
        <v>11</v>
      </c>
      <c r="D57" s="544"/>
      <c r="E57" s="544"/>
      <c r="F57" s="544"/>
      <c r="G57" s="544"/>
      <c r="H57" s="544"/>
      <c r="I57" s="544"/>
      <c r="J57" s="544"/>
      <c r="K57" s="544"/>
      <c r="L57" s="544"/>
      <c r="M57" s="544"/>
      <c r="N57" s="544"/>
      <c r="O57" s="544"/>
      <c r="AC57" s="400"/>
      <c r="AG57" s="400"/>
    </row>
    <row r="58" spans="1:33" x14ac:dyDescent="0.2">
      <c r="A58" s="399"/>
      <c r="B58" s="329" t="s">
        <v>22</v>
      </c>
      <c r="C58" s="252">
        <f t="shared" ref="C58:H58" si="11">C68*C50+C67</f>
        <v>1</v>
      </c>
      <c r="D58" s="252">
        <f t="shared" si="11"/>
        <v>0.97499999999999998</v>
      </c>
      <c r="E58" s="252">
        <f>E68*E50+E67</f>
        <v>0.93500000000000005</v>
      </c>
      <c r="F58" s="252">
        <f t="shared" si="11"/>
        <v>0.89500000000000002</v>
      </c>
      <c r="G58" s="252">
        <f t="shared" si="11"/>
        <v>0.85499999999999998</v>
      </c>
      <c r="H58" s="252">
        <f t="shared" si="11"/>
        <v>0.81499999999999995</v>
      </c>
      <c r="I58" s="252">
        <f>I68*I50+I67</f>
        <v>0.77500000000000002</v>
      </c>
      <c r="J58" s="252">
        <f t="shared" ref="J58:O58" si="12">J68*J50+J67</f>
        <v>0.73499999999999999</v>
      </c>
      <c r="K58" s="252">
        <f t="shared" si="12"/>
        <v>0.69499999999999995</v>
      </c>
      <c r="L58" s="252">
        <f t="shared" si="12"/>
        <v>0.65499999999999992</v>
      </c>
      <c r="M58" s="252">
        <f t="shared" si="12"/>
        <v>0.61499999999999999</v>
      </c>
      <c r="N58" s="252">
        <f t="shared" si="12"/>
        <v>0.57499999999999996</v>
      </c>
      <c r="O58" s="252">
        <f t="shared" si="12"/>
        <v>0.53499999999999992</v>
      </c>
      <c r="AC58" s="400"/>
      <c r="AG58" s="400"/>
    </row>
    <row r="59" spans="1:33" x14ac:dyDescent="0.2">
      <c r="A59" s="399"/>
      <c r="B59" s="329" t="s">
        <v>23</v>
      </c>
      <c r="C59" s="257">
        <v>0.315</v>
      </c>
      <c r="D59" s="257">
        <v>0.315</v>
      </c>
      <c r="E59" s="257">
        <v>0.315</v>
      </c>
      <c r="F59" s="257">
        <v>0.315</v>
      </c>
      <c r="G59" s="257">
        <v>0.315</v>
      </c>
      <c r="H59" s="257">
        <v>0.315</v>
      </c>
      <c r="I59" s="257">
        <v>0.315</v>
      </c>
      <c r="J59" s="257">
        <v>0.315</v>
      </c>
      <c r="K59" s="257">
        <v>0.315</v>
      </c>
      <c r="L59" s="257">
        <v>0.315</v>
      </c>
      <c r="M59" s="257">
        <v>0.315</v>
      </c>
      <c r="N59" s="257">
        <v>0.315</v>
      </c>
      <c r="O59" s="257">
        <v>0.315</v>
      </c>
      <c r="AC59" s="400"/>
      <c r="AG59" s="400"/>
    </row>
    <row r="60" spans="1:33" x14ac:dyDescent="0.2">
      <c r="A60" s="399"/>
      <c r="B60" s="329" t="s">
        <v>24</v>
      </c>
      <c r="C60" s="250">
        <f>C59*C80</f>
        <v>33747.682500000003</v>
      </c>
      <c r="D60" s="250">
        <f t="shared" ref="D60:O60" si="13">D59*D80</f>
        <v>35244.720000000001</v>
      </c>
      <c r="E60" s="250">
        <f t="shared" si="13"/>
        <v>37361.362500000003</v>
      </c>
      <c r="F60" s="250">
        <f t="shared" si="13"/>
        <v>39205.372499999998</v>
      </c>
      <c r="G60" s="250">
        <f t="shared" si="13"/>
        <v>40707.764999999999</v>
      </c>
      <c r="H60" s="250">
        <f t="shared" si="13"/>
        <v>41943.824999999997</v>
      </c>
      <c r="I60" s="250">
        <f t="shared" si="13"/>
        <v>42831.967499999999</v>
      </c>
      <c r="J60" s="250">
        <f t="shared" si="13"/>
        <v>43411.41</v>
      </c>
      <c r="K60" s="250">
        <f t="shared" si="13"/>
        <v>43733.97</v>
      </c>
      <c r="L60" s="250">
        <f t="shared" si="13"/>
        <v>43699.162499999999</v>
      </c>
      <c r="M60" s="250">
        <f t="shared" si="13"/>
        <v>43413.772499999999</v>
      </c>
      <c r="N60" s="250">
        <f t="shared" si="13"/>
        <v>42764.715000000004</v>
      </c>
      <c r="O60" s="250">
        <f t="shared" si="13"/>
        <v>41871.375</v>
      </c>
      <c r="AC60" s="400"/>
      <c r="AG60" s="400"/>
    </row>
    <row r="61" spans="1:33" x14ac:dyDescent="0.2">
      <c r="A61" s="399"/>
      <c r="B61" s="329" t="s">
        <v>25</v>
      </c>
      <c r="C61" s="252">
        <f>0.105</f>
        <v>0.105</v>
      </c>
      <c r="D61" s="252">
        <f t="shared" ref="D61:O61" si="14">0.105</f>
        <v>0.105</v>
      </c>
      <c r="E61" s="252">
        <f t="shared" si="14"/>
        <v>0.105</v>
      </c>
      <c r="F61" s="252">
        <f t="shared" si="14"/>
        <v>0.105</v>
      </c>
      <c r="G61" s="252">
        <f t="shared" si="14"/>
        <v>0.105</v>
      </c>
      <c r="H61" s="252">
        <f t="shared" si="14"/>
        <v>0.105</v>
      </c>
      <c r="I61" s="252">
        <f t="shared" si="14"/>
        <v>0.105</v>
      </c>
      <c r="J61" s="252">
        <f t="shared" si="14"/>
        <v>0.105</v>
      </c>
      <c r="K61" s="252">
        <f t="shared" si="14"/>
        <v>0.105</v>
      </c>
      <c r="L61" s="252">
        <f t="shared" si="14"/>
        <v>0.105</v>
      </c>
      <c r="M61" s="252">
        <f t="shared" si="14"/>
        <v>0.105</v>
      </c>
      <c r="N61" s="252">
        <f t="shared" si="14"/>
        <v>0.105</v>
      </c>
      <c r="O61" s="252">
        <f t="shared" si="14"/>
        <v>0.105</v>
      </c>
      <c r="AC61" s="400"/>
      <c r="AG61" s="400"/>
    </row>
    <row r="62" spans="1:33" x14ac:dyDescent="0.2">
      <c r="A62" s="399"/>
      <c r="B62" s="329" t="s">
        <v>26</v>
      </c>
      <c r="C62" s="250">
        <f t="shared" ref="C62:O62" si="15">C61*C80</f>
        <v>11249.227499999999</v>
      </c>
      <c r="D62" s="250">
        <f t="shared" si="15"/>
        <v>11748.24</v>
      </c>
      <c r="E62" s="250">
        <f t="shared" si="15"/>
        <v>12453.7875</v>
      </c>
      <c r="F62" s="250">
        <f t="shared" si="15"/>
        <v>13068.457499999999</v>
      </c>
      <c r="G62" s="250">
        <f t="shared" si="15"/>
        <v>13569.254999999999</v>
      </c>
      <c r="H62" s="250">
        <f t="shared" si="15"/>
        <v>13981.275</v>
      </c>
      <c r="I62" s="250">
        <f t="shared" si="15"/>
        <v>14277.3225</v>
      </c>
      <c r="J62" s="250">
        <f t="shared" si="15"/>
        <v>14470.47</v>
      </c>
      <c r="K62" s="250">
        <f t="shared" si="15"/>
        <v>14577.99</v>
      </c>
      <c r="L62" s="250">
        <f t="shared" si="15"/>
        <v>14566.387499999999</v>
      </c>
      <c r="M62" s="250">
        <f t="shared" si="15"/>
        <v>14471.2575</v>
      </c>
      <c r="N62" s="250">
        <f t="shared" si="15"/>
        <v>14254.904999999999</v>
      </c>
      <c r="O62" s="250">
        <f t="shared" si="15"/>
        <v>13957.125</v>
      </c>
      <c r="AC62" s="400"/>
      <c r="AG62" s="400"/>
    </row>
    <row r="63" spans="1:33" x14ac:dyDescent="0.2">
      <c r="A63" s="399"/>
      <c r="B63" s="329" t="s">
        <v>27</v>
      </c>
      <c r="C63" s="258">
        <v>0.25</v>
      </c>
      <c r="D63" s="258">
        <v>0.25</v>
      </c>
      <c r="E63" s="258">
        <v>0.25</v>
      </c>
      <c r="F63" s="258">
        <v>0.25</v>
      </c>
      <c r="G63" s="258">
        <v>0.25</v>
      </c>
      <c r="H63" s="258">
        <v>0.25</v>
      </c>
      <c r="I63" s="258">
        <v>0.25</v>
      </c>
      <c r="J63" s="258">
        <v>0.25</v>
      </c>
      <c r="K63" s="258">
        <v>0.25</v>
      </c>
      <c r="L63" s="258">
        <v>0.25</v>
      </c>
      <c r="M63" s="258">
        <v>0.25</v>
      </c>
      <c r="N63" s="258">
        <v>0.25</v>
      </c>
      <c r="O63" s="258">
        <v>0.25</v>
      </c>
      <c r="AC63" s="400"/>
      <c r="AG63" s="400"/>
    </row>
    <row r="64" spans="1:33" x14ac:dyDescent="0.2">
      <c r="A64" s="399"/>
      <c r="B64" s="329" t="s">
        <v>28</v>
      </c>
      <c r="C64" s="250">
        <f t="shared" ref="C64:O64" si="16">C63*C80</f>
        <v>26783.875</v>
      </c>
      <c r="D64" s="250">
        <f t="shared" si="16"/>
        <v>27972</v>
      </c>
      <c r="E64" s="250">
        <f t="shared" si="16"/>
        <v>29651.875</v>
      </c>
      <c r="F64" s="250">
        <f t="shared" si="16"/>
        <v>31115.375</v>
      </c>
      <c r="G64" s="250">
        <f t="shared" si="16"/>
        <v>32307.75</v>
      </c>
      <c r="H64" s="250">
        <f t="shared" si="16"/>
        <v>33288.75</v>
      </c>
      <c r="I64" s="250">
        <f t="shared" si="16"/>
        <v>33993.625</v>
      </c>
      <c r="J64" s="250">
        <f t="shared" si="16"/>
        <v>34453.5</v>
      </c>
      <c r="K64" s="250">
        <f t="shared" si="16"/>
        <v>34709.5</v>
      </c>
      <c r="L64" s="250">
        <f t="shared" si="16"/>
        <v>34681.875</v>
      </c>
      <c r="M64" s="250">
        <f t="shared" si="16"/>
        <v>34455.375</v>
      </c>
      <c r="N64" s="250">
        <f t="shared" si="16"/>
        <v>33940.25</v>
      </c>
      <c r="O64" s="250">
        <f t="shared" si="16"/>
        <v>33231.25</v>
      </c>
      <c r="AC64" s="400"/>
      <c r="AG64" s="400"/>
    </row>
    <row r="65" spans="1:33" x14ac:dyDescent="0.2">
      <c r="A65" s="399"/>
      <c r="B65" s="399"/>
      <c r="C65" s="30"/>
      <c r="AC65" s="400"/>
      <c r="AG65" s="400"/>
    </row>
    <row r="66" spans="1:33" x14ac:dyDescent="0.2">
      <c r="A66" s="399"/>
      <c r="B66" s="399"/>
      <c r="C66" s="30"/>
      <c r="AC66" s="400"/>
      <c r="AG66" s="400"/>
    </row>
    <row r="67" spans="1:33" x14ac:dyDescent="0.2">
      <c r="A67" s="399"/>
      <c r="B67" s="329" t="s">
        <v>50</v>
      </c>
      <c r="C67" s="8">
        <v>1.353</v>
      </c>
      <c r="D67" s="8">
        <v>1.353</v>
      </c>
      <c r="E67" s="8">
        <v>1.353</v>
      </c>
      <c r="F67" s="8">
        <v>1.353</v>
      </c>
      <c r="G67" s="8">
        <v>1.353</v>
      </c>
      <c r="H67" s="8">
        <v>1.353</v>
      </c>
      <c r="I67" s="8">
        <v>1.353</v>
      </c>
      <c r="J67" s="8">
        <v>1.353</v>
      </c>
      <c r="K67" s="8">
        <v>1.353</v>
      </c>
      <c r="L67" s="8">
        <v>1.353</v>
      </c>
      <c r="M67" s="8">
        <v>1.353</v>
      </c>
      <c r="N67" s="8">
        <v>1.353</v>
      </c>
      <c r="O67" s="8">
        <v>1.353</v>
      </c>
      <c r="AC67" s="400"/>
      <c r="AG67" s="400"/>
    </row>
    <row r="68" spans="1:33" x14ac:dyDescent="0.2">
      <c r="A68" s="399"/>
      <c r="B68" s="329" t="s">
        <v>51</v>
      </c>
      <c r="C68" s="8">
        <v>-4.0000000000000001E-3</v>
      </c>
      <c r="D68" s="8">
        <v>-4.0000000000000001E-3</v>
      </c>
      <c r="E68" s="8">
        <v>-4.0000000000000001E-3</v>
      </c>
      <c r="F68" s="8">
        <v>-4.0000000000000001E-3</v>
      </c>
      <c r="G68" s="8">
        <v>-4.0000000000000001E-3</v>
      </c>
      <c r="H68" s="8">
        <v>-4.0000000000000001E-3</v>
      </c>
      <c r="I68" s="8">
        <v>-4.0000000000000001E-3</v>
      </c>
      <c r="J68" s="8">
        <v>-4.0000000000000001E-3</v>
      </c>
      <c r="K68" s="8">
        <v>-4.0000000000000001E-3</v>
      </c>
      <c r="L68" s="8">
        <v>-4.0000000000000001E-3</v>
      </c>
      <c r="M68" s="8">
        <v>-4.0000000000000001E-3</v>
      </c>
      <c r="N68" s="8">
        <v>-4.0000000000000001E-3</v>
      </c>
      <c r="O68" s="8">
        <v>-4.0000000000000001E-3</v>
      </c>
      <c r="AC68" s="400"/>
      <c r="AG68" s="400"/>
    </row>
    <row r="69" spans="1:33" x14ac:dyDescent="0.2">
      <c r="A69" s="399"/>
      <c r="B69" s="399"/>
      <c r="C69" s="30"/>
      <c r="AC69" s="400"/>
      <c r="AG69" s="400"/>
    </row>
    <row r="70" spans="1:33" x14ac:dyDescent="0.2">
      <c r="A70" s="399"/>
      <c r="B70" s="399"/>
      <c r="C70" s="30"/>
      <c r="S70" s="13"/>
      <c r="AC70" s="400"/>
      <c r="AG70" s="400"/>
    </row>
    <row r="71" spans="1:33" x14ac:dyDescent="0.2">
      <c r="A71" s="399"/>
      <c r="B71" s="413" t="s">
        <v>29</v>
      </c>
      <c r="C71" s="30"/>
      <c r="AC71" s="400"/>
      <c r="AG71" s="400"/>
    </row>
    <row r="72" spans="1:33" x14ac:dyDescent="0.2">
      <c r="A72" s="399"/>
      <c r="B72" s="399"/>
      <c r="C72" s="544" t="s">
        <v>11</v>
      </c>
      <c r="D72" s="544"/>
      <c r="E72" s="544"/>
      <c r="F72" s="544"/>
      <c r="G72" s="544"/>
      <c r="H72" s="544"/>
      <c r="I72" s="544"/>
      <c r="J72" s="544"/>
      <c r="K72" s="544"/>
      <c r="L72" s="544"/>
      <c r="M72" s="544"/>
      <c r="N72" s="544"/>
      <c r="O72" s="544"/>
      <c r="AC72" s="400"/>
      <c r="AG72" s="400"/>
    </row>
    <row r="73" spans="1:33" ht="16" x14ac:dyDescent="0.2">
      <c r="A73" s="399"/>
      <c r="B73" s="420" t="s">
        <v>52</v>
      </c>
      <c r="C73" s="8">
        <v>1.5</v>
      </c>
      <c r="D73" s="8">
        <v>1.5</v>
      </c>
      <c r="E73" s="8">
        <v>1.5</v>
      </c>
      <c r="F73" s="8">
        <v>1.5</v>
      </c>
      <c r="G73" s="8">
        <v>1.5</v>
      </c>
      <c r="H73" s="8">
        <v>1.5</v>
      </c>
      <c r="I73" s="8">
        <v>1.5</v>
      </c>
      <c r="J73" s="8">
        <v>1.5</v>
      </c>
      <c r="K73" s="8">
        <v>1.5</v>
      </c>
      <c r="L73" s="8">
        <v>1.5</v>
      </c>
      <c r="M73" s="8">
        <v>1.5</v>
      </c>
      <c r="N73" s="8">
        <v>1.5</v>
      </c>
      <c r="O73" s="8">
        <v>1.5</v>
      </c>
      <c r="AC73" s="400"/>
      <c r="AG73" s="400"/>
    </row>
    <row r="74" spans="1:33" x14ac:dyDescent="0.2">
      <c r="A74" s="399"/>
      <c r="B74" s="329" t="s">
        <v>31</v>
      </c>
      <c r="C74" s="8">
        <v>4.67</v>
      </c>
      <c r="D74" s="8">
        <v>4.67</v>
      </c>
      <c r="E74" s="8">
        <v>4.67</v>
      </c>
      <c r="F74" s="8">
        <v>4.67</v>
      </c>
      <c r="G74" s="8">
        <v>4.67</v>
      </c>
      <c r="H74" s="8">
        <v>4.67</v>
      </c>
      <c r="I74" s="8">
        <v>4.67</v>
      </c>
      <c r="J74" s="8">
        <v>4.67</v>
      </c>
      <c r="K74" s="8">
        <v>4.67</v>
      </c>
      <c r="L74" s="8">
        <v>4.67</v>
      </c>
      <c r="M74" s="8">
        <v>4.67</v>
      </c>
      <c r="N74" s="8">
        <v>4.67</v>
      </c>
      <c r="O74" s="8">
        <v>4.67</v>
      </c>
      <c r="AC74" s="400"/>
      <c r="AG74" s="400"/>
    </row>
    <row r="75" spans="1:33" x14ac:dyDescent="0.2">
      <c r="A75" s="399"/>
      <c r="B75" s="329" t="s">
        <v>53</v>
      </c>
      <c r="C75" s="8">
        <f>ROUND(C74*C58*C52,0)</f>
        <v>1214</v>
      </c>
      <c r="D75" s="8">
        <f t="shared" ref="D75:O75" si="17">ROUND(D74*D58*D52,0)</f>
        <v>1184</v>
      </c>
      <c r="E75" s="8">
        <f t="shared" si="17"/>
        <v>1135</v>
      </c>
      <c r="F75" s="8">
        <f t="shared" si="17"/>
        <v>1087</v>
      </c>
      <c r="G75" s="8">
        <f t="shared" si="17"/>
        <v>1038</v>
      </c>
      <c r="H75" s="8">
        <f t="shared" si="17"/>
        <v>990</v>
      </c>
      <c r="I75" s="8">
        <f t="shared" si="17"/>
        <v>941</v>
      </c>
      <c r="J75" s="8">
        <f t="shared" si="17"/>
        <v>892</v>
      </c>
      <c r="K75" s="8">
        <f t="shared" si="17"/>
        <v>844</v>
      </c>
      <c r="L75" s="8">
        <f t="shared" si="17"/>
        <v>795</v>
      </c>
      <c r="M75" s="8">
        <f t="shared" si="17"/>
        <v>747</v>
      </c>
      <c r="N75" s="8">
        <f t="shared" si="17"/>
        <v>698</v>
      </c>
      <c r="O75" s="8">
        <f t="shared" si="17"/>
        <v>650</v>
      </c>
      <c r="AC75" s="400"/>
      <c r="AG75" s="400"/>
    </row>
    <row r="76" spans="1:33" x14ac:dyDescent="0.2">
      <c r="A76" s="399"/>
      <c r="B76" s="413"/>
      <c r="C76" s="30"/>
      <c r="AC76" s="400"/>
      <c r="AG76" s="400"/>
    </row>
    <row r="77" spans="1:33" x14ac:dyDescent="0.2">
      <c r="A77" s="399"/>
      <c r="B77" s="399"/>
      <c r="C77" s="30"/>
      <c r="AC77" s="400"/>
      <c r="AG77" s="400"/>
    </row>
    <row r="78" spans="1:33" x14ac:dyDescent="0.2">
      <c r="A78" s="399"/>
      <c r="B78" s="413" t="s">
        <v>34</v>
      </c>
      <c r="C78" s="30"/>
      <c r="AC78" s="400"/>
      <c r="AG78" s="400"/>
    </row>
    <row r="79" spans="1:33" x14ac:dyDescent="0.2">
      <c r="A79" s="399"/>
      <c r="B79" s="399"/>
      <c r="C79" s="544" t="s">
        <v>11</v>
      </c>
      <c r="D79" s="544"/>
      <c r="E79" s="544"/>
      <c r="F79" s="544"/>
      <c r="G79" s="544"/>
      <c r="H79" s="544"/>
      <c r="I79" s="544"/>
      <c r="J79" s="544"/>
      <c r="K79" s="544"/>
      <c r="L79" s="544"/>
      <c r="M79" s="544"/>
      <c r="N79" s="544"/>
      <c r="O79" s="544"/>
      <c r="AC79" s="400"/>
      <c r="AG79" s="400"/>
    </row>
    <row r="80" spans="1:33" x14ac:dyDescent="0.2">
      <c r="A80" s="399"/>
      <c r="B80" s="329" t="s">
        <v>35</v>
      </c>
      <c r="C80" s="250">
        <f t="shared" ref="C80:O80" si="18">C75*C50</f>
        <v>107135.5</v>
      </c>
      <c r="D80" s="250">
        <f t="shared" si="18"/>
        <v>111888</v>
      </c>
      <c r="E80" s="250">
        <f t="shared" si="18"/>
        <v>118607.5</v>
      </c>
      <c r="F80" s="250">
        <f t="shared" si="18"/>
        <v>124461.5</v>
      </c>
      <c r="G80" s="250">
        <f t="shared" si="18"/>
        <v>129231</v>
      </c>
      <c r="H80" s="250">
        <f t="shared" si="18"/>
        <v>133155</v>
      </c>
      <c r="I80" s="250">
        <f t="shared" si="18"/>
        <v>135974.5</v>
      </c>
      <c r="J80" s="250">
        <f t="shared" si="18"/>
        <v>137814</v>
      </c>
      <c r="K80" s="250">
        <f t="shared" si="18"/>
        <v>138838</v>
      </c>
      <c r="L80" s="250">
        <f t="shared" si="18"/>
        <v>138727.5</v>
      </c>
      <c r="M80" s="250">
        <f t="shared" si="18"/>
        <v>137821.5</v>
      </c>
      <c r="N80" s="250">
        <f t="shared" si="18"/>
        <v>135761</v>
      </c>
      <c r="O80" s="250">
        <f t="shared" si="18"/>
        <v>132925</v>
      </c>
      <c r="AC80" s="400"/>
      <c r="AG80" s="400"/>
    </row>
    <row r="81" spans="1:33" x14ac:dyDescent="0.2">
      <c r="A81" s="399"/>
      <c r="B81" s="329" t="s">
        <v>36</v>
      </c>
      <c r="C81" s="250">
        <f t="shared" ref="C81:O81" si="19">C60+C62+C64</f>
        <v>71780.785000000003</v>
      </c>
      <c r="D81" s="250">
        <f t="shared" si="19"/>
        <v>74964.959999999992</v>
      </c>
      <c r="E81" s="250">
        <f t="shared" si="19"/>
        <v>79467.024999999994</v>
      </c>
      <c r="F81" s="250">
        <f t="shared" si="19"/>
        <v>83389.204999999987</v>
      </c>
      <c r="G81" s="250">
        <f t="shared" si="19"/>
        <v>86584.76999999999</v>
      </c>
      <c r="H81" s="250">
        <f t="shared" si="19"/>
        <v>89213.85</v>
      </c>
      <c r="I81" s="250">
        <f t="shared" si="19"/>
        <v>91102.915000000008</v>
      </c>
      <c r="J81" s="250">
        <f t="shared" si="19"/>
        <v>92335.38</v>
      </c>
      <c r="K81" s="250">
        <f t="shared" si="19"/>
        <v>93021.459999999992</v>
      </c>
      <c r="L81" s="250">
        <f t="shared" si="19"/>
        <v>92947.424999999988</v>
      </c>
      <c r="M81" s="250">
        <f t="shared" si="19"/>
        <v>92340.404999999999</v>
      </c>
      <c r="N81" s="250">
        <f t="shared" si="19"/>
        <v>90959.87</v>
      </c>
      <c r="O81" s="250">
        <f t="shared" si="19"/>
        <v>89059.75</v>
      </c>
      <c r="AC81" s="400"/>
      <c r="AG81" s="400"/>
    </row>
    <row r="82" spans="1:33" x14ac:dyDescent="0.2">
      <c r="A82" s="399"/>
      <c r="B82" s="329" t="s">
        <v>37</v>
      </c>
      <c r="C82" s="250">
        <f>C80-C81</f>
        <v>35354.714999999997</v>
      </c>
      <c r="D82" s="452">
        <f t="shared" ref="D82:O82" si="20">D80-D81</f>
        <v>36923.040000000008</v>
      </c>
      <c r="E82" s="250">
        <f t="shared" si="20"/>
        <v>39140.475000000006</v>
      </c>
      <c r="F82" s="250">
        <f t="shared" si="20"/>
        <v>41072.295000000013</v>
      </c>
      <c r="G82" s="250">
        <f t="shared" si="20"/>
        <v>42646.23000000001</v>
      </c>
      <c r="H82" s="250">
        <f t="shared" si="20"/>
        <v>43941.149999999994</v>
      </c>
      <c r="I82" s="250">
        <f t="shared" si="20"/>
        <v>44871.584999999992</v>
      </c>
      <c r="J82" s="250">
        <f t="shared" si="20"/>
        <v>45478.619999999995</v>
      </c>
      <c r="K82" s="250">
        <f t="shared" si="20"/>
        <v>45816.540000000008</v>
      </c>
      <c r="L82" s="250">
        <f t="shared" si="20"/>
        <v>45780.075000000012</v>
      </c>
      <c r="M82" s="250">
        <f t="shared" si="20"/>
        <v>45481.095000000001</v>
      </c>
      <c r="N82" s="250">
        <f t="shared" si="20"/>
        <v>44801.130000000005</v>
      </c>
      <c r="O82" s="250">
        <f t="shared" si="20"/>
        <v>43865.25</v>
      </c>
      <c r="AC82" s="400"/>
      <c r="AG82" s="400"/>
    </row>
    <row r="83" spans="1:33" x14ac:dyDescent="0.2">
      <c r="A83" s="399"/>
      <c r="B83" s="399"/>
      <c r="AC83" s="400"/>
      <c r="AG83" s="400"/>
    </row>
    <row r="84" spans="1:33" x14ac:dyDescent="0.2">
      <c r="A84" s="399"/>
      <c r="B84" s="399"/>
      <c r="AC84" s="400"/>
      <c r="AG84" s="400"/>
    </row>
    <row r="85" spans="1:33" x14ac:dyDescent="0.2">
      <c r="A85" s="399"/>
      <c r="B85" s="399"/>
      <c r="AC85" s="400"/>
      <c r="AG85" s="400"/>
    </row>
    <row r="86" spans="1:33" x14ac:dyDescent="0.2">
      <c r="A86" s="399"/>
      <c r="B86" s="399"/>
      <c r="AC86" s="400"/>
      <c r="AG86" s="400"/>
    </row>
    <row r="87" spans="1:33" x14ac:dyDescent="0.2">
      <c r="A87" s="399"/>
      <c r="B87" s="399"/>
      <c r="AC87" s="400"/>
      <c r="AG87" s="400"/>
    </row>
    <row r="88" spans="1:33" x14ac:dyDescent="0.2">
      <c r="A88" s="399"/>
      <c r="B88" s="407"/>
      <c r="C88" s="408"/>
      <c r="D88" s="408"/>
      <c r="E88" s="408"/>
      <c r="F88" s="408"/>
      <c r="G88" s="408"/>
      <c r="H88" s="408"/>
      <c r="I88" s="408"/>
      <c r="J88" s="408"/>
      <c r="K88" s="408"/>
      <c r="L88" s="408"/>
      <c r="M88" s="408"/>
      <c r="N88" s="408"/>
      <c r="O88" s="408"/>
      <c r="P88" s="408"/>
      <c r="Q88" s="408"/>
      <c r="R88" s="408"/>
      <c r="S88" s="408"/>
      <c r="T88" s="408"/>
      <c r="U88" s="408"/>
      <c r="V88" s="408"/>
      <c r="W88" s="408"/>
      <c r="X88" s="408"/>
      <c r="Y88" s="408"/>
      <c r="Z88" s="408"/>
      <c r="AA88" s="408"/>
      <c r="AB88" s="408"/>
      <c r="AC88" s="409"/>
      <c r="AG88" s="400"/>
    </row>
    <row r="89" spans="1:33" x14ac:dyDescent="0.2">
      <c r="A89" s="407"/>
      <c r="B89" s="408"/>
      <c r="C89" s="408"/>
      <c r="D89" s="408"/>
      <c r="E89" s="408"/>
      <c r="F89" s="408"/>
      <c r="G89" s="408"/>
      <c r="H89" s="408"/>
      <c r="I89" s="408"/>
      <c r="J89" s="408"/>
      <c r="K89" s="408"/>
      <c r="L89" s="408"/>
      <c r="M89" s="408"/>
      <c r="N89" s="408"/>
      <c r="O89" s="408"/>
      <c r="P89" s="408"/>
      <c r="Q89" s="408"/>
      <c r="R89" s="408"/>
      <c r="S89" s="408"/>
      <c r="T89" s="408"/>
      <c r="U89" s="408"/>
      <c r="V89" s="408"/>
      <c r="W89" s="408"/>
      <c r="X89" s="408"/>
      <c r="Y89" s="408"/>
      <c r="Z89" s="408"/>
      <c r="AA89" s="408"/>
      <c r="AB89" s="408"/>
      <c r="AC89" s="408"/>
      <c r="AD89" s="408"/>
      <c r="AE89" s="408"/>
      <c r="AF89" s="408"/>
      <c r="AG89" s="409"/>
    </row>
    <row r="94" spans="1:33" x14ac:dyDescent="0.2">
      <c r="G94" s="13"/>
      <c r="S94" s="13"/>
    </row>
    <row r="108" spans="7:19" x14ac:dyDescent="0.2">
      <c r="G108" s="13"/>
      <c r="S108" s="13"/>
    </row>
  </sheetData>
  <mergeCells count="8">
    <mergeCell ref="C72:O72"/>
    <mergeCell ref="C79:O79"/>
    <mergeCell ref="C6:O6"/>
    <mergeCell ref="C14:O14"/>
    <mergeCell ref="C29:O29"/>
    <mergeCell ref="C36:O36"/>
    <mergeCell ref="C49:O49"/>
    <mergeCell ref="C57:O57"/>
  </mergeCells>
  <conditionalFormatting sqref="H48:Q48 P49:Q58">
    <cfRule type="colorScale" priority="6">
      <colorScale>
        <cfvo type="min"/>
        <cfvo type="max"/>
        <color rgb="FFFFEF9C"/>
        <color rgb="FF63BE7B"/>
      </colorScale>
    </cfRule>
  </conditionalFormatting>
  <conditionalFormatting sqref="T48:AC58">
    <cfRule type="colorScale" priority="5">
      <colorScale>
        <cfvo type="min"/>
        <cfvo type="max"/>
        <color rgb="FFFFEF9C"/>
        <color rgb="FF63BE7B"/>
      </colorScale>
    </cfRule>
  </conditionalFormatting>
  <conditionalFormatting sqref="H87:Q95">
    <cfRule type="colorScale" priority="4">
      <colorScale>
        <cfvo type="min"/>
        <cfvo type="max"/>
        <color rgb="FFFFEF9C"/>
        <color rgb="FF63BE7B"/>
      </colorScale>
    </cfRule>
  </conditionalFormatting>
  <conditionalFormatting sqref="T87:AC95">
    <cfRule type="colorScale" priority="3">
      <colorScale>
        <cfvo type="min"/>
        <cfvo type="max"/>
        <color rgb="FFFFEF9C"/>
        <color rgb="FF63BE7B"/>
      </colorScale>
    </cfRule>
  </conditionalFormatting>
  <conditionalFormatting sqref="C39:O39">
    <cfRule type="top10" dxfId="14" priority="2" rank="1"/>
  </conditionalFormatting>
  <conditionalFormatting sqref="C82:O82">
    <cfRule type="top10" dxfId="13" priority="1" rank="1"/>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6D0ED-3BAF-46EB-88D2-DB8983C0396E}">
  <sheetPr codeName="Sheet2">
    <tabColor rgb="FFFFC000"/>
  </sheetPr>
  <dimension ref="A1:GP83"/>
  <sheetViews>
    <sheetView showGridLines="0" topLeftCell="A13" zoomScale="85" zoomScaleNormal="85" workbookViewId="0">
      <selection activeCell="C31" sqref="C31"/>
    </sheetView>
  </sheetViews>
  <sheetFormatPr baseColWidth="10" defaultColWidth="8.5" defaultRowHeight="15" x14ac:dyDescent="0.2"/>
  <cols>
    <col min="1" max="1" width="10" customWidth="1"/>
    <col min="2" max="2" width="30.5" bestFit="1" customWidth="1"/>
    <col min="3" max="3" width="12.1640625" customWidth="1"/>
    <col min="4" max="4" width="16.1640625" customWidth="1"/>
    <col min="5" max="5" width="10.5" bestFit="1" customWidth="1"/>
    <col min="6" max="6" width="13.5" customWidth="1"/>
    <col min="7" max="7" width="17.5" customWidth="1"/>
    <col min="8" max="9" width="11.5" customWidth="1"/>
    <col min="10" max="10" width="27.5" bestFit="1" customWidth="1"/>
    <col min="11" max="11" width="12.5" customWidth="1"/>
    <col min="12" max="12" width="14.5" customWidth="1"/>
    <col min="13" max="13" width="11.83203125" bestFit="1" customWidth="1"/>
    <col min="14" max="16" width="9.83203125" bestFit="1" customWidth="1"/>
    <col min="18" max="18" width="27.5" bestFit="1" customWidth="1"/>
    <col min="19" max="19" width="13.5" customWidth="1"/>
    <col min="20" max="24" width="9" bestFit="1" customWidth="1"/>
    <col min="26" max="26" width="27.5" bestFit="1" customWidth="1"/>
    <col min="27" max="27" width="13.5" customWidth="1"/>
    <col min="28" max="29" width="9" bestFit="1" customWidth="1"/>
    <col min="30" max="30" width="13.83203125" customWidth="1"/>
    <col min="31" max="32" width="9" bestFit="1" customWidth="1"/>
    <col min="34" max="34" width="27.5" bestFit="1" customWidth="1"/>
    <col min="35" max="35" width="13.5" customWidth="1"/>
    <col min="36" max="40" width="9" bestFit="1" customWidth="1"/>
    <col min="42" max="42" width="27.5" bestFit="1" customWidth="1"/>
    <col min="43" max="43" width="14.5" customWidth="1"/>
    <col min="44" max="48" width="9" bestFit="1" customWidth="1"/>
  </cols>
  <sheetData>
    <row r="1" spans="1:198" s="236" customFormat="1" ht="38" thickBot="1" x14ac:dyDescent="0.5">
      <c r="A1" s="383" t="s">
        <v>61</v>
      </c>
      <c r="B1" s="384"/>
      <c r="C1" s="384"/>
      <c r="D1" s="384"/>
      <c r="E1" s="384"/>
      <c r="F1" s="384"/>
      <c r="G1" s="384"/>
      <c r="H1" s="384"/>
      <c r="I1" s="384"/>
      <c r="J1" s="384"/>
      <c r="K1" s="384"/>
      <c r="L1" s="384"/>
      <c r="M1" s="384"/>
      <c r="N1" s="384"/>
      <c r="O1" s="384"/>
      <c r="P1" s="384"/>
      <c r="Q1" s="384"/>
      <c r="R1" s="384"/>
      <c r="S1" s="384"/>
      <c r="T1" s="384"/>
      <c r="U1" s="384"/>
      <c r="V1" s="384"/>
      <c r="W1" s="384"/>
      <c r="X1" s="384"/>
      <c r="Y1" s="384"/>
      <c r="Z1" s="384"/>
      <c r="AA1" s="384"/>
      <c r="AB1" s="384"/>
      <c r="AC1" s="384"/>
      <c r="AD1" s="384"/>
      <c r="AE1" s="384"/>
      <c r="AF1" s="384"/>
      <c r="AG1" s="384"/>
      <c r="AH1" s="384"/>
      <c r="AI1" s="384"/>
      <c r="AJ1" s="384"/>
      <c r="AK1" s="384"/>
      <c r="AL1" s="384"/>
      <c r="AM1" s="384"/>
      <c r="AN1" s="384"/>
      <c r="AO1" s="384"/>
      <c r="AP1" s="384"/>
      <c r="AQ1" s="384"/>
      <c r="AR1" s="384"/>
      <c r="AS1" s="384"/>
      <c r="AT1" s="384"/>
      <c r="AU1" s="384"/>
      <c r="AV1" s="385"/>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row>
    <row r="2" spans="1:198" s="2" customFormat="1" ht="16" thickBot="1" x14ac:dyDescent="0.25">
      <c r="A2" s="15"/>
      <c r="L2" s="133"/>
    </row>
    <row r="3" spans="1:198" s="2" customFormat="1" x14ac:dyDescent="0.2">
      <c r="A3" s="15"/>
      <c r="B3" s="374"/>
      <c r="C3" s="447" t="s">
        <v>10</v>
      </c>
      <c r="D3" s="447" t="s">
        <v>11</v>
      </c>
      <c r="E3" s="448" t="s">
        <v>62</v>
      </c>
      <c r="F3" s="133"/>
      <c r="L3" s="133"/>
      <c r="M3" s="133"/>
    </row>
    <row r="4" spans="1:198" s="2" customFormat="1" ht="16" x14ac:dyDescent="0.2">
      <c r="A4" s="15"/>
      <c r="B4" s="376" t="s">
        <v>63</v>
      </c>
      <c r="C4" s="78">
        <v>115</v>
      </c>
      <c r="D4" s="78">
        <v>164.5</v>
      </c>
      <c r="E4" s="524">
        <v>164.5</v>
      </c>
      <c r="F4" s="133"/>
      <c r="L4" s="133"/>
      <c r="M4" s="133"/>
    </row>
    <row r="5" spans="1:198" s="2" customFormat="1" ht="16" x14ac:dyDescent="0.2">
      <c r="A5" s="15"/>
      <c r="B5" s="376" t="s">
        <v>64</v>
      </c>
      <c r="C5" s="79">
        <v>0.2</v>
      </c>
      <c r="D5" s="79">
        <v>0</v>
      </c>
      <c r="E5" s="525">
        <v>0</v>
      </c>
      <c r="F5" s="133"/>
      <c r="L5" s="133"/>
      <c r="M5" s="133"/>
    </row>
    <row r="6" spans="1:198" s="2" customFormat="1" ht="16" x14ac:dyDescent="0.2">
      <c r="A6" s="15"/>
      <c r="B6" s="376" t="s">
        <v>65</v>
      </c>
      <c r="C6" s="79">
        <v>0.7</v>
      </c>
      <c r="D6" s="79">
        <v>0.5</v>
      </c>
      <c r="E6" s="525">
        <v>0.5</v>
      </c>
      <c r="F6" s="133"/>
      <c r="L6" s="133"/>
      <c r="M6" s="133"/>
    </row>
    <row r="7" spans="1:198" s="2" customFormat="1" ht="16" x14ac:dyDescent="0.2">
      <c r="A7" s="15"/>
      <c r="B7" s="376" t="s">
        <v>66</v>
      </c>
      <c r="C7" s="568">
        <v>35</v>
      </c>
      <c r="D7" s="569"/>
      <c r="E7" s="570"/>
      <c r="F7" s="133"/>
      <c r="L7" s="133"/>
      <c r="M7" s="133"/>
    </row>
    <row r="8" spans="1:198" s="2" customFormat="1" ht="16" x14ac:dyDescent="0.2">
      <c r="A8" s="15"/>
      <c r="B8" s="376" t="s">
        <v>67</v>
      </c>
      <c r="C8" s="568">
        <v>60</v>
      </c>
      <c r="D8" s="569"/>
      <c r="E8" s="570"/>
      <c r="F8" s="133"/>
      <c r="L8" s="133"/>
      <c r="M8" s="133"/>
    </row>
    <row r="9" spans="1:198" s="2" customFormat="1" x14ac:dyDescent="0.2">
      <c r="A9" s="15"/>
      <c r="B9" s="375" t="s">
        <v>68</v>
      </c>
      <c r="C9" s="574">
        <v>260</v>
      </c>
      <c r="D9" s="575"/>
      <c r="E9" s="576"/>
      <c r="F9" s="133"/>
      <c r="L9" s="133"/>
      <c r="M9" s="133"/>
    </row>
    <row r="10" spans="1:198" s="2" customFormat="1" x14ac:dyDescent="0.2">
      <c r="A10" s="15"/>
      <c r="B10" s="446" t="s">
        <v>69</v>
      </c>
      <c r="C10" s="526">
        <v>2.5</v>
      </c>
      <c r="D10" s="527">
        <v>3</v>
      </c>
      <c r="E10" s="528">
        <v>3</v>
      </c>
      <c r="F10" s="133"/>
      <c r="L10" s="133"/>
      <c r="M10" s="133"/>
    </row>
    <row r="11" spans="1:198" s="2" customFormat="1" x14ac:dyDescent="0.2">
      <c r="A11" s="15"/>
      <c r="B11" s="446" t="s">
        <v>70</v>
      </c>
      <c r="C11" s="526">
        <v>4</v>
      </c>
      <c r="D11" s="527">
        <v>4</v>
      </c>
      <c r="E11" s="528">
        <v>4</v>
      </c>
      <c r="F11" s="133"/>
      <c r="L11" s="133"/>
      <c r="M11" s="133"/>
    </row>
    <row r="12" spans="1:198" s="2" customFormat="1" ht="32" x14ac:dyDescent="0.2">
      <c r="A12" s="15"/>
      <c r="B12" s="376" t="s">
        <v>71</v>
      </c>
      <c r="C12" s="583">
        <f>4.33</f>
        <v>4.33</v>
      </c>
      <c r="D12" s="575"/>
      <c r="E12" s="576"/>
      <c r="F12" s="133"/>
      <c r="L12" s="133"/>
      <c r="M12" s="133"/>
    </row>
    <row r="13" spans="1:198" s="2" customFormat="1" ht="16" x14ac:dyDescent="0.2">
      <c r="A13" s="15"/>
      <c r="B13" s="376" t="s">
        <v>72</v>
      </c>
      <c r="C13" s="571">
        <f>ROUNDDOWN(C9*C12,0)</f>
        <v>1125</v>
      </c>
      <c r="D13" s="572"/>
      <c r="E13" s="573"/>
      <c r="F13" s="133"/>
      <c r="L13" s="133"/>
      <c r="M13" s="133"/>
    </row>
    <row r="14" spans="1:198" s="2" customFormat="1" ht="16" x14ac:dyDescent="0.2">
      <c r="A14" s="15"/>
      <c r="B14" s="376" t="s">
        <v>73</v>
      </c>
      <c r="C14" s="80">
        <v>1.1499999999999999</v>
      </c>
      <c r="D14" s="82">
        <v>1.353</v>
      </c>
      <c r="E14" s="529">
        <v>1.353</v>
      </c>
      <c r="F14"/>
      <c r="L14" s="133"/>
      <c r="M14" s="133"/>
    </row>
    <row r="15" spans="1:198" s="2" customFormat="1" ht="16" x14ac:dyDescent="0.2">
      <c r="A15" s="15"/>
      <c r="B15" s="376" t="s">
        <v>74</v>
      </c>
      <c r="C15" s="80">
        <v>-5.0000000000000001E-3</v>
      </c>
      <c r="D15" s="82">
        <v>-4.0000000000000001E-3</v>
      </c>
      <c r="E15" s="529">
        <v>-4.0000000000000001E-3</v>
      </c>
      <c r="F15"/>
      <c r="L15" s="133"/>
      <c r="M15" s="133"/>
    </row>
    <row r="16" spans="1:198" s="2" customFormat="1" ht="16" x14ac:dyDescent="0.2">
      <c r="A16" s="15"/>
      <c r="B16" s="376" t="s">
        <v>75</v>
      </c>
      <c r="C16" s="577">
        <f>SUM('Appendix 1. Data Sources'!C87,'Appendix 1. Data Sources'!C96,'Appendix 1. Data Sources'!B99)</f>
        <v>0.42</v>
      </c>
      <c r="D16" s="578"/>
      <c r="E16" s="579"/>
      <c r="L16" s="133"/>
      <c r="M16" s="133"/>
    </row>
    <row r="17" spans="1:43" s="2" customFormat="1" ht="16" x14ac:dyDescent="0.2">
      <c r="A17" s="15"/>
      <c r="B17" s="428" t="s">
        <v>76</v>
      </c>
      <c r="C17" s="577">
        <f>SUM('Appendix 1. Data Sources'!C109,'Appendix 1. Data Sources'!C118)</f>
        <v>0.25</v>
      </c>
      <c r="D17" s="578"/>
      <c r="E17" s="579"/>
      <c r="L17" s="133"/>
      <c r="M17" s="133"/>
    </row>
    <row r="18" spans="1:43" s="2" customFormat="1" ht="16" x14ac:dyDescent="0.2">
      <c r="A18" s="15"/>
      <c r="B18" s="428" t="s">
        <v>77</v>
      </c>
      <c r="C18" s="584">
        <f>C17*C13*C4</f>
        <v>32343.75</v>
      </c>
      <c r="D18" s="585"/>
      <c r="E18" s="586"/>
      <c r="L18" s="133"/>
      <c r="M18" s="133"/>
    </row>
    <row r="19" spans="1:43" s="2" customFormat="1" ht="20.25" customHeight="1" thickBot="1" x14ac:dyDescent="0.25">
      <c r="A19" s="15"/>
      <c r="B19" s="377" t="s">
        <v>78</v>
      </c>
      <c r="C19" s="580">
        <v>0.3</v>
      </c>
      <c r="D19" s="581"/>
      <c r="E19" s="582"/>
      <c r="L19" s="133"/>
      <c r="M19" s="133"/>
    </row>
    <row r="20" spans="1:43" s="2" customFormat="1" x14ac:dyDescent="0.2">
      <c r="A20" s="15"/>
      <c r="L20" s="133"/>
      <c r="M20" s="133"/>
    </row>
    <row r="21" spans="1:43" s="2" customFormat="1" x14ac:dyDescent="0.2">
      <c r="A21" s="15"/>
      <c r="L21" s="133"/>
      <c r="M21" s="133"/>
    </row>
    <row r="22" spans="1:43" s="2" customFormat="1" x14ac:dyDescent="0.2">
      <c r="A22" s="15"/>
      <c r="L22" s="133"/>
      <c r="M22" s="133"/>
    </row>
    <row r="23" spans="1:43" s="2" customFormat="1" x14ac:dyDescent="0.2">
      <c r="A23" s="15"/>
      <c r="L23" s="133"/>
      <c r="M23" s="133"/>
    </row>
    <row r="24" spans="1:43" s="2" customFormat="1" x14ac:dyDescent="0.2">
      <c r="A24" s="15"/>
      <c r="L24" s="133"/>
      <c r="M24" s="133"/>
    </row>
    <row r="25" spans="1:43" s="2" customFormat="1" ht="16" thickBot="1" x14ac:dyDescent="0.25">
      <c r="A25" s="15"/>
      <c r="B25" s="134"/>
      <c r="C25" s="19"/>
      <c r="L25" s="133"/>
      <c r="M25" s="133"/>
    </row>
    <row r="26" spans="1:43" s="2" customFormat="1" x14ac:dyDescent="0.2">
      <c r="A26" s="15"/>
      <c r="B26" s="558" t="s">
        <v>79</v>
      </c>
      <c r="C26" s="560"/>
      <c r="E26" s="467"/>
      <c r="J26" s="558" t="s">
        <v>80</v>
      </c>
      <c r="K26" s="560"/>
      <c r="L26" s="133"/>
      <c r="M26" s="133"/>
      <c r="R26" s="558" t="s">
        <v>81</v>
      </c>
      <c r="S26" s="560"/>
      <c r="Z26" s="558" t="s">
        <v>82</v>
      </c>
      <c r="AA26" s="560"/>
      <c r="AH26" s="558" t="s">
        <v>83</v>
      </c>
      <c r="AI26" s="560"/>
      <c r="AP26" s="558" t="s">
        <v>84</v>
      </c>
      <c r="AQ26" s="560"/>
    </row>
    <row r="27" spans="1:43" s="2" customFormat="1" x14ac:dyDescent="0.2">
      <c r="A27" s="15"/>
      <c r="B27" s="365" t="s">
        <v>85</v>
      </c>
      <c r="C27" s="366">
        <f>C4</f>
        <v>115</v>
      </c>
      <c r="E27" s="467"/>
      <c r="J27" s="365" t="s">
        <v>85</v>
      </c>
      <c r="K27" s="366">
        <f>C4</f>
        <v>115</v>
      </c>
      <c r="L27" s="133"/>
      <c r="M27" s="133"/>
      <c r="R27" s="365" t="s">
        <v>85</v>
      </c>
      <c r="S27" s="366">
        <f>D4</f>
        <v>164.5</v>
      </c>
      <c r="Z27" s="365" t="s">
        <v>85</v>
      </c>
      <c r="AA27" s="366">
        <f>D4</f>
        <v>164.5</v>
      </c>
      <c r="AH27" s="365" t="s">
        <v>85</v>
      </c>
      <c r="AI27" s="366">
        <f>E4</f>
        <v>164.5</v>
      </c>
      <c r="AP27" s="365" t="s">
        <v>85</v>
      </c>
      <c r="AQ27" s="366">
        <f>E4</f>
        <v>164.5</v>
      </c>
    </row>
    <row r="28" spans="1:43" s="2" customFormat="1" x14ac:dyDescent="0.2">
      <c r="A28" s="15"/>
      <c r="B28" s="365" t="s">
        <v>86</v>
      </c>
      <c r="C28" s="367">
        <v>0.4</v>
      </c>
      <c r="E28" s="467"/>
      <c r="J28" s="365" t="s">
        <v>86</v>
      </c>
      <c r="K28" s="367">
        <v>0.2</v>
      </c>
      <c r="L28" s="133"/>
      <c r="M28" s="133"/>
      <c r="R28" s="365" t="s">
        <v>86</v>
      </c>
      <c r="S28" s="367">
        <v>0.2</v>
      </c>
      <c r="Z28" s="365" t="s">
        <v>86</v>
      </c>
      <c r="AA28" s="367">
        <v>0.1</v>
      </c>
      <c r="AH28" s="365" t="s">
        <v>86</v>
      </c>
      <c r="AI28" s="367">
        <v>0.1</v>
      </c>
      <c r="AP28" s="365" t="s">
        <v>86</v>
      </c>
      <c r="AQ28" s="367">
        <v>0</v>
      </c>
    </row>
    <row r="29" spans="1:43" s="2" customFormat="1" x14ac:dyDescent="0.2">
      <c r="A29" s="15"/>
      <c r="B29" s="365" t="s">
        <v>87</v>
      </c>
      <c r="C29" s="366">
        <f>ROUND(C27*(1-C28),0)</f>
        <v>69</v>
      </c>
      <c r="E29" s="467"/>
      <c r="J29" s="365" t="s">
        <v>87</v>
      </c>
      <c r="K29" s="366">
        <f>ROUND(K27*(1-K28),0)</f>
        <v>92</v>
      </c>
      <c r="L29" s="133"/>
      <c r="M29" s="133"/>
      <c r="R29" s="365" t="s">
        <v>87</v>
      </c>
      <c r="S29" s="366">
        <f>ROUND(S27*(1-S28),0)</f>
        <v>132</v>
      </c>
      <c r="Z29" s="365" t="s">
        <v>87</v>
      </c>
      <c r="AA29" s="366">
        <f>ROUND(AA27*(1-AA28),0)</f>
        <v>148</v>
      </c>
      <c r="AH29" s="365" t="s">
        <v>87</v>
      </c>
      <c r="AI29" s="366">
        <f>ROUND(AI27*(1-AI28),0)</f>
        <v>148</v>
      </c>
      <c r="AP29" s="365" t="s">
        <v>87</v>
      </c>
      <c r="AQ29" s="366">
        <f>ROUND(AQ27*(1-AQ28),0)</f>
        <v>165</v>
      </c>
    </row>
    <row r="30" spans="1:43" s="2" customFormat="1" x14ac:dyDescent="0.2">
      <c r="A30" s="15"/>
      <c r="B30" s="365" t="s">
        <v>88</v>
      </c>
      <c r="C30" s="368">
        <f>'1a. Working for BRPO'!C28</f>
        <v>1.6666666666666667</v>
      </c>
      <c r="E30" s="467"/>
      <c r="J30" s="365" t="s">
        <v>88</v>
      </c>
      <c r="K30" s="368">
        <f>'1a. Working for BRPO'!D28</f>
        <v>2.6666666666666665</v>
      </c>
      <c r="L30" s="133"/>
      <c r="M30" s="133"/>
      <c r="R30" s="365" t="s">
        <v>88</v>
      </c>
      <c r="S30" s="368">
        <f>'1a. Working for BRPO'!E28</f>
        <v>2</v>
      </c>
      <c r="Z30" s="365" t="s">
        <v>88</v>
      </c>
      <c r="AA30" s="368">
        <f>'1a. Working for BRPO'!F28</f>
        <v>2.6666666666666665</v>
      </c>
      <c r="AH30" s="365" t="s">
        <v>88</v>
      </c>
      <c r="AI30" s="368">
        <f>'1a. Working for BRPO'!E28</f>
        <v>2</v>
      </c>
      <c r="AP30" s="365" t="s">
        <v>88</v>
      </c>
      <c r="AQ30" s="368">
        <f>'1a. Working for BRPO'!F28</f>
        <v>2.6666666666666665</v>
      </c>
    </row>
    <row r="31" spans="1:43" s="2" customFormat="1" x14ac:dyDescent="0.2">
      <c r="A31" s="15"/>
      <c r="B31" s="365" t="s">
        <v>89</v>
      </c>
      <c r="C31" s="369">
        <f>INT(($C15*C29+$C14)*($C9*C30))</f>
        <v>348</v>
      </c>
      <c r="D31" s="351"/>
      <c r="E31" s="467"/>
      <c r="J31" s="365" t="s">
        <v>89</v>
      </c>
      <c r="K31" s="369">
        <f>INT(($C15*K29+$C14)*($C9*K30))</f>
        <v>478</v>
      </c>
      <c r="L31" s="133"/>
      <c r="M31" s="133"/>
      <c r="R31" s="365" t="s">
        <v>89</v>
      </c>
      <c r="S31" s="369">
        <f>INT(($D15*S29+$D14)*($C9*S30))</f>
        <v>429</v>
      </c>
      <c r="Z31" s="365" t="s">
        <v>89</v>
      </c>
      <c r="AA31" s="369">
        <f>INT(($D15*AA29+$D14)*($C9*AA30))</f>
        <v>527</v>
      </c>
      <c r="AH31" s="365" t="s">
        <v>89</v>
      </c>
      <c r="AI31" s="369">
        <f>INT(($E15*AI29+$E14)*($C9*AI30))</f>
        <v>395</v>
      </c>
      <c r="AP31" s="365" t="s">
        <v>89</v>
      </c>
      <c r="AQ31" s="369">
        <f>INT(($E15*AQ29+$E14)*($C9*AQ30))</f>
        <v>480</v>
      </c>
    </row>
    <row r="32" spans="1:43" s="2" customFormat="1" x14ac:dyDescent="0.2">
      <c r="A32" s="15"/>
      <c r="B32" s="365" t="s">
        <v>90</v>
      </c>
      <c r="C32" s="370">
        <v>35</v>
      </c>
      <c r="E32" s="467"/>
      <c r="J32" s="365" t="s">
        <v>90</v>
      </c>
      <c r="K32" s="370">
        <v>45</v>
      </c>
      <c r="L32" s="133"/>
      <c r="M32" s="133"/>
      <c r="R32" s="365" t="s">
        <v>90</v>
      </c>
      <c r="S32" s="370">
        <v>40</v>
      </c>
      <c r="Z32" s="365" t="s">
        <v>90</v>
      </c>
      <c r="AA32" s="370">
        <v>50</v>
      </c>
      <c r="AH32" s="365" t="s">
        <v>90</v>
      </c>
      <c r="AI32" s="370">
        <v>50</v>
      </c>
      <c r="AP32" s="365" t="s">
        <v>90</v>
      </c>
      <c r="AQ32" s="370">
        <v>60</v>
      </c>
    </row>
    <row r="33" spans="1:48" s="2" customFormat="1" ht="16" thickBot="1" x14ac:dyDescent="0.25">
      <c r="A33" s="15"/>
      <c r="B33" s="429" t="s">
        <v>91</v>
      </c>
      <c r="C33" s="430">
        <v>0.05</v>
      </c>
      <c r="E33" s="468"/>
      <c r="J33" s="429" t="s">
        <v>91</v>
      </c>
      <c r="K33" s="430">
        <v>0.15</v>
      </c>
      <c r="L33" s="133"/>
      <c r="M33" s="133"/>
      <c r="R33" s="429" t="s">
        <v>91</v>
      </c>
      <c r="S33" s="430">
        <v>0.2</v>
      </c>
      <c r="Z33" s="429" t="s">
        <v>91</v>
      </c>
      <c r="AA33" s="430">
        <v>0.3</v>
      </c>
      <c r="AH33" s="429" t="s">
        <v>91</v>
      </c>
      <c r="AI33" s="430">
        <v>0.35</v>
      </c>
      <c r="AP33" s="429" t="s">
        <v>91</v>
      </c>
      <c r="AQ33" s="430">
        <v>0.4</v>
      </c>
    </row>
    <row r="34" spans="1:48" s="2" customFormat="1" x14ac:dyDescent="0.2">
      <c r="A34" s="15"/>
      <c r="B34" s="433" t="s">
        <v>92</v>
      </c>
      <c r="C34" s="434">
        <f>C29*C31</f>
        <v>24012</v>
      </c>
      <c r="D34" s="279"/>
      <c r="J34" s="433" t="s">
        <v>92</v>
      </c>
      <c r="K34" s="434">
        <f>K29*K31</f>
        <v>43976</v>
      </c>
      <c r="L34" s="133"/>
      <c r="M34" s="133"/>
      <c r="R34" s="433" t="s">
        <v>92</v>
      </c>
      <c r="S34" s="434">
        <f>S29*S31</f>
        <v>56628</v>
      </c>
      <c r="Z34" s="433" t="s">
        <v>92</v>
      </c>
      <c r="AA34" s="434">
        <f>AA29*AA31</f>
        <v>77996</v>
      </c>
      <c r="AH34" s="433" t="s">
        <v>92</v>
      </c>
      <c r="AI34" s="434">
        <f>AI29*AI31</f>
        <v>58460</v>
      </c>
      <c r="AP34" s="433" t="s">
        <v>92</v>
      </c>
      <c r="AQ34" s="434">
        <f>AQ29*AQ31</f>
        <v>79200</v>
      </c>
    </row>
    <row r="35" spans="1:48" s="2" customFormat="1" x14ac:dyDescent="0.2">
      <c r="A35" s="15"/>
      <c r="B35" s="365" t="s">
        <v>93</v>
      </c>
      <c r="C35" s="366">
        <f>C33*C31*C32</f>
        <v>609.00000000000011</v>
      </c>
      <c r="D35" s="280"/>
      <c r="J35" s="365" t="s">
        <v>93</v>
      </c>
      <c r="K35" s="366">
        <f>K33*K31*K32</f>
        <v>3226.5</v>
      </c>
      <c r="L35" s="133"/>
      <c r="M35" s="133"/>
      <c r="R35" s="365" t="s">
        <v>93</v>
      </c>
      <c r="S35" s="366">
        <f>S33*S31*S32</f>
        <v>3432.0000000000005</v>
      </c>
      <c r="Z35" s="365" t="s">
        <v>93</v>
      </c>
      <c r="AA35" s="366">
        <f>AA33*AA31*AA32</f>
        <v>7905</v>
      </c>
      <c r="AH35" s="365" t="s">
        <v>93</v>
      </c>
      <c r="AI35" s="366">
        <f>AI33*AI31*AI32</f>
        <v>6912.5</v>
      </c>
      <c r="AP35" s="365" t="s">
        <v>93</v>
      </c>
      <c r="AQ35" s="366">
        <f>AQ33*AQ31*AQ32</f>
        <v>11520</v>
      </c>
    </row>
    <row r="36" spans="1:48" s="2" customFormat="1" ht="16" thickBot="1" x14ac:dyDescent="0.25">
      <c r="A36" s="15"/>
      <c r="B36" s="373" t="s">
        <v>94</v>
      </c>
      <c r="C36" s="435">
        <f>C34+C35</f>
        <v>24621</v>
      </c>
      <c r="D36" s="280"/>
      <c r="J36" s="373" t="s">
        <v>94</v>
      </c>
      <c r="K36" s="435">
        <f>K34+K35</f>
        <v>47202.5</v>
      </c>
      <c r="L36" s="133"/>
      <c r="M36" s="133"/>
      <c r="R36" s="373" t="s">
        <v>94</v>
      </c>
      <c r="S36" s="435">
        <f>S34+S35</f>
        <v>60060</v>
      </c>
      <c r="Z36" s="373" t="s">
        <v>94</v>
      </c>
      <c r="AA36" s="435">
        <f>AA34+AA35</f>
        <v>85901</v>
      </c>
      <c r="AH36" s="373" t="s">
        <v>94</v>
      </c>
      <c r="AI36" s="435">
        <f>AI34+AI35</f>
        <v>65372.5</v>
      </c>
      <c r="AP36" s="373" t="s">
        <v>94</v>
      </c>
      <c r="AQ36" s="435">
        <f>AQ34+AQ35</f>
        <v>90720</v>
      </c>
    </row>
    <row r="37" spans="1:48" s="2" customFormat="1" x14ac:dyDescent="0.2">
      <c r="A37" s="15"/>
      <c r="B37" s="433" t="s">
        <v>95</v>
      </c>
      <c r="C37" s="439">
        <f>C16*C36</f>
        <v>10340.82</v>
      </c>
      <c r="D37" s="280"/>
      <c r="J37" s="433" t="s">
        <v>95</v>
      </c>
      <c r="K37" s="439">
        <f>$C16*K34</f>
        <v>18469.919999999998</v>
      </c>
      <c r="L37" s="133"/>
      <c r="M37" s="133"/>
      <c r="R37" s="433" t="s">
        <v>95</v>
      </c>
      <c r="S37" s="439">
        <f>$C16*S34</f>
        <v>23783.759999999998</v>
      </c>
      <c r="Z37" s="431" t="s">
        <v>95</v>
      </c>
      <c r="AA37" s="432">
        <f>$C16*AA34</f>
        <v>32758.32</v>
      </c>
      <c r="AH37" s="433" t="s">
        <v>95</v>
      </c>
      <c r="AI37" s="439">
        <f>$C16*AI34</f>
        <v>24553.200000000001</v>
      </c>
      <c r="AP37" s="433" t="s">
        <v>95</v>
      </c>
      <c r="AQ37" s="439">
        <f>$C16*AQ34</f>
        <v>33264</v>
      </c>
    </row>
    <row r="38" spans="1:48" s="2" customFormat="1" x14ac:dyDescent="0.2">
      <c r="A38" s="15"/>
      <c r="B38" s="365" t="s">
        <v>96</v>
      </c>
      <c r="C38" s="372">
        <f>C18*(C10/SUM(C10:C11))</f>
        <v>12439.903846153848</v>
      </c>
      <c r="D38" s="280"/>
      <c r="J38" s="365" t="s">
        <v>96</v>
      </c>
      <c r="K38" s="372">
        <f>C18*(C11/SUM(C10:C11))</f>
        <v>19903.846153846156</v>
      </c>
      <c r="L38" s="133"/>
      <c r="M38" s="133"/>
      <c r="R38" s="365" t="s">
        <v>96</v>
      </c>
      <c r="S38" s="372">
        <f>C18*(D10/SUM(D10:D11))</f>
        <v>13861.607142857141</v>
      </c>
      <c r="Z38" s="365" t="s">
        <v>96</v>
      </c>
      <c r="AA38" s="372">
        <f>C18*(D11/SUM(D10:D11))</f>
        <v>18482.142857142855</v>
      </c>
      <c r="AH38" s="365" t="s">
        <v>96</v>
      </c>
      <c r="AI38" s="372">
        <f>C18*(E10/SUM(E10:E11))</f>
        <v>13861.607142857141</v>
      </c>
      <c r="AP38" s="365" t="s">
        <v>96</v>
      </c>
      <c r="AQ38" s="372">
        <f>C18*(E11/SUM(E10:E11))</f>
        <v>18482.142857142855</v>
      </c>
    </row>
    <row r="39" spans="1:48" s="2" customFormat="1" x14ac:dyDescent="0.2">
      <c r="A39" s="15"/>
      <c r="B39" s="365" t="s">
        <v>97</v>
      </c>
      <c r="C39" s="371">
        <f>$C19*C35</f>
        <v>182.70000000000002</v>
      </c>
      <c r="D39" s="279"/>
      <c r="J39" s="365" t="s">
        <v>97</v>
      </c>
      <c r="K39" s="371">
        <f>$C19*K35</f>
        <v>967.94999999999993</v>
      </c>
      <c r="L39" s="133"/>
      <c r="M39" s="133"/>
      <c r="R39" s="365" t="s">
        <v>97</v>
      </c>
      <c r="S39" s="371">
        <f>$C19*S35</f>
        <v>1029.6000000000001</v>
      </c>
      <c r="Z39" s="365" t="s">
        <v>97</v>
      </c>
      <c r="AA39" s="371">
        <f>$C19*AA35</f>
        <v>2371.5</v>
      </c>
      <c r="AH39" s="365" t="s">
        <v>97</v>
      </c>
      <c r="AI39" s="371">
        <f>$C19*AI35</f>
        <v>2073.75</v>
      </c>
      <c r="AP39" s="365" t="s">
        <v>97</v>
      </c>
      <c r="AQ39" s="371">
        <f>$C19*AQ35</f>
        <v>3456</v>
      </c>
    </row>
    <row r="40" spans="1:48" s="2" customFormat="1" ht="16" thickBot="1" x14ac:dyDescent="0.25">
      <c r="A40" s="15"/>
      <c r="B40" s="373" t="s">
        <v>98</v>
      </c>
      <c r="C40" s="440">
        <f>SUM(C37:C39)</f>
        <v>22963.423846153848</v>
      </c>
      <c r="D40" s="279"/>
      <c r="J40" s="373" t="s">
        <v>98</v>
      </c>
      <c r="K40" s="440">
        <f>SUM(K37:K39)</f>
        <v>39341.716153846151</v>
      </c>
      <c r="L40" s="133"/>
      <c r="M40" s="133"/>
      <c r="R40" s="373" t="s">
        <v>98</v>
      </c>
      <c r="S40" s="440">
        <f>SUM(S37:S39)</f>
        <v>38674.967142857138</v>
      </c>
      <c r="Z40" s="429" t="s">
        <v>98</v>
      </c>
      <c r="AA40" s="436">
        <f>SUM(AA37:AA39)</f>
        <v>53611.962857142855</v>
      </c>
      <c r="AH40" s="373" t="s">
        <v>98</v>
      </c>
      <c r="AI40" s="440">
        <f>SUM(AI37:AI39)</f>
        <v>40488.557142857142</v>
      </c>
      <c r="AP40" s="373" t="s">
        <v>98</v>
      </c>
      <c r="AQ40" s="440">
        <f>SUM(AQ37:AQ39)</f>
        <v>55202.142857142855</v>
      </c>
    </row>
    <row r="41" spans="1:48" s="2" customFormat="1" x14ac:dyDescent="0.2">
      <c r="A41" s="15"/>
      <c r="B41" s="431" t="s">
        <v>37</v>
      </c>
      <c r="C41" s="438">
        <f>C36-C40</f>
        <v>1657.576153846152</v>
      </c>
      <c r="D41" s="280"/>
      <c r="J41" s="433" t="s">
        <v>37</v>
      </c>
      <c r="K41" s="437">
        <f>K36-K40</f>
        <v>7860.7838461538486</v>
      </c>
      <c r="L41" s="133"/>
      <c r="M41" s="133"/>
      <c r="R41" s="431" t="s">
        <v>37</v>
      </c>
      <c r="S41" s="438">
        <f>S36-S40</f>
        <v>21385.032857142862</v>
      </c>
      <c r="Z41" s="433" t="s">
        <v>37</v>
      </c>
      <c r="AA41" s="437">
        <f>AA36-AA40</f>
        <v>32289.037142857145</v>
      </c>
      <c r="AH41" s="431" t="s">
        <v>37</v>
      </c>
      <c r="AI41" s="438">
        <f>AI36-AI40</f>
        <v>24883.942857142858</v>
      </c>
      <c r="AP41" s="431" t="s">
        <v>37</v>
      </c>
      <c r="AQ41" s="438">
        <f>AQ36-AQ40</f>
        <v>35517.857142857145</v>
      </c>
    </row>
    <row r="42" spans="1:48" s="423" customFormat="1" ht="16" thickBot="1" x14ac:dyDescent="0.25">
      <c r="A42" s="15"/>
      <c r="B42" s="520" t="s">
        <v>99</v>
      </c>
      <c r="C42" s="521">
        <f>C41/C36</f>
        <v>6.7323673037088333E-2</v>
      </c>
      <c r="D42" s="522"/>
      <c r="E42" s="133"/>
      <c r="F42" s="133"/>
      <c r="G42" s="133"/>
      <c r="H42" s="133"/>
      <c r="I42" s="133"/>
      <c r="J42" s="520" t="s">
        <v>99</v>
      </c>
      <c r="K42" s="521">
        <f>K41/K36</f>
        <v>0.16653321002391502</v>
      </c>
      <c r="L42" s="133"/>
      <c r="M42" s="133"/>
      <c r="N42" s="133"/>
      <c r="O42" s="133"/>
      <c r="P42" s="133"/>
      <c r="Q42" s="133"/>
      <c r="R42" s="520" t="s">
        <v>99</v>
      </c>
      <c r="S42" s="521">
        <f>S41/S36</f>
        <v>0.3560611531325818</v>
      </c>
      <c r="T42" s="133"/>
      <c r="U42" s="133"/>
      <c r="V42" s="133"/>
      <c r="W42" s="133"/>
      <c r="X42" s="133"/>
      <c r="Y42" s="133"/>
      <c r="Z42" s="520" t="s">
        <v>99</v>
      </c>
      <c r="AA42" s="521">
        <f>AA41/AA36</f>
        <v>0.37588662696426289</v>
      </c>
      <c r="AB42" s="133"/>
      <c r="AC42" s="133"/>
      <c r="AD42" s="133"/>
      <c r="AE42" s="133"/>
      <c r="AF42" s="133"/>
      <c r="AG42" s="133"/>
      <c r="AH42" s="520" t="s">
        <v>99</v>
      </c>
      <c r="AI42" s="521">
        <f>AI41/AI36</f>
        <v>0.38064848150434599</v>
      </c>
      <c r="AJ42" s="133"/>
      <c r="AK42" s="133"/>
      <c r="AL42" s="133"/>
      <c r="AM42" s="133"/>
      <c r="AN42" s="133"/>
      <c r="AO42" s="133"/>
      <c r="AP42" s="520" t="s">
        <v>99</v>
      </c>
      <c r="AQ42" s="521">
        <f>AQ41/AQ36</f>
        <v>0.39151077097505671</v>
      </c>
      <c r="AR42" s="133"/>
      <c r="AS42" s="133"/>
      <c r="AT42" s="133"/>
      <c r="AU42" s="133"/>
      <c r="AV42" s="133"/>
    </row>
    <row r="43" spans="1:48" s="2" customFormat="1" ht="16" thickBot="1" x14ac:dyDescent="0.25">
      <c r="A43" s="15"/>
      <c r="B43" s="134"/>
      <c r="C43" s="19"/>
      <c r="L43" s="133"/>
      <c r="M43" s="133"/>
    </row>
    <row r="44" spans="1:48" s="2" customFormat="1" x14ac:dyDescent="0.2">
      <c r="A44" s="15"/>
      <c r="B44" s="558" t="s">
        <v>100</v>
      </c>
      <c r="C44" s="559"/>
      <c r="D44" s="559"/>
      <c r="E44" s="559"/>
      <c r="F44" s="559"/>
      <c r="G44" s="559"/>
      <c r="H44" s="560"/>
      <c r="J44" s="558" t="s">
        <v>100</v>
      </c>
      <c r="K44" s="559"/>
      <c r="L44" s="559"/>
      <c r="M44" s="559"/>
      <c r="N44" s="559"/>
      <c r="O44" s="559"/>
      <c r="P44" s="560"/>
      <c r="R44" s="558" t="s">
        <v>100</v>
      </c>
      <c r="S44" s="559"/>
      <c r="T44" s="559"/>
      <c r="U44" s="559"/>
      <c r="V44" s="559"/>
      <c r="W44" s="559"/>
      <c r="X44" s="560"/>
      <c r="Z44" s="558" t="s">
        <v>100</v>
      </c>
      <c r="AA44" s="559"/>
      <c r="AB44" s="559"/>
      <c r="AC44" s="559"/>
      <c r="AD44" s="559"/>
      <c r="AE44" s="559"/>
      <c r="AF44" s="560"/>
      <c r="AH44" s="558" t="s">
        <v>100</v>
      </c>
      <c r="AI44" s="559"/>
      <c r="AJ44" s="559"/>
      <c r="AK44" s="559"/>
      <c r="AL44" s="559"/>
      <c r="AM44" s="559"/>
      <c r="AN44" s="560"/>
      <c r="AP44" s="558" t="s">
        <v>100</v>
      </c>
      <c r="AQ44" s="559"/>
      <c r="AR44" s="559"/>
      <c r="AS44" s="559"/>
      <c r="AT44" s="559"/>
      <c r="AU44" s="559"/>
      <c r="AV44" s="560"/>
    </row>
    <row r="45" spans="1:48" s="2" customFormat="1" x14ac:dyDescent="0.2">
      <c r="A45" s="15"/>
      <c r="B45" s="265">
        <f>C42</f>
        <v>6.7323673037088333E-2</v>
      </c>
      <c r="C45" s="135">
        <v>35</v>
      </c>
      <c r="D45" s="135">
        <v>40</v>
      </c>
      <c r="E45" s="135">
        <v>45</v>
      </c>
      <c r="F45" s="135">
        <v>50</v>
      </c>
      <c r="G45" s="135">
        <v>55</v>
      </c>
      <c r="H45" s="135">
        <v>60</v>
      </c>
      <c r="J45" s="378">
        <f>K42</f>
        <v>0.16653321002391502</v>
      </c>
      <c r="K45" s="135">
        <v>35</v>
      </c>
      <c r="L45" s="135">
        <v>40</v>
      </c>
      <c r="M45" s="135">
        <v>45</v>
      </c>
      <c r="N45" s="135">
        <v>50</v>
      </c>
      <c r="O45" s="135">
        <v>55</v>
      </c>
      <c r="P45" s="379">
        <v>60</v>
      </c>
      <c r="R45" s="378">
        <f>S42</f>
        <v>0.3560611531325818</v>
      </c>
      <c r="S45" s="135">
        <v>35</v>
      </c>
      <c r="T45" s="135">
        <v>40</v>
      </c>
      <c r="U45" s="135">
        <v>45</v>
      </c>
      <c r="V45" s="135">
        <v>50</v>
      </c>
      <c r="W45" s="135">
        <v>55</v>
      </c>
      <c r="X45" s="379">
        <v>60</v>
      </c>
      <c r="Z45" s="378">
        <f>AA42</f>
        <v>0.37588662696426289</v>
      </c>
      <c r="AA45" s="135">
        <v>35</v>
      </c>
      <c r="AB45" s="135">
        <v>40</v>
      </c>
      <c r="AC45" s="135">
        <v>45</v>
      </c>
      <c r="AD45" s="135">
        <v>50</v>
      </c>
      <c r="AE45" s="135">
        <v>55</v>
      </c>
      <c r="AF45" s="379">
        <v>60</v>
      </c>
      <c r="AH45" s="378">
        <f>AI42</f>
        <v>0.38064848150434599</v>
      </c>
      <c r="AI45" s="135">
        <v>35</v>
      </c>
      <c r="AJ45" s="135">
        <v>40</v>
      </c>
      <c r="AK45" s="135">
        <v>45</v>
      </c>
      <c r="AL45" s="135">
        <v>50</v>
      </c>
      <c r="AM45" s="135">
        <v>55</v>
      </c>
      <c r="AN45" s="379">
        <v>60</v>
      </c>
      <c r="AP45" s="378">
        <f>AQ42</f>
        <v>0.39151077097505671</v>
      </c>
      <c r="AQ45" s="135">
        <v>35</v>
      </c>
      <c r="AR45" s="135">
        <v>40</v>
      </c>
      <c r="AS45" s="135">
        <v>45</v>
      </c>
      <c r="AT45" s="135">
        <v>50</v>
      </c>
      <c r="AU45" s="135">
        <v>55</v>
      </c>
      <c r="AV45" s="379">
        <v>60</v>
      </c>
    </row>
    <row r="46" spans="1:48" s="2" customFormat="1" x14ac:dyDescent="0.2">
      <c r="A46" s="15"/>
      <c r="B46" s="136">
        <v>0.2</v>
      </c>
      <c r="C46" s="282">
        <f t="dataTable" ref="C46:H56" dt2D="1" dtr="1" r1="C32" r2="C28"/>
        <v>0.13061301775147929</v>
      </c>
      <c r="D46" s="282">
        <v>0.13101032355533163</v>
      </c>
      <c r="E46" s="282">
        <v>0.13140552163608685</v>
      </c>
      <c r="F46" s="282">
        <v>0.13179862872170556</v>
      </c>
      <c r="G46" s="282">
        <v>0.13218966136360091</v>
      </c>
      <c r="H46" s="282">
        <v>0.13257863593895974</v>
      </c>
      <c r="J46" s="380">
        <v>0.2</v>
      </c>
      <c r="K46" s="282">
        <f t="dataTable" ref="K46:P56" dt2D="1" dtr="1" r1="K32" r2="K28"/>
        <v>0.15830493048700878</v>
      </c>
      <c r="L46" s="282">
        <v>0.16245055601899591</v>
      </c>
      <c r="M46" s="282">
        <v>0.16653321002391502</v>
      </c>
      <c r="N46" s="282">
        <v>0.17055431648102112</v>
      </c>
      <c r="O46" s="282">
        <v>0.17451525675672414</v>
      </c>
      <c r="P46" s="441">
        <v>0.17841737118674855</v>
      </c>
      <c r="Q46" s="427"/>
      <c r="R46" s="380">
        <v>0</v>
      </c>
      <c r="S46" s="282">
        <f t="dataTable" ref="S46:X56" dt2D="1" dtr="1" r1="S32" r2="S28"/>
        <v>0.36102055647840531</v>
      </c>
      <c r="T46" s="282">
        <v>0.36297997522708503</v>
      </c>
      <c r="U46" s="282">
        <v>0.36491687192118222</v>
      </c>
      <c r="V46" s="282">
        <v>0.36683163265306118</v>
      </c>
      <c r="W46" s="282">
        <v>0.36872463474025968</v>
      </c>
      <c r="X46" s="441">
        <v>0.37059624697336557</v>
      </c>
      <c r="Z46" s="380">
        <v>0</v>
      </c>
      <c r="AA46" s="425">
        <f t="dataTable" ref="AA46:AF56" dt2D="1" dtr="1" r1="AA32" r2="AA28"/>
        <v>0.36778083028083031</v>
      </c>
      <c r="AB46" s="425">
        <v>0.37059624697336563</v>
      </c>
      <c r="AC46" s="425">
        <v>0.37336434573829536</v>
      </c>
      <c r="AD46" s="425">
        <v>0.37608630952380956</v>
      </c>
      <c r="AE46" s="425">
        <v>0.37876328217237309</v>
      </c>
      <c r="AF46" s="426">
        <v>0.38139637002341925</v>
      </c>
      <c r="AH46" s="380">
        <v>0</v>
      </c>
      <c r="AI46" s="425">
        <f t="dataTable" ref="AI46:AN56" dt2D="1" dtr="1" r1="AI32" r2="AI28"/>
        <v>0.37106085029216196</v>
      </c>
      <c r="AJ46" s="425">
        <v>0.3742767358339984</v>
      </c>
      <c r="AK46" s="425">
        <v>0.37743034973325429</v>
      </c>
      <c r="AL46" s="425">
        <v>0.3805234833659491</v>
      </c>
      <c r="AM46" s="425">
        <v>0.38355786005039733</v>
      </c>
      <c r="AN46" s="426">
        <v>0.38653513824884789</v>
      </c>
      <c r="AP46" s="380">
        <v>0</v>
      </c>
      <c r="AQ46" s="425">
        <f t="dataTable" ref="AQ46:AV56" dt2D="1" dtr="1" r1="AQ32" r2="AQ28"/>
        <v>0.37427673583399845</v>
      </c>
      <c r="AR46" s="425">
        <v>0.37787588792423049</v>
      </c>
      <c r="AS46" s="425">
        <v>0.38139637002341925</v>
      </c>
      <c r="AT46" s="425">
        <v>0.38484073359073362</v>
      </c>
      <c r="AU46" s="425">
        <v>0.38821142093200917</v>
      </c>
      <c r="AV46" s="426">
        <v>0.39151077097505671</v>
      </c>
    </row>
    <row r="47" spans="1:48" s="2" customFormat="1" x14ac:dyDescent="0.2">
      <c r="A47" s="15"/>
      <c r="B47" s="136">
        <v>0.25</v>
      </c>
      <c r="C47" s="282">
        <v>0.11964117736307089</v>
      </c>
      <c r="D47" s="282">
        <v>0.12009674220010749</v>
      </c>
      <c r="E47" s="282">
        <v>0.12054972593325181</v>
      </c>
      <c r="F47" s="282">
        <v>0.12100015043626522</v>
      </c>
      <c r="G47" s="282">
        <v>0.12144803733644463</v>
      </c>
      <c r="H47" s="282">
        <v>0.12189340801808383</v>
      </c>
      <c r="J47" s="380">
        <v>0.25</v>
      </c>
      <c r="K47" s="282">
        <v>0.14978118090765283</v>
      </c>
      <c r="L47" s="282">
        <v>0.15426666041112316</v>
      </c>
      <c r="M47" s="282">
        <v>0.15867959846709787</v>
      </c>
      <c r="N47" s="282">
        <v>0.16302174072538317</v>
      </c>
      <c r="O47" s="282">
        <v>0.16729477727133499</v>
      </c>
      <c r="P47" s="441">
        <v>0.17150034481919282</v>
      </c>
      <c r="Q47" s="427"/>
      <c r="R47" s="380">
        <v>0.05</v>
      </c>
      <c r="S47" s="282">
        <v>0.36077201640000095</v>
      </c>
      <c r="T47" s="282">
        <v>0.36284047971463512</v>
      </c>
      <c r="U47" s="282">
        <v>0.36488387074666762</v>
      </c>
      <c r="V47" s="282">
        <v>0.36690264260963951</v>
      </c>
      <c r="W47" s="282">
        <v>0.36889723756407283</v>
      </c>
      <c r="X47" s="441">
        <v>0.3708680873404771</v>
      </c>
      <c r="Z47" s="380">
        <v>0.05</v>
      </c>
      <c r="AA47" s="425">
        <v>0.36775794181734778</v>
      </c>
      <c r="AB47" s="425">
        <v>0.3707243887654072</v>
      </c>
      <c r="AC47" s="425">
        <v>0.37363833222766024</v>
      </c>
      <c r="AD47" s="425">
        <v>0.376501153874786</v>
      </c>
      <c r="AE47" s="425">
        <v>0.37931418731935307</v>
      </c>
      <c r="AF47" s="426">
        <v>0.38207872018728972</v>
      </c>
      <c r="AH47" s="380">
        <v>0.05</v>
      </c>
      <c r="AI47" s="425">
        <v>0.37135713921664287</v>
      </c>
      <c r="AJ47" s="425">
        <v>0.37474022748941266</v>
      </c>
      <c r="AK47" s="425">
        <v>0.37805437364308681</v>
      </c>
      <c r="AL47" s="425">
        <v>0.38130166382247932</v>
      </c>
      <c r="AM47" s="425">
        <v>0.38448410084564999</v>
      </c>
      <c r="AN47" s="426">
        <v>0.38760360832316476</v>
      </c>
      <c r="AP47" s="380">
        <v>0.05</v>
      </c>
      <c r="AQ47" s="425">
        <v>0.37459821948581418</v>
      </c>
      <c r="AR47" s="425">
        <v>0.37838196111970007</v>
      </c>
      <c r="AS47" s="425">
        <v>0.38207872018728972</v>
      </c>
      <c r="AT47" s="425">
        <v>0.38569146200334326</v>
      </c>
      <c r="AU47" s="425">
        <v>0.38922301861004727</v>
      </c>
      <c r="AV47" s="426">
        <v>0.39267609618104671</v>
      </c>
    </row>
    <row r="48" spans="1:48" s="2" customFormat="1" x14ac:dyDescent="0.2">
      <c r="A48" s="15"/>
      <c r="B48" s="136">
        <v>0.3</v>
      </c>
      <c r="C48" s="282">
        <v>0.10678861923574924</v>
      </c>
      <c r="D48" s="282">
        <v>0.10731034026214734</v>
      </c>
      <c r="E48" s="282">
        <v>0.10782892782892785</v>
      </c>
      <c r="F48" s="282">
        <v>0.10834441008093708</v>
      </c>
      <c r="G48" s="282">
        <v>0.1088568148269639</v>
      </c>
      <c r="H48" s="282">
        <v>0.10936616954474096</v>
      </c>
      <c r="J48" s="380">
        <v>0.3</v>
      </c>
      <c r="K48" s="282">
        <v>0.14007715641284904</v>
      </c>
      <c r="L48" s="282">
        <v>0.1449040774782554</v>
      </c>
      <c r="M48" s="282">
        <v>0.14964848707245837</v>
      </c>
      <c r="N48" s="282">
        <v>0.15431248294472572</v>
      </c>
      <c r="O48" s="282">
        <v>0.15889809233174484</v>
      </c>
      <c r="P48" s="441">
        <v>0.16340727489564702</v>
      </c>
      <c r="Q48" s="427"/>
      <c r="R48" s="380">
        <v>0.1</v>
      </c>
      <c r="S48" s="282">
        <v>0.35901499154173716</v>
      </c>
      <c r="T48" s="282">
        <v>0.3612007928780081</v>
      </c>
      <c r="U48" s="282">
        <v>0.36335874961126918</v>
      </c>
      <c r="V48" s="282">
        <v>0.36548939043651429</v>
      </c>
      <c r="W48" s="282">
        <v>0.36759323074823436</v>
      </c>
      <c r="X48" s="441">
        <v>0.36967077305605789</v>
      </c>
      <c r="Z48" s="380">
        <v>0.1</v>
      </c>
      <c r="AA48" s="425">
        <v>0.36668467000110311</v>
      </c>
      <c r="AB48" s="425">
        <v>0.36980950121984285</v>
      </c>
      <c r="AC48" s="425">
        <v>0.37287628603823436</v>
      </c>
      <c r="AD48" s="425">
        <v>0.37588662696426289</v>
      </c>
      <c r="AE48" s="425">
        <v>0.37884206805577414</v>
      </c>
      <c r="AF48" s="426">
        <v>0.38174409756129424</v>
      </c>
      <c r="AH48" s="380">
        <v>0.1</v>
      </c>
      <c r="AI48" s="425">
        <v>0.37018610726345874</v>
      </c>
      <c r="AJ48" s="425">
        <v>0.37374891166030405</v>
      </c>
      <c r="AK48" s="425">
        <v>0.37723556451278939</v>
      </c>
      <c r="AL48" s="425">
        <v>0.38064848150434599</v>
      </c>
      <c r="AM48" s="425">
        <v>0.38398997721356809</v>
      </c>
      <c r="AN48" s="426">
        <v>0.38726227034893052</v>
      </c>
      <c r="AP48" s="380">
        <v>0.1</v>
      </c>
      <c r="AQ48" s="425">
        <v>0.37388592713070895</v>
      </c>
      <c r="AR48" s="425">
        <v>0.37786292801935883</v>
      </c>
      <c r="AS48" s="425">
        <v>0.38174409756129424</v>
      </c>
      <c r="AT48" s="425">
        <v>0.3855328583046122</v>
      </c>
      <c r="AU48" s="425">
        <v>0.38923247173632269</v>
      </c>
      <c r="AV48" s="426">
        <v>0.39284604764636538</v>
      </c>
    </row>
    <row r="49" spans="1:48" s="2" customFormat="1" x14ac:dyDescent="0.2">
      <c r="A49" s="15"/>
      <c r="B49" s="136">
        <v>0.35</v>
      </c>
      <c r="C49" s="282">
        <v>8.9328451702898548E-2</v>
      </c>
      <c r="D49" s="282">
        <v>8.9947515171395792E-2</v>
      </c>
      <c r="E49" s="282">
        <v>9.0562571756601526E-2</v>
      </c>
      <c r="F49" s="282">
        <v>9.1173660234806067E-2</v>
      </c>
      <c r="G49" s="282">
        <v>9.1780818883568774E-2</v>
      </c>
      <c r="H49" s="282">
        <v>9.2384085489711068E-2</v>
      </c>
      <c r="J49" s="380">
        <v>0.35</v>
      </c>
      <c r="K49" s="282">
        <v>0.12598267393338652</v>
      </c>
      <c r="L49" s="282">
        <v>0.13129764917474412</v>
      </c>
      <c r="M49" s="282">
        <v>0.13651510193460875</v>
      </c>
      <c r="N49" s="282">
        <v>0.14163769191702147</v>
      </c>
      <c r="O49" s="282">
        <v>0.14666798298083217</v>
      </c>
      <c r="P49" s="441">
        <v>0.15160844741850321</v>
      </c>
      <c r="Q49" s="427"/>
      <c r="R49" s="380">
        <v>0.15</v>
      </c>
      <c r="S49" s="282">
        <v>0.35683892835913855</v>
      </c>
      <c r="T49" s="282">
        <v>0.35915758424860372</v>
      </c>
      <c r="U49" s="282">
        <v>0.36144511724022388</v>
      </c>
      <c r="V49" s="282">
        <v>0.3637021497919557</v>
      </c>
      <c r="W49" s="282">
        <v>0.36592928787280371</v>
      </c>
      <c r="X49" s="441">
        <v>0.36812712150521953</v>
      </c>
      <c r="Z49" s="380">
        <v>0.15</v>
      </c>
      <c r="AA49" s="425">
        <v>0.36468368514008737</v>
      </c>
      <c r="AB49" s="425">
        <v>0.36799272772094171</v>
      </c>
      <c r="AC49" s="425">
        <v>0.37123709845982511</v>
      </c>
      <c r="AD49" s="425">
        <v>0.3744186749263429</v>
      </c>
      <c r="AE49" s="425">
        <v>0.37753926270660154</v>
      </c>
      <c r="AF49" s="426">
        <v>0.38060059882014652</v>
      </c>
      <c r="AH49" s="380">
        <v>0.15</v>
      </c>
      <c r="AI49" s="425">
        <v>0.36867206876054753</v>
      </c>
      <c r="AJ49" s="425">
        <v>0.37243715888826856</v>
      </c>
      <c r="AK49" s="425">
        <v>0.37611764024907457</v>
      </c>
      <c r="AL49" s="425">
        <v>0.37971633313519593</v>
      </c>
      <c r="AM49" s="425">
        <v>0.38323593386997395</v>
      </c>
      <c r="AN49" s="426">
        <v>0.38667902154530037</v>
      </c>
      <c r="AP49" s="380">
        <v>0.15</v>
      </c>
      <c r="AQ49" s="425">
        <v>0.3723045104778126</v>
      </c>
      <c r="AR49" s="425">
        <v>0.37650573470245613</v>
      </c>
      <c r="AS49" s="425">
        <v>0.38060059882014652</v>
      </c>
      <c r="AT49" s="425">
        <v>0.38459309133489467</v>
      </c>
      <c r="AU49" s="425">
        <v>0.3884870037875503</v>
      </c>
      <c r="AV49" s="426">
        <v>0.39228594276575085</v>
      </c>
    </row>
    <row r="50" spans="1:48" s="2" customFormat="1" x14ac:dyDescent="0.2">
      <c r="A50" s="15"/>
      <c r="B50" s="136">
        <v>0.4</v>
      </c>
      <c r="C50" s="282">
        <v>6.7323673037088333E-2</v>
      </c>
      <c r="D50" s="282">
        <v>6.8072533343295952E-2</v>
      </c>
      <c r="E50" s="282">
        <v>6.8816138489459694E-2</v>
      </c>
      <c r="F50" s="282">
        <v>6.9554543599636434E-2</v>
      </c>
      <c r="G50" s="282">
        <v>7.0287803029602886E-2</v>
      </c>
      <c r="H50" s="282">
        <v>7.1015970380194415E-2</v>
      </c>
      <c r="J50" s="380">
        <v>0.4</v>
      </c>
      <c r="K50" s="282">
        <v>0.10808114227469073</v>
      </c>
      <c r="L50" s="282">
        <v>0.11400033085194375</v>
      </c>
      <c r="M50" s="282">
        <v>0.11980230777420184</v>
      </c>
      <c r="N50" s="282">
        <v>0.12549052044308215</v>
      </c>
      <c r="O50" s="282">
        <v>0.13106828238052787</v>
      </c>
      <c r="P50" s="441">
        <v>0.1365387796653306</v>
      </c>
      <c r="Q50" s="427"/>
      <c r="R50" s="380">
        <v>0.2</v>
      </c>
      <c r="S50" s="282">
        <v>0.35358677293929097</v>
      </c>
      <c r="T50" s="282">
        <v>0.3560611531325818</v>
      </c>
      <c r="U50" s="282">
        <v>0.35850043573447832</v>
      </c>
      <c r="V50" s="282">
        <v>0.36090536224339048</v>
      </c>
      <c r="W50" s="282">
        <v>0.36327665341651366</v>
      </c>
      <c r="X50" s="441">
        <v>0.36561500999001001</v>
      </c>
      <c r="Z50" s="380">
        <v>0.2</v>
      </c>
      <c r="AA50" s="425">
        <v>0.36209516798990482</v>
      </c>
      <c r="AB50" s="425">
        <v>0.36561500999001006</v>
      </c>
      <c r="AC50" s="425">
        <v>0.36906227792825735</v>
      </c>
      <c r="AD50" s="425">
        <v>0.37243919345960164</v>
      </c>
      <c r="AE50" s="425">
        <v>0.37574788847516122</v>
      </c>
      <c r="AF50" s="426">
        <v>0.37899040959040958</v>
      </c>
      <c r="AH50" s="380">
        <v>0.2</v>
      </c>
      <c r="AI50" s="425">
        <v>0.3661945333695768</v>
      </c>
      <c r="AJ50" s="425">
        <v>0.3701956262915167</v>
      </c>
      <c r="AK50" s="425">
        <v>0.37410193867046659</v>
      </c>
      <c r="AL50" s="425">
        <v>0.37791679892014346</v>
      </c>
      <c r="AM50" s="425">
        <v>0.38164338141197651</v>
      </c>
      <c r="AN50" s="426">
        <v>0.38528471528471536</v>
      </c>
      <c r="AP50" s="380">
        <v>0.2</v>
      </c>
      <c r="AQ50" s="425">
        <v>0.3701956262915167</v>
      </c>
      <c r="AR50" s="425">
        <v>0.3746524421524422</v>
      </c>
      <c r="AS50" s="425">
        <v>0.37899040959040958</v>
      </c>
      <c r="AT50" s="425">
        <v>0.38321421999053579</v>
      </c>
      <c r="AU50" s="425">
        <v>0.38732832102961978</v>
      </c>
      <c r="AV50" s="426">
        <v>0.39133693229847077</v>
      </c>
    </row>
    <row r="51" spans="1:48" s="2" customFormat="1" x14ac:dyDescent="0.2">
      <c r="A51" s="15"/>
      <c r="B51" s="136">
        <v>0.45</v>
      </c>
      <c r="C51" s="282">
        <v>3.9697800141013297E-2</v>
      </c>
      <c r="D51" s="282">
        <v>4.0622039371240343E-2</v>
      </c>
      <c r="E51" s="282">
        <v>4.1539196308515304E-2</v>
      </c>
      <c r="F51" s="282">
        <v>4.2449352047795798E-2</v>
      </c>
      <c r="G51" s="282">
        <v>4.3352586450655754E-2</v>
      </c>
      <c r="H51" s="282">
        <v>4.4248978168645557E-2</v>
      </c>
      <c r="J51" s="380">
        <v>0.45</v>
      </c>
      <c r="K51" s="282">
        <v>8.467809539409224E-2</v>
      </c>
      <c r="L51" s="282">
        <v>9.1366376965895515E-2</v>
      </c>
      <c r="M51" s="282">
        <v>9.7910824525402132E-2</v>
      </c>
      <c r="N51" s="282">
        <v>0.10431602851981267</v>
      </c>
      <c r="O51" s="282">
        <v>0.11058638611434089</v>
      </c>
      <c r="P51" s="441">
        <v>0.11672611125898327</v>
      </c>
      <c r="R51" s="380">
        <v>0.25</v>
      </c>
      <c r="S51" s="282">
        <v>0.34792071686702564</v>
      </c>
      <c r="T51" s="282">
        <v>0.35060834498254445</v>
      </c>
      <c r="U51" s="282">
        <v>0.35325525145994946</v>
      </c>
      <c r="V51" s="282">
        <v>0.35586235483243106</v>
      </c>
      <c r="W51" s="282">
        <v>0.35843054621427861</v>
      </c>
      <c r="X51" s="441">
        <v>0.36096069031639511</v>
      </c>
      <c r="Z51" s="380">
        <v>0.25</v>
      </c>
      <c r="AA51" s="425">
        <v>0.35715125987051183</v>
      </c>
      <c r="AB51" s="425">
        <v>0.36096069031639505</v>
      </c>
      <c r="AC51" s="425">
        <v>0.36468639701621486</v>
      </c>
      <c r="AD51" s="425">
        <v>0.3683311100921256</v>
      </c>
      <c r="AE51" s="425">
        <v>0.37189744224167265</v>
      </c>
      <c r="AF51" s="426">
        <v>0.37538789498378244</v>
      </c>
      <c r="AH51" s="380">
        <v>0.25</v>
      </c>
      <c r="AI51" s="425">
        <v>0.36158738035277882</v>
      </c>
      <c r="AJ51" s="425">
        <v>0.3659101692898783</v>
      </c>
      <c r="AK51" s="425">
        <v>0.37012391490243846</v>
      </c>
      <c r="AL51" s="425">
        <v>0.37423269176308421</v>
      </c>
      <c r="AM51" s="425">
        <v>0.37824037393823073</v>
      </c>
      <c r="AN51" s="426">
        <v>0.38215064717162034</v>
      </c>
      <c r="AP51" s="380">
        <v>0.25</v>
      </c>
      <c r="AQ51" s="425">
        <v>0.36591016928987835</v>
      </c>
      <c r="AR51" s="425">
        <v>0.37071721721376494</v>
      </c>
      <c r="AS51" s="425">
        <v>0.37538789498378244</v>
      </c>
      <c r="AT51" s="425">
        <v>0.37992792442456874</v>
      </c>
      <c r="AU51" s="425">
        <v>0.38434271167388506</v>
      </c>
      <c r="AV51" s="426">
        <v>0.38863736865791382</v>
      </c>
    </row>
    <row r="52" spans="1:48" s="2" customFormat="1" x14ac:dyDescent="0.2">
      <c r="A52" s="15"/>
      <c r="B52" s="136">
        <v>0.5</v>
      </c>
      <c r="C52" s="282">
        <v>1.1538046243134613E-2</v>
      </c>
      <c r="D52" s="282">
        <v>1.2656637717121591E-2</v>
      </c>
      <c r="E52" s="282">
        <v>1.3765946274311996E-2</v>
      </c>
      <c r="F52" s="282">
        <v>1.4866086992186618E-2</v>
      </c>
      <c r="G52" s="282">
        <v>1.5957173053947206E-2</v>
      </c>
      <c r="H52" s="282">
        <v>1.7039315787332705E-2</v>
      </c>
      <c r="J52" s="380">
        <v>0.5</v>
      </c>
      <c r="K52" s="282">
        <v>6.1964979869853019E-2</v>
      </c>
      <c r="L52" s="282">
        <v>6.9441952762003017E-2</v>
      </c>
      <c r="M52" s="282">
        <v>7.6745713926921949E-2</v>
      </c>
      <c r="N52" s="282">
        <v>8.3882213385774021E-2</v>
      </c>
      <c r="O52" s="282">
        <v>9.0857131724803031E-2</v>
      </c>
      <c r="P52" s="441">
        <v>9.7675895175644831E-2</v>
      </c>
      <c r="R52" s="380">
        <v>0.3</v>
      </c>
      <c r="S52" s="282">
        <v>0.34201513667931843</v>
      </c>
      <c r="T52" s="282">
        <v>0.34492558272257601</v>
      </c>
      <c r="U52" s="282">
        <v>0.34778908608771647</v>
      </c>
      <c r="V52" s="282">
        <v>0.3506067733990148</v>
      </c>
      <c r="W52" s="282">
        <v>0.35337973551489565</v>
      </c>
      <c r="X52" s="441">
        <v>0.35610902893603813</v>
      </c>
      <c r="Z52" s="380">
        <v>0.3</v>
      </c>
      <c r="AA52" s="263">
        <v>0.35212696410296968</v>
      </c>
      <c r="AB52" s="263">
        <v>0.35623570074742278</v>
      </c>
      <c r="AC52" s="263">
        <v>0.36024851357916499</v>
      </c>
      <c r="AD52" s="263">
        <v>0.3641687230378669</v>
      </c>
      <c r="AE52" s="263">
        <v>0.36799949806024856</v>
      </c>
      <c r="AF52" s="381">
        <v>0.37174386462347891</v>
      </c>
      <c r="AH52" s="380">
        <v>0.3</v>
      </c>
      <c r="AI52" s="263">
        <v>0.35678464970433676</v>
      </c>
      <c r="AJ52" s="263">
        <v>0.36144067189827012</v>
      </c>
      <c r="AK52" s="263">
        <v>0.3659720586988669</v>
      </c>
      <c r="AL52" s="263">
        <v>0.37038374848963662</v>
      </c>
      <c r="AM52" s="263">
        <v>0.3746804221592317</v>
      </c>
      <c r="AN52" s="381">
        <v>0.37886651966821216</v>
      </c>
      <c r="AP52" s="380">
        <v>0.3</v>
      </c>
      <c r="AQ52" s="263">
        <v>0.36156537980560227</v>
      </c>
      <c r="AR52" s="263">
        <v>0.366732320571929</v>
      </c>
      <c r="AS52" s="263">
        <v>0.37174386462347891</v>
      </c>
      <c r="AT52" s="263">
        <v>0.37660691848090883</v>
      </c>
      <c r="AU52" s="263">
        <v>0.38132798536439921</v>
      </c>
      <c r="AV52" s="381">
        <v>0.3859131942080769</v>
      </c>
    </row>
    <row r="53" spans="1:48" s="2" customFormat="1" x14ac:dyDescent="0.2">
      <c r="A53" s="15"/>
      <c r="B53" s="136">
        <v>0.55000000000000004</v>
      </c>
      <c r="C53" s="282">
        <v>-3.0910484863973305E-2</v>
      </c>
      <c r="D53" s="282">
        <v>-2.9471084471084503E-2</v>
      </c>
      <c r="E53" s="282">
        <v>-2.8044950441263976E-2</v>
      </c>
      <c r="F53" s="282">
        <v>-2.6631900209881824E-2</v>
      </c>
      <c r="G53" s="282">
        <v>-2.5231754546823141E-2</v>
      </c>
      <c r="H53" s="282">
        <v>-2.3844337480701184E-2</v>
      </c>
      <c r="J53" s="380">
        <v>0.55000000000000004</v>
      </c>
      <c r="K53" s="282">
        <v>2.7527162595566479E-2</v>
      </c>
      <c r="L53" s="282">
        <v>3.6222932044761819E-2</v>
      </c>
      <c r="M53" s="282">
        <v>4.4696681848445594E-2</v>
      </c>
      <c r="N53" s="282">
        <v>5.295680770749888E-2</v>
      </c>
      <c r="O53" s="282">
        <v>6.1011287279604781E-2</v>
      </c>
      <c r="P53" s="441">
        <v>6.8867705878625923E-2</v>
      </c>
      <c r="R53" s="380">
        <v>0.35</v>
      </c>
      <c r="S53" s="282">
        <v>0.33457622747096433</v>
      </c>
      <c r="T53" s="282">
        <v>0.33775382549295585</v>
      </c>
      <c r="U53" s="282">
        <v>0.34087663734215462</v>
      </c>
      <c r="V53" s="282">
        <v>0.34394606779222159</v>
      </c>
      <c r="W53" s="282">
        <v>0.34696347399737221</v>
      </c>
      <c r="X53" s="441">
        <v>0.34993016749319272</v>
      </c>
      <c r="Z53" s="380">
        <v>0.35</v>
      </c>
      <c r="AA53" s="263">
        <v>0.34533364945540079</v>
      </c>
      <c r="AB53" s="263">
        <v>0.34980423370596303</v>
      </c>
      <c r="AC53" s="263">
        <v>0.35416351710381405</v>
      </c>
      <c r="AD53" s="263">
        <v>0.35841560500827541</v>
      </c>
      <c r="AE53" s="263">
        <v>0.36256440332801299</v>
      </c>
      <c r="AF53" s="381">
        <v>0.36661363048807677</v>
      </c>
      <c r="AH53" s="380">
        <v>0.35</v>
      </c>
      <c r="AI53" s="263">
        <v>0.35066406651312304</v>
      </c>
      <c r="AJ53" s="263">
        <v>0.35571644571644573</v>
      </c>
      <c r="AK53" s="263">
        <v>0.36062476522761655</v>
      </c>
      <c r="AL53" s="263">
        <v>0.36539509985293117</v>
      </c>
      <c r="AM53" s="263">
        <v>0.37003318757774201</v>
      </c>
      <c r="AN53" s="381">
        <v>0.37454445259132751</v>
      </c>
      <c r="AP53" s="380">
        <v>0.35</v>
      </c>
      <c r="AQ53" s="263">
        <v>0.35559259347941818</v>
      </c>
      <c r="AR53" s="263">
        <v>0.36119271391064711</v>
      </c>
      <c r="AS53" s="263">
        <v>0.36661363048807677</v>
      </c>
      <c r="AT53" s="263">
        <v>0.37186380953550863</v>
      </c>
      <c r="AU53" s="263">
        <v>0.37695119233340774</v>
      </c>
      <c r="AV53" s="381">
        <v>0.38188323519854656</v>
      </c>
    </row>
    <row r="54" spans="1:48" s="2" customFormat="1" x14ac:dyDescent="0.2">
      <c r="A54" s="15"/>
      <c r="B54" s="136">
        <v>0.6</v>
      </c>
      <c r="C54" s="282">
        <v>-8.5571514438888038E-2</v>
      </c>
      <c r="D54" s="282">
        <v>-8.3667496134518793E-2</v>
      </c>
      <c r="E54" s="282">
        <v>-8.1783208589780332E-2</v>
      </c>
      <c r="F54" s="282">
        <v>-7.9918346689832984E-2</v>
      </c>
      <c r="G54" s="282">
        <v>-7.8072611578603041E-2</v>
      </c>
      <c r="H54" s="282">
        <v>-7.6245710499120517E-2</v>
      </c>
      <c r="J54" s="380">
        <v>0.6</v>
      </c>
      <c r="K54" s="282">
        <v>-1.7389781486270368E-2</v>
      </c>
      <c r="L54" s="282">
        <v>-7.0428134840646783E-3</v>
      </c>
      <c r="M54" s="282">
        <v>3.0099279398794554E-3</v>
      </c>
      <c r="N54" s="282">
        <v>1.2780816800535437E-2</v>
      </c>
      <c r="O54" s="282">
        <v>2.2281542835550949E-2</v>
      </c>
      <c r="P54" s="441">
        <v>3.1523158160520794E-2</v>
      </c>
      <c r="R54" s="380">
        <v>0.4</v>
      </c>
      <c r="S54" s="282">
        <v>0.32480606008015761</v>
      </c>
      <c r="T54" s="282">
        <v>0.32831254549996913</v>
      </c>
      <c r="U54" s="282">
        <v>0.33175409600459904</v>
      </c>
      <c r="V54" s="282">
        <v>0.33513249879354773</v>
      </c>
      <c r="W54" s="282">
        <v>0.33844947607724274</v>
      </c>
      <c r="X54" s="441">
        <v>0.34170668800447485</v>
      </c>
      <c r="Z54" s="380">
        <v>0.4</v>
      </c>
      <c r="AA54" s="263">
        <v>0.33692661890889142</v>
      </c>
      <c r="AB54" s="263">
        <v>0.34183301595066307</v>
      </c>
      <c r="AC54" s="263">
        <v>0.34660857573798759</v>
      </c>
      <c r="AD54" s="263">
        <v>0.35125846289932988</v>
      </c>
      <c r="AE54" s="263">
        <v>0.3557875737707672</v>
      </c>
      <c r="AF54" s="381">
        <v>0.36020055359421888</v>
      </c>
      <c r="AH54" s="380">
        <v>0.4</v>
      </c>
      <c r="AI54" s="263">
        <v>0.34251184151457709</v>
      </c>
      <c r="AJ54" s="263">
        <v>0.34804816255306814</v>
      </c>
      <c r="AK54" s="263">
        <v>0.35341561976903446</v>
      </c>
      <c r="AL54" s="263">
        <v>0.35862182290555106</v>
      </c>
      <c r="AM54" s="263">
        <v>0.36367393123464437</v>
      </c>
      <c r="AN54" s="381">
        <v>0.36857868640413921</v>
      </c>
      <c r="AP54" s="380">
        <v>0.4</v>
      </c>
      <c r="AQ54" s="263">
        <v>0.34817225460640361</v>
      </c>
      <c r="AR54" s="263">
        <v>0.3542909980045531</v>
      </c>
      <c r="AS54" s="263">
        <v>0.36020055359421888</v>
      </c>
      <c r="AT54" s="263">
        <v>0.36591146865986224</v>
      </c>
      <c r="AU54" s="263">
        <v>0.37143359314482316</v>
      </c>
      <c r="AV54" s="381">
        <v>0.37677613634572038</v>
      </c>
    </row>
    <row r="55" spans="1:48" s="2" customFormat="1" x14ac:dyDescent="0.2">
      <c r="A55" s="15"/>
      <c r="B55" s="136">
        <v>0.65</v>
      </c>
      <c r="C55" s="282">
        <v>-0.15754265752604849</v>
      </c>
      <c r="D55" s="282">
        <v>-0.15493823694553627</v>
      </c>
      <c r="E55" s="282">
        <v>-0.15236463791035554</v>
      </c>
      <c r="F55" s="282">
        <v>-0.14982131651088285</v>
      </c>
      <c r="G55" s="282">
        <v>-0.14730774156052698</v>
      </c>
      <c r="H55" s="282">
        <v>-0.14482339422587273</v>
      </c>
      <c r="J55" s="380">
        <v>0.65</v>
      </c>
      <c r="K55" s="282">
        <v>-7.4563675421792347E-2</v>
      </c>
      <c r="L55" s="282">
        <v>-6.1934919844263213E-2</v>
      </c>
      <c r="M55" s="282">
        <v>-4.9711364980451485E-2</v>
      </c>
      <c r="N55" s="282">
        <v>-3.7873817112339066E-2</v>
      </c>
      <c r="O55" s="282">
        <v>-2.640427591370165E-2</v>
      </c>
      <c r="P55" s="441">
        <v>-1.5285843119104152E-2</v>
      </c>
      <c r="R55" s="380">
        <v>0.45</v>
      </c>
      <c r="S55" s="282">
        <v>0.31171567284310037</v>
      </c>
      <c r="T55" s="282">
        <v>0.31567775781408913</v>
      </c>
      <c r="U55" s="282">
        <v>0.31955980066445194</v>
      </c>
      <c r="V55" s="282">
        <v>0.32336420265780735</v>
      </c>
      <c r="W55" s="282">
        <v>0.32709326995822502</v>
      </c>
      <c r="X55" s="441">
        <v>0.33074921829196802</v>
      </c>
      <c r="Z55" s="380">
        <v>0.45</v>
      </c>
      <c r="AA55" s="263">
        <v>0.32523801259483331</v>
      </c>
      <c r="AB55" s="263">
        <v>0.33074921829196802</v>
      </c>
      <c r="AC55" s="263">
        <v>0.33610067889643225</v>
      </c>
      <c r="AD55" s="263">
        <v>0.34129924062648326</v>
      </c>
      <c r="AE55" s="263">
        <v>0.34635136399794125</v>
      </c>
      <c r="AF55" s="381">
        <v>0.35126315060908098</v>
      </c>
      <c r="AH55" s="380">
        <v>0.45</v>
      </c>
      <c r="AI55" s="263">
        <v>0.33165203193917586</v>
      </c>
      <c r="AJ55" s="263">
        <v>0.33785019486327633</v>
      </c>
      <c r="AK55" s="263">
        <v>0.34384321764331666</v>
      </c>
      <c r="AL55" s="263">
        <v>0.34964111875144871</v>
      </c>
      <c r="AM55" s="263">
        <v>0.35525327474398838</v>
      </c>
      <c r="AN55" s="381">
        <v>0.36068847086288947</v>
      </c>
      <c r="AP55" s="380">
        <v>0.45</v>
      </c>
      <c r="AQ55" s="263">
        <v>0.33785019486327639</v>
      </c>
      <c r="AR55" s="263">
        <v>0.34468321005453528</v>
      </c>
      <c r="AS55" s="263">
        <v>0.35126315060908098</v>
      </c>
      <c r="AT55" s="263">
        <v>0.35760382059800677</v>
      </c>
      <c r="AU55" s="263">
        <v>0.363718038087328</v>
      </c>
      <c r="AV55" s="381">
        <v>0.36961772162965567</v>
      </c>
    </row>
    <row r="56" spans="1:48" s="2" customFormat="1" ht="16" thickBot="1" x14ac:dyDescent="0.25">
      <c r="A56" s="15"/>
      <c r="B56" s="136">
        <v>0.7</v>
      </c>
      <c r="C56" s="282">
        <v>-0.23642027572968671</v>
      </c>
      <c r="D56" s="282">
        <v>-0.23293094954232416</v>
      </c>
      <c r="E56" s="282">
        <v>-0.22948845994808006</v>
      </c>
      <c r="F56" s="282">
        <v>-0.22609187021509305</v>
      </c>
      <c r="G56" s="282">
        <v>-0.22274026842558931</v>
      </c>
      <c r="H56" s="282">
        <v>-0.21943276665963118</v>
      </c>
      <c r="J56" s="382">
        <v>0.7</v>
      </c>
      <c r="K56" s="442">
        <v>-0.13586482979330936</v>
      </c>
      <c r="L56" s="523">
        <v>-0.12057461949221217</v>
      </c>
      <c r="M56" s="523">
        <v>-0.10583375806420843</v>
      </c>
      <c r="N56" s="442">
        <v>-9.1613162333663525E-2</v>
      </c>
      <c r="O56" s="442">
        <v>-7.7885766455045038E-2</v>
      </c>
      <c r="P56" s="443">
        <v>-6.4626349981379574E-2</v>
      </c>
      <c r="R56" s="382">
        <v>0.5</v>
      </c>
      <c r="S56" s="442">
        <v>0.29722733008290692</v>
      </c>
      <c r="T56" s="442">
        <v>0.30170258197087474</v>
      </c>
      <c r="U56" s="442">
        <v>0.30607947667449148</v>
      </c>
      <c r="V56" s="442">
        <v>0.31036122149324696</v>
      </c>
      <c r="W56" s="442">
        <v>0.31455088577826579</v>
      </c>
      <c r="X56" s="443">
        <v>0.31865140826998634</v>
      </c>
      <c r="Z56" s="382">
        <v>0.5</v>
      </c>
      <c r="AA56" s="444">
        <v>0.31220338245690371</v>
      </c>
      <c r="AB56" s="444">
        <v>0.31839162635386803</v>
      </c>
      <c r="AC56" s="444">
        <v>0.3243854751545926</v>
      </c>
      <c r="AD56" s="444">
        <v>0.33019394718828449</v>
      </c>
      <c r="AE56" s="444">
        <v>0.33582551144430045</v>
      </c>
      <c r="AF56" s="445">
        <v>0.34128812877263592</v>
      </c>
      <c r="AH56" s="382">
        <v>0.5</v>
      </c>
      <c r="AI56" s="444">
        <v>0.31966294299606068</v>
      </c>
      <c r="AJ56" s="444">
        <v>0.32659617059769502</v>
      </c>
      <c r="AK56" s="444">
        <v>0.33328114964070299</v>
      </c>
      <c r="AL56" s="444">
        <v>0.33973097866712282</v>
      </c>
      <c r="AM56" s="444">
        <v>0.34595785064077755</v>
      </c>
      <c r="AN56" s="445">
        <v>0.35197312987746326</v>
      </c>
      <c r="AP56" s="382">
        <v>0.5</v>
      </c>
      <c r="AQ56" s="444">
        <v>0.32634180080482911</v>
      </c>
      <c r="AR56" s="444">
        <v>0.33396747833942442</v>
      </c>
      <c r="AS56" s="444">
        <v>0.34128812877263592</v>
      </c>
      <c r="AT56" s="444">
        <v>0.34832169487513326</v>
      </c>
      <c r="AU56" s="444">
        <v>0.3550847392044576</v>
      </c>
      <c r="AV56" s="445">
        <v>0.36159257431380748</v>
      </c>
    </row>
    <row r="57" spans="1:48" s="2" customFormat="1" ht="16" thickBot="1" x14ac:dyDescent="0.25">
      <c r="A57" s="15"/>
      <c r="B57" s="386"/>
      <c r="C57" s="387"/>
      <c r="E57" s="387"/>
      <c r="G57" s="387"/>
      <c r="L57" s="133"/>
      <c r="M57" s="133"/>
    </row>
    <row r="58" spans="1:48" s="2" customFormat="1" x14ac:dyDescent="0.2">
      <c r="A58" s="15"/>
      <c r="B58" s="558" t="s">
        <v>101</v>
      </c>
      <c r="C58" s="559"/>
      <c r="D58" s="559"/>
      <c r="E58" s="559"/>
      <c r="F58" s="559"/>
      <c r="G58" s="559"/>
      <c r="H58" s="560"/>
      <c r="L58" s="133"/>
      <c r="M58" s="133"/>
    </row>
    <row r="59" spans="1:48" s="2" customFormat="1" x14ac:dyDescent="0.2">
      <c r="A59" s="15"/>
      <c r="B59" s="375"/>
      <c r="C59" s="561" t="s">
        <v>10</v>
      </c>
      <c r="D59" s="561"/>
      <c r="E59" s="561" t="s">
        <v>11</v>
      </c>
      <c r="F59" s="561"/>
      <c r="G59" s="561" t="s">
        <v>62</v>
      </c>
      <c r="H59" s="562"/>
      <c r="L59" s="133"/>
      <c r="M59" s="133"/>
    </row>
    <row r="60" spans="1:48" s="2" customFormat="1" x14ac:dyDescent="0.2">
      <c r="A60" s="15"/>
      <c r="B60" s="391"/>
      <c r="C60" s="389" t="s">
        <v>12</v>
      </c>
      <c r="D60" s="389" t="s">
        <v>13</v>
      </c>
      <c r="E60" s="389" t="s">
        <v>12</v>
      </c>
      <c r="F60" s="389" t="s">
        <v>13</v>
      </c>
      <c r="G60" s="389" t="s">
        <v>12</v>
      </c>
      <c r="H60" s="390" t="s">
        <v>13</v>
      </c>
      <c r="L60" s="133"/>
      <c r="M60" s="133"/>
    </row>
    <row r="61" spans="1:48" s="2" customFormat="1" x14ac:dyDescent="0.2">
      <c r="A61" s="15"/>
      <c r="B61" s="392" t="s">
        <v>86</v>
      </c>
      <c r="C61" s="530">
        <f>C28</f>
        <v>0.4</v>
      </c>
      <c r="D61" s="530">
        <f>K28</f>
        <v>0.2</v>
      </c>
      <c r="E61" s="530">
        <f>S28</f>
        <v>0.2</v>
      </c>
      <c r="F61" s="530">
        <f>AA28</f>
        <v>0.1</v>
      </c>
      <c r="G61" s="530">
        <f>AI28</f>
        <v>0.1</v>
      </c>
      <c r="H61" s="531">
        <f>AQ28</f>
        <v>0</v>
      </c>
      <c r="L61" s="133"/>
      <c r="M61" s="133"/>
    </row>
    <row r="62" spans="1:48" s="2" customFormat="1" x14ac:dyDescent="0.2">
      <c r="A62" s="15"/>
      <c r="B62" s="392" t="s">
        <v>87</v>
      </c>
      <c r="C62" s="532">
        <f>C29</f>
        <v>69</v>
      </c>
      <c r="D62" s="532">
        <f>K29</f>
        <v>92</v>
      </c>
      <c r="E62" s="532">
        <f>S29</f>
        <v>132</v>
      </c>
      <c r="F62" s="532">
        <f>AA29</f>
        <v>148</v>
      </c>
      <c r="G62" s="532">
        <f>AI29</f>
        <v>148</v>
      </c>
      <c r="H62" s="533">
        <f>AQ29</f>
        <v>165</v>
      </c>
      <c r="L62" s="133"/>
      <c r="M62" s="133"/>
    </row>
    <row r="63" spans="1:48" s="2" customFormat="1" x14ac:dyDescent="0.2">
      <c r="A63" s="15"/>
      <c r="B63" s="392" t="s">
        <v>102</v>
      </c>
      <c r="C63" s="259">
        <f>C31</f>
        <v>348</v>
      </c>
      <c r="D63" s="259">
        <f>K31</f>
        <v>478</v>
      </c>
      <c r="E63" s="259">
        <f>S31</f>
        <v>429</v>
      </c>
      <c r="F63" s="259">
        <f>AA31</f>
        <v>527</v>
      </c>
      <c r="G63" s="259">
        <f>AI31</f>
        <v>395</v>
      </c>
      <c r="H63" s="369">
        <f>AQ31</f>
        <v>480</v>
      </c>
      <c r="L63" s="133"/>
      <c r="M63" s="133"/>
    </row>
    <row r="64" spans="1:48" s="2" customFormat="1" x14ac:dyDescent="0.2">
      <c r="A64" s="15"/>
      <c r="B64" s="424" t="s">
        <v>90</v>
      </c>
      <c r="C64" s="534">
        <f>C32</f>
        <v>35</v>
      </c>
      <c r="D64" s="534">
        <f>K32</f>
        <v>45</v>
      </c>
      <c r="E64" s="534">
        <f>S32</f>
        <v>40</v>
      </c>
      <c r="F64" s="534">
        <f>AA32</f>
        <v>50</v>
      </c>
      <c r="G64" s="534">
        <f>AI32</f>
        <v>50</v>
      </c>
      <c r="H64" s="535">
        <f>AQ32</f>
        <v>60</v>
      </c>
      <c r="L64" s="133"/>
      <c r="M64" s="133"/>
    </row>
    <row r="65" spans="1:13" s="2" customFormat="1" x14ac:dyDescent="0.2">
      <c r="A65" s="15"/>
      <c r="B65" s="424" t="s">
        <v>103</v>
      </c>
      <c r="C65" s="536">
        <f>C31*C33</f>
        <v>17.400000000000002</v>
      </c>
      <c r="D65" s="536">
        <f>K31*K33</f>
        <v>71.7</v>
      </c>
      <c r="E65" s="536">
        <f>S31*S33</f>
        <v>85.800000000000011</v>
      </c>
      <c r="F65" s="536">
        <f>AA31*AA33</f>
        <v>158.1</v>
      </c>
      <c r="G65" s="536">
        <f>AI31*AI33</f>
        <v>138.25</v>
      </c>
      <c r="H65" s="537">
        <f>AQ31*AQ33</f>
        <v>192</v>
      </c>
      <c r="L65" s="133"/>
      <c r="M65" s="133"/>
    </row>
    <row r="66" spans="1:13" s="2" customFormat="1" x14ac:dyDescent="0.2">
      <c r="A66" s="15"/>
      <c r="B66" s="424" t="s">
        <v>104</v>
      </c>
      <c r="C66" s="538">
        <f>C42</f>
        <v>6.7323673037088333E-2</v>
      </c>
      <c r="D66" s="538">
        <f>K42</f>
        <v>0.16653321002391502</v>
      </c>
      <c r="E66" s="538">
        <f>S42</f>
        <v>0.3560611531325818</v>
      </c>
      <c r="F66" s="538">
        <f>AA42</f>
        <v>0.37588662696426289</v>
      </c>
      <c r="G66" s="538">
        <f>AI42</f>
        <v>0.38064848150434599</v>
      </c>
      <c r="H66" s="539">
        <f>AQ42</f>
        <v>0.39151077097505671</v>
      </c>
      <c r="L66" s="133"/>
      <c r="M66" s="133"/>
    </row>
    <row r="67" spans="1:13" s="2" customFormat="1" x14ac:dyDescent="0.2">
      <c r="A67" s="15"/>
      <c r="B67" s="424" t="s">
        <v>105</v>
      </c>
      <c r="C67" s="565">
        <f>(C41+K41)/(C36+K36)</f>
        <v>0.13252431307301929</v>
      </c>
      <c r="D67" s="566"/>
      <c r="E67" s="565">
        <f>(S41+AA41)/(S36+AA36)</f>
        <v>0.36772884537650474</v>
      </c>
      <c r="F67" s="566"/>
      <c r="G67" s="565">
        <f>(AI41+AQ41)/(AI36+AQ36)</f>
        <v>0.38696157726988806</v>
      </c>
      <c r="H67" s="567"/>
      <c r="L67" s="133"/>
      <c r="M67" s="133"/>
    </row>
    <row r="68" spans="1:13" s="2" customFormat="1" ht="16" thickBot="1" x14ac:dyDescent="0.25">
      <c r="A68" s="15"/>
      <c r="B68" s="393" t="s">
        <v>106</v>
      </c>
      <c r="C68" s="563">
        <f>SUM(C63:D63)/$C13</f>
        <v>0.73422222222222222</v>
      </c>
      <c r="D68" s="563"/>
      <c r="E68" s="563">
        <f>SUM(E63:F63)/$C13</f>
        <v>0.84977777777777774</v>
      </c>
      <c r="F68" s="563"/>
      <c r="G68" s="563">
        <f>SUM(G63:H63)/$C13</f>
        <v>0.77777777777777779</v>
      </c>
      <c r="H68" s="564"/>
      <c r="L68" s="133"/>
      <c r="M68" s="133"/>
    </row>
    <row r="69" spans="1:13" s="2" customFormat="1" ht="16.25" customHeight="1" x14ac:dyDescent="0.2">
      <c r="A69" s="15"/>
      <c r="B69" s="134"/>
      <c r="C69" s="388"/>
      <c r="D69" s="388"/>
      <c r="E69" s="388"/>
      <c r="F69" s="388"/>
      <c r="G69" s="388"/>
      <c r="H69" s="388"/>
      <c r="L69" s="133"/>
      <c r="M69" s="133"/>
    </row>
    <row r="70" spans="1:13" s="2" customFormat="1" ht="16.25" customHeight="1" x14ac:dyDescent="0.2">
      <c r="A70" s="15"/>
      <c r="L70" s="133"/>
      <c r="M70" s="133"/>
    </row>
    <row r="71" spans="1:13" x14ac:dyDescent="0.2">
      <c r="B71" s="13"/>
    </row>
    <row r="72" spans="1:13" x14ac:dyDescent="0.2">
      <c r="C72" s="20"/>
      <c r="D72" s="20"/>
      <c r="E72" s="20"/>
      <c r="F72" s="20"/>
      <c r="G72" s="20"/>
      <c r="H72" s="20"/>
      <c r="I72" s="17"/>
      <c r="J72" s="17"/>
    </row>
    <row r="73" spans="1:13" x14ac:dyDescent="0.2">
      <c r="B73" s="18"/>
      <c r="C73" s="13"/>
      <c r="D73" s="13"/>
      <c r="E73" s="13"/>
      <c r="F73" s="13"/>
      <c r="G73" s="13"/>
      <c r="H73" s="13"/>
    </row>
    <row r="74" spans="1:13" x14ac:dyDescent="0.2">
      <c r="B74" s="19"/>
    </row>
    <row r="75" spans="1:13" x14ac:dyDescent="0.2">
      <c r="B75" s="19"/>
    </row>
    <row r="76" spans="1:13" x14ac:dyDescent="0.2">
      <c r="B76" s="19"/>
    </row>
    <row r="77" spans="1:13" x14ac:dyDescent="0.2">
      <c r="B77" s="19"/>
    </row>
    <row r="78" spans="1:13" x14ac:dyDescent="0.2">
      <c r="B78" s="19"/>
    </row>
    <row r="79" spans="1:13" x14ac:dyDescent="0.2">
      <c r="B79" s="19"/>
    </row>
    <row r="80" spans="1:13" x14ac:dyDescent="0.2">
      <c r="B80" s="19"/>
    </row>
    <row r="81" spans="2:2" x14ac:dyDescent="0.2">
      <c r="B81" s="19"/>
    </row>
    <row r="82" spans="2:2" x14ac:dyDescent="0.2">
      <c r="B82" s="19"/>
    </row>
    <row r="83" spans="2:2" x14ac:dyDescent="0.2">
      <c r="B83" s="19"/>
    </row>
  </sheetData>
  <mergeCells count="31">
    <mergeCell ref="R44:X44"/>
    <mergeCell ref="Z44:AF44"/>
    <mergeCell ref="AH44:AN44"/>
    <mergeCell ref="AP44:AV44"/>
    <mergeCell ref="C9:E9"/>
    <mergeCell ref="C16:E16"/>
    <mergeCell ref="C19:E19"/>
    <mergeCell ref="AP26:AQ26"/>
    <mergeCell ref="B26:C26"/>
    <mergeCell ref="J26:K26"/>
    <mergeCell ref="R26:S26"/>
    <mergeCell ref="Z26:AA26"/>
    <mergeCell ref="AH26:AI26"/>
    <mergeCell ref="C12:E12"/>
    <mergeCell ref="C17:E17"/>
    <mergeCell ref="C18:E18"/>
    <mergeCell ref="C7:E7"/>
    <mergeCell ref="C8:E8"/>
    <mergeCell ref="B44:H44"/>
    <mergeCell ref="J44:P44"/>
    <mergeCell ref="C13:E13"/>
    <mergeCell ref="B58:H58"/>
    <mergeCell ref="G59:H59"/>
    <mergeCell ref="E59:F59"/>
    <mergeCell ref="C59:D59"/>
    <mergeCell ref="C68:D68"/>
    <mergeCell ref="E68:F68"/>
    <mergeCell ref="G68:H68"/>
    <mergeCell ref="C67:D67"/>
    <mergeCell ref="E67:F67"/>
    <mergeCell ref="G67:H67"/>
  </mergeCells>
  <conditionalFormatting sqref="C46:H55">
    <cfRule type="colorScale" priority="12">
      <colorScale>
        <cfvo type="min"/>
        <cfvo type="percentile" val="50"/>
        <cfvo type="max"/>
        <color rgb="FFF8696B"/>
        <color rgb="FFFFEB84"/>
        <color rgb="FF63BE7B"/>
      </colorScale>
    </cfRule>
  </conditionalFormatting>
  <conditionalFormatting sqref="K46:P55">
    <cfRule type="colorScale" priority="11">
      <colorScale>
        <cfvo type="min"/>
        <cfvo type="percentile" val="50"/>
        <cfvo type="max"/>
        <color rgb="FFF8696B"/>
        <color rgb="FFFFEB84"/>
        <color rgb="FF63BE7B"/>
      </colorScale>
    </cfRule>
  </conditionalFormatting>
  <conditionalFormatting sqref="S46:X55">
    <cfRule type="colorScale" priority="10">
      <colorScale>
        <cfvo type="min"/>
        <cfvo type="percentile" val="50"/>
        <cfvo type="max"/>
        <color rgb="FFF8696B"/>
        <color rgb="FFFFEB84"/>
        <color rgb="FF63BE7B"/>
      </colorScale>
    </cfRule>
  </conditionalFormatting>
  <conditionalFormatting sqref="AA46:AF55">
    <cfRule type="colorScale" priority="9">
      <colorScale>
        <cfvo type="min"/>
        <cfvo type="percentile" val="50"/>
        <cfvo type="max"/>
        <color rgb="FFF8696B"/>
        <color rgb="FFFFEB84"/>
        <color rgb="FF63BE7B"/>
      </colorScale>
    </cfRule>
  </conditionalFormatting>
  <conditionalFormatting sqref="AI46:AN55">
    <cfRule type="colorScale" priority="8">
      <colorScale>
        <cfvo type="min"/>
        <cfvo type="percentile" val="50"/>
        <cfvo type="max"/>
        <color rgb="FFF8696B"/>
        <color rgb="FFFFEB84"/>
        <color rgb="FF63BE7B"/>
      </colorScale>
    </cfRule>
  </conditionalFormatting>
  <conditionalFormatting sqref="AQ46:AV55">
    <cfRule type="colorScale" priority="7">
      <colorScale>
        <cfvo type="min"/>
        <cfvo type="percentile" val="50"/>
        <cfvo type="max"/>
        <color rgb="FFF8696B"/>
        <color rgb="FFFFEB84"/>
        <color rgb="FF63BE7B"/>
      </colorScale>
    </cfRule>
  </conditionalFormatting>
  <conditionalFormatting sqref="C46:H56">
    <cfRule type="colorScale" priority="6">
      <colorScale>
        <cfvo type="min"/>
        <cfvo type="percentile" val="50"/>
        <cfvo type="max"/>
        <color rgb="FFF8696B"/>
        <color rgb="FFFFEB84"/>
        <color rgb="FF63BE7B"/>
      </colorScale>
    </cfRule>
  </conditionalFormatting>
  <conditionalFormatting sqref="K46:P56">
    <cfRule type="colorScale" priority="5">
      <colorScale>
        <cfvo type="min"/>
        <cfvo type="percentile" val="50"/>
        <cfvo type="max"/>
        <color rgb="FFF8696B"/>
        <color rgb="FFFFEB84"/>
        <color rgb="FF63BE7B"/>
      </colorScale>
    </cfRule>
  </conditionalFormatting>
  <conditionalFormatting sqref="S46:X56">
    <cfRule type="colorScale" priority="4">
      <colorScale>
        <cfvo type="min"/>
        <cfvo type="percentile" val="50"/>
        <cfvo type="max"/>
        <color rgb="FFF8696B"/>
        <color rgb="FFFFEB84"/>
        <color rgb="FF63BE7B"/>
      </colorScale>
    </cfRule>
  </conditionalFormatting>
  <conditionalFormatting sqref="AQ46:AV56">
    <cfRule type="colorScale" priority="3">
      <colorScale>
        <cfvo type="min"/>
        <cfvo type="percentile" val="50"/>
        <cfvo type="max"/>
        <color rgb="FFF8696B"/>
        <color rgb="FFFFEB84"/>
        <color rgb="FF63BE7B"/>
      </colorScale>
    </cfRule>
  </conditionalFormatting>
  <conditionalFormatting sqref="AI46:AN56">
    <cfRule type="colorScale" priority="2">
      <colorScale>
        <cfvo type="min"/>
        <cfvo type="percentile" val="50"/>
        <cfvo type="max"/>
        <color rgb="FFF8696B"/>
        <color rgb="FFFFEB84"/>
        <color rgb="FF63BE7B"/>
      </colorScale>
    </cfRule>
  </conditionalFormatting>
  <conditionalFormatting sqref="AA46:AF56">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054E9-0CC5-844E-8D9D-5112012F8E8E}">
  <sheetPr codeName="Sheet9">
    <tabColor rgb="FFFFC000"/>
  </sheetPr>
  <dimension ref="A1:W125"/>
  <sheetViews>
    <sheetView showGridLines="0" tabSelected="1" topLeftCell="B1" zoomScale="72" zoomScaleNormal="70" workbookViewId="0">
      <selection activeCell="C7" sqref="C7"/>
    </sheetView>
  </sheetViews>
  <sheetFormatPr baseColWidth="10" defaultColWidth="11.1640625" defaultRowHeight="16" x14ac:dyDescent="0.2"/>
  <cols>
    <col min="1" max="1" width="5.5" style="200" customWidth="1"/>
    <col min="2" max="2" width="34.1640625" style="200" customWidth="1"/>
    <col min="3" max="4" width="22.5" style="200" bestFit="1" customWidth="1"/>
    <col min="5" max="5" width="18.5" style="200" bestFit="1" customWidth="1"/>
    <col min="6" max="6" width="20" style="200" customWidth="1"/>
    <col min="7" max="7" width="23" style="200" customWidth="1"/>
    <col min="8" max="8" width="31.83203125" style="200" customWidth="1"/>
    <col min="9" max="9" width="20.1640625" style="200" customWidth="1"/>
    <col min="10" max="10" width="29.1640625" style="200" customWidth="1"/>
    <col min="11" max="11" width="29.83203125" style="200" customWidth="1"/>
    <col min="12" max="12" width="23.5" style="200" bestFit="1" customWidth="1"/>
    <col min="13" max="13" width="26.5" style="200" bestFit="1" customWidth="1"/>
    <col min="14" max="14" width="32.1640625" style="200" bestFit="1" customWidth="1"/>
    <col min="15" max="15" width="24.83203125" style="200" bestFit="1" customWidth="1"/>
    <col min="16" max="16" width="22.1640625" style="200" bestFit="1" customWidth="1"/>
    <col min="17" max="17" width="22.5" style="200" bestFit="1" customWidth="1"/>
    <col min="18" max="18" width="11" style="200" bestFit="1" customWidth="1"/>
    <col min="19" max="19" width="4.1640625" style="200" customWidth="1"/>
    <col min="20" max="20" width="30.83203125" style="200" bestFit="1" customWidth="1"/>
    <col min="21" max="21" width="88.1640625" style="200" bestFit="1" customWidth="1"/>
    <col min="22" max="22" width="117.5" style="200" bestFit="1" customWidth="1"/>
    <col min="23" max="16384" width="11.1640625" style="200"/>
  </cols>
  <sheetData>
    <row r="1" spans="1:23" ht="38" customHeight="1" x14ac:dyDescent="0.45">
      <c r="A1" s="242" t="s">
        <v>107</v>
      </c>
      <c r="B1" s="199"/>
      <c r="C1" s="199"/>
      <c r="D1" s="199"/>
      <c r="E1" s="199"/>
      <c r="F1" s="199"/>
      <c r="G1" s="199"/>
      <c r="H1" s="199"/>
      <c r="I1" s="199"/>
      <c r="J1" s="199"/>
      <c r="K1" s="199"/>
      <c r="L1" s="199"/>
      <c r="M1" s="199" t="s">
        <v>108</v>
      </c>
      <c r="N1" s="199"/>
      <c r="O1" s="199"/>
      <c r="P1" s="199"/>
      <c r="Q1" s="199"/>
      <c r="R1" s="199"/>
      <c r="T1" s="462" t="s">
        <v>109</v>
      </c>
      <c r="U1" s="462"/>
      <c r="V1" s="462"/>
      <c r="W1" s="462"/>
    </row>
    <row r="2" spans="1:23" ht="16.25" customHeight="1" x14ac:dyDescent="0.35">
      <c r="A2" s="201"/>
      <c r="B2" s="201"/>
      <c r="C2" s="201"/>
      <c r="D2" s="201"/>
      <c r="E2" s="201"/>
      <c r="F2" s="201"/>
      <c r="G2" s="201"/>
      <c r="H2" s="201"/>
      <c r="I2" s="201"/>
      <c r="J2" s="201"/>
      <c r="K2" s="201"/>
      <c r="L2" s="201"/>
      <c r="M2" s="201"/>
      <c r="N2" s="201"/>
      <c r="O2" s="201"/>
      <c r="P2" s="201"/>
      <c r="Q2" s="201"/>
      <c r="R2" s="201"/>
      <c r="T2" s="453" t="s">
        <v>110</v>
      </c>
    </row>
    <row r="3" spans="1:23" ht="17" thickBot="1" x14ac:dyDescent="0.25">
      <c r="T3" s="454"/>
    </row>
    <row r="4" spans="1:23" ht="17" thickBot="1" x14ac:dyDescent="0.25">
      <c r="A4" s="202"/>
      <c r="B4" s="203" t="s">
        <v>111</v>
      </c>
      <c r="C4" s="204"/>
      <c r="D4" s="202"/>
      <c r="E4" s="202"/>
      <c r="F4" s="202"/>
      <c r="G4" s="205" t="s">
        <v>112</v>
      </c>
      <c r="H4" s="206"/>
      <c r="I4" s="207"/>
      <c r="J4" s="202"/>
      <c r="K4" s="202"/>
      <c r="L4" s="205" t="s">
        <v>113</v>
      </c>
      <c r="M4" s="206"/>
      <c r="N4" s="207"/>
      <c r="O4" s="202"/>
      <c r="P4" s="202"/>
      <c r="Q4" s="202"/>
      <c r="R4" s="202"/>
      <c r="T4" s="455"/>
    </row>
    <row r="5" spans="1:23" x14ac:dyDescent="0.2">
      <c r="B5" s="208" t="s">
        <v>114</v>
      </c>
      <c r="C5" s="209"/>
      <c r="G5" s="210" t="s">
        <v>115</v>
      </c>
      <c r="H5" s="210" t="s">
        <v>116</v>
      </c>
      <c r="I5" s="210" t="s">
        <v>117</v>
      </c>
      <c r="L5" s="210" t="s">
        <v>118</v>
      </c>
      <c r="M5" s="210" t="s">
        <v>119</v>
      </c>
      <c r="N5" s="210" t="s">
        <v>120</v>
      </c>
      <c r="T5" s="455"/>
    </row>
    <row r="6" spans="1:23" x14ac:dyDescent="0.2">
      <c r="B6" s="211" t="s">
        <v>121</v>
      </c>
      <c r="C6" s="211">
        <v>10</v>
      </c>
      <c r="G6" s="211">
        <v>1</v>
      </c>
      <c r="H6" s="211" t="s">
        <v>122</v>
      </c>
      <c r="I6" s="211">
        <v>1</v>
      </c>
      <c r="L6" s="211">
        <v>0</v>
      </c>
      <c r="M6" s="211">
        <v>5</v>
      </c>
      <c r="N6" s="212" t="s">
        <v>123</v>
      </c>
      <c r="T6" s="455"/>
    </row>
    <row r="7" spans="1:23" x14ac:dyDescent="0.2">
      <c r="B7" s="211" t="s">
        <v>124</v>
      </c>
      <c r="C7" s="211">
        <v>260</v>
      </c>
      <c r="G7" s="211">
        <v>2</v>
      </c>
      <c r="H7" s="211" t="s">
        <v>125</v>
      </c>
      <c r="I7" s="211">
        <v>1.7</v>
      </c>
      <c r="L7" s="211">
        <v>5</v>
      </c>
      <c r="M7" s="211">
        <v>10</v>
      </c>
      <c r="N7" s="213" t="s">
        <v>126</v>
      </c>
      <c r="T7" s="454"/>
    </row>
    <row r="8" spans="1:23" x14ac:dyDescent="0.2">
      <c r="B8" s="211" t="s">
        <v>127</v>
      </c>
      <c r="C8" s="211">
        <v>100</v>
      </c>
      <c r="G8" s="211">
        <v>3</v>
      </c>
      <c r="H8" s="211" t="s">
        <v>128</v>
      </c>
      <c r="I8" s="211">
        <v>0.8</v>
      </c>
      <c r="L8" s="211">
        <v>10</v>
      </c>
      <c r="M8" s="211">
        <v>9999</v>
      </c>
      <c r="N8" s="214" t="s">
        <v>129</v>
      </c>
      <c r="T8" s="455"/>
    </row>
    <row r="9" spans="1:23" x14ac:dyDescent="0.2">
      <c r="B9" s="211" t="s">
        <v>130</v>
      </c>
      <c r="C9" s="211">
        <f>ROUNDUP($C$8/$C$16*$C$12,0)</f>
        <v>17</v>
      </c>
      <c r="G9" s="211">
        <v>4</v>
      </c>
      <c r="H9" s="211" t="s">
        <v>131</v>
      </c>
      <c r="I9" s="211">
        <v>1.5</v>
      </c>
      <c r="T9" s="455"/>
    </row>
    <row r="10" spans="1:23" x14ac:dyDescent="0.2">
      <c r="B10" s="211" t="s">
        <v>132</v>
      </c>
      <c r="C10" s="211">
        <v>4</v>
      </c>
      <c r="G10" s="211">
        <v>5</v>
      </c>
      <c r="H10" s="211" t="s">
        <v>133</v>
      </c>
      <c r="I10" s="211">
        <f>ROUNDUP(I9*I7,1)</f>
        <v>2.6</v>
      </c>
      <c r="T10" s="455"/>
    </row>
    <row r="11" spans="1:23" x14ac:dyDescent="0.2">
      <c r="B11" s="211" t="s">
        <v>134</v>
      </c>
      <c r="C11" s="211">
        <f>C7/C10</f>
        <v>65</v>
      </c>
      <c r="G11" s="211">
        <v>6</v>
      </c>
      <c r="H11" s="211" t="s">
        <v>135</v>
      </c>
      <c r="I11" s="211">
        <f>ROUNDUP(I9*I8,1)</f>
        <v>1.2</v>
      </c>
      <c r="T11" s="454"/>
    </row>
    <row r="12" spans="1:23" x14ac:dyDescent="0.2">
      <c r="B12" s="211" t="s">
        <v>136</v>
      </c>
      <c r="C12" s="211">
        <v>10</v>
      </c>
      <c r="G12" s="211">
        <v>7</v>
      </c>
      <c r="H12" s="211" t="s">
        <v>137</v>
      </c>
      <c r="I12" s="211">
        <v>2</v>
      </c>
      <c r="T12" s="455"/>
    </row>
    <row r="13" spans="1:23" x14ac:dyDescent="0.2">
      <c r="B13" s="211" t="s">
        <v>138</v>
      </c>
      <c r="C13" s="211">
        <v>5</v>
      </c>
      <c r="G13" s="211">
        <v>8</v>
      </c>
      <c r="H13" s="211" t="s">
        <v>139</v>
      </c>
      <c r="I13" s="211">
        <f>ROUNDUP(I12*I7,1)</f>
        <v>3.4</v>
      </c>
      <c r="T13" s="455"/>
    </row>
    <row r="14" spans="1:23" x14ac:dyDescent="0.2">
      <c r="B14" s="211" t="s">
        <v>140</v>
      </c>
      <c r="C14" s="211">
        <v>90</v>
      </c>
      <c r="G14" s="211">
        <v>9</v>
      </c>
      <c r="H14" s="211" t="s">
        <v>141</v>
      </c>
      <c r="I14" s="211">
        <f>ROUNDUP(I12*I8,1)</f>
        <v>1.6</v>
      </c>
      <c r="T14" s="455"/>
    </row>
    <row r="15" spans="1:23" x14ac:dyDescent="0.2">
      <c r="B15" s="211" t="s">
        <v>142</v>
      </c>
      <c r="C15" s="211">
        <f>ROUND($C$14/$C$12,0)</f>
        <v>9</v>
      </c>
      <c r="H15" s="215" t="s">
        <v>143</v>
      </c>
      <c r="I15" s="211">
        <v>17</v>
      </c>
    </row>
    <row r="16" spans="1:23" x14ac:dyDescent="0.2">
      <c r="B16" s="211" t="s">
        <v>144</v>
      </c>
      <c r="C16" s="211">
        <v>60</v>
      </c>
    </row>
    <row r="17" spans="2:22" x14ac:dyDescent="0.2">
      <c r="T17" s="453" t="s">
        <v>145</v>
      </c>
    </row>
    <row r="18" spans="2:22" ht="17" thickBot="1" x14ac:dyDescent="0.25">
      <c r="T18" s="215" t="s">
        <v>114</v>
      </c>
      <c r="U18" s="215" t="s">
        <v>146</v>
      </c>
      <c r="V18" s="215" t="s">
        <v>147</v>
      </c>
    </row>
    <row r="19" spans="2:22" ht="17" thickBot="1" x14ac:dyDescent="0.25">
      <c r="B19" s="216"/>
      <c r="C19" s="217"/>
      <c r="D19" s="217"/>
      <c r="E19" s="217"/>
      <c r="F19" s="217"/>
      <c r="G19" s="217"/>
      <c r="H19" s="217"/>
      <c r="I19" s="218"/>
      <c r="J19" s="218" t="s">
        <v>148</v>
      </c>
      <c r="K19" s="217"/>
      <c r="L19" s="217"/>
      <c r="M19" s="217"/>
      <c r="N19" s="217"/>
      <c r="O19" s="217"/>
      <c r="P19" s="217"/>
      <c r="Q19" s="204"/>
      <c r="T19" s="211" t="s">
        <v>121</v>
      </c>
      <c r="U19" s="456" t="s">
        <v>149</v>
      </c>
      <c r="V19" s="211" t="s">
        <v>150</v>
      </c>
    </row>
    <row r="20" spans="2:22" x14ac:dyDescent="0.2">
      <c r="B20" s="210" t="s">
        <v>151</v>
      </c>
      <c r="C20" s="210" t="s">
        <v>152</v>
      </c>
      <c r="D20" s="210" t="s">
        <v>153</v>
      </c>
      <c r="E20" s="210" t="s">
        <v>154</v>
      </c>
      <c r="F20" s="210" t="s">
        <v>155</v>
      </c>
      <c r="G20" s="219" t="s">
        <v>156</v>
      </c>
      <c r="H20" s="210" t="s">
        <v>157</v>
      </c>
      <c r="I20" s="210" t="s">
        <v>158</v>
      </c>
      <c r="J20" s="210" t="s">
        <v>159</v>
      </c>
      <c r="K20" s="210" t="s">
        <v>160</v>
      </c>
      <c r="L20" s="210" t="s">
        <v>161</v>
      </c>
      <c r="M20" s="210" t="s">
        <v>162</v>
      </c>
      <c r="N20" s="210" t="s">
        <v>163</v>
      </c>
      <c r="O20" s="210" t="s">
        <v>164</v>
      </c>
      <c r="P20" s="210" t="s">
        <v>165</v>
      </c>
      <c r="Q20" s="210" t="s">
        <v>120</v>
      </c>
      <c r="T20" s="211" t="s">
        <v>124</v>
      </c>
      <c r="U20" s="456" t="s">
        <v>149</v>
      </c>
      <c r="V20" s="211" t="s">
        <v>166</v>
      </c>
    </row>
    <row r="21" spans="2:22" x14ac:dyDescent="0.2">
      <c r="B21" s="220">
        <f>TIME(18,0,0)</f>
        <v>0.75</v>
      </c>
      <c r="C21" s="211">
        <f ca="1" xml:space="preserve"> ROUNDUP( -$I$15 * LN(1 - RAND()), 0 )</f>
        <v>15</v>
      </c>
      <c r="D21" s="211">
        <f t="shared" ref="D21:D45" ca="1" si="0">CEILING(C21/$C$10,1)</f>
        <v>4</v>
      </c>
      <c r="E21" s="211">
        <f t="shared" ref="E21:E45" ca="1" si="1">MIN( C21 + N(J20),$C$7 - N(I20) + H21 )</f>
        <v>15</v>
      </c>
      <c r="F21" s="211">
        <f t="shared" ref="F21:F45" si="2">IFERROR(N( INDEX( $E$20:$E$45,ROW() - $C$15 - ROW($E$20) + 1 ) ),0 )</f>
        <v>0</v>
      </c>
      <c r="G21" s="221">
        <f>INT(H21/$C$10)</f>
        <v>0</v>
      </c>
      <c r="H21" s="211">
        <f t="shared" ref="H21:H45" si="3">IFERROR(N( INDEX( $M$20:$M$45,ROW() - $C$15 - ROW($M$20) + 1 ) )* $C$10,0 )</f>
        <v>0</v>
      </c>
      <c r="I21" s="211">
        <f ca="1">N(I20) - H21 + E21</f>
        <v>15</v>
      </c>
      <c r="J21" s="211">
        <f t="shared" ref="J21:J45" ca="1" si="4">N(J20) + C21 - E21</f>
        <v>0</v>
      </c>
      <c r="K21" s="211">
        <f ca="1">CEILING(I21/$C$10,1)</f>
        <v>4</v>
      </c>
      <c r="L21" s="211">
        <f t="shared" ref="L21:L45" ca="1" si="5">$C$11 - K21</f>
        <v>61</v>
      </c>
      <c r="M21" s="211">
        <f t="shared" ref="M21:M45" ca="1" si="6">CEILING(E21/$C$10,1)</f>
        <v>4</v>
      </c>
      <c r="N21" s="211">
        <f t="shared" ref="N21:N45" ca="1" si="7">K21 * $C$13</f>
        <v>20</v>
      </c>
      <c r="O21" s="211">
        <f>$C$6*$C$12</f>
        <v>100</v>
      </c>
      <c r="P21" s="222">
        <f ca="1">MAX(0, (N21-O21)/$C$6 )</f>
        <v>0</v>
      </c>
      <c r="Q21" s="211" t="str">
        <f ca="1">_xlfn.XLOOKUP($P21, $L$6:$L$8, $N$6:$N$8, , -1)</f>
        <v>Good 😚👍</v>
      </c>
      <c r="T21" s="211" t="s">
        <v>127</v>
      </c>
      <c r="U21" s="456" t="s">
        <v>149</v>
      </c>
      <c r="V21" s="211" t="s">
        <v>167</v>
      </c>
    </row>
    <row r="22" spans="2:22" x14ac:dyDescent="0.2">
      <c r="B22" s="220">
        <f t="shared" ref="B22:B45" si="8">B21 + TIME(0,$C$12,0)</f>
        <v>0.75694444444444442</v>
      </c>
      <c r="C22" s="211">
        <f t="shared" ref="C22:C45" ca="1" si="9" xml:space="preserve"> ROUNDUP( -$I$15 * LN(1 - RAND()), 0 )</f>
        <v>11</v>
      </c>
      <c r="D22" s="211">
        <f t="shared" ca="1" si="0"/>
        <v>3</v>
      </c>
      <c r="E22" s="211">
        <f t="shared" ca="1" si="1"/>
        <v>11</v>
      </c>
      <c r="F22" s="211">
        <f t="shared" si="2"/>
        <v>0</v>
      </c>
      <c r="G22" s="221">
        <f t="shared" ref="G22:G44" si="10">INT(H22/$C$10)</f>
        <v>0</v>
      </c>
      <c r="H22" s="211">
        <f t="shared" si="3"/>
        <v>0</v>
      </c>
      <c r="I22" s="211">
        <f t="shared" ref="I22:I44" ca="1" si="11">N(I21) - H22 + E22</f>
        <v>26</v>
      </c>
      <c r="J22" s="211">
        <f t="shared" ca="1" si="4"/>
        <v>0</v>
      </c>
      <c r="K22" s="211">
        <f t="shared" ref="K22:K45" ca="1" si="12">CEILING(I22/$C$10,1)</f>
        <v>7</v>
      </c>
      <c r="L22" s="211">
        <f t="shared" ca="1" si="5"/>
        <v>58</v>
      </c>
      <c r="M22" s="211">
        <f t="shared" ca="1" si="6"/>
        <v>3</v>
      </c>
      <c r="N22" s="211">
        <f t="shared" ca="1" si="7"/>
        <v>35</v>
      </c>
      <c r="O22" s="211">
        <f t="shared" ref="O22:O45" si="13">$C$6*$C$12</f>
        <v>100</v>
      </c>
      <c r="P22" s="222">
        <f t="shared" ref="P22:P45" ca="1" si="14">MAX(0, (N22-O22)/$C$6 )</f>
        <v>0</v>
      </c>
      <c r="Q22" s="211" t="str">
        <f t="shared" ref="Q22:Q45" ca="1" si="15">_xlfn.XLOOKUP($P22, $L$6:$L$8, $N$6:$N$8, , -1)</f>
        <v>Good 😚👍</v>
      </c>
      <c r="T22" s="211" t="s">
        <v>130</v>
      </c>
      <c r="U22" s="457" t="str">
        <f ca="1">_xlfn.FORMULATEXT(C9)</f>
        <v>=ROUNDUP($C$8/$C$16*$C$12,0)</v>
      </c>
      <c r="V22" s="211" t="s">
        <v>168</v>
      </c>
    </row>
    <row r="23" spans="2:22" x14ac:dyDescent="0.2">
      <c r="B23" s="220">
        <f t="shared" si="8"/>
        <v>0.76388888888888884</v>
      </c>
      <c r="C23" s="211">
        <f t="shared" ca="1" si="9"/>
        <v>8</v>
      </c>
      <c r="D23" s="211">
        <f t="shared" ca="1" si="0"/>
        <v>2</v>
      </c>
      <c r="E23" s="211">
        <f t="shared" ca="1" si="1"/>
        <v>8</v>
      </c>
      <c r="F23" s="211">
        <f t="shared" si="2"/>
        <v>0</v>
      </c>
      <c r="G23" s="221">
        <f t="shared" si="10"/>
        <v>0</v>
      </c>
      <c r="H23" s="211">
        <f t="shared" si="3"/>
        <v>0</v>
      </c>
      <c r="I23" s="211">
        <f t="shared" ca="1" si="11"/>
        <v>34</v>
      </c>
      <c r="J23" s="211">
        <f t="shared" ca="1" si="4"/>
        <v>0</v>
      </c>
      <c r="K23" s="211">
        <f t="shared" ca="1" si="12"/>
        <v>9</v>
      </c>
      <c r="L23" s="211">
        <f t="shared" ca="1" si="5"/>
        <v>56</v>
      </c>
      <c r="M23" s="211">
        <f t="shared" ca="1" si="6"/>
        <v>2</v>
      </c>
      <c r="N23" s="211">
        <f t="shared" ca="1" si="7"/>
        <v>45</v>
      </c>
      <c r="O23" s="211">
        <f t="shared" si="13"/>
        <v>100</v>
      </c>
      <c r="P23" s="222">
        <f t="shared" ca="1" si="14"/>
        <v>0</v>
      </c>
      <c r="Q23" s="211" t="str">
        <f t="shared" ca="1" si="15"/>
        <v>Good 😚👍</v>
      </c>
      <c r="T23" s="211" t="s">
        <v>132</v>
      </c>
      <c r="U23" s="456" t="s">
        <v>149</v>
      </c>
      <c r="V23" s="211" t="s">
        <v>169</v>
      </c>
    </row>
    <row r="24" spans="2:22" x14ac:dyDescent="0.2">
      <c r="B24" s="220">
        <f t="shared" si="8"/>
        <v>0.77083333333333326</v>
      </c>
      <c r="C24" s="211">
        <f t="shared" ca="1" si="9"/>
        <v>29</v>
      </c>
      <c r="D24" s="211">
        <f t="shared" ca="1" si="0"/>
        <v>8</v>
      </c>
      <c r="E24" s="211">
        <f t="shared" ca="1" si="1"/>
        <v>29</v>
      </c>
      <c r="F24" s="211">
        <f t="shared" si="2"/>
        <v>0</v>
      </c>
      <c r="G24" s="221">
        <f t="shared" si="10"/>
        <v>0</v>
      </c>
      <c r="H24" s="211">
        <f t="shared" si="3"/>
        <v>0</v>
      </c>
      <c r="I24" s="211">
        <f t="shared" ca="1" si="11"/>
        <v>63</v>
      </c>
      <c r="J24" s="211">
        <f t="shared" ca="1" si="4"/>
        <v>0</v>
      </c>
      <c r="K24" s="211">
        <f t="shared" ca="1" si="12"/>
        <v>16</v>
      </c>
      <c r="L24" s="211">
        <f t="shared" ca="1" si="5"/>
        <v>49</v>
      </c>
      <c r="M24" s="211">
        <f t="shared" ca="1" si="6"/>
        <v>8</v>
      </c>
      <c r="N24" s="211">
        <f t="shared" ca="1" si="7"/>
        <v>80</v>
      </c>
      <c r="O24" s="211">
        <f t="shared" si="13"/>
        <v>100</v>
      </c>
      <c r="P24" s="222">
        <f t="shared" ca="1" si="14"/>
        <v>0</v>
      </c>
      <c r="Q24" s="211" t="str">
        <f t="shared" ca="1" si="15"/>
        <v>Good 😚👍</v>
      </c>
      <c r="T24" s="211" t="s">
        <v>134</v>
      </c>
      <c r="U24" s="457" t="str">
        <f ca="1">_xlfn.FORMULATEXT(C11)</f>
        <v>=C7/C10</v>
      </c>
      <c r="V24" s="211" t="s">
        <v>170</v>
      </c>
    </row>
    <row r="25" spans="2:22" x14ac:dyDescent="0.2">
      <c r="B25" s="220">
        <f t="shared" si="8"/>
        <v>0.77777777777777768</v>
      </c>
      <c r="C25" s="211">
        <f t="shared" ca="1" si="9"/>
        <v>44</v>
      </c>
      <c r="D25" s="211">
        <f t="shared" ca="1" si="0"/>
        <v>11</v>
      </c>
      <c r="E25" s="211">
        <f t="shared" ca="1" si="1"/>
        <v>44</v>
      </c>
      <c r="F25" s="211">
        <f t="shared" si="2"/>
        <v>0</v>
      </c>
      <c r="G25" s="221">
        <f t="shared" si="10"/>
        <v>0</v>
      </c>
      <c r="H25" s="211">
        <f t="shared" si="3"/>
        <v>0</v>
      </c>
      <c r="I25" s="211">
        <f t="shared" ca="1" si="11"/>
        <v>107</v>
      </c>
      <c r="J25" s="211">
        <f t="shared" ca="1" si="4"/>
        <v>0</v>
      </c>
      <c r="K25" s="211">
        <f t="shared" ca="1" si="12"/>
        <v>27</v>
      </c>
      <c r="L25" s="211">
        <f t="shared" ca="1" si="5"/>
        <v>38</v>
      </c>
      <c r="M25" s="211">
        <f t="shared" ca="1" si="6"/>
        <v>11</v>
      </c>
      <c r="N25" s="211">
        <f t="shared" ca="1" si="7"/>
        <v>135</v>
      </c>
      <c r="O25" s="211">
        <f t="shared" si="13"/>
        <v>100</v>
      </c>
      <c r="P25" s="222">
        <f t="shared" ca="1" si="14"/>
        <v>3.5</v>
      </c>
      <c r="Q25" s="211" t="str">
        <f t="shared" ca="1" si="15"/>
        <v>Good 😚👍</v>
      </c>
      <c r="T25" s="211" t="s">
        <v>136</v>
      </c>
      <c r="U25" s="456" t="s">
        <v>149</v>
      </c>
      <c r="V25" s="211" t="s">
        <v>171</v>
      </c>
    </row>
    <row r="26" spans="2:22" x14ac:dyDescent="0.2">
      <c r="B26" s="220">
        <f t="shared" si="8"/>
        <v>0.7847222222222221</v>
      </c>
      <c r="C26" s="211">
        <f t="shared" ca="1" si="9"/>
        <v>9</v>
      </c>
      <c r="D26" s="211">
        <f t="shared" ca="1" si="0"/>
        <v>3</v>
      </c>
      <c r="E26" s="211">
        <f t="shared" ca="1" si="1"/>
        <v>9</v>
      </c>
      <c r="F26" s="211">
        <f t="shared" si="2"/>
        <v>0</v>
      </c>
      <c r="G26" s="221">
        <f t="shared" si="10"/>
        <v>0</v>
      </c>
      <c r="H26" s="211">
        <f t="shared" si="3"/>
        <v>0</v>
      </c>
      <c r="I26" s="211">
        <f t="shared" ca="1" si="11"/>
        <v>116</v>
      </c>
      <c r="J26" s="211">
        <f t="shared" ca="1" si="4"/>
        <v>0</v>
      </c>
      <c r="K26" s="211">
        <f t="shared" ca="1" si="12"/>
        <v>29</v>
      </c>
      <c r="L26" s="211">
        <f t="shared" ca="1" si="5"/>
        <v>36</v>
      </c>
      <c r="M26" s="211">
        <f t="shared" ca="1" si="6"/>
        <v>3</v>
      </c>
      <c r="N26" s="211">
        <f t="shared" ca="1" si="7"/>
        <v>145</v>
      </c>
      <c r="O26" s="211">
        <f t="shared" si="13"/>
        <v>100</v>
      </c>
      <c r="P26" s="222">
        <f t="shared" ca="1" si="14"/>
        <v>4.5</v>
      </c>
      <c r="Q26" s="211" t="str">
        <f t="shared" ca="1" si="15"/>
        <v>Good 😚👍</v>
      </c>
      <c r="T26" s="211" t="s">
        <v>138</v>
      </c>
      <c r="U26" s="456" t="s">
        <v>149</v>
      </c>
      <c r="V26" s="211" t="s">
        <v>172</v>
      </c>
    </row>
    <row r="27" spans="2:22" x14ac:dyDescent="0.2">
      <c r="B27" s="220">
        <f t="shared" si="8"/>
        <v>0.79166666666666652</v>
      </c>
      <c r="C27" s="211">
        <f t="shared" ca="1" si="9"/>
        <v>3</v>
      </c>
      <c r="D27" s="211">
        <f t="shared" ca="1" si="0"/>
        <v>1</v>
      </c>
      <c r="E27" s="211">
        <f t="shared" ca="1" si="1"/>
        <v>3</v>
      </c>
      <c r="F27" s="211">
        <f t="shared" si="2"/>
        <v>0</v>
      </c>
      <c r="G27" s="221">
        <f t="shared" si="10"/>
        <v>0</v>
      </c>
      <c r="H27" s="211">
        <f t="shared" si="3"/>
        <v>0</v>
      </c>
      <c r="I27" s="211">
        <f t="shared" ca="1" si="11"/>
        <v>119</v>
      </c>
      <c r="J27" s="211">
        <f t="shared" ca="1" si="4"/>
        <v>0</v>
      </c>
      <c r="K27" s="211">
        <f t="shared" ca="1" si="12"/>
        <v>30</v>
      </c>
      <c r="L27" s="211">
        <f t="shared" ca="1" si="5"/>
        <v>35</v>
      </c>
      <c r="M27" s="211">
        <f t="shared" ca="1" si="6"/>
        <v>1</v>
      </c>
      <c r="N27" s="211">
        <f t="shared" ca="1" si="7"/>
        <v>150</v>
      </c>
      <c r="O27" s="211">
        <f t="shared" si="13"/>
        <v>100</v>
      </c>
      <c r="P27" s="222">
        <f t="shared" ca="1" si="14"/>
        <v>5</v>
      </c>
      <c r="Q27" s="211" t="str">
        <f t="shared" ca="1" si="15"/>
        <v>Neutral ✌️🙂</v>
      </c>
      <c r="T27" s="211" t="s">
        <v>140</v>
      </c>
      <c r="U27" s="456" t="s">
        <v>149</v>
      </c>
      <c r="V27" s="211" t="s">
        <v>173</v>
      </c>
    </row>
    <row r="28" spans="2:22" x14ac:dyDescent="0.2">
      <c r="B28" s="220">
        <f t="shared" si="8"/>
        <v>0.79861111111111094</v>
      </c>
      <c r="C28" s="211">
        <f t="shared" ca="1" si="9"/>
        <v>2</v>
      </c>
      <c r="D28" s="211">
        <f t="shared" ca="1" si="0"/>
        <v>1</v>
      </c>
      <c r="E28" s="211">
        <f t="shared" ca="1" si="1"/>
        <v>2</v>
      </c>
      <c r="F28" s="211">
        <f t="shared" si="2"/>
        <v>0</v>
      </c>
      <c r="G28" s="221">
        <f t="shared" si="10"/>
        <v>0</v>
      </c>
      <c r="H28" s="211">
        <f t="shared" si="3"/>
        <v>0</v>
      </c>
      <c r="I28" s="211">
        <f t="shared" ca="1" si="11"/>
        <v>121</v>
      </c>
      <c r="J28" s="211">
        <f t="shared" ca="1" si="4"/>
        <v>0</v>
      </c>
      <c r="K28" s="211">
        <f t="shared" ca="1" si="12"/>
        <v>31</v>
      </c>
      <c r="L28" s="211">
        <f t="shared" ca="1" si="5"/>
        <v>34</v>
      </c>
      <c r="M28" s="211">
        <f t="shared" ca="1" si="6"/>
        <v>1</v>
      </c>
      <c r="N28" s="211">
        <f t="shared" ca="1" si="7"/>
        <v>155</v>
      </c>
      <c r="O28" s="211">
        <f t="shared" si="13"/>
        <v>100</v>
      </c>
      <c r="P28" s="222">
        <f t="shared" ca="1" si="14"/>
        <v>5.5</v>
      </c>
      <c r="Q28" s="211" t="str">
        <f t="shared" ca="1" si="15"/>
        <v>Neutral ✌️🙂</v>
      </c>
      <c r="T28" s="211" t="s">
        <v>142</v>
      </c>
      <c r="U28" s="457" t="str">
        <f ca="1">_xlfn.FORMULATEXT(C15)</f>
        <v>=ROUND($C$14/$C$12,0)</v>
      </c>
      <c r="V28" s="211" t="s">
        <v>174</v>
      </c>
    </row>
    <row r="29" spans="2:22" x14ac:dyDescent="0.2">
      <c r="B29" s="220">
        <f t="shared" si="8"/>
        <v>0.80555555555555536</v>
      </c>
      <c r="C29" s="211">
        <f t="shared" ca="1" si="9"/>
        <v>14</v>
      </c>
      <c r="D29" s="211">
        <f t="shared" ca="1" si="0"/>
        <v>4</v>
      </c>
      <c r="E29" s="211">
        <f t="shared" ca="1" si="1"/>
        <v>14</v>
      </c>
      <c r="F29" s="211">
        <f t="shared" si="2"/>
        <v>0</v>
      </c>
      <c r="G29" s="221">
        <f t="shared" si="10"/>
        <v>0</v>
      </c>
      <c r="H29" s="211">
        <f t="shared" si="3"/>
        <v>0</v>
      </c>
      <c r="I29" s="211">
        <f t="shared" ca="1" si="11"/>
        <v>135</v>
      </c>
      <c r="J29" s="211">
        <f t="shared" ca="1" si="4"/>
        <v>0</v>
      </c>
      <c r="K29" s="211">
        <f t="shared" ca="1" si="12"/>
        <v>34</v>
      </c>
      <c r="L29" s="211">
        <f t="shared" ca="1" si="5"/>
        <v>31</v>
      </c>
      <c r="M29" s="211">
        <f t="shared" ca="1" si="6"/>
        <v>4</v>
      </c>
      <c r="N29" s="211">
        <f t="shared" ca="1" si="7"/>
        <v>170</v>
      </c>
      <c r="O29" s="211">
        <f t="shared" si="13"/>
        <v>100</v>
      </c>
      <c r="P29" s="222">
        <f t="shared" ca="1" si="14"/>
        <v>7</v>
      </c>
      <c r="Q29" s="211" t="str">
        <f t="shared" ca="1" si="15"/>
        <v>Neutral ✌️🙂</v>
      </c>
      <c r="T29" s="211" t="s">
        <v>144</v>
      </c>
      <c r="U29" s="456" t="s">
        <v>149</v>
      </c>
      <c r="V29" s="211" t="s">
        <v>175</v>
      </c>
    </row>
    <row r="30" spans="2:22" x14ac:dyDescent="0.2">
      <c r="B30" s="220">
        <f t="shared" si="8"/>
        <v>0.81249999999999978</v>
      </c>
      <c r="C30" s="211">
        <f t="shared" ca="1" si="9"/>
        <v>9</v>
      </c>
      <c r="D30" s="211">
        <f t="shared" ca="1" si="0"/>
        <v>3</v>
      </c>
      <c r="E30" s="211">
        <f t="shared" ca="1" si="1"/>
        <v>9</v>
      </c>
      <c r="F30" s="211">
        <f t="shared" ca="1" si="2"/>
        <v>15</v>
      </c>
      <c r="G30" s="221">
        <f t="shared" ca="1" si="10"/>
        <v>4</v>
      </c>
      <c r="H30" s="211">
        <f t="shared" ca="1" si="3"/>
        <v>16</v>
      </c>
      <c r="I30" s="211">
        <f t="shared" ca="1" si="11"/>
        <v>128</v>
      </c>
      <c r="J30" s="211">
        <f t="shared" ca="1" si="4"/>
        <v>0</v>
      </c>
      <c r="K30" s="211">
        <f t="shared" ca="1" si="12"/>
        <v>32</v>
      </c>
      <c r="L30" s="211">
        <f t="shared" ca="1" si="5"/>
        <v>33</v>
      </c>
      <c r="M30" s="211">
        <f t="shared" ca="1" si="6"/>
        <v>3</v>
      </c>
      <c r="N30" s="211">
        <f t="shared" ca="1" si="7"/>
        <v>160</v>
      </c>
      <c r="O30" s="211">
        <f t="shared" si="13"/>
        <v>100</v>
      </c>
      <c r="P30" s="222">
        <f t="shared" ca="1" si="14"/>
        <v>6</v>
      </c>
      <c r="Q30" s="211" t="str">
        <f t="shared" ca="1" si="15"/>
        <v>Neutral ✌️🙂</v>
      </c>
    </row>
    <row r="31" spans="2:22" x14ac:dyDescent="0.2">
      <c r="B31" s="220">
        <f t="shared" si="8"/>
        <v>0.8194444444444442</v>
      </c>
      <c r="C31" s="211">
        <f t="shared" ca="1" si="9"/>
        <v>18</v>
      </c>
      <c r="D31" s="211">
        <f t="shared" ca="1" si="0"/>
        <v>5</v>
      </c>
      <c r="E31" s="211">
        <f t="shared" ca="1" si="1"/>
        <v>18</v>
      </c>
      <c r="F31" s="211">
        <f t="shared" ca="1" si="2"/>
        <v>11</v>
      </c>
      <c r="G31" s="221">
        <f t="shared" ca="1" si="10"/>
        <v>3</v>
      </c>
      <c r="H31" s="211">
        <f t="shared" ca="1" si="3"/>
        <v>12</v>
      </c>
      <c r="I31" s="211">
        <f t="shared" ca="1" si="11"/>
        <v>134</v>
      </c>
      <c r="J31" s="211">
        <f t="shared" ca="1" si="4"/>
        <v>0</v>
      </c>
      <c r="K31" s="211">
        <f t="shared" ca="1" si="12"/>
        <v>34</v>
      </c>
      <c r="L31" s="211">
        <f t="shared" ca="1" si="5"/>
        <v>31</v>
      </c>
      <c r="M31" s="211">
        <f t="shared" ca="1" si="6"/>
        <v>5</v>
      </c>
      <c r="N31" s="211">
        <f t="shared" ca="1" si="7"/>
        <v>170</v>
      </c>
      <c r="O31" s="211">
        <f t="shared" si="13"/>
        <v>100</v>
      </c>
      <c r="P31" s="222">
        <f t="shared" ca="1" si="14"/>
        <v>7</v>
      </c>
      <c r="Q31" s="211" t="str">
        <f t="shared" ca="1" si="15"/>
        <v>Neutral ✌️🙂</v>
      </c>
      <c r="T31" s="453" t="s">
        <v>176</v>
      </c>
    </row>
    <row r="32" spans="2:22" x14ac:dyDescent="0.2">
      <c r="B32" s="220">
        <f t="shared" si="8"/>
        <v>0.82638888888888862</v>
      </c>
      <c r="C32" s="211">
        <f t="shared" ca="1" si="9"/>
        <v>1</v>
      </c>
      <c r="D32" s="211">
        <f t="shared" ca="1" si="0"/>
        <v>1</v>
      </c>
      <c r="E32" s="211">
        <f t="shared" ca="1" si="1"/>
        <v>1</v>
      </c>
      <c r="F32" s="211">
        <f t="shared" ca="1" si="2"/>
        <v>8</v>
      </c>
      <c r="G32" s="221">
        <f t="shared" ca="1" si="10"/>
        <v>2</v>
      </c>
      <c r="H32" s="211">
        <f t="shared" ca="1" si="3"/>
        <v>8</v>
      </c>
      <c r="I32" s="211">
        <f t="shared" ca="1" si="11"/>
        <v>127</v>
      </c>
      <c r="J32" s="211">
        <f t="shared" ca="1" si="4"/>
        <v>0</v>
      </c>
      <c r="K32" s="211">
        <f t="shared" ca="1" si="12"/>
        <v>32</v>
      </c>
      <c r="L32" s="211">
        <f t="shared" ca="1" si="5"/>
        <v>33</v>
      </c>
      <c r="M32" s="211">
        <f t="shared" ca="1" si="6"/>
        <v>1</v>
      </c>
      <c r="N32" s="211">
        <f t="shared" ca="1" si="7"/>
        <v>160</v>
      </c>
      <c r="O32" s="211">
        <f t="shared" si="13"/>
        <v>100</v>
      </c>
      <c r="P32" s="222">
        <f t="shared" ca="1" si="14"/>
        <v>6</v>
      </c>
      <c r="Q32" s="211" t="str">
        <f t="shared" ca="1" si="15"/>
        <v>Neutral ✌️🙂</v>
      </c>
      <c r="T32" s="215" t="s">
        <v>177</v>
      </c>
      <c r="U32" s="215" t="s">
        <v>146</v>
      </c>
      <c r="V32" s="215" t="s">
        <v>147</v>
      </c>
    </row>
    <row r="33" spans="2:22" x14ac:dyDescent="0.2">
      <c r="B33" s="220">
        <f t="shared" si="8"/>
        <v>0.83333333333333304</v>
      </c>
      <c r="C33" s="211">
        <f t="shared" ca="1" si="9"/>
        <v>7</v>
      </c>
      <c r="D33" s="211">
        <f t="shared" ca="1" si="0"/>
        <v>2</v>
      </c>
      <c r="E33" s="211">
        <f t="shared" ca="1" si="1"/>
        <v>7</v>
      </c>
      <c r="F33" s="211">
        <f t="shared" ca="1" si="2"/>
        <v>29</v>
      </c>
      <c r="G33" s="221">
        <f t="shared" ca="1" si="10"/>
        <v>8</v>
      </c>
      <c r="H33" s="211">
        <f t="shared" ca="1" si="3"/>
        <v>32</v>
      </c>
      <c r="I33" s="211">
        <f t="shared" ca="1" si="11"/>
        <v>102</v>
      </c>
      <c r="J33" s="211">
        <f t="shared" ca="1" si="4"/>
        <v>0</v>
      </c>
      <c r="K33" s="211">
        <f t="shared" ca="1" si="12"/>
        <v>26</v>
      </c>
      <c r="L33" s="211">
        <f t="shared" ca="1" si="5"/>
        <v>39</v>
      </c>
      <c r="M33" s="211">
        <f t="shared" ca="1" si="6"/>
        <v>2</v>
      </c>
      <c r="N33" s="211">
        <f t="shared" ca="1" si="7"/>
        <v>130</v>
      </c>
      <c r="O33" s="211">
        <f t="shared" si="13"/>
        <v>100</v>
      </c>
      <c r="P33" s="222">
        <f t="shared" ca="1" si="14"/>
        <v>3</v>
      </c>
      <c r="Q33" s="211" t="str">
        <f t="shared" ca="1" si="15"/>
        <v>Good 😚👍</v>
      </c>
      <c r="T33" s="211" t="s">
        <v>122</v>
      </c>
      <c r="U33" s="456" t="s">
        <v>149</v>
      </c>
      <c r="V33" s="211" t="s">
        <v>178</v>
      </c>
    </row>
    <row r="34" spans="2:22" x14ac:dyDescent="0.2">
      <c r="B34" s="220">
        <f t="shared" si="8"/>
        <v>0.84027777777777746</v>
      </c>
      <c r="C34" s="211">
        <f t="shared" ca="1" si="9"/>
        <v>12</v>
      </c>
      <c r="D34" s="211">
        <f t="shared" ca="1" si="0"/>
        <v>3</v>
      </c>
      <c r="E34" s="211">
        <f t="shared" ca="1" si="1"/>
        <v>12</v>
      </c>
      <c r="F34" s="211">
        <f t="shared" ca="1" si="2"/>
        <v>44</v>
      </c>
      <c r="G34" s="221">
        <f t="shared" ca="1" si="10"/>
        <v>11</v>
      </c>
      <c r="H34" s="211">
        <f t="shared" ca="1" si="3"/>
        <v>44</v>
      </c>
      <c r="I34" s="211">
        <f t="shared" ca="1" si="11"/>
        <v>70</v>
      </c>
      <c r="J34" s="211">
        <f t="shared" ca="1" si="4"/>
        <v>0</v>
      </c>
      <c r="K34" s="211">
        <f t="shared" ca="1" si="12"/>
        <v>18</v>
      </c>
      <c r="L34" s="211">
        <f t="shared" ca="1" si="5"/>
        <v>47</v>
      </c>
      <c r="M34" s="211">
        <f t="shared" ca="1" si="6"/>
        <v>3</v>
      </c>
      <c r="N34" s="211">
        <f t="shared" ca="1" si="7"/>
        <v>90</v>
      </c>
      <c r="O34" s="211">
        <f t="shared" si="13"/>
        <v>100</v>
      </c>
      <c r="P34" s="222">
        <f ca="1">MAX(0, (N34-O34)/$C$6 )</f>
        <v>0</v>
      </c>
      <c r="Q34" s="211" t="str">
        <f t="shared" ca="1" si="15"/>
        <v>Good 😚👍</v>
      </c>
      <c r="T34" s="211" t="s">
        <v>125</v>
      </c>
      <c r="U34" s="456" t="s">
        <v>149</v>
      </c>
      <c r="V34" s="211" t="s">
        <v>179</v>
      </c>
    </row>
    <row r="35" spans="2:22" x14ac:dyDescent="0.2">
      <c r="B35" s="220">
        <f t="shared" si="8"/>
        <v>0.84722222222222188</v>
      </c>
      <c r="C35" s="211">
        <f t="shared" ca="1" si="9"/>
        <v>55</v>
      </c>
      <c r="D35" s="211">
        <f t="shared" ca="1" si="0"/>
        <v>14</v>
      </c>
      <c r="E35" s="211">
        <f t="shared" ca="1" si="1"/>
        <v>55</v>
      </c>
      <c r="F35" s="211">
        <f t="shared" ca="1" si="2"/>
        <v>9</v>
      </c>
      <c r="G35" s="221">
        <f t="shared" ca="1" si="10"/>
        <v>3</v>
      </c>
      <c r="H35" s="211">
        <f t="shared" ca="1" si="3"/>
        <v>12</v>
      </c>
      <c r="I35" s="211">
        <f t="shared" ca="1" si="11"/>
        <v>113</v>
      </c>
      <c r="J35" s="211">
        <f t="shared" ca="1" si="4"/>
        <v>0</v>
      </c>
      <c r="K35" s="211">
        <f t="shared" ca="1" si="12"/>
        <v>29</v>
      </c>
      <c r="L35" s="211">
        <f t="shared" ca="1" si="5"/>
        <v>36</v>
      </c>
      <c r="M35" s="211">
        <f t="shared" ca="1" si="6"/>
        <v>14</v>
      </c>
      <c r="N35" s="211">
        <f t="shared" ca="1" si="7"/>
        <v>145</v>
      </c>
      <c r="O35" s="211">
        <f t="shared" si="13"/>
        <v>100</v>
      </c>
      <c r="P35" s="222">
        <f t="shared" ca="1" si="14"/>
        <v>4.5</v>
      </c>
      <c r="Q35" s="211" t="str">
        <f t="shared" ca="1" si="15"/>
        <v>Good 😚👍</v>
      </c>
      <c r="T35" s="211" t="s">
        <v>128</v>
      </c>
      <c r="U35" s="456" t="s">
        <v>149</v>
      </c>
      <c r="V35" s="211" t="s">
        <v>180</v>
      </c>
    </row>
    <row r="36" spans="2:22" x14ac:dyDescent="0.2">
      <c r="B36" s="220">
        <f t="shared" si="8"/>
        <v>0.8541666666666663</v>
      </c>
      <c r="C36" s="211">
        <f t="shared" ca="1" si="9"/>
        <v>14</v>
      </c>
      <c r="D36" s="211">
        <f t="shared" ca="1" si="0"/>
        <v>4</v>
      </c>
      <c r="E36" s="211">
        <f t="shared" ca="1" si="1"/>
        <v>14</v>
      </c>
      <c r="F36" s="211">
        <f t="shared" ca="1" si="2"/>
        <v>3</v>
      </c>
      <c r="G36" s="221">
        <f t="shared" ca="1" si="10"/>
        <v>1</v>
      </c>
      <c r="H36" s="211">
        <f t="shared" ca="1" si="3"/>
        <v>4</v>
      </c>
      <c r="I36" s="211">
        <f t="shared" ca="1" si="11"/>
        <v>123</v>
      </c>
      <c r="J36" s="211">
        <f t="shared" ca="1" si="4"/>
        <v>0</v>
      </c>
      <c r="K36" s="211">
        <f t="shared" ca="1" si="12"/>
        <v>31</v>
      </c>
      <c r="L36" s="211">
        <f t="shared" ca="1" si="5"/>
        <v>34</v>
      </c>
      <c r="M36" s="211">
        <f t="shared" ca="1" si="6"/>
        <v>4</v>
      </c>
      <c r="N36" s="211">
        <f t="shared" ca="1" si="7"/>
        <v>155</v>
      </c>
      <c r="O36" s="211">
        <f t="shared" si="13"/>
        <v>100</v>
      </c>
      <c r="P36" s="222">
        <f t="shared" ca="1" si="14"/>
        <v>5.5</v>
      </c>
      <c r="Q36" s="211" t="str">
        <f t="shared" ca="1" si="15"/>
        <v>Neutral ✌️🙂</v>
      </c>
      <c r="T36" s="211" t="s">
        <v>131</v>
      </c>
      <c r="U36" s="456" t="s">
        <v>149</v>
      </c>
      <c r="V36" s="211" t="s">
        <v>181</v>
      </c>
    </row>
    <row r="37" spans="2:22" x14ac:dyDescent="0.2">
      <c r="B37" s="220">
        <f t="shared" si="8"/>
        <v>0.86111111111111072</v>
      </c>
      <c r="C37" s="211">
        <f t="shared" ca="1" si="9"/>
        <v>71</v>
      </c>
      <c r="D37" s="211">
        <f t="shared" ca="1" si="0"/>
        <v>18</v>
      </c>
      <c r="E37" s="211">
        <f t="shared" ca="1" si="1"/>
        <v>71</v>
      </c>
      <c r="F37" s="211">
        <f t="shared" ca="1" si="2"/>
        <v>2</v>
      </c>
      <c r="G37" s="221">
        <f t="shared" ca="1" si="10"/>
        <v>1</v>
      </c>
      <c r="H37" s="211">
        <f t="shared" ca="1" si="3"/>
        <v>4</v>
      </c>
      <c r="I37" s="211">
        <f t="shared" ca="1" si="11"/>
        <v>190</v>
      </c>
      <c r="J37" s="211">
        <f t="shared" ca="1" si="4"/>
        <v>0</v>
      </c>
      <c r="K37" s="211">
        <f t="shared" ca="1" si="12"/>
        <v>48</v>
      </c>
      <c r="L37" s="211">
        <f t="shared" ca="1" si="5"/>
        <v>17</v>
      </c>
      <c r="M37" s="211">
        <f t="shared" ca="1" si="6"/>
        <v>18</v>
      </c>
      <c r="N37" s="211">
        <f t="shared" ca="1" si="7"/>
        <v>240</v>
      </c>
      <c r="O37" s="211">
        <f t="shared" si="13"/>
        <v>100</v>
      </c>
      <c r="P37" s="222">
        <f t="shared" ca="1" si="14"/>
        <v>14</v>
      </c>
      <c r="Q37" s="211" t="str">
        <f t="shared" ca="1" si="15"/>
        <v>Bad 🤬🤌</v>
      </c>
      <c r="T37" s="211" t="s">
        <v>133</v>
      </c>
      <c r="U37" s="457" t="str">
        <f ca="1">_xlfn.FORMULATEXT(I10)</f>
        <v>=ROUNDUP(I9*I7,1)</v>
      </c>
      <c r="V37" s="211" t="s">
        <v>182</v>
      </c>
    </row>
    <row r="38" spans="2:22" x14ac:dyDescent="0.2">
      <c r="B38" s="220">
        <f t="shared" si="8"/>
        <v>0.86805555555555514</v>
      </c>
      <c r="C38" s="211">
        <f t="shared" ca="1" si="9"/>
        <v>14</v>
      </c>
      <c r="D38" s="211">
        <f t="shared" ca="1" si="0"/>
        <v>4</v>
      </c>
      <c r="E38" s="211">
        <f t="shared" ca="1" si="1"/>
        <v>14</v>
      </c>
      <c r="F38" s="211">
        <f t="shared" ca="1" si="2"/>
        <v>14</v>
      </c>
      <c r="G38" s="221">
        <f t="shared" ca="1" si="10"/>
        <v>4</v>
      </c>
      <c r="H38" s="211">
        <f t="shared" ca="1" si="3"/>
        <v>16</v>
      </c>
      <c r="I38" s="211">
        <f t="shared" ca="1" si="11"/>
        <v>188</v>
      </c>
      <c r="J38" s="211">
        <f t="shared" ca="1" si="4"/>
        <v>0</v>
      </c>
      <c r="K38" s="211">
        <f t="shared" ca="1" si="12"/>
        <v>47</v>
      </c>
      <c r="L38" s="211">
        <f t="shared" ca="1" si="5"/>
        <v>18</v>
      </c>
      <c r="M38" s="211">
        <f t="shared" ca="1" si="6"/>
        <v>4</v>
      </c>
      <c r="N38" s="211">
        <f t="shared" ca="1" si="7"/>
        <v>235</v>
      </c>
      <c r="O38" s="211">
        <f t="shared" si="13"/>
        <v>100</v>
      </c>
      <c r="P38" s="222">
        <f t="shared" ca="1" si="14"/>
        <v>13.5</v>
      </c>
      <c r="Q38" s="211" t="str">
        <f t="shared" ca="1" si="15"/>
        <v>Bad 🤬🤌</v>
      </c>
      <c r="T38" s="211" t="s">
        <v>135</v>
      </c>
      <c r="U38" s="457" t="str">
        <f ca="1">_xlfn.FORMULATEXT(I11)</f>
        <v>=ROUNDUP(I9*I8,1)</v>
      </c>
      <c r="V38" s="211" t="s">
        <v>183</v>
      </c>
    </row>
    <row r="39" spans="2:22" x14ac:dyDescent="0.2">
      <c r="B39" s="220">
        <f t="shared" si="8"/>
        <v>0.87499999999999956</v>
      </c>
      <c r="C39" s="211">
        <f t="shared" ca="1" si="9"/>
        <v>9</v>
      </c>
      <c r="D39" s="211">
        <f t="shared" ca="1" si="0"/>
        <v>3</v>
      </c>
      <c r="E39" s="211">
        <f t="shared" ca="1" si="1"/>
        <v>9</v>
      </c>
      <c r="F39" s="211">
        <f t="shared" ca="1" si="2"/>
        <v>9</v>
      </c>
      <c r="G39" s="221">
        <f t="shared" ca="1" si="10"/>
        <v>3</v>
      </c>
      <c r="H39" s="211">
        <f t="shared" ca="1" si="3"/>
        <v>12</v>
      </c>
      <c r="I39" s="211">
        <f t="shared" ca="1" si="11"/>
        <v>185</v>
      </c>
      <c r="J39" s="211">
        <f t="shared" ca="1" si="4"/>
        <v>0</v>
      </c>
      <c r="K39" s="211">
        <f t="shared" ca="1" si="12"/>
        <v>47</v>
      </c>
      <c r="L39" s="211">
        <f t="shared" ca="1" si="5"/>
        <v>18</v>
      </c>
      <c r="M39" s="211">
        <f t="shared" ca="1" si="6"/>
        <v>3</v>
      </c>
      <c r="N39" s="211">
        <f t="shared" ca="1" si="7"/>
        <v>235</v>
      </c>
      <c r="O39" s="211">
        <f t="shared" si="13"/>
        <v>100</v>
      </c>
      <c r="P39" s="222">
        <f t="shared" ca="1" si="14"/>
        <v>13.5</v>
      </c>
      <c r="Q39" s="211" t="str">
        <f t="shared" ca="1" si="15"/>
        <v>Bad 🤬🤌</v>
      </c>
      <c r="T39" s="211" t="s">
        <v>137</v>
      </c>
      <c r="U39" s="456" t="s">
        <v>149</v>
      </c>
      <c r="V39" s="211" t="s">
        <v>184</v>
      </c>
    </row>
    <row r="40" spans="2:22" x14ac:dyDescent="0.2">
      <c r="B40" s="220">
        <f t="shared" si="8"/>
        <v>0.88194444444444398</v>
      </c>
      <c r="C40" s="211">
        <f t="shared" ca="1" si="9"/>
        <v>9</v>
      </c>
      <c r="D40" s="211">
        <f t="shared" ca="1" si="0"/>
        <v>3</v>
      </c>
      <c r="E40" s="211">
        <f t="shared" ca="1" si="1"/>
        <v>9</v>
      </c>
      <c r="F40" s="211">
        <f t="shared" ca="1" si="2"/>
        <v>18</v>
      </c>
      <c r="G40" s="221">
        <f t="shared" ca="1" si="10"/>
        <v>5</v>
      </c>
      <c r="H40" s="211">
        <f t="shared" ca="1" si="3"/>
        <v>20</v>
      </c>
      <c r="I40" s="211">
        <f t="shared" ca="1" si="11"/>
        <v>174</v>
      </c>
      <c r="J40" s="211">
        <f t="shared" ca="1" si="4"/>
        <v>0</v>
      </c>
      <c r="K40" s="211">
        <f t="shared" ca="1" si="12"/>
        <v>44</v>
      </c>
      <c r="L40" s="211">
        <f t="shared" ca="1" si="5"/>
        <v>21</v>
      </c>
      <c r="M40" s="211">
        <f t="shared" ca="1" si="6"/>
        <v>3</v>
      </c>
      <c r="N40" s="211">
        <f t="shared" ca="1" si="7"/>
        <v>220</v>
      </c>
      <c r="O40" s="211">
        <f t="shared" si="13"/>
        <v>100</v>
      </c>
      <c r="P40" s="222">
        <f t="shared" ca="1" si="14"/>
        <v>12</v>
      </c>
      <c r="Q40" s="211" t="str">
        <f t="shared" ca="1" si="15"/>
        <v>Bad 🤬🤌</v>
      </c>
      <c r="T40" s="211" t="s">
        <v>139</v>
      </c>
      <c r="U40" s="457" t="str">
        <f ca="1">_xlfn.FORMULATEXT(I13)</f>
        <v>=ROUNDUP(I12*I7,1)</v>
      </c>
      <c r="V40" s="211" t="s">
        <v>185</v>
      </c>
    </row>
    <row r="41" spans="2:22" x14ac:dyDescent="0.2">
      <c r="B41" s="220">
        <f t="shared" si="8"/>
        <v>0.8888888888888884</v>
      </c>
      <c r="C41" s="211">
        <f t="shared" ca="1" si="9"/>
        <v>13</v>
      </c>
      <c r="D41" s="211">
        <f t="shared" ca="1" si="0"/>
        <v>4</v>
      </c>
      <c r="E41" s="211">
        <f t="shared" ca="1" si="1"/>
        <v>13</v>
      </c>
      <c r="F41" s="211">
        <f t="shared" ca="1" si="2"/>
        <v>1</v>
      </c>
      <c r="G41" s="221">
        <f t="shared" ca="1" si="10"/>
        <v>1</v>
      </c>
      <c r="H41" s="211">
        <f t="shared" ca="1" si="3"/>
        <v>4</v>
      </c>
      <c r="I41" s="211">
        <f t="shared" ca="1" si="11"/>
        <v>183</v>
      </c>
      <c r="J41" s="211">
        <f t="shared" ca="1" si="4"/>
        <v>0</v>
      </c>
      <c r="K41" s="211">
        <f t="shared" ca="1" si="12"/>
        <v>46</v>
      </c>
      <c r="L41" s="211">
        <f t="shared" ca="1" si="5"/>
        <v>19</v>
      </c>
      <c r="M41" s="211">
        <f t="shared" ca="1" si="6"/>
        <v>4</v>
      </c>
      <c r="N41" s="211">
        <f t="shared" ca="1" si="7"/>
        <v>230</v>
      </c>
      <c r="O41" s="211">
        <f t="shared" si="13"/>
        <v>100</v>
      </c>
      <c r="P41" s="222">
        <f t="shared" ca="1" si="14"/>
        <v>13</v>
      </c>
      <c r="Q41" s="211" t="str">
        <f t="shared" ca="1" si="15"/>
        <v>Bad 🤬🤌</v>
      </c>
      <c r="T41" s="211" t="s">
        <v>141</v>
      </c>
      <c r="U41" s="457" t="str">
        <f ca="1">_xlfn.FORMULATEXT(I14)</f>
        <v>=ROUNDUP(I12*I8,1)</v>
      </c>
      <c r="V41" s="211" t="s">
        <v>186</v>
      </c>
    </row>
    <row r="42" spans="2:22" x14ac:dyDescent="0.2">
      <c r="B42" s="220">
        <f t="shared" si="8"/>
        <v>0.89583333333333282</v>
      </c>
      <c r="C42" s="211">
        <f t="shared" ca="1" si="9"/>
        <v>12</v>
      </c>
      <c r="D42" s="211">
        <f t="shared" ca="1" si="0"/>
        <v>3</v>
      </c>
      <c r="E42" s="211">
        <f t="shared" ca="1" si="1"/>
        <v>12</v>
      </c>
      <c r="F42" s="211">
        <f t="shared" ca="1" si="2"/>
        <v>7</v>
      </c>
      <c r="G42" s="221">
        <f t="shared" ca="1" si="10"/>
        <v>2</v>
      </c>
      <c r="H42" s="211">
        <f t="shared" ca="1" si="3"/>
        <v>8</v>
      </c>
      <c r="I42" s="211">
        <f t="shared" ca="1" si="11"/>
        <v>187</v>
      </c>
      <c r="J42" s="211">
        <f t="shared" ca="1" si="4"/>
        <v>0</v>
      </c>
      <c r="K42" s="211">
        <f t="shared" ca="1" si="12"/>
        <v>47</v>
      </c>
      <c r="L42" s="211">
        <f t="shared" ca="1" si="5"/>
        <v>18</v>
      </c>
      <c r="M42" s="211">
        <f t="shared" ca="1" si="6"/>
        <v>3</v>
      </c>
      <c r="N42" s="211">
        <f t="shared" ca="1" si="7"/>
        <v>235</v>
      </c>
      <c r="O42" s="211">
        <f t="shared" si="13"/>
        <v>100</v>
      </c>
      <c r="P42" s="222">
        <f t="shared" ca="1" si="14"/>
        <v>13.5</v>
      </c>
      <c r="Q42" s="211" t="str">
        <f t="shared" ca="1" si="15"/>
        <v>Bad 🤬🤌</v>
      </c>
      <c r="T42" s="215" t="s">
        <v>143</v>
      </c>
      <c r="U42" s="456" t="s">
        <v>149</v>
      </c>
      <c r="V42" s="211" t="s">
        <v>187</v>
      </c>
    </row>
    <row r="43" spans="2:22" x14ac:dyDescent="0.2">
      <c r="B43" s="220">
        <f t="shared" si="8"/>
        <v>0.90277777777777724</v>
      </c>
      <c r="C43" s="211">
        <f t="shared" ca="1" si="9"/>
        <v>19</v>
      </c>
      <c r="D43" s="211">
        <f t="shared" ca="1" si="0"/>
        <v>5</v>
      </c>
      <c r="E43" s="211">
        <f t="shared" ca="1" si="1"/>
        <v>19</v>
      </c>
      <c r="F43" s="211">
        <f t="shared" ca="1" si="2"/>
        <v>12</v>
      </c>
      <c r="G43" s="221">
        <f t="shared" ca="1" si="10"/>
        <v>3</v>
      </c>
      <c r="H43" s="211">
        <f t="shared" ca="1" si="3"/>
        <v>12</v>
      </c>
      <c r="I43" s="211">
        <f t="shared" ca="1" si="11"/>
        <v>194</v>
      </c>
      <c r="J43" s="211">
        <f t="shared" ca="1" si="4"/>
        <v>0</v>
      </c>
      <c r="K43" s="211">
        <f t="shared" ca="1" si="12"/>
        <v>49</v>
      </c>
      <c r="L43" s="211">
        <f t="shared" ca="1" si="5"/>
        <v>16</v>
      </c>
      <c r="M43" s="211">
        <f t="shared" ca="1" si="6"/>
        <v>5</v>
      </c>
      <c r="N43" s="211">
        <f t="shared" ca="1" si="7"/>
        <v>245</v>
      </c>
      <c r="O43" s="211">
        <f t="shared" si="13"/>
        <v>100</v>
      </c>
      <c r="P43" s="222">
        <f t="shared" ca="1" si="14"/>
        <v>14.5</v>
      </c>
      <c r="Q43" s="211" t="str">
        <f t="shared" ca="1" si="15"/>
        <v>Bad 🤬🤌</v>
      </c>
    </row>
    <row r="44" spans="2:22" x14ac:dyDescent="0.2">
      <c r="B44" s="220">
        <f t="shared" si="8"/>
        <v>0.90972222222222165</v>
      </c>
      <c r="C44" s="211">
        <f t="shared" ca="1" si="9"/>
        <v>21</v>
      </c>
      <c r="D44" s="211">
        <f t="shared" ca="1" si="0"/>
        <v>6</v>
      </c>
      <c r="E44" s="211">
        <f t="shared" ca="1" si="1"/>
        <v>21</v>
      </c>
      <c r="F44" s="211">
        <f t="shared" ca="1" si="2"/>
        <v>55</v>
      </c>
      <c r="G44" s="221">
        <f t="shared" ca="1" si="10"/>
        <v>14</v>
      </c>
      <c r="H44" s="211">
        <f t="shared" ca="1" si="3"/>
        <v>56</v>
      </c>
      <c r="I44" s="211">
        <f t="shared" ca="1" si="11"/>
        <v>159</v>
      </c>
      <c r="J44" s="211">
        <f t="shared" ca="1" si="4"/>
        <v>0</v>
      </c>
      <c r="K44" s="211">
        <f t="shared" ca="1" si="12"/>
        <v>40</v>
      </c>
      <c r="L44" s="211">
        <f t="shared" ca="1" si="5"/>
        <v>25</v>
      </c>
      <c r="M44" s="211">
        <f t="shared" ca="1" si="6"/>
        <v>6</v>
      </c>
      <c r="N44" s="211">
        <f t="shared" ca="1" si="7"/>
        <v>200</v>
      </c>
      <c r="O44" s="211">
        <f t="shared" si="13"/>
        <v>100</v>
      </c>
      <c r="P44" s="222">
        <f t="shared" ca="1" si="14"/>
        <v>10</v>
      </c>
      <c r="Q44" s="211" t="str">
        <f t="shared" ca="1" si="15"/>
        <v>Bad 🤬🤌</v>
      </c>
      <c r="T44" s="453" t="s">
        <v>188</v>
      </c>
    </row>
    <row r="45" spans="2:22" x14ac:dyDescent="0.2">
      <c r="B45" s="220">
        <f t="shared" si="8"/>
        <v>0.91666666666666607</v>
      </c>
      <c r="C45" s="211">
        <f t="shared" ca="1" si="9"/>
        <v>57</v>
      </c>
      <c r="D45" s="211">
        <f t="shared" ca="1" si="0"/>
        <v>15</v>
      </c>
      <c r="E45" s="211">
        <f t="shared" ca="1" si="1"/>
        <v>57</v>
      </c>
      <c r="F45" s="211">
        <f t="shared" ca="1" si="2"/>
        <v>14</v>
      </c>
      <c r="G45" s="221">
        <f ca="1">INT(H45/$C$10)</f>
        <v>4</v>
      </c>
      <c r="H45" s="211">
        <f t="shared" ca="1" si="3"/>
        <v>16</v>
      </c>
      <c r="I45" s="211">
        <f ca="1">N(I44) - H45 + E45</f>
        <v>200</v>
      </c>
      <c r="J45" s="211">
        <f t="shared" ca="1" si="4"/>
        <v>0</v>
      </c>
      <c r="K45" s="211">
        <f t="shared" ca="1" si="12"/>
        <v>50</v>
      </c>
      <c r="L45" s="211">
        <f t="shared" ca="1" si="5"/>
        <v>15</v>
      </c>
      <c r="M45" s="211">
        <f t="shared" ca="1" si="6"/>
        <v>15</v>
      </c>
      <c r="N45" s="211">
        <f t="shared" ca="1" si="7"/>
        <v>250</v>
      </c>
      <c r="O45" s="211">
        <f t="shared" si="13"/>
        <v>100</v>
      </c>
      <c r="P45" s="222">
        <f t="shared" ca="1" si="14"/>
        <v>15</v>
      </c>
      <c r="Q45" s="211" t="str">
        <f t="shared" ca="1" si="15"/>
        <v>Bad 🤬🤌</v>
      </c>
    </row>
    <row r="46" spans="2:22" ht="17" thickBot="1" x14ac:dyDescent="0.25">
      <c r="B46" s="223" t="s">
        <v>189</v>
      </c>
      <c r="C46" s="211">
        <f ca="1">SUM(C21:C45)</f>
        <v>476</v>
      </c>
      <c r="O46" s="215" t="s">
        <v>190</v>
      </c>
      <c r="P46" s="222">
        <f ca="1">AVERAGE($P$21:$P$45)</f>
        <v>7.06</v>
      </c>
      <c r="T46" s="453" t="s">
        <v>191</v>
      </c>
    </row>
    <row r="47" spans="2:22" ht="17" thickBot="1" x14ac:dyDescent="0.25">
      <c r="B47" s="224"/>
      <c r="F47" s="225" t="s">
        <v>192</v>
      </c>
      <c r="G47" s="217"/>
      <c r="H47" s="204"/>
      <c r="I47" s="453" t="s">
        <v>193</v>
      </c>
      <c r="T47" s="215" t="s">
        <v>194</v>
      </c>
      <c r="U47" s="215" t="s">
        <v>146</v>
      </c>
      <c r="V47" s="215" t="s">
        <v>147</v>
      </c>
    </row>
    <row r="48" spans="2:22" ht="17" thickBot="1" x14ac:dyDescent="0.25">
      <c r="B48" s="226" t="s">
        <v>195</v>
      </c>
      <c r="C48" s="217"/>
      <c r="D48" s="204"/>
      <c r="F48" s="227" t="s">
        <v>152</v>
      </c>
      <c r="G48" s="228">
        <v>17</v>
      </c>
      <c r="H48" s="229"/>
      <c r="T48" s="211" t="s">
        <v>151</v>
      </c>
      <c r="U48" s="457" t="str">
        <f ca="1">_xlfn.FORMULATEXT(B21)</f>
        <v>=TIME(18,0,0)</v>
      </c>
      <c r="V48" s="211" t="s">
        <v>196</v>
      </c>
    </row>
    <row r="49" spans="2:22" x14ac:dyDescent="0.2">
      <c r="B49" s="210" t="s">
        <v>197</v>
      </c>
      <c r="C49" s="210" t="s">
        <v>198</v>
      </c>
      <c r="D49" s="210" t="s">
        <v>120</v>
      </c>
      <c r="F49" s="208" t="s">
        <v>199</v>
      </c>
      <c r="G49" s="230">
        <v>1</v>
      </c>
      <c r="H49" s="231"/>
      <c r="T49" s="211" t="s">
        <v>200</v>
      </c>
      <c r="U49" s="457" t="str">
        <f ca="1">_xlfn.FORMULATEXT(C21)</f>
        <v>= ROUNDUP( -$I$15 * LN(1 - RAND()), 0 )</v>
      </c>
      <c r="V49" s="211" t="s">
        <v>201</v>
      </c>
    </row>
    <row r="50" spans="2:22" x14ac:dyDescent="0.2">
      <c r="B50" s="232">
        <f>$C$6</f>
        <v>10</v>
      </c>
      <c r="C50" s="233">
        <f ca="1">$P$46</f>
        <v>7.06</v>
      </c>
      <c r="D50" s="232"/>
      <c r="F50" s="210" t="s">
        <v>197</v>
      </c>
      <c r="G50" s="210" t="s">
        <v>202</v>
      </c>
      <c r="H50" s="210" t="s">
        <v>120</v>
      </c>
      <c r="T50" s="211" t="s">
        <v>153</v>
      </c>
      <c r="U50" s="457" t="str">
        <f ca="1">_xlfn.FORMULATEXT(D21)</f>
        <v>=CEILING(C21/$C$10,1)</v>
      </c>
      <c r="V50" s="211" t="s">
        <v>203</v>
      </c>
    </row>
    <row r="51" spans="2:22" ht="34" x14ac:dyDescent="0.2">
      <c r="B51" s="211">
        <v>1</v>
      </c>
      <c r="C51" s="222">
        <f t="dataTable" ref="C51:C80" dt2D="0" dtr="0" r1="C6" ca="1"/>
        <v>99.8</v>
      </c>
      <c r="D51" s="211" t="str">
        <f t="shared" ref="D51:D80" si="16">_xlfn.XLOOKUP($C51, $L$6:$L$8, $N$6:$N$8, , -1)</f>
        <v>Bad 🤬🤌</v>
      </c>
      <c r="F51" s="211">
        <v>1</v>
      </c>
      <c r="G51" s="222">
        <v>146.4</v>
      </c>
      <c r="H51" s="211" t="str">
        <f>_xlfn.XLOOKUP($G51, $L$6:$L$8, $N$6:$N$8, , -1)</f>
        <v>Bad 🤬🤌</v>
      </c>
      <c r="T51" s="211" t="s">
        <v>204</v>
      </c>
      <c r="U51" s="457" t="str">
        <f ca="1">_xlfn.FORMULATEXT(E21)</f>
        <v>=MIN( C21 + N(J20),$C$7 - N(I20) + H21 )</v>
      </c>
      <c r="V51" s="458" t="s">
        <v>205</v>
      </c>
    </row>
    <row r="52" spans="2:22" x14ac:dyDescent="0.2">
      <c r="B52" s="211">
        <v>2</v>
      </c>
      <c r="C52" s="222">
        <v>47.2</v>
      </c>
      <c r="D52" s="211" t="str">
        <f t="shared" si="16"/>
        <v>Bad 🤬🤌</v>
      </c>
      <c r="F52" s="211">
        <v>2</v>
      </c>
      <c r="G52" s="222">
        <v>58.5</v>
      </c>
      <c r="H52" s="211" t="str">
        <f t="shared" ref="H52:H80" si="17">_xlfn.XLOOKUP($G52, $L$6:$L$8, $N$6:$N$8, , -1)</f>
        <v>Bad 🤬🤌</v>
      </c>
      <c r="T52" s="211" t="s">
        <v>206</v>
      </c>
      <c r="U52" s="457" t="str">
        <f ca="1">_xlfn.FORMULATEXT(F21)</f>
        <v>=IFERROR(N( INDEX( $E$20:$E$45,ROW() - $C$15 - ROW($E$20) + 1 ) ),0 )</v>
      </c>
      <c r="V52" s="211" t="s">
        <v>207</v>
      </c>
    </row>
    <row r="53" spans="2:22" x14ac:dyDescent="0.2">
      <c r="B53" s="211">
        <v>3</v>
      </c>
      <c r="C53" s="222">
        <v>30.06666666666667</v>
      </c>
      <c r="D53" s="211" t="str">
        <f t="shared" si="16"/>
        <v>Bad 🤬🤌</v>
      </c>
      <c r="F53" s="211">
        <v>3</v>
      </c>
      <c r="G53" s="222">
        <v>35.333333333333336</v>
      </c>
      <c r="H53" s="211" t="str">
        <f t="shared" si="17"/>
        <v>Bad 🤬🤌</v>
      </c>
      <c r="T53" s="211" t="s">
        <v>156</v>
      </c>
      <c r="U53" s="457" t="str">
        <f ca="1">_xlfn.FORMULATEXT(G21)</f>
        <v>=INT(H21/$C$10)</v>
      </c>
      <c r="V53" s="211" t="s">
        <v>208</v>
      </c>
    </row>
    <row r="54" spans="2:22" x14ac:dyDescent="0.2">
      <c r="B54" s="211">
        <v>4</v>
      </c>
      <c r="C54" s="222">
        <v>25.8</v>
      </c>
      <c r="D54" s="211" t="str">
        <f t="shared" si="16"/>
        <v>Bad 🤬🤌</v>
      </c>
      <c r="F54" s="211">
        <v>4</v>
      </c>
      <c r="G54" s="222">
        <v>38.799999999999997</v>
      </c>
      <c r="H54" s="211" t="str">
        <f t="shared" si="17"/>
        <v>Bad 🤬🤌</v>
      </c>
      <c r="T54" s="211" t="s">
        <v>157</v>
      </c>
      <c r="U54" s="457" t="str">
        <f ca="1">_xlfn.FORMULATEXT(H21)</f>
        <v>=IFERROR(N( INDEX( $M$20:$M$45,ROW() - $C$15 - ROW($M$20) + 1 ) )* $C$10,0 )</v>
      </c>
      <c r="V54" s="211" t="s">
        <v>209</v>
      </c>
    </row>
    <row r="55" spans="2:22" x14ac:dyDescent="0.2">
      <c r="B55" s="211">
        <v>5</v>
      </c>
      <c r="C55" s="222">
        <v>19.399999999999999</v>
      </c>
      <c r="D55" s="211" t="str">
        <f t="shared" si="16"/>
        <v>Bad 🤬🤌</v>
      </c>
      <c r="F55" s="211">
        <v>5</v>
      </c>
      <c r="G55" s="222">
        <v>21</v>
      </c>
      <c r="H55" s="211" t="str">
        <f t="shared" si="17"/>
        <v>Bad 🤬🤌</v>
      </c>
      <c r="T55" s="211" t="s">
        <v>158</v>
      </c>
      <c r="U55" s="457" t="str">
        <f ca="1">_xlfn.FORMULATEXT(I21)</f>
        <v>=N(I20) - H21 + E21</v>
      </c>
      <c r="V55" s="211" t="s">
        <v>210</v>
      </c>
    </row>
    <row r="56" spans="2:22" x14ac:dyDescent="0.2">
      <c r="B56" s="211">
        <v>6</v>
      </c>
      <c r="C56" s="222">
        <v>9.5666666666666664</v>
      </c>
      <c r="D56" s="211" t="str">
        <f t="shared" si="16"/>
        <v>Neutral ✌️🙂</v>
      </c>
      <c r="F56" s="211">
        <v>6</v>
      </c>
      <c r="G56" s="222">
        <v>16.000000000000004</v>
      </c>
      <c r="H56" s="211" t="str">
        <f t="shared" si="17"/>
        <v>Bad 🤬🤌</v>
      </c>
      <c r="T56" s="211" t="s">
        <v>159</v>
      </c>
      <c r="U56" s="457" t="str">
        <f ca="1">_xlfn.FORMULATEXT(J21)</f>
        <v>=N(J20) + C21 - E21</v>
      </c>
      <c r="V56" s="211" t="s">
        <v>211</v>
      </c>
    </row>
    <row r="57" spans="2:22" x14ac:dyDescent="0.2">
      <c r="B57" s="211">
        <v>7</v>
      </c>
      <c r="C57" s="222">
        <v>6.1714285714285735</v>
      </c>
      <c r="D57" s="211" t="str">
        <f t="shared" si="16"/>
        <v>Neutral ✌️🙂</v>
      </c>
      <c r="F57" s="211">
        <v>7</v>
      </c>
      <c r="G57" s="222">
        <v>14.657142857142855</v>
      </c>
      <c r="H57" s="211" t="str">
        <f t="shared" si="17"/>
        <v>Bad 🤬🤌</v>
      </c>
      <c r="T57" s="211" t="s">
        <v>160</v>
      </c>
      <c r="U57" s="457" t="str">
        <f ca="1">_xlfn.FORMULATEXT(K21)</f>
        <v>=CEILING(I21/$C$10,1)</v>
      </c>
      <c r="V57" s="211" t="s">
        <v>212</v>
      </c>
    </row>
    <row r="58" spans="2:22" x14ac:dyDescent="0.2">
      <c r="B58" s="211">
        <v>8</v>
      </c>
      <c r="C58" s="222">
        <v>15.2</v>
      </c>
      <c r="D58" s="211" t="str">
        <f t="shared" si="16"/>
        <v>Bad 🤬🤌</v>
      </c>
      <c r="F58" s="211">
        <v>8</v>
      </c>
      <c r="G58" s="222">
        <v>7.6</v>
      </c>
      <c r="H58" s="211" t="str">
        <f t="shared" si="17"/>
        <v>Neutral ✌️🙂</v>
      </c>
      <c r="T58" s="211" t="s">
        <v>161</v>
      </c>
      <c r="U58" s="457" t="str">
        <f ca="1">_xlfn.FORMULATEXT(L21)</f>
        <v>=$C$11 - K21</v>
      </c>
      <c r="V58" s="211" t="s">
        <v>213</v>
      </c>
    </row>
    <row r="59" spans="2:22" ht="34" x14ac:dyDescent="0.2">
      <c r="B59" s="211">
        <v>9</v>
      </c>
      <c r="C59" s="222">
        <v>7.4444444444444446</v>
      </c>
      <c r="D59" s="211" t="str">
        <f t="shared" si="16"/>
        <v>Neutral ✌️🙂</v>
      </c>
      <c r="F59" s="211">
        <v>9</v>
      </c>
      <c r="G59" s="222">
        <v>4.666666666666667</v>
      </c>
      <c r="H59" s="211" t="str">
        <f t="shared" si="17"/>
        <v>Good 😚👍</v>
      </c>
      <c r="T59" s="211" t="s">
        <v>162</v>
      </c>
      <c r="U59" s="457" t="str">
        <f ca="1">_xlfn.FORMULATEXT(M21)</f>
        <v>=CEILING(E21/$C$10,1)</v>
      </c>
      <c r="V59" s="458" t="s">
        <v>214</v>
      </c>
    </row>
    <row r="60" spans="2:22" ht="17" x14ac:dyDescent="0.2">
      <c r="B60" s="211">
        <v>10</v>
      </c>
      <c r="C60" s="222">
        <v>9.18</v>
      </c>
      <c r="D60" s="211" t="str">
        <f t="shared" si="16"/>
        <v>Neutral ✌️🙂</v>
      </c>
      <c r="F60" s="211">
        <v>10</v>
      </c>
      <c r="G60" s="222">
        <v>8.4600000000000009</v>
      </c>
      <c r="H60" s="211" t="str">
        <f t="shared" si="17"/>
        <v>Neutral ✌️🙂</v>
      </c>
      <c r="T60" s="211" t="s">
        <v>215</v>
      </c>
      <c r="U60" s="457" t="str">
        <f ca="1">_xlfn.FORMULATEXT(N21)</f>
        <v>=K21 * $C$13</v>
      </c>
      <c r="V60" s="458" t="s">
        <v>216</v>
      </c>
    </row>
    <row r="61" spans="2:22" ht="34" x14ac:dyDescent="0.2">
      <c r="B61" s="211">
        <v>11</v>
      </c>
      <c r="C61" s="222">
        <v>3.9454545454545458</v>
      </c>
      <c r="D61" s="211" t="str">
        <f t="shared" si="16"/>
        <v>Good 😚👍</v>
      </c>
      <c r="F61" s="211">
        <v>11</v>
      </c>
      <c r="G61" s="222">
        <v>13.018181818181819</v>
      </c>
      <c r="H61" s="211" t="str">
        <f t="shared" si="17"/>
        <v>Bad 🤬🤌</v>
      </c>
      <c r="T61" s="211" t="s">
        <v>217</v>
      </c>
      <c r="U61" s="457" t="str">
        <f ca="1">_xlfn.FORMULATEXT(O21)</f>
        <v>=$C$6*$C$12</v>
      </c>
      <c r="V61" s="458" t="s">
        <v>218</v>
      </c>
    </row>
    <row r="62" spans="2:22" x14ac:dyDescent="0.2">
      <c r="B62" s="211">
        <v>12</v>
      </c>
      <c r="C62" s="222">
        <v>4.9666666666666677</v>
      </c>
      <c r="D62" s="211" t="str">
        <f t="shared" si="16"/>
        <v>Good 😚👍</v>
      </c>
      <c r="F62" s="211">
        <v>12</v>
      </c>
      <c r="G62" s="222">
        <v>2.0333333333333332</v>
      </c>
      <c r="H62" s="211" t="str">
        <f t="shared" si="17"/>
        <v>Good 😚👍</v>
      </c>
      <c r="T62" s="211" t="s">
        <v>219</v>
      </c>
      <c r="U62" s="457" t="str">
        <f ca="1">_xlfn.FORMULATEXT(P21)</f>
        <v>=MAX(0, (N21-O21)/$C$6 )</v>
      </c>
      <c r="V62" s="211" t="s">
        <v>220</v>
      </c>
    </row>
    <row r="63" spans="2:22" x14ac:dyDescent="0.2">
      <c r="B63" s="211">
        <v>13</v>
      </c>
      <c r="C63" s="222">
        <v>4.4000000000000004</v>
      </c>
      <c r="D63" s="211" t="str">
        <f t="shared" si="16"/>
        <v>Good 😚👍</v>
      </c>
      <c r="F63" s="211">
        <v>13</v>
      </c>
      <c r="G63" s="222">
        <v>0.16923076923076924</v>
      </c>
      <c r="H63" s="211" t="str">
        <f t="shared" si="17"/>
        <v>Good 😚👍</v>
      </c>
      <c r="T63" s="211" t="s">
        <v>120</v>
      </c>
      <c r="U63" s="457" t="str">
        <f ca="1">_xlfn.FORMULATEXT(Q21)</f>
        <v>=XLOOKUP($P21, $L$6:$L$8, $N$6:$N$8, , -1)</v>
      </c>
      <c r="V63" s="211" t="s">
        <v>221</v>
      </c>
    </row>
    <row r="64" spans="2:22" x14ac:dyDescent="0.2">
      <c r="B64" s="211">
        <v>14</v>
      </c>
      <c r="C64" s="222">
        <v>2.3571428571428572</v>
      </c>
      <c r="D64" s="211" t="str">
        <f t="shared" si="16"/>
        <v>Good 😚👍</v>
      </c>
      <c r="F64" s="211">
        <v>14</v>
      </c>
      <c r="G64" s="222">
        <v>2.8428571428571421</v>
      </c>
      <c r="H64" s="211" t="str">
        <f t="shared" si="17"/>
        <v>Good 😚👍</v>
      </c>
      <c r="T64" s="211" t="s">
        <v>198</v>
      </c>
      <c r="U64" s="457" t="str">
        <f ca="1">_xlfn.FORMULATEXT(P46)</f>
        <v>=AVERAGE($P$21:$P$45)</v>
      </c>
      <c r="V64" s="211" t="s">
        <v>222</v>
      </c>
    </row>
    <row r="65" spans="2:22" x14ac:dyDescent="0.2">
      <c r="B65" s="211">
        <v>15</v>
      </c>
      <c r="C65" s="222">
        <v>1.1066666666666665</v>
      </c>
      <c r="D65" s="211" t="str">
        <f t="shared" si="16"/>
        <v>Good 😚👍</v>
      </c>
      <c r="F65" s="211">
        <v>15</v>
      </c>
      <c r="G65" s="222">
        <v>0.56000000000000005</v>
      </c>
      <c r="H65" s="211" t="str">
        <f t="shared" si="17"/>
        <v>Good 😚👍</v>
      </c>
    </row>
    <row r="66" spans="2:22" x14ac:dyDescent="0.2">
      <c r="B66" s="211">
        <v>16</v>
      </c>
      <c r="C66" s="222">
        <v>2.5</v>
      </c>
      <c r="D66" s="211" t="str">
        <f t="shared" si="16"/>
        <v>Good 😚👍</v>
      </c>
      <c r="F66" s="211">
        <v>16</v>
      </c>
      <c r="G66" s="222">
        <v>0.23749999999999999</v>
      </c>
      <c r="H66" s="211" t="str">
        <f t="shared" si="17"/>
        <v>Good 😚👍</v>
      </c>
      <c r="T66" s="453" t="s">
        <v>223</v>
      </c>
    </row>
    <row r="67" spans="2:22" x14ac:dyDescent="0.2">
      <c r="B67" s="211">
        <v>17</v>
      </c>
      <c r="C67" s="222">
        <v>0.50588235294117656</v>
      </c>
      <c r="D67" s="211" t="str">
        <f t="shared" si="16"/>
        <v>Good 😚👍</v>
      </c>
      <c r="F67" s="211">
        <v>17</v>
      </c>
      <c r="G67" s="222">
        <v>1.4352941176470591</v>
      </c>
      <c r="H67" s="211" t="str">
        <f t="shared" si="17"/>
        <v>Good 😚👍</v>
      </c>
      <c r="T67" s="215" t="s">
        <v>224</v>
      </c>
      <c r="U67" s="215" t="s">
        <v>146</v>
      </c>
      <c r="V67" s="215" t="s">
        <v>147</v>
      </c>
    </row>
    <row r="68" spans="2:22" x14ac:dyDescent="0.2">
      <c r="B68" s="211">
        <v>18</v>
      </c>
      <c r="C68" s="222">
        <v>0.75555555555555554</v>
      </c>
      <c r="D68" s="211" t="str">
        <f t="shared" si="16"/>
        <v>Good 😚👍</v>
      </c>
      <c r="F68" s="211">
        <v>18</v>
      </c>
      <c r="G68" s="222">
        <v>0.35555555555555551</v>
      </c>
      <c r="H68" s="211" t="str">
        <f t="shared" si="17"/>
        <v>Good 😚👍</v>
      </c>
      <c r="T68" s="211" t="s">
        <v>198</v>
      </c>
      <c r="U68" s="457" t="str">
        <f ca="1">_xlfn.FORMULATEXT(C50)</f>
        <v>=$P$46</v>
      </c>
      <c r="V68" s="211" t="s">
        <v>225</v>
      </c>
    </row>
    <row r="69" spans="2:22" x14ac:dyDescent="0.2">
      <c r="B69" s="211">
        <v>19</v>
      </c>
      <c r="C69" s="222">
        <v>4.2105263157894736E-2</v>
      </c>
      <c r="D69" s="211" t="str">
        <f t="shared" si="16"/>
        <v>Good 😚👍</v>
      </c>
      <c r="F69" s="211">
        <v>19</v>
      </c>
      <c r="G69" s="222">
        <v>1.2105263157894737</v>
      </c>
      <c r="H69" s="211" t="str">
        <f t="shared" si="17"/>
        <v>Good 😚👍</v>
      </c>
      <c r="T69" s="211" t="s">
        <v>226</v>
      </c>
      <c r="U69" s="457" t="s">
        <v>227</v>
      </c>
      <c r="V69" s="211" t="s">
        <v>228</v>
      </c>
    </row>
    <row r="70" spans="2:22" x14ac:dyDescent="0.2">
      <c r="B70" s="211">
        <v>20</v>
      </c>
      <c r="C70" s="222">
        <v>0.75</v>
      </c>
      <c r="D70" s="211" t="str">
        <f t="shared" si="16"/>
        <v>Good 😚👍</v>
      </c>
      <c r="F70" s="211">
        <v>20</v>
      </c>
      <c r="G70" s="222">
        <v>0.5</v>
      </c>
      <c r="H70" s="211" t="str">
        <f t="shared" si="17"/>
        <v>Good 😚👍</v>
      </c>
      <c r="T70" s="211" t="s">
        <v>229</v>
      </c>
      <c r="U70" s="457" t="s">
        <v>230</v>
      </c>
      <c r="V70" s="211" t="s">
        <v>225</v>
      </c>
    </row>
    <row r="71" spans="2:22" x14ac:dyDescent="0.2">
      <c r="B71" s="211">
        <v>21</v>
      </c>
      <c r="C71" s="222">
        <v>0.3619047619047619</v>
      </c>
      <c r="D71" s="211" t="str">
        <f t="shared" si="16"/>
        <v>Good 😚👍</v>
      </c>
      <c r="F71" s="211">
        <v>21</v>
      </c>
      <c r="G71" s="222">
        <v>0</v>
      </c>
      <c r="H71" s="211" t="str">
        <f t="shared" si="17"/>
        <v>Good 😚👍</v>
      </c>
      <c r="T71" s="211" t="s">
        <v>231</v>
      </c>
      <c r="U71" s="466" t="s">
        <v>232</v>
      </c>
      <c r="V71" s="211" t="s">
        <v>226</v>
      </c>
    </row>
    <row r="72" spans="2:22" x14ac:dyDescent="0.2">
      <c r="B72" s="211">
        <v>22</v>
      </c>
      <c r="C72" s="222">
        <v>0</v>
      </c>
      <c r="D72" s="211" t="str">
        <f t="shared" si="16"/>
        <v>Good 😚👍</v>
      </c>
      <c r="F72" s="211">
        <v>22</v>
      </c>
      <c r="G72" s="222">
        <v>0</v>
      </c>
      <c r="H72" s="211" t="str">
        <f t="shared" si="17"/>
        <v>Good 😚👍</v>
      </c>
    </row>
    <row r="73" spans="2:22" x14ac:dyDescent="0.2">
      <c r="B73" s="211">
        <v>23</v>
      </c>
      <c r="C73" s="222">
        <v>0.73913043478260876</v>
      </c>
      <c r="D73" s="211" t="str">
        <f t="shared" si="16"/>
        <v>Good 😚👍</v>
      </c>
      <c r="F73" s="211">
        <v>23</v>
      </c>
      <c r="G73" s="222">
        <v>0</v>
      </c>
      <c r="H73" s="211" t="str">
        <f t="shared" si="17"/>
        <v>Good 😚👍</v>
      </c>
      <c r="T73" s="453" t="s">
        <v>233</v>
      </c>
    </row>
    <row r="74" spans="2:22" x14ac:dyDescent="0.2">
      <c r="B74" s="211">
        <v>24</v>
      </c>
      <c r="C74" s="222">
        <v>0</v>
      </c>
      <c r="D74" s="211" t="str">
        <f t="shared" si="16"/>
        <v>Good 😚👍</v>
      </c>
      <c r="F74" s="211">
        <v>24</v>
      </c>
      <c r="G74" s="222">
        <v>5.8333333333333341E-2</v>
      </c>
      <c r="H74" s="211" t="str">
        <f t="shared" si="17"/>
        <v>Good 😚👍</v>
      </c>
      <c r="T74" s="459" t="s">
        <v>234</v>
      </c>
    </row>
    <row r="75" spans="2:22" x14ac:dyDescent="0.2">
      <c r="B75" s="211">
        <v>25</v>
      </c>
      <c r="C75" s="222">
        <v>0.36</v>
      </c>
      <c r="D75" s="211" t="str">
        <f t="shared" si="16"/>
        <v>Good 😚👍</v>
      </c>
      <c r="F75" s="211">
        <v>25</v>
      </c>
      <c r="G75" s="222">
        <v>0</v>
      </c>
      <c r="H75" s="211" t="str">
        <f t="shared" si="17"/>
        <v>Good 😚👍</v>
      </c>
    </row>
    <row r="76" spans="2:22" x14ac:dyDescent="0.2">
      <c r="B76" s="211">
        <v>26</v>
      </c>
      <c r="C76" s="222">
        <v>0</v>
      </c>
      <c r="D76" s="211" t="str">
        <f t="shared" si="16"/>
        <v>Good 😚👍</v>
      </c>
      <c r="F76" s="211">
        <v>26</v>
      </c>
      <c r="G76" s="222">
        <v>0</v>
      </c>
      <c r="H76" s="211" t="str">
        <f t="shared" si="17"/>
        <v>Good 😚👍</v>
      </c>
      <c r="T76" s="453" t="s">
        <v>235</v>
      </c>
    </row>
    <row r="77" spans="2:22" x14ac:dyDescent="0.2">
      <c r="B77" s="211">
        <v>27</v>
      </c>
      <c r="C77" s="222">
        <v>0</v>
      </c>
      <c r="D77" s="211" t="str">
        <f t="shared" si="16"/>
        <v>Good 😚👍</v>
      </c>
      <c r="F77" s="211">
        <v>27</v>
      </c>
      <c r="G77" s="222">
        <v>0</v>
      </c>
      <c r="H77" s="211" t="str">
        <f t="shared" si="17"/>
        <v>Good 😚👍</v>
      </c>
      <c r="T77" s="459" t="s">
        <v>236</v>
      </c>
    </row>
    <row r="78" spans="2:22" x14ac:dyDescent="0.2">
      <c r="B78" s="211">
        <v>28</v>
      </c>
      <c r="C78" s="222">
        <v>7.1428571428571426E-3</v>
      </c>
      <c r="D78" s="211" t="str">
        <f t="shared" si="16"/>
        <v>Good 😚👍</v>
      </c>
      <c r="F78" s="211">
        <v>28</v>
      </c>
      <c r="G78" s="222">
        <v>0</v>
      </c>
      <c r="H78" s="211" t="str">
        <f t="shared" si="17"/>
        <v>Good 😚👍</v>
      </c>
      <c r="T78" s="459"/>
    </row>
    <row r="79" spans="2:22" x14ac:dyDescent="0.2">
      <c r="B79" s="211">
        <v>29</v>
      </c>
      <c r="C79" s="222">
        <v>0</v>
      </c>
      <c r="D79" s="211" t="str">
        <f t="shared" si="16"/>
        <v>Good 😚👍</v>
      </c>
      <c r="F79" s="211">
        <v>29</v>
      </c>
      <c r="G79" s="222">
        <v>6.8965517241379318E-3</v>
      </c>
      <c r="H79" s="211" t="str">
        <f t="shared" si="17"/>
        <v>Good 😚👍</v>
      </c>
      <c r="T79" s="453" t="s">
        <v>237</v>
      </c>
    </row>
    <row r="80" spans="2:22" x14ac:dyDescent="0.2">
      <c r="B80" s="211">
        <v>30</v>
      </c>
      <c r="C80" s="222">
        <v>0</v>
      </c>
      <c r="D80" s="211" t="str">
        <f t="shared" si="16"/>
        <v>Good 😚👍</v>
      </c>
      <c r="F80" s="211">
        <v>30</v>
      </c>
      <c r="G80" s="222">
        <v>0</v>
      </c>
      <c r="H80" s="211" t="str">
        <f t="shared" si="17"/>
        <v>Good 😚👍</v>
      </c>
      <c r="T80" s="215" t="s">
        <v>238</v>
      </c>
      <c r="U80" s="215" t="s">
        <v>146</v>
      </c>
      <c r="V80" s="215" t="s">
        <v>147</v>
      </c>
    </row>
    <row r="81" spans="1:22" ht="17" thickBot="1" x14ac:dyDescent="0.25">
      <c r="T81" s="211" t="s">
        <v>122</v>
      </c>
      <c r="U81" s="463" t="str">
        <f ca="1">_xlfn.FORMULATEXT(C122)</f>
        <v>=BYCOL($C$88:$K$117,LAMBDA(col,INDEX($B$88:$B$117,MATCH(TRUE, col &lt; $L$7, 0))))</v>
      </c>
      <c r="V81" s="460" t="s">
        <v>239</v>
      </c>
    </row>
    <row r="82" spans="1:22" ht="38" customHeight="1" thickBot="1" x14ac:dyDescent="0.5">
      <c r="A82" s="243" t="s">
        <v>240</v>
      </c>
      <c r="B82" s="217"/>
      <c r="C82" s="217"/>
      <c r="D82" s="217"/>
      <c r="E82" s="217"/>
      <c r="F82" s="217"/>
      <c r="G82" s="217"/>
      <c r="H82" s="217"/>
      <c r="I82" s="217"/>
      <c r="J82" s="217"/>
      <c r="K82" s="217"/>
      <c r="L82" s="217"/>
      <c r="M82" s="217"/>
      <c r="N82" s="217"/>
      <c r="O82" s="217"/>
      <c r="P82" s="217"/>
      <c r="Q82" s="217"/>
      <c r="R82" s="204"/>
      <c r="T82" s="211" t="s">
        <v>125</v>
      </c>
      <c r="U82" s="464"/>
      <c r="V82" s="461"/>
    </row>
    <row r="83" spans="1:22" ht="17" thickBot="1" x14ac:dyDescent="0.25">
      <c r="T83" s="211" t="s">
        <v>128</v>
      </c>
      <c r="U83" s="464"/>
      <c r="V83" s="461"/>
    </row>
    <row r="84" spans="1:22" ht="17" thickBot="1" x14ac:dyDescent="0.25">
      <c r="B84" s="205" t="s">
        <v>241</v>
      </c>
      <c r="C84" s="270"/>
      <c r="D84" s="270"/>
      <c r="E84" s="270"/>
      <c r="F84" s="270"/>
      <c r="G84" s="270"/>
      <c r="H84" s="270"/>
      <c r="I84" s="270"/>
      <c r="J84" s="270"/>
      <c r="K84" s="271"/>
      <c r="T84" s="211" t="s">
        <v>131</v>
      </c>
      <c r="U84" s="464"/>
      <c r="V84" s="461"/>
    </row>
    <row r="85" spans="1:22" x14ac:dyDescent="0.2">
      <c r="C85" s="267" t="s">
        <v>10</v>
      </c>
      <c r="D85" s="268"/>
      <c r="E85" s="269"/>
      <c r="F85" s="587" t="s">
        <v>11</v>
      </c>
      <c r="G85" s="588"/>
      <c r="H85" s="589"/>
      <c r="I85" s="587" t="s">
        <v>137</v>
      </c>
      <c r="J85" s="588"/>
      <c r="K85" s="589"/>
      <c r="T85" s="211" t="s">
        <v>133</v>
      </c>
      <c r="U85" s="464"/>
      <c r="V85" s="461"/>
    </row>
    <row r="86" spans="1:22" x14ac:dyDescent="0.2">
      <c r="B86" s="215" t="s">
        <v>242</v>
      </c>
      <c r="C86" s="215" t="s">
        <v>243</v>
      </c>
      <c r="D86" s="215" t="s">
        <v>244</v>
      </c>
      <c r="E86" s="215" t="s">
        <v>245</v>
      </c>
      <c r="F86" s="215" t="s">
        <v>243</v>
      </c>
      <c r="G86" s="215" t="s">
        <v>244</v>
      </c>
      <c r="H86" s="215" t="s">
        <v>245</v>
      </c>
      <c r="I86" s="215" t="s">
        <v>243</v>
      </c>
      <c r="J86" s="215" t="s">
        <v>244</v>
      </c>
      <c r="K86" s="215" t="s">
        <v>245</v>
      </c>
      <c r="T86" s="211" t="s">
        <v>135</v>
      </c>
      <c r="U86" s="464"/>
      <c r="V86" s="461"/>
    </row>
    <row r="87" spans="1:22" x14ac:dyDescent="0.2">
      <c r="B87" s="215" t="s">
        <v>197</v>
      </c>
      <c r="C87" s="272" t="s">
        <v>190</v>
      </c>
      <c r="D87" s="273"/>
      <c r="E87" s="273"/>
      <c r="F87" s="273"/>
      <c r="G87" s="273"/>
      <c r="H87" s="273"/>
      <c r="I87" s="273"/>
      <c r="J87" s="273"/>
      <c r="K87" s="274"/>
      <c r="T87" s="211" t="s">
        <v>137</v>
      </c>
      <c r="U87" s="464"/>
      <c r="V87" s="461"/>
    </row>
    <row r="88" spans="1:22" x14ac:dyDescent="0.2">
      <c r="B88" s="211">
        <v>1</v>
      </c>
      <c r="C88" s="222">
        <v>142.84020000000004</v>
      </c>
      <c r="D88" s="222">
        <v>234.1163999999998</v>
      </c>
      <c r="E88" s="222">
        <v>112.63820000000014</v>
      </c>
      <c r="F88" s="222">
        <v>217.91679999999994</v>
      </c>
      <c r="G88" s="222">
        <v>274.72320000000019</v>
      </c>
      <c r="H88" s="222">
        <v>177.54859999999971</v>
      </c>
      <c r="I88" s="222">
        <v>253.41060000000022</v>
      </c>
      <c r="J88" s="222">
        <v>284.97179999999975</v>
      </c>
      <c r="K88" s="222">
        <v>226.57139999999993</v>
      </c>
      <c r="T88" s="211" t="s">
        <v>139</v>
      </c>
      <c r="U88" s="464"/>
      <c r="V88" s="461"/>
    </row>
    <row r="89" spans="1:22" x14ac:dyDescent="0.2">
      <c r="B89" s="211">
        <v>2</v>
      </c>
      <c r="C89" s="222">
        <v>66.596600000000066</v>
      </c>
      <c r="D89" s="222">
        <v>111.17209999999993</v>
      </c>
      <c r="E89" s="222">
        <v>51.551799999999986</v>
      </c>
      <c r="F89" s="222">
        <v>102.39159999999995</v>
      </c>
      <c r="G89" s="222">
        <v>132.83150000000015</v>
      </c>
      <c r="H89" s="222">
        <v>84.896299999999897</v>
      </c>
      <c r="I89" s="222">
        <v>122.32819999999994</v>
      </c>
      <c r="J89" s="222">
        <v>138.05689999999984</v>
      </c>
      <c r="K89" s="222">
        <v>108.74769999999997</v>
      </c>
      <c r="T89" s="211" t="s">
        <v>141</v>
      </c>
      <c r="U89" s="465"/>
      <c r="V89" s="235"/>
    </row>
    <row r="90" spans="1:22" x14ac:dyDescent="0.2">
      <c r="B90" s="211">
        <v>3</v>
      </c>
      <c r="C90" s="222">
        <v>40.908799999999985</v>
      </c>
      <c r="D90" s="222">
        <v>71.368933333333345</v>
      </c>
      <c r="E90" s="222">
        <v>31.332466666666651</v>
      </c>
      <c r="F90" s="222">
        <v>65.05086666666665</v>
      </c>
      <c r="G90" s="222">
        <v>85.362400000000022</v>
      </c>
      <c r="H90" s="222">
        <v>52.89279999999998</v>
      </c>
      <c r="I90" s="222">
        <v>78.325333333333361</v>
      </c>
      <c r="J90" s="222">
        <v>88.750599999999963</v>
      </c>
      <c r="K90" s="222">
        <v>69.117666666666651</v>
      </c>
    </row>
    <row r="91" spans="1:22" x14ac:dyDescent="0.2">
      <c r="B91" s="211">
        <v>4</v>
      </c>
      <c r="C91" s="222">
        <v>28.439650000000018</v>
      </c>
      <c r="D91" s="222">
        <v>50.995850000000083</v>
      </c>
      <c r="E91" s="222">
        <v>21.66224999999999</v>
      </c>
      <c r="F91" s="222">
        <v>46.738550000000011</v>
      </c>
      <c r="G91" s="222">
        <v>61.443599999999947</v>
      </c>
      <c r="H91" s="222">
        <v>37.760399999999962</v>
      </c>
      <c r="I91" s="222">
        <v>56.035700000000006</v>
      </c>
      <c r="J91" s="222">
        <v>64.116699999999994</v>
      </c>
      <c r="K91" s="222">
        <v>48.977450000000033</v>
      </c>
      <c r="T91" s="453" t="s">
        <v>246</v>
      </c>
    </row>
    <row r="92" spans="1:22" x14ac:dyDescent="0.2">
      <c r="B92" s="211">
        <v>5</v>
      </c>
      <c r="C92" s="222">
        <v>20.882520000000032</v>
      </c>
      <c r="D92" s="222">
        <v>38.929960000000008</v>
      </c>
      <c r="E92" s="222">
        <v>15.318320000000027</v>
      </c>
      <c r="F92" s="222">
        <v>35.472720000000017</v>
      </c>
      <c r="G92" s="222">
        <v>47.27996000000001</v>
      </c>
      <c r="H92" s="222">
        <v>27.811360000000032</v>
      </c>
      <c r="I92" s="222">
        <v>42.992360000000026</v>
      </c>
      <c r="J92" s="222">
        <v>49.371560000000031</v>
      </c>
      <c r="K92" s="222">
        <v>37.582360000000001</v>
      </c>
      <c r="T92" s="215" t="s">
        <v>247</v>
      </c>
      <c r="U92" s="215" t="s">
        <v>146</v>
      </c>
      <c r="V92" s="215" t="s">
        <v>147</v>
      </c>
    </row>
    <row r="93" spans="1:22" x14ac:dyDescent="0.2">
      <c r="B93" s="211">
        <v>6</v>
      </c>
      <c r="C93" s="222">
        <v>15.710599999999996</v>
      </c>
      <c r="D93" s="222">
        <v>30.997966666666649</v>
      </c>
      <c r="E93" s="222">
        <v>11.566866666666668</v>
      </c>
      <c r="F93" s="222">
        <v>27.984099999999991</v>
      </c>
      <c r="G93" s="222">
        <v>37.718533333333333</v>
      </c>
      <c r="H93" s="222">
        <v>21.851200000000023</v>
      </c>
      <c r="I93" s="222">
        <v>34.508866666666641</v>
      </c>
      <c r="J93" s="222">
        <v>39.61043333333334</v>
      </c>
      <c r="K93" s="222">
        <v>29.955466666666709</v>
      </c>
      <c r="T93" s="211" t="s">
        <v>247</v>
      </c>
      <c r="U93" s="457" t="str">
        <f ca="1">_xlfn.FORMULATEXT(C125)</f>
        <v>=ROUNDUP(AVERAGE(C122#),0)</v>
      </c>
      <c r="V93" s="211" t="s">
        <v>248</v>
      </c>
    </row>
    <row r="94" spans="1:22" x14ac:dyDescent="0.2">
      <c r="B94" s="211">
        <v>7</v>
      </c>
      <c r="C94" s="222">
        <v>12.304371428571416</v>
      </c>
      <c r="D94" s="222">
        <v>25.325200000000009</v>
      </c>
      <c r="E94" s="222">
        <v>8.7565999999999882</v>
      </c>
      <c r="F94" s="222">
        <v>22.652371428571406</v>
      </c>
      <c r="G94" s="222">
        <v>31.078314285714324</v>
      </c>
      <c r="H94" s="222">
        <v>17.305599999999984</v>
      </c>
      <c r="I94" s="222">
        <v>27.859571428571442</v>
      </c>
      <c r="J94" s="222">
        <v>32.485371428571398</v>
      </c>
      <c r="K94" s="222">
        <v>24.599857142857179</v>
      </c>
    </row>
    <row r="95" spans="1:22" x14ac:dyDescent="0.2">
      <c r="B95" s="211">
        <v>8</v>
      </c>
      <c r="C95" s="222">
        <v>9.8338499999999804</v>
      </c>
      <c r="D95" s="222">
        <v>20.793050000000008</v>
      </c>
      <c r="E95" s="222">
        <v>6.3908500000000021</v>
      </c>
      <c r="F95" s="222">
        <v>18.484249999999985</v>
      </c>
      <c r="G95" s="222">
        <v>25.982275000000026</v>
      </c>
      <c r="H95" s="222">
        <v>14.117025000000007</v>
      </c>
      <c r="I95" s="222">
        <v>23.309499999999993</v>
      </c>
      <c r="J95" s="222">
        <v>27.194250000000004</v>
      </c>
      <c r="K95" s="222">
        <v>20.368975000000024</v>
      </c>
    </row>
    <row r="96" spans="1:22" x14ac:dyDescent="0.2">
      <c r="B96" s="211">
        <v>9</v>
      </c>
      <c r="C96" s="222">
        <v>7.4982666666666651</v>
      </c>
      <c r="D96" s="222">
        <v>17.426755555555584</v>
      </c>
      <c r="E96" s="222">
        <v>4.8426222222222188</v>
      </c>
      <c r="F96" s="222">
        <v>15.665688888888887</v>
      </c>
      <c r="G96" s="222">
        <v>21.975488888888897</v>
      </c>
      <c r="H96" s="222">
        <v>11.645400000000016</v>
      </c>
      <c r="I96" s="222">
        <v>19.788666666666661</v>
      </c>
      <c r="J96" s="222">
        <v>23.089444444444464</v>
      </c>
      <c r="K96" s="222">
        <v>16.92648888888888</v>
      </c>
    </row>
    <row r="97" spans="2:11" x14ac:dyDescent="0.2">
      <c r="B97" s="211">
        <v>10</v>
      </c>
      <c r="C97" s="222">
        <v>6.1257599999999899</v>
      </c>
      <c r="D97" s="222">
        <v>14.967220000000006</v>
      </c>
      <c r="E97" s="222">
        <v>3.9158399999999989</v>
      </c>
      <c r="F97" s="222">
        <v>13.333640000000004</v>
      </c>
      <c r="G97" s="222">
        <v>18.776460000000007</v>
      </c>
      <c r="H97" s="222">
        <v>9.431220000000005</v>
      </c>
      <c r="I97" s="222">
        <v>16.77824</v>
      </c>
      <c r="J97" s="222">
        <v>19.881100000000011</v>
      </c>
      <c r="K97" s="222">
        <v>14.469379999999992</v>
      </c>
    </row>
    <row r="98" spans="2:11" x14ac:dyDescent="0.2">
      <c r="B98" s="211">
        <v>11</v>
      </c>
      <c r="C98" s="222">
        <v>4.9006545454545423</v>
      </c>
      <c r="D98" s="222">
        <v>12.816127272727289</v>
      </c>
      <c r="E98" s="222">
        <v>2.9018727272727296</v>
      </c>
      <c r="F98" s="222">
        <v>11.37761818181818</v>
      </c>
      <c r="G98" s="222">
        <v>16.338036363636363</v>
      </c>
      <c r="H98" s="222">
        <v>7.9351090909090933</v>
      </c>
      <c r="I98" s="222">
        <v>14.385236363636368</v>
      </c>
      <c r="J98" s="222">
        <v>17.218854545454573</v>
      </c>
      <c r="K98" s="222">
        <v>12.253236363636361</v>
      </c>
    </row>
    <row r="99" spans="2:11" x14ac:dyDescent="0.2">
      <c r="B99" s="211">
        <v>12</v>
      </c>
      <c r="C99" s="222">
        <v>3.9829666666666648</v>
      </c>
      <c r="D99" s="222">
        <v>10.939433333333326</v>
      </c>
      <c r="E99" s="222">
        <v>2.2528333333333324</v>
      </c>
      <c r="F99" s="222">
        <v>9.6629000000000023</v>
      </c>
      <c r="G99" s="222">
        <v>14.196549999999981</v>
      </c>
      <c r="H99" s="222">
        <v>6.5684833333333374</v>
      </c>
      <c r="I99" s="222">
        <v>12.589199999999996</v>
      </c>
      <c r="J99" s="222">
        <v>14.986416666666676</v>
      </c>
      <c r="K99" s="222">
        <v>10.383916666666678</v>
      </c>
    </row>
    <row r="100" spans="2:11" x14ac:dyDescent="0.2">
      <c r="B100" s="211">
        <v>13</v>
      </c>
      <c r="C100" s="222">
        <v>3.0998153846153818</v>
      </c>
      <c r="D100" s="222">
        <v>9.469569230769217</v>
      </c>
      <c r="E100" s="222">
        <v>1.6863384615384627</v>
      </c>
      <c r="F100" s="222">
        <v>8.1107230769230707</v>
      </c>
      <c r="G100" s="222">
        <v>12.488938461538462</v>
      </c>
      <c r="H100" s="222">
        <v>5.5641384615384704</v>
      </c>
      <c r="I100" s="222">
        <v>10.963692307692313</v>
      </c>
      <c r="J100" s="222">
        <v>13.121846153846151</v>
      </c>
      <c r="K100" s="222">
        <v>9.0597692307692235</v>
      </c>
    </row>
    <row r="101" spans="2:11" x14ac:dyDescent="0.2">
      <c r="B101" s="211">
        <v>14</v>
      </c>
      <c r="C101" s="222">
        <v>2.6153285714285732</v>
      </c>
      <c r="D101" s="222">
        <v>8.204342857142862</v>
      </c>
      <c r="E101" s="222">
        <v>1.2406285714285732</v>
      </c>
      <c r="F101" s="222">
        <v>7.0555428571428607</v>
      </c>
      <c r="G101" s="222">
        <v>10.877228571428571</v>
      </c>
      <c r="H101" s="222">
        <v>4.64537142857142</v>
      </c>
      <c r="I101" s="222">
        <v>9.4668000000000081</v>
      </c>
      <c r="J101" s="222">
        <v>11.490842857142853</v>
      </c>
      <c r="K101" s="222">
        <v>7.8022714285714274</v>
      </c>
    </row>
    <row r="102" spans="2:11" x14ac:dyDescent="0.2">
      <c r="B102" s="211">
        <v>15</v>
      </c>
      <c r="C102" s="222">
        <v>2.0650399999999962</v>
      </c>
      <c r="D102" s="222">
        <v>7.0201733333333287</v>
      </c>
      <c r="E102" s="222">
        <v>0.89221333333333286</v>
      </c>
      <c r="F102" s="222">
        <v>6.0659066666666694</v>
      </c>
      <c r="G102" s="222">
        <v>9.5486666666666693</v>
      </c>
      <c r="H102" s="222">
        <v>3.9669600000000038</v>
      </c>
      <c r="I102" s="222">
        <v>8.3169866666666685</v>
      </c>
      <c r="J102" s="222">
        <v>10.138746666666675</v>
      </c>
      <c r="K102" s="222">
        <v>6.6923200000000067</v>
      </c>
    </row>
    <row r="103" spans="2:11" x14ac:dyDescent="0.2">
      <c r="B103" s="211">
        <v>16</v>
      </c>
      <c r="C103" s="222">
        <v>1.7036750000000007</v>
      </c>
      <c r="D103" s="222">
        <v>6.0934124999999852</v>
      </c>
      <c r="E103" s="222">
        <v>0.62693750000000004</v>
      </c>
      <c r="F103" s="222">
        <v>5.126387499999999</v>
      </c>
      <c r="G103" s="222">
        <v>8.3737124999999875</v>
      </c>
      <c r="H103" s="222">
        <v>3.3252499999999996</v>
      </c>
      <c r="I103" s="222">
        <v>7.2292624999999955</v>
      </c>
      <c r="J103" s="222">
        <v>8.9280500000000025</v>
      </c>
      <c r="K103" s="222">
        <v>5.9494125000000038</v>
      </c>
    </row>
    <row r="104" spans="2:11" x14ac:dyDescent="0.2">
      <c r="B104" s="211">
        <v>17</v>
      </c>
      <c r="C104" s="222">
        <v>1.2138352941176476</v>
      </c>
      <c r="D104" s="222">
        <v>5.3370941176470676</v>
      </c>
      <c r="E104" s="222">
        <v>0.49392941176470578</v>
      </c>
      <c r="F104" s="222">
        <v>4.4429882352941172</v>
      </c>
      <c r="G104" s="222">
        <v>7.3434941176470598</v>
      </c>
      <c r="H104" s="222">
        <v>2.6878352941176447</v>
      </c>
      <c r="I104" s="222">
        <v>6.293223529411776</v>
      </c>
      <c r="J104" s="222">
        <v>7.8625764705882411</v>
      </c>
      <c r="K104" s="222">
        <v>5.030964705882357</v>
      </c>
    </row>
    <row r="105" spans="2:11" x14ac:dyDescent="0.2">
      <c r="B105" s="211">
        <v>18</v>
      </c>
      <c r="C105" s="222">
        <v>0.96952222222222217</v>
      </c>
      <c r="D105" s="222">
        <v>4.5774777777777773</v>
      </c>
      <c r="E105" s="222">
        <v>0.37687777777777776</v>
      </c>
      <c r="F105" s="222">
        <v>3.7920444444444401</v>
      </c>
      <c r="G105" s="222">
        <v>6.5026555555555561</v>
      </c>
      <c r="H105" s="222">
        <v>2.139622222222223</v>
      </c>
      <c r="I105" s="222">
        <v>5.5308555555555525</v>
      </c>
      <c r="J105" s="222">
        <v>6.9136111111111269</v>
      </c>
      <c r="K105" s="222">
        <v>4.3976111111111056</v>
      </c>
    </row>
    <row r="106" spans="2:11" x14ac:dyDescent="0.2">
      <c r="B106" s="211">
        <v>19</v>
      </c>
      <c r="C106" s="222">
        <v>0.78261052631578909</v>
      </c>
      <c r="D106" s="222">
        <v>3.8976526315789495</v>
      </c>
      <c r="E106" s="222">
        <v>0.26448421052631615</v>
      </c>
      <c r="F106" s="222">
        <v>3.2087789473684238</v>
      </c>
      <c r="G106" s="222">
        <v>5.6723052631578943</v>
      </c>
      <c r="H106" s="222">
        <v>1.8109263157894748</v>
      </c>
      <c r="I106" s="222">
        <v>4.8054631578947387</v>
      </c>
      <c r="J106" s="222">
        <v>6.102168421052629</v>
      </c>
      <c r="K106" s="222">
        <v>3.6310947368421043</v>
      </c>
    </row>
    <row r="107" spans="2:11" x14ac:dyDescent="0.2">
      <c r="B107" s="211">
        <v>20</v>
      </c>
      <c r="C107" s="222">
        <v>0.60262000000000038</v>
      </c>
      <c r="D107" s="222">
        <v>3.42258</v>
      </c>
      <c r="E107" s="222">
        <v>0.16844000000000031</v>
      </c>
      <c r="F107" s="222">
        <v>2.7555599999999956</v>
      </c>
      <c r="G107" s="222">
        <v>4.9335100000000089</v>
      </c>
      <c r="H107" s="222">
        <v>1.5263299999999993</v>
      </c>
      <c r="I107" s="222">
        <v>4.098130000000002</v>
      </c>
      <c r="J107" s="222">
        <v>5.344879999999999</v>
      </c>
      <c r="K107" s="222">
        <v>3.2277899999999953</v>
      </c>
    </row>
    <row r="108" spans="2:11" x14ac:dyDescent="0.2">
      <c r="B108" s="211">
        <v>21</v>
      </c>
      <c r="C108" s="222">
        <v>0.46178095238095229</v>
      </c>
      <c r="D108" s="222">
        <v>2.9048380952380874</v>
      </c>
      <c r="E108" s="222">
        <v>0.14235238095238148</v>
      </c>
      <c r="F108" s="222">
        <v>2.3723428571428586</v>
      </c>
      <c r="G108" s="222">
        <v>4.3297714285714184</v>
      </c>
      <c r="H108" s="222">
        <v>1.1641999999999995</v>
      </c>
      <c r="I108" s="222">
        <v>3.6218761904761929</v>
      </c>
      <c r="J108" s="222">
        <v>4.6509999999999945</v>
      </c>
      <c r="K108" s="222">
        <v>2.7022952380952359</v>
      </c>
    </row>
    <row r="109" spans="2:11" x14ac:dyDescent="0.2">
      <c r="B109" s="211">
        <v>22</v>
      </c>
      <c r="C109" s="222">
        <v>0.34293636363636321</v>
      </c>
      <c r="D109" s="222">
        <v>2.4987999999999997</v>
      </c>
      <c r="E109" s="222">
        <v>9.4954545454545389E-2</v>
      </c>
      <c r="F109" s="222">
        <v>1.9296090909090919</v>
      </c>
      <c r="G109" s="222">
        <v>3.7563818181818167</v>
      </c>
      <c r="H109" s="222">
        <v>1.0093272727272729</v>
      </c>
      <c r="I109" s="222">
        <v>3.0602545454545433</v>
      </c>
      <c r="J109" s="222">
        <v>4.0169090909090945</v>
      </c>
      <c r="K109" s="222">
        <v>2.2962727272727275</v>
      </c>
    </row>
    <row r="110" spans="2:11" x14ac:dyDescent="0.2">
      <c r="B110" s="211">
        <v>23</v>
      </c>
      <c r="C110" s="222">
        <v>0.25038260869565176</v>
      </c>
      <c r="D110" s="222">
        <v>2.0756260869565244</v>
      </c>
      <c r="E110" s="222">
        <v>6.7782608695652086E-2</v>
      </c>
      <c r="F110" s="222">
        <v>1.6499826086956531</v>
      </c>
      <c r="G110" s="222">
        <v>3.1933739130434819</v>
      </c>
      <c r="H110" s="222">
        <v>0.76295652173913109</v>
      </c>
      <c r="I110" s="222">
        <v>2.6312521739130439</v>
      </c>
      <c r="J110" s="222">
        <v>3.4828869565217437</v>
      </c>
      <c r="K110" s="222">
        <v>1.8166260869565216</v>
      </c>
    </row>
    <row r="111" spans="2:11" x14ac:dyDescent="0.2">
      <c r="B111" s="211">
        <v>24</v>
      </c>
      <c r="C111" s="222">
        <v>0.19555833333333345</v>
      </c>
      <c r="D111" s="222">
        <v>1.7713500000000018</v>
      </c>
      <c r="E111" s="222">
        <v>5.0774999999999959E-2</v>
      </c>
      <c r="F111" s="222">
        <v>1.3734916666666654</v>
      </c>
      <c r="G111" s="222">
        <v>2.7525416666666649</v>
      </c>
      <c r="H111" s="222">
        <v>0.60934166666666634</v>
      </c>
      <c r="I111" s="222">
        <v>2.2650083333333288</v>
      </c>
      <c r="J111" s="222">
        <v>2.976591666666669</v>
      </c>
      <c r="K111" s="222">
        <v>1.5499416666666639</v>
      </c>
    </row>
    <row r="112" spans="2:11" x14ac:dyDescent="0.2">
      <c r="B112" s="211">
        <v>25</v>
      </c>
      <c r="C112" s="222">
        <v>0.15739200000000003</v>
      </c>
      <c r="D112" s="222">
        <v>1.4066079999999996</v>
      </c>
      <c r="E112" s="222">
        <v>3.7615999999999962E-2</v>
      </c>
      <c r="F112" s="222">
        <v>1.0682000000000007</v>
      </c>
      <c r="G112" s="222">
        <v>2.308328000000003</v>
      </c>
      <c r="H112" s="222">
        <v>0.46153600000000061</v>
      </c>
      <c r="I112" s="222">
        <v>1.8440719999999999</v>
      </c>
      <c r="J112" s="222">
        <v>2.505904000000005</v>
      </c>
      <c r="K112" s="222">
        <v>1.2516399999999996</v>
      </c>
    </row>
    <row r="113" spans="2:11" x14ac:dyDescent="0.2">
      <c r="B113" s="211">
        <v>26</v>
      </c>
      <c r="C113" s="222">
        <v>9.8015384615384782E-2</v>
      </c>
      <c r="D113" s="222">
        <v>1.1242076923076929</v>
      </c>
      <c r="E113" s="222">
        <v>1.792307692307693E-2</v>
      </c>
      <c r="F113" s="222">
        <v>0.85899999999999943</v>
      </c>
      <c r="G113" s="222">
        <v>1.9145384615384609</v>
      </c>
      <c r="H113" s="222">
        <v>0.38586923076923163</v>
      </c>
      <c r="I113" s="222">
        <v>1.5330538461538479</v>
      </c>
      <c r="J113" s="222">
        <v>2.0883615384615388</v>
      </c>
      <c r="K113" s="222">
        <v>1.0449999999999984</v>
      </c>
    </row>
    <row r="114" spans="2:11" x14ac:dyDescent="0.2">
      <c r="B114" s="211">
        <v>27</v>
      </c>
      <c r="C114" s="222">
        <v>7.894814814814817E-2</v>
      </c>
      <c r="D114" s="222">
        <v>0.94624444444444389</v>
      </c>
      <c r="E114" s="222">
        <v>1.656296296296296E-2</v>
      </c>
      <c r="F114" s="222">
        <v>0.65741481481481601</v>
      </c>
      <c r="G114" s="222">
        <v>1.5524592592592596</v>
      </c>
      <c r="H114" s="222">
        <v>0.27048888888888895</v>
      </c>
      <c r="I114" s="222">
        <v>1.2166148148148141</v>
      </c>
      <c r="J114" s="222">
        <v>1.6978592592592632</v>
      </c>
      <c r="K114" s="222">
        <v>0.80850370370370395</v>
      </c>
    </row>
    <row r="115" spans="2:11" x14ac:dyDescent="0.2">
      <c r="B115" s="211">
        <v>28</v>
      </c>
      <c r="C115" s="222">
        <v>5.6742857142857137E-2</v>
      </c>
      <c r="D115" s="222">
        <v>0.69895714285714261</v>
      </c>
      <c r="E115" s="222">
        <v>9.642857142857144E-3</v>
      </c>
      <c r="F115" s="222">
        <v>0.50297142857142829</v>
      </c>
      <c r="G115" s="222">
        <v>1.2085642857142884</v>
      </c>
      <c r="H115" s="222">
        <v>0.19707142857142865</v>
      </c>
      <c r="I115" s="222">
        <v>0.93209285714285806</v>
      </c>
      <c r="J115" s="222">
        <v>1.3304785714285732</v>
      </c>
      <c r="K115" s="222">
        <v>0.62147857142857066</v>
      </c>
    </row>
    <row r="116" spans="2:11" x14ac:dyDescent="0.2">
      <c r="B116" s="211">
        <v>29</v>
      </c>
      <c r="C116" s="222">
        <v>4.1096551724137918E-2</v>
      </c>
      <c r="D116" s="222">
        <v>0.50400689655172393</v>
      </c>
      <c r="E116" s="222">
        <v>5.710344827586207E-3</v>
      </c>
      <c r="F116" s="222">
        <v>0.36732413793103502</v>
      </c>
      <c r="G116" s="222">
        <v>0.90606896551724025</v>
      </c>
      <c r="H116" s="222">
        <v>0.12540000000000004</v>
      </c>
      <c r="I116" s="222">
        <v>0.69900000000000062</v>
      </c>
      <c r="J116" s="222">
        <v>0.99843448275862379</v>
      </c>
      <c r="K116" s="222">
        <v>0.44188965517241469</v>
      </c>
    </row>
    <row r="117" spans="2:11" x14ac:dyDescent="0.2">
      <c r="B117" s="211">
        <v>30</v>
      </c>
      <c r="C117" s="222">
        <v>2.1126666666666682E-2</v>
      </c>
      <c r="D117" s="222">
        <v>0.34218000000000026</v>
      </c>
      <c r="E117" s="222">
        <v>4.0933333333333325E-3</v>
      </c>
      <c r="F117" s="222">
        <v>0.2296266666666662</v>
      </c>
      <c r="G117" s="222">
        <v>0.61870000000000092</v>
      </c>
      <c r="H117" s="222">
        <v>8.2026666666666706E-2</v>
      </c>
      <c r="I117" s="222">
        <v>0.47038000000000008</v>
      </c>
      <c r="J117" s="222">
        <v>0.68672666666666726</v>
      </c>
      <c r="K117" s="222">
        <v>0.29759999999999975</v>
      </c>
    </row>
    <row r="118" spans="2:11" ht="17" thickBot="1" x14ac:dyDescent="0.25"/>
    <row r="119" spans="2:11" ht="17" thickBot="1" x14ac:dyDescent="0.25">
      <c r="B119" s="205" t="s">
        <v>249</v>
      </c>
      <c r="C119" s="270"/>
      <c r="D119" s="270"/>
      <c r="E119" s="270"/>
      <c r="F119" s="270"/>
      <c r="G119" s="270"/>
      <c r="H119" s="270"/>
      <c r="I119" s="270"/>
      <c r="J119" s="270"/>
      <c r="K119" s="271"/>
    </row>
    <row r="120" spans="2:11" x14ac:dyDescent="0.2">
      <c r="C120" s="267" t="s">
        <v>10</v>
      </c>
      <c r="D120" s="268"/>
      <c r="E120" s="269"/>
      <c r="F120" s="587" t="s">
        <v>11</v>
      </c>
      <c r="G120" s="588"/>
      <c r="H120" s="589"/>
      <c r="I120" s="587" t="s">
        <v>137</v>
      </c>
      <c r="J120" s="588"/>
      <c r="K120" s="589"/>
    </row>
    <row r="121" spans="2:11" x14ac:dyDescent="0.2">
      <c r="B121" s="215" t="s">
        <v>242</v>
      </c>
      <c r="C121" s="215" t="s">
        <v>243</v>
      </c>
      <c r="D121" s="215" t="s">
        <v>244</v>
      </c>
      <c r="E121" s="215" t="s">
        <v>245</v>
      </c>
      <c r="F121" s="215" t="s">
        <v>243</v>
      </c>
      <c r="G121" s="215" t="s">
        <v>244</v>
      </c>
      <c r="H121" s="215" t="s">
        <v>245</v>
      </c>
      <c r="I121" s="215" t="s">
        <v>243</v>
      </c>
      <c r="J121" s="215" t="s">
        <v>244</v>
      </c>
      <c r="K121" s="215" t="s">
        <v>245</v>
      </c>
    </row>
    <row r="122" spans="2:11" x14ac:dyDescent="0.2">
      <c r="B122" s="215" t="s">
        <v>197</v>
      </c>
      <c r="C122" s="211" cm="1">
        <f t="array" ref="C122:K122">_xlfn.BYCOL($C$88:$K$117,_xlfn.LAMBDA(_xlpm.col,INDEX($B$88:$B$117,MATCH(TRUE, _xlpm.col &lt; $L$7, 0))))</f>
        <v>11</v>
      </c>
      <c r="D122" s="211">
        <v>18</v>
      </c>
      <c r="E122" s="211">
        <v>9</v>
      </c>
      <c r="F122" s="211">
        <v>17</v>
      </c>
      <c r="G122" s="211">
        <v>20</v>
      </c>
      <c r="H122" s="211">
        <v>14</v>
      </c>
      <c r="I122" s="211">
        <v>19</v>
      </c>
      <c r="J122" s="211">
        <v>21</v>
      </c>
      <c r="K122" s="211">
        <v>18</v>
      </c>
    </row>
    <row r="123" spans="2:11" ht="17" thickBot="1" x14ac:dyDescent="0.25">
      <c r="B123" s="234"/>
    </row>
    <row r="124" spans="2:11" ht="17" thickBot="1" x14ac:dyDescent="0.25">
      <c r="B124" s="225" t="s">
        <v>250</v>
      </c>
      <c r="C124" s="204"/>
    </row>
    <row r="125" spans="2:11" x14ac:dyDescent="0.2">
      <c r="B125" s="210" t="s">
        <v>251</v>
      </c>
      <c r="C125" s="235">
        <f>ROUNDUP(AVERAGE(_xlfn.ANCHORARRAY(C122)),0)</f>
        <v>17</v>
      </c>
    </row>
  </sheetData>
  <mergeCells count="4">
    <mergeCell ref="F120:H120"/>
    <mergeCell ref="I120:K120"/>
    <mergeCell ref="F85:H85"/>
    <mergeCell ref="I85:K85"/>
  </mergeCells>
  <conditionalFormatting sqref="Q21:Q45">
    <cfRule type="cellIs" dxfId="12" priority="10" operator="equal">
      <formula>$N$8</formula>
    </cfRule>
    <cfRule type="cellIs" dxfId="11" priority="11" operator="equal">
      <formula>$N$7</formula>
    </cfRule>
    <cfRule type="cellIs" dxfId="10" priority="12" operator="equal">
      <formula>$N$6</formula>
    </cfRule>
  </conditionalFormatting>
  <conditionalFormatting sqref="D51:D80">
    <cfRule type="cellIs" dxfId="9" priority="4" operator="equal">
      <formula>$N$6</formula>
    </cfRule>
    <cfRule type="cellIs" dxfId="8" priority="6" operator="equal">
      <formula>$N$7</formula>
    </cfRule>
    <cfRule type="cellIs" dxfId="7" priority="8" operator="equal">
      <formula>$N$8</formula>
    </cfRule>
  </conditionalFormatting>
  <conditionalFormatting sqref="H51:H80">
    <cfRule type="cellIs" dxfId="6" priority="5" operator="equal">
      <formula>$N$6</formula>
    </cfRule>
    <cfRule type="cellIs" dxfId="5" priority="7" operator="equal">
      <formula>$N$7</formula>
    </cfRule>
    <cfRule type="cellIs" dxfId="4" priority="9" operator="equal">
      <formula>$N$8</formula>
    </cfRule>
  </conditionalFormatting>
  <conditionalFormatting sqref="C88:K117">
    <cfRule type="cellIs" dxfId="3" priority="1" operator="between">
      <formula>$L$8</formula>
      <formula>$M$8</formula>
    </cfRule>
    <cfRule type="cellIs" dxfId="2" priority="2" operator="between">
      <formula>$L$7</formula>
      <formula>$M$7</formula>
    </cfRule>
    <cfRule type="cellIs" dxfId="1" priority="3" operator="between">
      <formula>$L$6</formula>
      <formula>$M$6</formula>
    </cfRule>
  </conditionalFormatting>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SetArrivalswithFactor">
                <anchor moveWithCells="1" sizeWithCells="1">
                  <from>
                    <xdr:col>9</xdr:col>
                    <xdr:colOff>50800</xdr:colOff>
                    <xdr:row>0</xdr:row>
                    <xdr:rowOff>38100</xdr:rowOff>
                  </from>
                  <to>
                    <xdr:col>10</xdr:col>
                    <xdr:colOff>0</xdr:colOff>
                    <xdr:row>0</xdr:row>
                    <xdr:rowOff>457200</xdr:rowOff>
                  </to>
                </anchor>
              </controlPr>
            </control>
          </mc:Choice>
        </mc:AlternateContent>
        <mc:AlternateContent xmlns:mc="http://schemas.openxmlformats.org/markup-compatibility/2006">
          <mc:Choice Requires="x14">
            <control shapeId="41986" r:id="rId4" name="Button 2">
              <controlPr defaultSize="0" print="0" autoFill="0" autoPict="0" macro="[0]!RunServerSweep">
                <anchor moveWithCells="1" sizeWithCells="1">
                  <from>
                    <xdr:col>10</xdr:col>
                    <xdr:colOff>825500</xdr:colOff>
                    <xdr:row>0</xdr:row>
                    <xdr:rowOff>38100</xdr:rowOff>
                  </from>
                  <to>
                    <xdr:col>11</xdr:col>
                    <xdr:colOff>88900</xdr:colOff>
                    <xdr:row>0</xdr:row>
                    <xdr:rowOff>457200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1064DE-85E3-4899-8D82-F383D15FAAC5}">
  <sheetPr>
    <tabColor rgb="FFFFC000"/>
  </sheetPr>
  <dimension ref="A1:AC87"/>
  <sheetViews>
    <sheetView showGridLines="0" topLeftCell="A12" zoomScale="87" zoomScaleNormal="70" workbookViewId="0">
      <selection activeCell="O14" sqref="O14"/>
    </sheetView>
  </sheetViews>
  <sheetFormatPr baseColWidth="10" defaultColWidth="8.5" defaultRowHeight="16" x14ac:dyDescent="0.2"/>
  <cols>
    <col min="1" max="1" width="26.83203125" customWidth="1"/>
    <col min="2" max="2" width="21.83203125" bestFit="1" customWidth="1"/>
    <col min="3" max="3" width="20.5" customWidth="1"/>
    <col min="4" max="4" width="16.83203125" customWidth="1"/>
    <col min="5" max="5" width="12.5" bestFit="1" customWidth="1"/>
    <col min="6" max="6" width="23.1640625" customWidth="1"/>
    <col min="7" max="7" width="17.83203125" bestFit="1" customWidth="1"/>
    <col min="8" max="8" width="16.5" customWidth="1"/>
    <col min="9" max="9" width="12.83203125" customWidth="1"/>
    <col min="10" max="10" width="14.83203125" customWidth="1"/>
    <col min="11" max="11" width="13.5" bestFit="1" customWidth="1"/>
    <col min="12" max="12" width="17.1640625" customWidth="1"/>
    <col min="13" max="14" width="13.5" bestFit="1" customWidth="1"/>
    <col min="15" max="15" width="28.5" customWidth="1"/>
    <col min="16" max="16" width="17.1640625" bestFit="1" customWidth="1"/>
    <col min="17" max="18" width="18.1640625" bestFit="1" customWidth="1"/>
    <col min="19" max="19" width="14.83203125" bestFit="1" customWidth="1"/>
    <col min="20" max="20" width="31.1640625" style="473" customWidth="1"/>
    <col min="21" max="21" width="27.1640625" style="473" customWidth="1"/>
    <col min="22" max="22" width="27.5" style="473" customWidth="1"/>
    <col min="23" max="23" width="55.1640625" style="473" bestFit="1" customWidth="1"/>
    <col min="24" max="24" width="57.83203125" style="473" bestFit="1" customWidth="1"/>
    <col min="33" max="33" width="11.1640625" bestFit="1" customWidth="1"/>
  </cols>
  <sheetData>
    <row r="1" spans="1:29" ht="63" thickBot="1" x14ac:dyDescent="0.75">
      <c r="A1" s="283" t="s">
        <v>252</v>
      </c>
      <c r="B1" s="190"/>
      <c r="C1" s="190"/>
      <c r="D1" s="190"/>
      <c r="E1" s="190"/>
      <c r="F1" s="190"/>
      <c r="G1" s="190"/>
      <c r="H1" s="190"/>
      <c r="I1" s="190"/>
      <c r="J1" s="190"/>
      <c r="K1" s="190"/>
      <c r="L1" s="190"/>
      <c r="M1" s="190"/>
      <c r="N1" s="190"/>
      <c r="O1" s="190"/>
      <c r="P1" s="190"/>
      <c r="Q1" s="190"/>
      <c r="R1" s="190"/>
      <c r="S1" s="190"/>
      <c r="T1" s="474"/>
      <c r="U1" s="474"/>
      <c r="V1" s="474"/>
      <c r="W1" s="474"/>
      <c r="X1" s="474"/>
      <c r="Y1" s="190"/>
      <c r="Z1" s="190"/>
      <c r="AA1" s="190"/>
      <c r="AB1" s="191"/>
    </row>
    <row r="2" spans="1:29" ht="224" customHeight="1" thickBot="1" x14ac:dyDescent="0.5">
      <c r="A2" s="284"/>
      <c r="T2" s="503" t="s">
        <v>253</v>
      </c>
      <c r="U2" s="504"/>
      <c r="V2" s="504"/>
      <c r="W2" s="504"/>
      <c r="X2" s="504"/>
      <c r="Y2" s="505"/>
      <c r="Z2" s="699"/>
      <c r="AA2" s="699"/>
      <c r="AB2" s="499"/>
      <c r="AC2" s="499"/>
    </row>
    <row r="3" spans="1:29" ht="71.75" customHeight="1" thickBot="1" x14ac:dyDescent="0.25">
      <c r="A3" s="634" t="s">
        <v>254</v>
      </c>
      <c r="B3" s="635"/>
      <c r="C3" s="635"/>
      <c r="D3" s="635"/>
      <c r="E3" s="635"/>
      <c r="F3" s="635"/>
      <c r="G3" s="635"/>
      <c r="H3" s="635"/>
      <c r="I3" s="635"/>
      <c r="J3" s="636"/>
      <c r="L3" s="632" t="s">
        <v>255</v>
      </c>
      <c r="M3" s="637"/>
      <c r="N3" s="637"/>
      <c r="O3" s="638"/>
      <c r="Q3" s="632" t="s">
        <v>609</v>
      </c>
      <c r="R3" s="633"/>
      <c r="T3" s="506" t="s">
        <v>110</v>
      </c>
      <c r="U3" s="453"/>
      <c r="V3" s="453"/>
      <c r="Y3" s="195"/>
    </row>
    <row r="4" spans="1:29" ht="17" thickBot="1" x14ac:dyDescent="0.25">
      <c r="A4" s="285"/>
      <c r="B4" s="191"/>
      <c r="C4" s="191"/>
      <c r="D4" s="191"/>
      <c r="E4" s="191"/>
      <c r="F4" s="191"/>
      <c r="G4" s="191"/>
      <c r="H4" s="191"/>
      <c r="I4" s="191"/>
      <c r="J4" s="192"/>
      <c r="L4" s="286" t="s">
        <v>256</v>
      </c>
      <c r="M4" s="287" t="s">
        <v>257</v>
      </c>
      <c r="N4" s="287" t="s">
        <v>258</v>
      </c>
      <c r="O4" s="288" t="s">
        <v>259</v>
      </c>
      <c r="Q4" s="286" t="s">
        <v>260</v>
      </c>
      <c r="R4" s="288" t="s">
        <v>261</v>
      </c>
      <c r="T4" s="507"/>
      <c r="Y4" s="195"/>
    </row>
    <row r="5" spans="1:29" x14ac:dyDescent="0.2">
      <c r="A5" s="639" t="s">
        <v>262</v>
      </c>
      <c r="B5" s="640"/>
      <c r="C5" s="643" t="s">
        <v>263</v>
      </c>
      <c r="D5" s="644"/>
      <c r="E5" s="644"/>
      <c r="F5" s="645"/>
      <c r="J5" s="195"/>
      <c r="L5" s="488" t="s">
        <v>264</v>
      </c>
      <c r="M5" s="489">
        <v>45658</v>
      </c>
      <c r="N5" s="490" t="s">
        <v>265</v>
      </c>
      <c r="O5" s="491" t="str">
        <f>TEXT($M5,"mmm-yy")</f>
        <v>Jan-25</v>
      </c>
      <c r="Q5" s="502"/>
      <c r="R5" s="290">
        <f>O55</f>
        <v>69444</v>
      </c>
      <c r="T5" s="507"/>
      <c r="Y5" s="195"/>
    </row>
    <row r="6" spans="1:29" ht="46.25" customHeight="1" thickBot="1" x14ac:dyDescent="0.25">
      <c r="A6" s="641"/>
      <c r="B6" s="642"/>
      <c r="C6" s="291" t="s">
        <v>266</v>
      </c>
      <c r="D6" s="292" t="s">
        <v>267</v>
      </c>
      <c r="E6" s="292" t="s">
        <v>268</v>
      </c>
      <c r="F6" s="293" t="s">
        <v>269</v>
      </c>
      <c r="J6" s="195"/>
      <c r="L6" s="646" t="s">
        <v>270</v>
      </c>
      <c r="M6" s="482">
        <v>45686</v>
      </c>
      <c r="N6" s="483" t="s">
        <v>265</v>
      </c>
      <c r="O6" s="289" t="str">
        <f t="shared" ref="O6:O15" si="0">TEXT($M6,"mmm-yy")</f>
        <v>Jan-25</v>
      </c>
      <c r="Q6" s="501">
        <v>45658</v>
      </c>
      <c r="R6" s="167">
        <f t="dataTable" ref="R6:R17" dt2D="0" dtr="0" r1="B7"/>
        <v>69444</v>
      </c>
      <c r="T6" s="507"/>
      <c r="Y6" s="195"/>
    </row>
    <row r="7" spans="1:29" ht="61.25" customHeight="1" thickBot="1" x14ac:dyDescent="0.25">
      <c r="A7" s="296" t="s">
        <v>271</v>
      </c>
      <c r="B7" s="297">
        <v>45658</v>
      </c>
      <c r="C7" s="298">
        <f>DAY(EOMONTH($B$7,0)) - DAY($B$7) + 1</f>
        <v>31</v>
      </c>
      <c r="D7" s="299">
        <f>NETWORKDAYS.INTL($B$7,EOMONTH($B$7,0),,$M$5:$M$15)</f>
        <v>20</v>
      </c>
      <c r="E7" s="299">
        <f>C7-D7-F7</f>
        <v>8</v>
      </c>
      <c r="F7" s="187">
        <f>COUNTIF($O$5:$O$15,$B$7)</f>
        <v>3</v>
      </c>
      <c r="J7" s="195"/>
      <c r="L7" s="647"/>
      <c r="M7" s="482">
        <v>45687</v>
      </c>
      <c r="N7" s="483" t="s">
        <v>272</v>
      </c>
      <c r="O7" s="289" t="str">
        <f t="shared" si="0"/>
        <v>Jan-25</v>
      </c>
      <c r="Q7" s="295">
        <f t="shared" ref="Q7:Q17" si="1">EDATE($Q6,1)</f>
        <v>45689</v>
      </c>
      <c r="R7" s="167">
        <v>65016</v>
      </c>
      <c r="T7" s="507"/>
      <c r="Y7" s="195"/>
    </row>
    <row r="8" spans="1:29" ht="17" thickBot="1" x14ac:dyDescent="0.25">
      <c r="A8" s="193"/>
      <c r="G8" s="194"/>
      <c r="J8" s="195"/>
      <c r="L8" s="484" t="s">
        <v>273</v>
      </c>
      <c r="M8" s="482">
        <v>45747</v>
      </c>
      <c r="N8" s="483" t="s">
        <v>274</v>
      </c>
      <c r="O8" s="289" t="str">
        <f t="shared" si="0"/>
        <v>Mar-25</v>
      </c>
      <c r="Q8" s="295">
        <f t="shared" si="1"/>
        <v>45717</v>
      </c>
      <c r="R8" s="167">
        <v>68706</v>
      </c>
      <c r="T8" s="507"/>
      <c r="Y8" s="195"/>
    </row>
    <row r="9" spans="1:29" ht="62.75" customHeight="1" thickBot="1" x14ac:dyDescent="0.25">
      <c r="A9" s="470" t="s">
        <v>275</v>
      </c>
      <c r="B9" s="300" t="s">
        <v>276</v>
      </c>
      <c r="C9" s="301" t="s">
        <v>277</v>
      </c>
      <c r="F9" s="626" t="s">
        <v>278</v>
      </c>
      <c r="G9" s="627"/>
      <c r="H9" s="304" t="s">
        <v>279</v>
      </c>
      <c r="J9" s="195"/>
      <c r="L9" s="484" t="s">
        <v>280</v>
      </c>
      <c r="M9" s="482">
        <v>45765</v>
      </c>
      <c r="N9" s="483" t="s">
        <v>281</v>
      </c>
      <c r="O9" s="289" t="str">
        <f t="shared" si="0"/>
        <v>Apr-25</v>
      </c>
      <c r="Q9" s="295">
        <f t="shared" si="1"/>
        <v>45748</v>
      </c>
      <c r="R9" s="167">
        <v>67230</v>
      </c>
      <c r="T9" s="507"/>
      <c r="Y9" s="195"/>
    </row>
    <row r="10" spans="1:29" ht="24.5" customHeight="1" x14ac:dyDescent="0.2">
      <c r="A10" s="305" t="s">
        <v>12</v>
      </c>
      <c r="B10" s="306">
        <v>2.5</v>
      </c>
      <c r="C10" s="307">
        <v>0.8</v>
      </c>
      <c r="D10" s="131" t="s">
        <v>282</v>
      </c>
      <c r="F10" s="628" t="s">
        <v>124</v>
      </c>
      <c r="G10" s="629"/>
      <c r="H10" s="308">
        <v>260</v>
      </c>
      <c r="J10" s="195"/>
      <c r="L10" s="484" t="s">
        <v>283</v>
      </c>
      <c r="M10" s="482">
        <v>45778</v>
      </c>
      <c r="N10" s="483" t="s">
        <v>272</v>
      </c>
      <c r="O10" s="289" t="str">
        <f t="shared" si="0"/>
        <v>May-25</v>
      </c>
      <c r="Q10" s="295">
        <f t="shared" si="1"/>
        <v>45778</v>
      </c>
      <c r="R10" s="167">
        <v>69075</v>
      </c>
      <c r="T10" s="506" t="s">
        <v>284</v>
      </c>
      <c r="U10" s="453"/>
      <c r="V10" s="453"/>
      <c r="Y10" s="195"/>
    </row>
    <row r="11" spans="1:29" ht="24.5" customHeight="1" thickBot="1" x14ac:dyDescent="0.25">
      <c r="A11" s="309" t="s">
        <v>13</v>
      </c>
      <c r="B11" s="310">
        <v>4</v>
      </c>
      <c r="C11" s="311">
        <v>1</v>
      </c>
      <c r="D11" s="131" t="s">
        <v>285</v>
      </c>
      <c r="F11" s="630" t="s">
        <v>286</v>
      </c>
      <c r="G11" s="152" t="s">
        <v>287</v>
      </c>
      <c r="H11" s="143">
        <v>1</v>
      </c>
      <c r="J11" s="195"/>
      <c r="L11" s="484" t="s">
        <v>288</v>
      </c>
      <c r="M11" s="482">
        <v>45789</v>
      </c>
      <c r="N11" s="483" t="s">
        <v>274</v>
      </c>
      <c r="O11" s="289" t="str">
        <f t="shared" si="0"/>
        <v>May-25</v>
      </c>
      <c r="Q11" s="295">
        <f t="shared" si="1"/>
        <v>45809</v>
      </c>
      <c r="R11" s="167">
        <v>67230</v>
      </c>
      <c r="T11" s="656" t="s">
        <v>114</v>
      </c>
      <c r="U11" s="657"/>
      <c r="V11" s="475" t="s">
        <v>289</v>
      </c>
      <c r="W11" s="515" t="s">
        <v>146</v>
      </c>
      <c r="X11" s="475" t="s">
        <v>147</v>
      </c>
      <c r="Y11" s="195"/>
    </row>
    <row r="12" spans="1:29" ht="31.25" customHeight="1" thickBot="1" x14ac:dyDescent="0.25">
      <c r="A12" s="193"/>
      <c r="F12" s="630"/>
      <c r="G12" s="152" t="s">
        <v>290</v>
      </c>
      <c r="H12" s="143">
        <v>2</v>
      </c>
      <c r="J12" s="195"/>
      <c r="L12" s="484" t="s">
        <v>291</v>
      </c>
      <c r="M12" s="482">
        <v>45815</v>
      </c>
      <c r="N12" s="483" t="s">
        <v>292</v>
      </c>
      <c r="O12" s="289" t="str">
        <f t="shared" si="0"/>
        <v>Jun-25</v>
      </c>
      <c r="Q12" s="295">
        <f t="shared" si="1"/>
        <v>45839</v>
      </c>
      <c r="R12" s="167">
        <v>67230</v>
      </c>
      <c r="T12" s="658" t="s">
        <v>293</v>
      </c>
      <c r="U12" s="659"/>
      <c r="V12" s="476" t="s">
        <v>294</v>
      </c>
      <c r="W12" s="516" t="s">
        <v>149</v>
      </c>
      <c r="X12" s="653" t="s">
        <v>295</v>
      </c>
      <c r="Y12" s="195"/>
    </row>
    <row r="13" spans="1:29" ht="32" x14ac:dyDescent="0.2">
      <c r="A13" s="469" t="s">
        <v>296</v>
      </c>
      <c r="B13" s="312" t="s">
        <v>297</v>
      </c>
      <c r="C13" s="313" t="s">
        <v>298</v>
      </c>
      <c r="D13" s="314" t="s">
        <v>299</v>
      </c>
      <c r="F13" s="630" t="s">
        <v>300</v>
      </c>
      <c r="G13" s="152" t="s">
        <v>301</v>
      </c>
      <c r="H13" s="144">
        <v>16</v>
      </c>
      <c r="J13" s="195"/>
      <c r="L13" s="484" t="s">
        <v>302</v>
      </c>
      <c r="M13" s="482">
        <v>45878</v>
      </c>
      <c r="N13" s="483" t="s">
        <v>292</v>
      </c>
      <c r="O13" s="289" t="str">
        <f t="shared" si="0"/>
        <v>Aug-25</v>
      </c>
      <c r="Q13" s="295">
        <f t="shared" si="1"/>
        <v>45870</v>
      </c>
      <c r="R13" s="167">
        <v>68337</v>
      </c>
      <c r="T13" s="658" t="s">
        <v>266</v>
      </c>
      <c r="U13" s="659"/>
      <c r="V13" s="476" t="s">
        <v>303</v>
      </c>
      <c r="W13" s="514" t="str">
        <f ca="1">_xlfn.FORMULATEXT(C7)</f>
        <v>=DAY(EOMONTH($B$7,0)) - DAY($B$7) + 1</v>
      </c>
      <c r="X13" s="654"/>
      <c r="Y13" s="195"/>
    </row>
    <row r="14" spans="1:29" ht="35" thickBot="1" x14ac:dyDescent="0.25">
      <c r="A14" s="315" t="s">
        <v>304</v>
      </c>
      <c r="B14" s="310">
        <v>6</v>
      </c>
      <c r="C14" s="59">
        <v>1</v>
      </c>
      <c r="D14" s="168">
        <f>$B$14/SUM($B$14,$C$14)</f>
        <v>0.8571428571428571</v>
      </c>
      <c r="F14" s="631"/>
      <c r="G14" s="153" t="s">
        <v>305</v>
      </c>
      <c r="H14" s="145">
        <v>50</v>
      </c>
      <c r="J14" s="195"/>
      <c r="L14" s="484" t="s">
        <v>306</v>
      </c>
      <c r="M14" s="482">
        <v>45950</v>
      </c>
      <c r="N14" s="483" t="s">
        <v>274</v>
      </c>
      <c r="O14" s="289" t="str">
        <f t="shared" si="0"/>
        <v>Oct-25</v>
      </c>
      <c r="Q14" s="295">
        <f t="shared" si="1"/>
        <v>45901</v>
      </c>
      <c r="R14" s="167">
        <v>66492</v>
      </c>
      <c r="T14" s="658" t="s">
        <v>267</v>
      </c>
      <c r="U14" s="659"/>
      <c r="V14" s="476" t="s">
        <v>307</v>
      </c>
      <c r="W14" s="514" t="str">
        <f ca="1">_xlfn.FORMULATEXT(D7)</f>
        <v>=NETWORKDAYS.INTL($B$7,EOMONTH($B$7,0),,$M$5:$M$15)</v>
      </c>
      <c r="X14" s="654"/>
      <c r="Y14" s="195"/>
    </row>
    <row r="15" spans="1:29" ht="18" thickBot="1" x14ac:dyDescent="0.25">
      <c r="A15" s="193"/>
      <c r="J15" s="195"/>
      <c r="L15" s="485" t="s">
        <v>308</v>
      </c>
      <c r="M15" s="486">
        <v>46016</v>
      </c>
      <c r="N15" s="487" t="s">
        <v>272</v>
      </c>
      <c r="O15" s="492" t="str">
        <f t="shared" si="0"/>
        <v>Dec-25</v>
      </c>
      <c r="Q15" s="295">
        <f t="shared" si="1"/>
        <v>45931</v>
      </c>
      <c r="R15" s="167">
        <v>67968</v>
      </c>
      <c r="T15" s="658" t="s">
        <v>268</v>
      </c>
      <c r="U15" s="659"/>
      <c r="V15" s="476" t="s">
        <v>309</v>
      </c>
      <c r="W15" s="514" t="str">
        <f ca="1">_xlfn.FORMULATEXT(E7)</f>
        <v>=C7-D7-F7</v>
      </c>
      <c r="X15" s="654"/>
      <c r="Y15" s="195"/>
    </row>
    <row r="16" spans="1:29" ht="17" x14ac:dyDescent="0.2">
      <c r="A16" s="648" t="s">
        <v>310</v>
      </c>
      <c r="B16" s="614" t="s">
        <v>311</v>
      </c>
      <c r="C16" s="616" t="s">
        <v>312</v>
      </c>
      <c r="D16" s="618" t="s">
        <v>313</v>
      </c>
      <c r="E16" s="619"/>
      <c r="F16" s="620"/>
      <c r="J16" s="195"/>
      <c r="Q16" s="295">
        <f t="shared" si="1"/>
        <v>45962</v>
      </c>
      <c r="R16" s="167">
        <v>67230</v>
      </c>
      <c r="T16" s="658" t="s">
        <v>269</v>
      </c>
      <c r="U16" s="659"/>
      <c r="V16" s="476" t="s">
        <v>314</v>
      </c>
      <c r="W16" s="514" t="str">
        <f ca="1">_xlfn.FORMULATEXT(F7)</f>
        <v>=COUNTIF($O$5:$O$15,$B$7)</v>
      </c>
      <c r="X16" s="655"/>
      <c r="Y16" s="195"/>
    </row>
    <row r="17" spans="1:25" ht="18" thickBot="1" x14ac:dyDescent="0.25">
      <c r="A17" s="649"/>
      <c r="B17" s="615"/>
      <c r="C17" s="617"/>
      <c r="D17" s="316" t="s">
        <v>10</v>
      </c>
      <c r="E17" s="317" t="s">
        <v>11</v>
      </c>
      <c r="F17" s="318" t="s">
        <v>137</v>
      </c>
      <c r="J17" s="195"/>
      <c r="Q17" s="319">
        <f t="shared" si="1"/>
        <v>45992</v>
      </c>
      <c r="R17" s="171">
        <v>67968</v>
      </c>
      <c r="T17" s="658" t="s">
        <v>315</v>
      </c>
      <c r="U17" s="659"/>
      <c r="V17" s="476" t="s">
        <v>316</v>
      </c>
      <c r="W17" s="516" t="s">
        <v>149</v>
      </c>
      <c r="X17" s="471" t="s">
        <v>317</v>
      </c>
      <c r="Y17" s="195"/>
    </row>
    <row r="18" spans="1:25" ht="15.75" customHeight="1" thickBot="1" x14ac:dyDescent="0.25">
      <c r="A18" s="662" t="s">
        <v>318</v>
      </c>
      <c r="B18" s="137" t="s">
        <v>319</v>
      </c>
      <c r="C18" s="63">
        <v>3750</v>
      </c>
      <c r="D18" s="64"/>
      <c r="E18" s="47"/>
      <c r="F18" s="65"/>
      <c r="J18" s="195"/>
      <c r="Q18" s="248" t="s">
        <v>320</v>
      </c>
      <c r="R18" s="172">
        <f>SUM(R6:R17)</f>
        <v>811926</v>
      </c>
      <c r="T18" s="658" t="s">
        <v>277</v>
      </c>
      <c r="U18" s="659"/>
      <c r="V18" s="476" t="s">
        <v>321</v>
      </c>
      <c r="W18" s="516" t="s">
        <v>149</v>
      </c>
      <c r="X18" s="471" t="s">
        <v>322</v>
      </c>
      <c r="Y18" s="195"/>
    </row>
    <row r="19" spans="1:25" ht="15.75" customHeight="1" thickBot="1" x14ac:dyDescent="0.25">
      <c r="A19" s="663"/>
      <c r="B19" s="138" t="s">
        <v>323</v>
      </c>
      <c r="C19" s="68">
        <v>3000</v>
      </c>
      <c r="D19" s="69">
        <v>12</v>
      </c>
      <c r="E19" s="70">
        <f>$D19*1.5</f>
        <v>18</v>
      </c>
      <c r="F19" s="71">
        <f>$D19*2</f>
        <v>24</v>
      </c>
      <c r="J19" s="195"/>
      <c r="T19" s="658" t="s">
        <v>324</v>
      </c>
      <c r="U19" s="659"/>
      <c r="V19" s="476" t="s">
        <v>325</v>
      </c>
      <c r="W19" s="516" t="s">
        <v>149</v>
      </c>
      <c r="X19" s="471" t="s">
        <v>326</v>
      </c>
      <c r="Y19" s="195"/>
    </row>
    <row r="20" spans="1:25" ht="17" x14ac:dyDescent="0.2">
      <c r="A20" s="662" t="s">
        <v>327</v>
      </c>
      <c r="B20" s="137" t="s">
        <v>328</v>
      </c>
      <c r="C20" s="63">
        <v>3600</v>
      </c>
      <c r="D20" s="64"/>
      <c r="E20" s="47"/>
      <c r="F20" s="65"/>
      <c r="J20" s="195"/>
      <c r="T20" s="658" t="s">
        <v>329</v>
      </c>
      <c r="U20" s="659"/>
      <c r="V20" s="478" t="s">
        <v>330</v>
      </c>
      <c r="W20" s="517" t="str">
        <f ca="1">_xlfn.FORMULATEXT(D14)</f>
        <v>=$B$14/SUM($B$14,$C$14)</v>
      </c>
      <c r="X20" s="471" t="s">
        <v>331</v>
      </c>
      <c r="Y20" s="195"/>
    </row>
    <row r="21" spans="1:25" ht="30.75" customHeight="1" x14ac:dyDescent="0.2">
      <c r="A21" s="675"/>
      <c r="B21" s="139" t="s">
        <v>332</v>
      </c>
      <c r="C21" s="73">
        <v>3000</v>
      </c>
      <c r="D21" s="74"/>
      <c r="E21" s="53"/>
      <c r="F21" s="75"/>
      <c r="J21" s="195"/>
      <c r="T21" s="658" t="s">
        <v>124</v>
      </c>
      <c r="U21" s="659"/>
      <c r="V21" s="476" t="s">
        <v>333</v>
      </c>
      <c r="W21" s="516" t="s">
        <v>149</v>
      </c>
      <c r="X21" s="471"/>
      <c r="Y21" s="195"/>
    </row>
    <row r="22" spans="1:25" ht="17" x14ac:dyDescent="0.2">
      <c r="A22" s="675"/>
      <c r="B22" s="139" t="s">
        <v>334</v>
      </c>
      <c r="C22" s="73">
        <v>2500</v>
      </c>
      <c r="D22" s="74"/>
      <c r="E22" s="53"/>
      <c r="F22" s="75"/>
      <c r="H22" s="320"/>
      <c r="J22" s="195"/>
      <c r="T22" s="660" t="s">
        <v>286</v>
      </c>
      <c r="U22" s="471" t="s">
        <v>287</v>
      </c>
      <c r="V22" s="479" t="s">
        <v>335</v>
      </c>
      <c r="W22" s="516" t="s">
        <v>149</v>
      </c>
      <c r="X22" s="471"/>
      <c r="Y22" s="195"/>
    </row>
    <row r="23" spans="1:25" ht="31.25" customHeight="1" thickBot="1" x14ac:dyDescent="0.25">
      <c r="A23" s="663"/>
      <c r="B23" s="138" t="s">
        <v>336</v>
      </c>
      <c r="C23" s="68">
        <v>1850</v>
      </c>
      <c r="D23" s="76"/>
      <c r="E23" s="58"/>
      <c r="F23" s="77"/>
      <c r="J23" s="195"/>
      <c r="T23" s="661"/>
      <c r="U23" s="471" t="s">
        <v>290</v>
      </c>
      <c r="V23" s="479" t="s">
        <v>337</v>
      </c>
      <c r="W23" s="516" t="s">
        <v>149</v>
      </c>
      <c r="X23" s="471"/>
      <c r="Y23" s="195"/>
    </row>
    <row r="24" spans="1:25" ht="35" thickBot="1" x14ac:dyDescent="0.25">
      <c r="A24" s="193"/>
      <c r="J24" s="195"/>
      <c r="T24" s="660" t="s">
        <v>300</v>
      </c>
      <c r="U24" s="495" t="s">
        <v>301</v>
      </c>
      <c r="V24" s="479" t="s">
        <v>338</v>
      </c>
      <c r="W24" s="516" t="s">
        <v>149</v>
      </c>
      <c r="X24" s="471" t="s">
        <v>339</v>
      </c>
      <c r="Y24" s="195"/>
    </row>
    <row r="25" spans="1:25" ht="24" customHeight="1" thickBot="1" x14ac:dyDescent="0.25">
      <c r="A25" s="650" t="s">
        <v>340</v>
      </c>
      <c r="B25" s="651"/>
      <c r="C25" s="651"/>
      <c r="D25" s="651"/>
      <c r="E25" s="651"/>
      <c r="F25" s="652"/>
      <c r="J25" s="195"/>
      <c r="T25" s="661"/>
      <c r="U25" s="495" t="s">
        <v>305</v>
      </c>
      <c r="V25" s="479" t="s">
        <v>341</v>
      </c>
      <c r="W25" s="516" t="s">
        <v>149</v>
      </c>
      <c r="X25" s="471" t="s">
        <v>342</v>
      </c>
      <c r="Y25" s="195"/>
    </row>
    <row r="26" spans="1:25" ht="66" customHeight="1" thickBot="1" x14ac:dyDescent="0.25">
      <c r="A26" s="302" t="s">
        <v>343</v>
      </c>
      <c r="B26" s="321" t="s">
        <v>344</v>
      </c>
      <c r="C26" s="303" t="s">
        <v>345</v>
      </c>
      <c r="D26" s="322" t="s">
        <v>346</v>
      </c>
      <c r="E26" s="321" t="s">
        <v>347</v>
      </c>
      <c r="F26" s="303" t="s">
        <v>348</v>
      </c>
      <c r="J26" s="195"/>
      <c r="T26" s="669" t="s">
        <v>349</v>
      </c>
      <c r="U26" s="670"/>
      <c r="V26" s="480" t="s">
        <v>350</v>
      </c>
      <c r="W26" s="518" t="s">
        <v>149</v>
      </c>
      <c r="X26" s="471"/>
      <c r="Y26" s="195"/>
    </row>
    <row r="27" spans="1:25" ht="15" customHeight="1" x14ac:dyDescent="0.2">
      <c r="A27" s="323" t="s">
        <v>318</v>
      </c>
      <c r="B27" s="324" t="s">
        <v>319</v>
      </c>
      <c r="C27" s="175" t="s">
        <v>351</v>
      </c>
      <c r="D27" s="325">
        <v>2</v>
      </c>
      <c r="E27" s="326">
        <v>0</v>
      </c>
      <c r="F27" s="327">
        <v>1</v>
      </c>
      <c r="J27" s="195"/>
      <c r="T27" s="669" t="s">
        <v>352</v>
      </c>
      <c r="U27" s="670" t="s">
        <v>353</v>
      </c>
      <c r="V27" s="481" t="s">
        <v>354</v>
      </c>
      <c r="W27" s="514" t="str">
        <f ca="1">_xlfn.FORMULATEXT(E19)</f>
        <v>=$D19*1.5</v>
      </c>
      <c r="X27" s="471" t="s">
        <v>355</v>
      </c>
      <c r="Y27" s="195"/>
    </row>
    <row r="28" spans="1:25" ht="17" x14ac:dyDescent="0.2">
      <c r="A28" s="328" t="s">
        <v>318</v>
      </c>
      <c r="B28" s="329" t="s">
        <v>323</v>
      </c>
      <c r="C28" s="178" t="s">
        <v>12</v>
      </c>
      <c r="D28" s="352">
        <v>4</v>
      </c>
      <c r="E28" s="331">
        <v>7</v>
      </c>
      <c r="F28" s="353">
        <v>3</v>
      </c>
      <c r="J28" s="195"/>
      <c r="T28" s="669" t="s">
        <v>356</v>
      </c>
      <c r="U28" s="670" t="s">
        <v>357</v>
      </c>
      <c r="V28" s="477" t="s">
        <v>358</v>
      </c>
      <c r="W28" s="514" t="str">
        <f ca="1">_xlfn.FORMULATEXT(F19)</f>
        <v>=$D19*2</v>
      </c>
      <c r="X28" s="471" t="s">
        <v>359</v>
      </c>
      <c r="Y28" s="195"/>
    </row>
    <row r="29" spans="1:25" ht="17" x14ac:dyDescent="0.2">
      <c r="A29" s="328" t="s">
        <v>318</v>
      </c>
      <c r="B29" s="329" t="s">
        <v>323</v>
      </c>
      <c r="C29" s="178" t="s">
        <v>13</v>
      </c>
      <c r="D29" s="354">
        <f>$D28</f>
        <v>4</v>
      </c>
      <c r="E29" s="331">
        <v>11</v>
      </c>
      <c r="F29" s="294">
        <f>$F28</f>
        <v>3</v>
      </c>
      <c r="J29" s="195"/>
      <c r="T29" s="671" t="s">
        <v>360</v>
      </c>
      <c r="U29" s="672"/>
      <c r="V29" s="477" t="s">
        <v>361</v>
      </c>
      <c r="W29" s="518" t="s">
        <v>149</v>
      </c>
      <c r="X29" s="471"/>
      <c r="Y29" s="195"/>
    </row>
    <row r="30" spans="1:25" ht="17" x14ac:dyDescent="0.2">
      <c r="A30" s="52" t="s">
        <v>327</v>
      </c>
      <c r="B30" s="329" t="s">
        <v>328</v>
      </c>
      <c r="C30" s="178" t="s">
        <v>351</v>
      </c>
      <c r="D30" s="330">
        <v>2</v>
      </c>
      <c r="E30" s="333">
        <v>0</v>
      </c>
      <c r="F30" s="332">
        <v>1</v>
      </c>
      <c r="J30" s="195"/>
      <c r="T30" s="673"/>
      <c r="U30" s="674"/>
      <c r="V30" s="477" t="s">
        <v>362</v>
      </c>
      <c r="W30" s="514" t="str">
        <f ca="1">_xlfn.FORMULATEXT(D29)</f>
        <v>=$D28</v>
      </c>
      <c r="X30" s="471" t="s">
        <v>363</v>
      </c>
      <c r="Y30" s="195"/>
    </row>
    <row r="31" spans="1:25" ht="29.75" customHeight="1" x14ac:dyDescent="0.2">
      <c r="A31" s="52" t="s">
        <v>327</v>
      </c>
      <c r="B31" s="329" t="s">
        <v>332</v>
      </c>
      <c r="C31" s="178" t="s">
        <v>351</v>
      </c>
      <c r="D31" s="330">
        <v>2</v>
      </c>
      <c r="E31" s="333">
        <v>0</v>
      </c>
      <c r="F31" s="332">
        <v>1</v>
      </c>
      <c r="J31" s="195"/>
      <c r="T31" s="671" t="s">
        <v>364</v>
      </c>
      <c r="U31" s="672"/>
      <c r="V31" s="477" t="s">
        <v>365</v>
      </c>
      <c r="W31" s="518" t="s">
        <v>149</v>
      </c>
      <c r="X31" s="471" t="s">
        <v>366</v>
      </c>
      <c r="Y31" s="195"/>
    </row>
    <row r="32" spans="1:25" ht="28.25" customHeight="1" x14ac:dyDescent="0.2">
      <c r="A32" s="52" t="s">
        <v>327</v>
      </c>
      <c r="B32" s="329" t="s">
        <v>334</v>
      </c>
      <c r="C32" s="178" t="s">
        <v>351</v>
      </c>
      <c r="D32" s="330">
        <v>2</v>
      </c>
      <c r="E32" s="333">
        <v>0</v>
      </c>
      <c r="F32" s="332">
        <v>1</v>
      </c>
      <c r="J32" s="195"/>
      <c r="T32" s="673"/>
      <c r="U32" s="674"/>
      <c r="V32" s="477" t="s">
        <v>367</v>
      </c>
      <c r="W32" s="514" t="str">
        <f ca="1">_xlfn.FORMULATEXT(F29)</f>
        <v>=$F28</v>
      </c>
      <c r="X32" s="471" t="s">
        <v>363</v>
      </c>
      <c r="Y32" s="195"/>
    </row>
    <row r="33" spans="1:25" ht="18" thickBot="1" x14ac:dyDescent="0.25">
      <c r="A33" s="57" t="s">
        <v>327</v>
      </c>
      <c r="B33" s="334" t="s">
        <v>336</v>
      </c>
      <c r="C33" s="182" t="s">
        <v>351</v>
      </c>
      <c r="D33" s="335">
        <v>2</v>
      </c>
      <c r="E33" s="336">
        <v>0</v>
      </c>
      <c r="F33" s="337">
        <v>1</v>
      </c>
      <c r="J33" s="195"/>
      <c r="T33" s="669" t="s">
        <v>368</v>
      </c>
      <c r="U33" s="670"/>
      <c r="V33" s="494" t="s">
        <v>369</v>
      </c>
      <c r="W33" s="518" t="s">
        <v>149</v>
      </c>
      <c r="X33" s="471" t="s">
        <v>370</v>
      </c>
      <c r="Y33" s="195"/>
    </row>
    <row r="34" spans="1:25" ht="53" customHeight="1" thickBot="1" x14ac:dyDescent="0.25">
      <c r="A34" s="196"/>
      <c r="B34" s="197"/>
      <c r="C34" s="197"/>
      <c r="D34" s="197"/>
      <c r="E34" s="197"/>
      <c r="F34" s="197"/>
      <c r="G34" s="197"/>
      <c r="H34" s="197"/>
      <c r="I34" s="197"/>
      <c r="J34" s="198"/>
      <c r="T34" s="669"/>
      <c r="U34" s="670"/>
      <c r="V34" s="494" t="s">
        <v>371</v>
      </c>
      <c r="W34" s="514" t="str">
        <f ca="1">_xlfn.FORMULATEXT(O5)</f>
        <v>=TEXT($M5,"mmm-yy")</v>
      </c>
      <c r="X34" s="471" t="s">
        <v>372</v>
      </c>
      <c r="Y34" s="195"/>
    </row>
    <row r="35" spans="1:25" ht="12" customHeight="1" thickBot="1" x14ac:dyDescent="0.25">
      <c r="T35" s="667" t="s">
        <v>373</v>
      </c>
      <c r="U35" s="668"/>
      <c r="V35" s="494" t="s">
        <v>374</v>
      </c>
      <c r="W35" s="514" t="str">
        <f ca="1">_xlfn.FORMULATEXT(C40)</f>
        <v>=$C10*$H$10</v>
      </c>
      <c r="X35" s="471" t="s">
        <v>375</v>
      </c>
      <c r="Y35" s="195"/>
    </row>
    <row r="36" spans="1:25" ht="52" thickBot="1" x14ac:dyDescent="0.25">
      <c r="A36" s="634" t="s">
        <v>376</v>
      </c>
      <c r="B36" s="635"/>
      <c r="C36" s="635"/>
      <c r="D36" s="635"/>
      <c r="E36" s="635"/>
      <c r="F36" s="635"/>
      <c r="G36" s="635"/>
      <c r="H36" s="635"/>
      <c r="I36" s="635"/>
      <c r="J36" s="635"/>
      <c r="K36" s="635"/>
      <c r="L36" s="635"/>
      <c r="M36" s="635"/>
      <c r="N36" s="635"/>
      <c r="O36" s="635"/>
      <c r="P36" s="636"/>
      <c r="T36" s="667" t="s">
        <v>377</v>
      </c>
      <c r="U36" s="668"/>
      <c r="V36" s="494" t="s">
        <v>378</v>
      </c>
      <c r="W36" s="514" t="str">
        <f ca="1">_xlfn.FORMULATEXT(D40)</f>
        <v>=SUMIFS($H$48:$H$54,$A$48:$A$54,$A40,$C$48:$C$54,$B$42)+SUMIFS($H$48:$H$54,$A$48:$A$54,$A40,$C$48:$C$54,$B40)</v>
      </c>
      <c r="X36" s="471" t="s">
        <v>379</v>
      </c>
      <c r="Y36" s="195"/>
    </row>
    <row r="37" spans="1:25" ht="35" thickBot="1" x14ac:dyDescent="0.25">
      <c r="A37" s="285"/>
      <c r="B37" s="191"/>
      <c r="C37" s="191"/>
      <c r="D37" s="191"/>
      <c r="E37" s="191"/>
      <c r="F37" s="191"/>
      <c r="G37" s="191"/>
      <c r="H37" s="191"/>
      <c r="I37" s="191"/>
      <c r="J37" s="191"/>
      <c r="K37" s="191"/>
      <c r="L37" s="191"/>
      <c r="M37" s="191"/>
      <c r="N37" s="191"/>
      <c r="O37" s="191"/>
      <c r="P37" s="192"/>
      <c r="T37" s="667" t="s">
        <v>380</v>
      </c>
      <c r="U37" s="668"/>
      <c r="V37" s="494" t="s">
        <v>381</v>
      </c>
      <c r="W37" s="514" t="str">
        <f ca="1">_xlfn.FORMULATEXT(E40)</f>
        <v>=$C40/$D40</v>
      </c>
      <c r="X37" s="471" t="s">
        <v>382</v>
      </c>
      <c r="Y37" s="195"/>
    </row>
    <row r="38" spans="1:25" ht="45.5" customHeight="1" thickBot="1" x14ac:dyDescent="0.25">
      <c r="A38" s="650" t="s">
        <v>383</v>
      </c>
      <c r="B38" s="651"/>
      <c r="C38" s="651"/>
      <c r="D38" s="651"/>
      <c r="E38" s="652"/>
      <c r="G38" s="676" t="s">
        <v>384</v>
      </c>
      <c r="H38" s="677"/>
      <c r="P38" s="195"/>
      <c r="T38" s="667" t="s">
        <v>385</v>
      </c>
      <c r="U38" s="493" t="s">
        <v>10</v>
      </c>
      <c r="V38" s="494" t="s">
        <v>386</v>
      </c>
      <c r="W38" s="514" t="str">
        <f ca="1">_xlfn.FORMULATEXT(H39)</f>
        <v>=$D$19*$D$7*($B$10+$B$11)</v>
      </c>
      <c r="X38" s="684" t="s">
        <v>387</v>
      </c>
      <c r="Y38" s="195"/>
    </row>
    <row r="39" spans="1:25" ht="35" thickBot="1" x14ac:dyDescent="0.25">
      <c r="A39" s="286" t="s">
        <v>343</v>
      </c>
      <c r="B39" s="338" t="s">
        <v>345</v>
      </c>
      <c r="C39" s="302" t="s">
        <v>373</v>
      </c>
      <c r="D39" s="321" t="s">
        <v>377</v>
      </c>
      <c r="E39" s="303" t="s">
        <v>380</v>
      </c>
      <c r="G39" s="140" t="s">
        <v>10</v>
      </c>
      <c r="H39" s="148">
        <f>$D$19*$D$7*($B$10+$B$11)</f>
        <v>1560</v>
      </c>
      <c r="P39" s="195"/>
      <c r="T39" s="667"/>
      <c r="U39" s="493" t="s">
        <v>11</v>
      </c>
      <c r="V39" s="494" t="s">
        <v>388</v>
      </c>
      <c r="W39" s="514" t="str">
        <f t="shared" ref="W39:W41" ca="1" si="2">_xlfn.FORMULATEXT(H40)</f>
        <v>=$E$19*$E$7*($B$10+$B$11)</v>
      </c>
      <c r="X39" s="685"/>
      <c r="Y39" s="195"/>
    </row>
    <row r="40" spans="1:25" ht="17" x14ac:dyDescent="0.2">
      <c r="A40" s="46" t="s">
        <v>318</v>
      </c>
      <c r="B40" s="154" t="s">
        <v>12</v>
      </c>
      <c r="C40" s="339">
        <f>$C10*$H$10</f>
        <v>208</v>
      </c>
      <c r="D40" s="340">
        <f>SUMIFS($H$48:$H$54,$A$48:$A$54,$A40,$C$48:$C$54,$B$42)+SUMIFS($H$48:$H$54,$A$48:$A$54,$A40,$C$48:$C$54,$B40)</f>
        <v>13</v>
      </c>
      <c r="E40" s="341">
        <f>$C40/$D40</f>
        <v>16</v>
      </c>
      <c r="G40" s="141" t="s">
        <v>11</v>
      </c>
      <c r="H40" s="149">
        <f>$E$19*$E$7*($B$10+$B$11)</f>
        <v>936</v>
      </c>
      <c r="P40" s="195"/>
      <c r="T40" s="667"/>
      <c r="U40" s="493" t="s">
        <v>137</v>
      </c>
      <c r="V40" s="494" t="s">
        <v>389</v>
      </c>
      <c r="W40" s="514" t="str">
        <f t="shared" ca="1" si="2"/>
        <v>=$F$19*$F$7*($B$10+$B$11)</v>
      </c>
      <c r="X40" s="685"/>
      <c r="Y40" s="195"/>
    </row>
    <row r="41" spans="1:25" ht="17" x14ac:dyDescent="0.2">
      <c r="A41" s="52" t="s">
        <v>318</v>
      </c>
      <c r="B41" s="155" t="s">
        <v>13</v>
      </c>
      <c r="C41" s="342">
        <f>($C11*$H$10)</f>
        <v>260</v>
      </c>
      <c r="D41" s="66">
        <f>SUMIFS($H$48:$H$54,$A$48:$A$54,$A41,$C$48:$C$54,$B$42)+SUMIFS($H$48:$H$54,$A$48:$A$54,$A41,$C$48:$C$54,$B41)</f>
        <v>17</v>
      </c>
      <c r="E41" s="67">
        <f>$C41/$D41</f>
        <v>15.294117647058824</v>
      </c>
      <c r="G41" s="141" t="s">
        <v>137</v>
      </c>
      <c r="H41" s="149">
        <f>$F$19*$F$7*($B$10+$B$11)</f>
        <v>468</v>
      </c>
      <c r="P41" s="195"/>
      <c r="T41" s="667"/>
      <c r="U41" s="493" t="s">
        <v>320</v>
      </c>
      <c r="V41" s="494" t="s">
        <v>390</v>
      </c>
      <c r="W41" s="514" t="str">
        <f t="shared" ca="1" si="2"/>
        <v>=SUM(H39:H41)</v>
      </c>
      <c r="X41" s="685"/>
      <c r="Y41" s="195"/>
    </row>
    <row r="42" spans="1:25" ht="52" thickBot="1" x14ac:dyDescent="0.25">
      <c r="A42" s="57" t="s">
        <v>327</v>
      </c>
      <c r="B42" s="156" t="s">
        <v>351</v>
      </c>
      <c r="C42" s="44">
        <f>MAX(C40:C41)</f>
        <v>260</v>
      </c>
      <c r="D42" s="44">
        <f>SUMIFS($H$48:$H$54,$A$48:$A$54,$A42,$C$48:$C$54,$B$42)</f>
        <v>8</v>
      </c>
      <c r="E42" s="72">
        <f>$C42/$D42</f>
        <v>32.5</v>
      </c>
      <c r="G42" s="142" t="s">
        <v>320</v>
      </c>
      <c r="H42" s="150">
        <f>SUM(H39:H41)</f>
        <v>2964</v>
      </c>
      <c r="P42" s="195"/>
      <c r="T42" s="667"/>
      <c r="U42" s="493" t="s">
        <v>391</v>
      </c>
      <c r="V42" s="494" t="s">
        <v>392</v>
      </c>
      <c r="W42" s="514" t="str">
        <f ca="1">_xlfn.FORMULATEXT(G43)</f>
        <v>=IF($H$42&lt;$C$19,"Part-Timer pay is acceptable","Part-timer pay is higher than Full-timers, Review Part-timer pay")</v>
      </c>
      <c r="X42" s="686"/>
      <c r="Y42" s="195"/>
    </row>
    <row r="43" spans="1:25" ht="29" customHeight="1" x14ac:dyDescent="0.2">
      <c r="A43" s="193"/>
      <c r="G43" s="625" t="str">
        <f>IF($H$42&lt;$C$19,"Part-Timer pay is acceptable","Part-timer pay is higher than Full-timers, Review Part-timer pay")</f>
        <v>Part-Timer pay is acceptable</v>
      </c>
      <c r="H43" s="625"/>
      <c r="P43" s="195"/>
      <c r="T43" s="687" t="s">
        <v>393</v>
      </c>
      <c r="U43" s="508" t="s">
        <v>394</v>
      </c>
      <c r="V43" s="477" t="s">
        <v>395</v>
      </c>
      <c r="W43" s="514" t="str">
        <f ca="1">_xlfn.FORMULATEXT(D48)</f>
        <v>=$D27</v>
      </c>
      <c r="X43" s="497"/>
      <c r="Y43" s="195"/>
    </row>
    <row r="44" spans="1:25" ht="18" thickBot="1" x14ac:dyDescent="0.25">
      <c r="A44" s="193"/>
      <c r="P44" s="195"/>
      <c r="T44" s="688"/>
      <c r="U44" s="493" t="s">
        <v>396</v>
      </c>
      <c r="V44" s="477" t="s">
        <v>397</v>
      </c>
      <c r="W44" s="514" t="str">
        <f ca="1">_xlfn.FORMULATEXT(E48)</f>
        <v>=D48*$D$14</v>
      </c>
      <c r="X44" s="496" t="s">
        <v>398</v>
      </c>
      <c r="Y44" s="195"/>
    </row>
    <row r="45" spans="1:25" ht="22.25" customHeight="1" thickBot="1" x14ac:dyDescent="0.25">
      <c r="A45" s="664" t="s">
        <v>399</v>
      </c>
      <c r="B45" s="665"/>
      <c r="C45" s="665"/>
      <c r="D45" s="665"/>
      <c r="E45" s="665"/>
      <c r="F45" s="665"/>
      <c r="G45" s="665"/>
      <c r="H45" s="665"/>
      <c r="I45" s="665"/>
      <c r="J45" s="666"/>
      <c r="K45" s="592" t="s">
        <v>400</v>
      </c>
      <c r="L45" s="593"/>
      <c r="M45" s="593"/>
      <c r="N45" s="593"/>
      <c r="O45" s="594"/>
      <c r="P45" s="195"/>
      <c r="T45" s="688"/>
      <c r="U45" s="493" t="s">
        <v>401</v>
      </c>
      <c r="V45" s="472" t="s">
        <v>402</v>
      </c>
      <c r="W45" s="514" t="str">
        <f ca="1">_xlfn.FORMULATEXT(F49)</f>
        <v>=$E28</v>
      </c>
      <c r="X45" s="496"/>
      <c r="Y45" s="195"/>
    </row>
    <row r="46" spans="1:25" ht="52.25" customHeight="1" x14ac:dyDescent="0.2">
      <c r="A46" s="595" t="s">
        <v>343</v>
      </c>
      <c r="B46" s="597" t="s">
        <v>344</v>
      </c>
      <c r="C46" s="599" t="s">
        <v>345</v>
      </c>
      <c r="D46" s="601" t="s">
        <v>346</v>
      </c>
      <c r="E46" s="603" t="s">
        <v>396</v>
      </c>
      <c r="F46" s="603" t="s">
        <v>347</v>
      </c>
      <c r="G46" s="603" t="s">
        <v>403</v>
      </c>
      <c r="H46" s="605" t="s">
        <v>320</v>
      </c>
      <c r="I46" s="597" t="s">
        <v>404</v>
      </c>
      <c r="J46" s="599" t="s">
        <v>405</v>
      </c>
      <c r="K46" s="607" t="s">
        <v>406</v>
      </c>
      <c r="L46" s="609" t="s">
        <v>407</v>
      </c>
      <c r="M46" s="610"/>
      <c r="N46" s="611"/>
      <c r="O46" s="612" t="s">
        <v>261</v>
      </c>
      <c r="P46" s="195"/>
      <c r="T46" s="688"/>
      <c r="U46" s="493" t="s">
        <v>403</v>
      </c>
      <c r="V46" s="477" t="s">
        <v>408</v>
      </c>
      <c r="W46" s="514" t="str">
        <f ca="1">_xlfn.FORMULATEXT(G48)</f>
        <v>=SUM($E48,$F48)</v>
      </c>
      <c r="X46" s="496"/>
      <c r="Y46" s="195"/>
    </row>
    <row r="47" spans="1:25" ht="18" thickBot="1" x14ac:dyDescent="0.25">
      <c r="A47" s="596"/>
      <c r="B47" s="598"/>
      <c r="C47" s="600"/>
      <c r="D47" s="602"/>
      <c r="E47" s="604" t="s">
        <v>409</v>
      </c>
      <c r="F47" s="604"/>
      <c r="G47" s="604"/>
      <c r="H47" s="606"/>
      <c r="I47" s="598"/>
      <c r="J47" s="600"/>
      <c r="K47" s="608"/>
      <c r="L47" s="343" t="s">
        <v>10</v>
      </c>
      <c r="M47" s="344" t="s">
        <v>11</v>
      </c>
      <c r="N47" s="345" t="s">
        <v>137</v>
      </c>
      <c r="O47" s="613"/>
      <c r="P47" s="195"/>
      <c r="T47" s="688"/>
      <c r="U47" s="493" t="s">
        <v>320</v>
      </c>
      <c r="V47" s="477" t="s">
        <v>410</v>
      </c>
      <c r="W47" s="514" t="str">
        <f ca="1">_xlfn.FORMULATEXT(H48)</f>
        <v>=SUM($D48,$F48)</v>
      </c>
      <c r="X47" s="496"/>
      <c r="Y47" s="195"/>
    </row>
    <row r="48" spans="1:25" ht="14.75" customHeight="1" x14ac:dyDescent="0.2">
      <c r="A48" s="173" t="s">
        <v>318</v>
      </c>
      <c r="B48" s="174" t="s">
        <v>319</v>
      </c>
      <c r="C48" s="175" t="s">
        <v>351</v>
      </c>
      <c r="D48" s="346">
        <f t="shared" ref="D48:D54" si="3">$D27</f>
        <v>2</v>
      </c>
      <c r="E48" s="355">
        <f t="shared" ref="E48:E54" si="4">D48*$D$14</f>
        <v>1.7142857142857142</v>
      </c>
      <c r="F48" s="36"/>
      <c r="G48" s="356">
        <f t="shared" ref="G48:G54" si="5">SUM($E48,$F48)</f>
        <v>1.7142857142857142</v>
      </c>
      <c r="H48" s="164">
        <f t="shared" ref="H48:H54" si="6">SUM($D48,$F48)</f>
        <v>2</v>
      </c>
      <c r="I48" s="176">
        <v>0</v>
      </c>
      <c r="J48" s="37" cm="1">
        <f t="array" ref="J48">SUM($G48:$G48/SUM($G$48:$G$54))</f>
        <v>5.1282051282051273E-2</v>
      </c>
      <c r="K48" s="38">
        <f>$D48*VLOOKUP($B48,$B$18:$C$23,2,FALSE)</f>
        <v>7500</v>
      </c>
      <c r="L48" s="39"/>
      <c r="M48" s="39"/>
      <c r="N48" s="40"/>
      <c r="O48" s="245">
        <f>SUM(K48:N48)</f>
        <v>7500</v>
      </c>
      <c r="P48" s="195"/>
      <c r="T48" s="688"/>
      <c r="U48" s="668" t="s">
        <v>405</v>
      </c>
      <c r="V48" s="472" t="s">
        <v>411</v>
      </c>
      <c r="W48" s="519" t="str">
        <f ca="1">_xlfn.FORMULATEXT(J48)</f>
        <v>=SUM($G48:$G48/SUM($G$48:$G$54))</v>
      </c>
      <c r="X48" s="496"/>
      <c r="Y48" s="195"/>
    </row>
    <row r="49" spans="1:25" ht="14.75" customHeight="1" x14ac:dyDescent="0.2">
      <c r="A49" s="177" t="s">
        <v>318</v>
      </c>
      <c r="B49" s="161" t="s">
        <v>323</v>
      </c>
      <c r="C49" s="178" t="s">
        <v>12</v>
      </c>
      <c r="D49" s="346">
        <f t="shared" si="3"/>
        <v>4</v>
      </c>
      <c r="E49" s="66">
        <f t="shared" si="4"/>
        <v>3.4285714285714284</v>
      </c>
      <c r="F49" s="66">
        <f>$E28</f>
        <v>7</v>
      </c>
      <c r="G49" s="356">
        <f t="shared" si="5"/>
        <v>10.428571428571429</v>
      </c>
      <c r="H49" s="164">
        <f t="shared" si="6"/>
        <v>11</v>
      </c>
      <c r="I49" s="179">
        <f>$F49/($D49+$D$48)</f>
        <v>1.1666666666666667</v>
      </c>
      <c r="J49" s="621" cm="1">
        <f t="array" ref="J49">SUM($G49:$G50/SUM($G$48:$G$54))</f>
        <v>0.74358974358974361</v>
      </c>
      <c r="K49" s="623">
        <f>$D49*VLOOKUP($B49,$B$18:$C$23,2,FALSE)</f>
        <v>12000</v>
      </c>
      <c r="L49" s="42">
        <f>HLOOKUP(L$47,$D$17:$F$19,3,FALSE)*$F49*VLOOKUP($C49,$A$10:$B$11,2,FALSE)*$D$7</f>
        <v>4200</v>
      </c>
      <c r="M49" s="42">
        <f>HLOOKUP(M$47,$D$17:$F$19,3,FALSE)*$F49*VLOOKUP($C49,$A$10:$B$11,2,FALSE)*$E$7</f>
        <v>2520</v>
      </c>
      <c r="N49" s="43">
        <f>HLOOKUP(N$47,$D$17:$F$19,3,FALSE)*$F49*VLOOKUP($C49,$A$10:$B$11,2,FALSE)*$F$7</f>
        <v>1260</v>
      </c>
      <c r="O49" s="590">
        <f>SUM(K49:N50)</f>
        <v>40044</v>
      </c>
      <c r="P49" s="195"/>
      <c r="T49" s="689"/>
      <c r="U49" s="668"/>
      <c r="V49" s="472" t="s">
        <v>412</v>
      </c>
      <c r="W49" s="519" t="str">
        <f ca="1">_xlfn.FORMULATEXT(J49)</f>
        <v>=SUM($G49:$G50/SUM($G$48:$G$54))</v>
      </c>
      <c r="X49" s="496"/>
      <c r="Y49" s="195"/>
    </row>
    <row r="50" spans="1:25" ht="18" thickBot="1" x14ac:dyDescent="0.25">
      <c r="A50" s="180" t="s">
        <v>318</v>
      </c>
      <c r="B50" s="181" t="s">
        <v>323</v>
      </c>
      <c r="C50" s="182" t="s">
        <v>13</v>
      </c>
      <c r="D50" s="346">
        <f t="shared" si="3"/>
        <v>4</v>
      </c>
      <c r="E50" s="44">
        <f t="shared" si="4"/>
        <v>3.4285714285714284</v>
      </c>
      <c r="F50" s="44">
        <f>$E29</f>
        <v>11</v>
      </c>
      <c r="G50" s="357">
        <f t="shared" si="5"/>
        <v>14.428571428571429</v>
      </c>
      <c r="H50" s="187">
        <f t="shared" si="6"/>
        <v>15</v>
      </c>
      <c r="I50" s="358">
        <f>$F50/($D50+$D$48)</f>
        <v>1.8333333333333333</v>
      </c>
      <c r="J50" s="622"/>
      <c r="K50" s="624"/>
      <c r="L50" s="42">
        <f>HLOOKUP(L$47,$D$17:$F$19,3,FALSE)*$F50*VLOOKUP($C50,$A$10:$B$11,2,FALSE)*$D$7</f>
        <v>10560</v>
      </c>
      <c r="M50" s="42">
        <f>HLOOKUP(M$47,$D$17:$F$19,3,FALSE)*$F50*VLOOKUP($C50,$A$10:$B$11,2,FALSE)*$E$7</f>
        <v>6336</v>
      </c>
      <c r="N50" s="43">
        <f>HLOOKUP(N$47,$D$17:$F$19,3,FALSE)*$F50*VLOOKUP($C50,$A$10:$B$11,2,FALSE)*$F$7</f>
        <v>3168</v>
      </c>
      <c r="O50" s="591"/>
      <c r="P50" s="195"/>
      <c r="T50" s="667" t="s">
        <v>413</v>
      </c>
      <c r="U50" s="668"/>
      <c r="V50" s="472" t="s">
        <v>414</v>
      </c>
      <c r="W50" s="519" t="str">
        <f ca="1">_xlfn.FORMULATEXT(K48)</f>
        <v>=$D48*VLOOKUP($B48,$B$18:$C$23,2,FALSE)</v>
      </c>
      <c r="X50" s="496"/>
      <c r="Y50" s="195"/>
    </row>
    <row r="51" spans="1:25" ht="20" customHeight="1" x14ac:dyDescent="0.2">
      <c r="A51" s="157" t="s">
        <v>327</v>
      </c>
      <c r="B51" s="183" t="s">
        <v>328</v>
      </c>
      <c r="C51" s="184" t="s">
        <v>351</v>
      </c>
      <c r="D51" s="359">
        <f t="shared" si="3"/>
        <v>2</v>
      </c>
      <c r="E51" s="360">
        <f t="shared" si="4"/>
        <v>1.7142857142857142</v>
      </c>
      <c r="F51" s="47"/>
      <c r="G51" s="361">
        <f t="shared" si="5"/>
        <v>1.7142857142857142</v>
      </c>
      <c r="H51" s="362">
        <f t="shared" si="6"/>
        <v>2</v>
      </c>
      <c r="I51" s="185">
        <v>0</v>
      </c>
      <c r="J51" s="48" cm="1">
        <f t="array" ref="J51">SUM($G51:$G51/SUM($G$48:$G$54))</f>
        <v>5.1282051282051273E-2</v>
      </c>
      <c r="K51" s="49">
        <f>$D51*VLOOKUP($B51,$B$18:$C$23,2,FALSE)</f>
        <v>7200</v>
      </c>
      <c r="L51" s="50"/>
      <c r="M51" s="50"/>
      <c r="N51" s="51"/>
      <c r="O51" s="246">
        <f>SUM(K51:N51)</f>
        <v>7200</v>
      </c>
      <c r="P51" s="195"/>
      <c r="T51" s="667"/>
      <c r="U51" s="668"/>
      <c r="V51" s="472" t="s">
        <v>415</v>
      </c>
      <c r="W51" s="519" t="str">
        <f ca="1">_xlfn.FORMULATEXT(K49)</f>
        <v>=$D49*VLOOKUP($B49,$B$18:$C$23,2,FALSE)</v>
      </c>
      <c r="X51" s="496"/>
      <c r="Y51" s="195"/>
    </row>
    <row r="52" spans="1:25" ht="34" x14ac:dyDescent="0.2">
      <c r="A52" s="146" t="s">
        <v>327</v>
      </c>
      <c r="B52" s="161" t="s">
        <v>332</v>
      </c>
      <c r="C52" s="178" t="s">
        <v>351</v>
      </c>
      <c r="D52" s="346">
        <f t="shared" si="3"/>
        <v>2</v>
      </c>
      <c r="E52" s="355">
        <f t="shared" si="4"/>
        <v>1.7142857142857142</v>
      </c>
      <c r="F52" s="53"/>
      <c r="G52" s="356">
        <f t="shared" si="5"/>
        <v>1.7142857142857142</v>
      </c>
      <c r="H52" s="164">
        <f t="shared" si="6"/>
        <v>2</v>
      </c>
      <c r="I52" s="186">
        <v>0</v>
      </c>
      <c r="J52" s="41" cm="1">
        <f t="array" ref="J52">SUM($G52:$G52/SUM($G$48:$G$54))</f>
        <v>5.1282051282051273E-2</v>
      </c>
      <c r="K52" s="54">
        <f>$D52*VLOOKUP($B52,$B$18:$C$23,2,FALSE)</f>
        <v>6000</v>
      </c>
      <c r="L52" s="55"/>
      <c r="M52" s="55"/>
      <c r="N52" s="56"/>
      <c r="O52" s="246">
        <f>SUM(K52:N52)</f>
        <v>6000</v>
      </c>
      <c r="P52" s="195"/>
      <c r="T52" s="667" t="s">
        <v>416</v>
      </c>
      <c r="U52" s="493" t="s">
        <v>10</v>
      </c>
      <c r="V52" s="472" t="s">
        <v>417</v>
      </c>
      <c r="W52" s="519" t="str">
        <f ca="1">_xlfn.FORMULATEXT(L49)</f>
        <v>=HLOOKUP(L$47,$D$17:$F$19,3,FALSE)*$F49*VLOOKUP($C49,$A$10:$B$11,2,FALSE)*$D$7</v>
      </c>
      <c r="X52" s="496"/>
      <c r="Y52" s="195"/>
    </row>
    <row r="53" spans="1:25" ht="34" x14ac:dyDescent="0.2">
      <c r="A53" s="146" t="s">
        <v>327</v>
      </c>
      <c r="B53" s="161" t="s">
        <v>334</v>
      </c>
      <c r="C53" s="178" t="s">
        <v>351</v>
      </c>
      <c r="D53" s="346">
        <f t="shared" si="3"/>
        <v>2</v>
      </c>
      <c r="E53" s="355">
        <f t="shared" si="4"/>
        <v>1.7142857142857142</v>
      </c>
      <c r="F53" s="53"/>
      <c r="G53" s="356">
        <f t="shared" si="5"/>
        <v>1.7142857142857142</v>
      </c>
      <c r="H53" s="164">
        <f t="shared" si="6"/>
        <v>2</v>
      </c>
      <c r="I53" s="186">
        <v>0</v>
      </c>
      <c r="J53" s="41" cm="1">
        <f t="array" ref="J53">SUM($G53:$G53/SUM($G$48:$G$54))</f>
        <v>5.1282051282051273E-2</v>
      </c>
      <c r="K53" s="54">
        <f>$D53*VLOOKUP($B53,$B$18:$C$23,2,FALSE)</f>
        <v>5000</v>
      </c>
      <c r="L53" s="55"/>
      <c r="M53" s="55"/>
      <c r="N53" s="56"/>
      <c r="O53" s="246">
        <f>SUM(K53:N53)</f>
        <v>5000</v>
      </c>
      <c r="P53" s="195"/>
      <c r="T53" s="667"/>
      <c r="U53" s="493" t="s">
        <v>11</v>
      </c>
      <c r="V53" s="472" t="s">
        <v>418</v>
      </c>
      <c r="W53" s="519" t="str">
        <f ca="1">_xlfn.FORMULATEXT(M49)</f>
        <v>=HLOOKUP(M$47,$D$17:$F$19,3,FALSE)*$F49*VLOOKUP($C49,$A$10:$B$11,2,FALSE)*$E$7</v>
      </c>
      <c r="X53" s="496"/>
      <c r="Y53" s="195"/>
    </row>
    <row r="54" spans="1:25" ht="35" thickBot="1" x14ac:dyDescent="0.25">
      <c r="A54" s="147" t="s">
        <v>327</v>
      </c>
      <c r="B54" s="181" t="s">
        <v>336</v>
      </c>
      <c r="C54" s="182" t="s">
        <v>351</v>
      </c>
      <c r="D54" s="363">
        <f t="shared" si="3"/>
        <v>2</v>
      </c>
      <c r="E54" s="364">
        <f t="shared" si="4"/>
        <v>1.7142857142857142</v>
      </c>
      <c r="F54" s="58"/>
      <c r="G54" s="357">
        <f t="shared" si="5"/>
        <v>1.7142857142857142</v>
      </c>
      <c r="H54" s="187">
        <f t="shared" si="6"/>
        <v>2</v>
      </c>
      <c r="I54" s="188">
        <v>0</v>
      </c>
      <c r="J54" s="45" cm="1">
        <f t="array" ref="J54">SUM($G54:$G54/SUM($G$48:$G$54))</f>
        <v>5.1282051282051273E-2</v>
      </c>
      <c r="K54" s="60">
        <f>$D54*VLOOKUP($B54,$B$18:$C$23,2,FALSE)</f>
        <v>3700</v>
      </c>
      <c r="L54" s="61"/>
      <c r="M54" s="61"/>
      <c r="N54" s="62"/>
      <c r="O54" s="247">
        <f>SUM(K54:N54)</f>
        <v>3700</v>
      </c>
      <c r="P54" s="195"/>
      <c r="T54" s="667"/>
      <c r="U54" s="493" t="s">
        <v>137</v>
      </c>
      <c r="V54" s="472" t="s">
        <v>419</v>
      </c>
      <c r="W54" s="519" t="str">
        <f ca="1">_xlfn.FORMULATEXT(N49)</f>
        <v>=HLOOKUP(N$47,$D$17:$F$19,3,FALSE)*$F49*VLOOKUP($C49,$A$10:$B$11,2,FALSE)*$F$7</v>
      </c>
      <c r="X54" s="496"/>
      <c r="Y54" s="195"/>
    </row>
    <row r="55" spans="1:25" ht="18" thickBot="1" x14ac:dyDescent="0.25">
      <c r="A55" s="193"/>
      <c r="J55" s="86" t="s">
        <v>320</v>
      </c>
      <c r="K55" s="87">
        <f>SUM(K48:K54)</f>
        <v>41400</v>
      </c>
      <c r="L55" s="88">
        <f>SUM(L48:L54)</f>
        <v>14760</v>
      </c>
      <c r="M55" s="88">
        <f>SUM(M48:M54)</f>
        <v>8856</v>
      </c>
      <c r="N55" s="89">
        <f>SUM(N48:N54)</f>
        <v>4428</v>
      </c>
      <c r="O55" s="90">
        <f>SUM(K55:N55)</f>
        <v>69444</v>
      </c>
      <c r="P55" s="195"/>
      <c r="T55" s="667" t="s">
        <v>400</v>
      </c>
      <c r="U55" s="668" t="s">
        <v>261</v>
      </c>
      <c r="V55" s="472" t="s">
        <v>420</v>
      </c>
      <c r="W55" s="519" t="str">
        <f ca="1">_xlfn.FORMULATEXT(O48)</f>
        <v>=SUM(K48:N48)</v>
      </c>
      <c r="X55" s="496"/>
      <c r="Y55" s="195"/>
    </row>
    <row r="56" spans="1:25" ht="18" thickBot="1" x14ac:dyDescent="0.25">
      <c r="A56" s="196"/>
      <c r="B56" s="197"/>
      <c r="C56" s="197"/>
      <c r="D56" s="197"/>
      <c r="E56" s="197"/>
      <c r="F56" s="197"/>
      <c r="G56" s="197"/>
      <c r="H56" s="197"/>
      <c r="I56" s="197"/>
      <c r="J56" s="197"/>
      <c r="K56" s="197"/>
      <c r="L56" s="197"/>
      <c r="M56" s="197"/>
      <c r="N56" s="197"/>
      <c r="O56" s="197"/>
      <c r="P56" s="198"/>
      <c r="T56" s="667"/>
      <c r="U56" s="668"/>
      <c r="V56" s="472" t="s">
        <v>421</v>
      </c>
      <c r="W56" s="519" t="str">
        <f ca="1">_xlfn.FORMULATEXT(O49)</f>
        <v>=SUM(K49:N50)</v>
      </c>
      <c r="X56" s="496"/>
      <c r="Y56" s="195"/>
    </row>
    <row r="57" spans="1:25" ht="17" x14ac:dyDescent="0.2">
      <c r="T57" s="667"/>
      <c r="U57" s="493" t="s">
        <v>320</v>
      </c>
      <c r="V57" s="472" t="s">
        <v>422</v>
      </c>
      <c r="W57" s="519" t="str">
        <f ca="1">_xlfn.FORMULATEXT(K55)</f>
        <v>=SUM(K48:K54)</v>
      </c>
      <c r="Y57" s="195"/>
    </row>
    <row r="58" spans="1:25" ht="17" x14ac:dyDescent="0.2">
      <c r="T58" s="667"/>
      <c r="U58" s="493" t="s">
        <v>423</v>
      </c>
      <c r="V58" s="472" t="s">
        <v>424</v>
      </c>
      <c r="W58" s="519" t="str">
        <f ca="1">_xlfn.FORMULATEXT(O55)</f>
        <v>=SUM(K55:N55)</v>
      </c>
      <c r="X58" s="496"/>
      <c r="Y58" s="195"/>
    </row>
    <row r="59" spans="1:25" x14ac:dyDescent="0.2">
      <c r="T59" s="508"/>
      <c r="U59" s="493"/>
      <c r="V59" s="496"/>
      <c r="W59" s="498"/>
      <c r="X59" s="472"/>
      <c r="Y59" s="195"/>
    </row>
    <row r="60" spans="1:25" x14ac:dyDescent="0.2">
      <c r="T60" s="507"/>
      <c r="Y60" s="195"/>
    </row>
    <row r="61" spans="1:25" x14ac:dyDescent="0.2">
      <c r="T61" s="507"/>
      <c r="Y61" s="195"/>
    </row>
    <row r="62" spans="1:25" x14ac:dyDescent="0.2">
      <c r="T62" s="506" t="s">
        <v>425</v>
      </c>
      <c r="Y62" s="195"/>
    </row>
    <row r="63" spans="1:25" x14ac:dyDescent="0.2">
      <c r="T63" s="509" t="s">
        <v>426</v>
      </c>
      <c r="U63" s="475" t="s">
        <v>427</v>
      </c>
      <c r="V63" s="475" t="s">
        <v>147</v>
      </c>
      <c r="Y63" s="195"/>
    </row>
    <row r="64" spans="1:25" x14ac:dyDescent="0.2">
      <c r="T64" s="510" t="s">
        <v>428</v>
      </c>
      <c r="U64" s="472" t="s">
        <v>429</v>
      </c>
      <c r="V64" s="679" t="s">
        <v>430</v>
      </c>
      <c r="Y64" s="195"/>
    </row>
    <row r="65" spans="20:25" x14ac:dyDescent="0.2">
      <c r="T65" s="510" t="s">
        <v>431</v>
      </c>
      <c r="U65" s="472" t="s">
        <v>432</v>
      </c>
      <c r="V65" s="680"/>
      <c r="Y65" s="195"/>
    </row>
    <row r="66" spans="20:25" ht="34" x14ac:dyDescent="0.2">
      <c r="T66" s="510" t="s">
        <v>433</v>
      </c>
      <c r="U66" s="472" t="s">
        <v>434</v>
      </c>
      <c r="V66" s="500" t="s">
        <v>435</v>
      </c>
      <c r="Y66" s="195"/>
    </row>
    <row r="67" spans="20:25" x14ac:dyDescent="0.2">
      <c r="T67" s="681" t="s">
        <v>436</v>
      </c>
      <c r="U67" s="472" t="s">
        <v>437</v>
      </c>
      <c r="V67" s="678" t="s">
        <v>438</v>
      </c>
      <c r="Y67" s="195"/>
    </row>
    <row r="68" spans="20:25" x14ac:dyDescent="0.2">
      <c r="T68" s="682"/>
      <c r="U68" s="472" t="s">
        <v>437</v>
      </c>
      <c r="V68" s="678"/>
      <c r="Y68" s="195"/>
    </row>
    <row r="69" spans="20:25" x14ac:dyDescent="0.2">
      <c r="T69" s="682"/>
      <c r="U69" s="472" t="s">
        <v>439</v>
      </c>
      <c r="V69" s="678" t="s">
        <v>438</v>
      </c>
      <c r="Y69" s="195"/>
    </row>
    <row r="70" spans="20:25" x14ac:dyDescent="0.2">
      <c r="T70" s="682"/>
      <c r="U70" s="472" t="s">
        <v>439</v>
      </c>
      <c r="V70" s="678"/>
      <c r="Y70" s="195"/>
    </row>
    <row r="71" spans="20:25" x14ac:dyDescent="0.2">
      <c r="T71" s="682"/>
      <c r="U71" s="472" t="s">
        <v>440</v>
      </c>
      <c r="V71" s="678" t="s">
        <v>441</v>
      </c>
      <c r="Y71" s="195"/>
    </row>
    <row r="72" spans="20:25" x14ac:dyDescent="0.2">
      <c r="T72" s="682"/>
      <c r="U72" s="472" t="s">
        <v>442</v>
      </c>
      <c r="V72" s="678"/>
      <c r="Y72" s="195"/>
    </row>
    <row r="73" spans="20:25" x14ac:dyDescent="0.2">
      <c r="T73" s="682"/>
      <c r="U73" s="472" t="s">
        <v>443</v>
      </c>
      <c r="V73" s="678"/>
      <c r="Y73" s="195"/>
    </row>
    <row r="74" spans="20:25" x14ac:dyDescent="0.2">
      <c r="T74" s="682"/>
      <c r="U74" s="472" t="s">
        <v>444</v>
      </c>
      <c r="V74" s="678"/>
      <c r="Y74" s="195"/>
    </row>
    <row r="75" spans="20:25" ht="68" x14ac:dyDescent="0.2">
      <c r="T75" s="682"/>
      <c r="U75" s="472" t="s">
        <v>445</v>
      </c>
      <c r="V75" s="500" t="s">
        <v>446</v>
      </c>
      <c r="Y75" s="195"/>
    </row>
    <row r="76" spans="20:25" ht="51" x14ac:dyDescent="0.2">
      <c r="T76" s="682"/>
      <c r="U76" s="472" t="s">
        <v>447</v>
      </c>
      <c r="V76" s="500" t="s">
        <v>448</v>
      </c>
      <c r="Y76" s="195"/>
    </row>
    <row r="77" spans="20:25" ht="34" x14ac:dyDescent="0.2">
      <c r="T77" s="683"/>
      <c r="U77" s="472" t="s">
        <v>449</v>
      </c>
      <c r="V77" s="500" t="s">
        <v>450</v>
      </c>
      <c r="Y77" s="195"/>
    </row>
    <row r="78" spans="20:25" x14ac:dyDescent="0.2">
      <c r="T78" s="511" t="s">
        <v>451</v>
      </c>
      <c r="U78" s="472" t="s">
        <v>452</v>
      </c>
      <c r="V78" s="498"/>
      <c r="Y78" s="195"/>
    </row>
    <row r="79" spans="20:25" x14ac:dyDescent="0.2">
      <c r="T79" s="507"/>
      <c r="Y79" s="195"/>
    </row>
    <row r="80" spans="20:25" x14ac:dyDescent="0.2">
      <c r="T80" s="506" t="s">
        <v>453</v>
      </c>
      <c r="Y80" s="195"/>
    </row>
    <row r="81" spans="20:25" x14ac:dyDescent="0.2">
      <c r="T81" s="511" t="s">
        <v>454</v>
      </c>
      <c r="U81" s="472" t="s">
        <v>455</v>
      </c>
      <c r="Y81" s="195"/>
    </row>
    <row r="82" spans="20:25" x14ac:dyDescent="0.2">
      <c r="T82" s="511" t="s">
        <v>456</v>
      </c>
      <c r="U82" s="472" t="s">
        <v>457</v>
      </c>
      <c r="Y82" s="195"/>
    </row>
    <row r="83" spans="20:25" x14ac:dyDescent="0.2">
      <c r="T83" s="511" t="s">
        <v>458</v>
      </c>
      <c r="U83" s="472" t="s">
        <v>459</v>
      </c>
      <c r="Y83" s="195"/>
    </row>
    <row r="84" spans="20:25" x14ac:dyDescent="0.2">
      <c r="T84" s="507"/>
      <c r="Y84" s="195"/>
    </row>
    <row r="85" spans="20:25" x14ac:dyDescent="0.2">
      <c r="T85" s="507"/>
      <c r="Y85" s="195"/>
    </row>
    <row r="86" spans="20:25" x14ac:dyDescent="0.2">
      <c r="T86" s="507"/>
      <c r="Y86" s="195"/>
    </row>
    <row r="87" spans="20:25" ht="17" thickBot="1" x14ac:dyDescent="0.25">
      <c r="T87" s="512"/>
      <c r="U87" s="513"/>
      <c r="V87" s="513"/>
      <c r="W87" s="513"/>
      <c r="X87" s="513"/>
      <c r="Y87" s="198"/>
    </row>
  </sheetData>
  <mergeCells count="75">
    <mergeCell ref="V69:V70"/>
    <mergeCell ref="V71:V74"/>
    <mergeCell ref="V64:V65"/>
    <mergeCell ref="T67:T77"/>
    <mergeCell ref="X38:X42"/>
    <mergeCell ref="T43:T49"/>
    <mergeCell ref="U55:U56"/>
    <mergeCell ref="T52:T54"/>
    <mergeCell ref="T50:U51"/>
    <mergeCell ref="T55:T58"/>
    <mergeCell ref="V67:V68"/>
    <mergeCell ref="U48:U49"/>
    <mergeCell ref="T20:U20"/>
    <mergeCell ref="A45:J45"/>
    <mergeCell ref="T35:U35"/>
    <mergeCell ref="T36:U36"/>
    <mergeCell ref="T37:U37"/>
    <mergeCell ref="T38:T42"/>
    <mergeCell ref="T27:U27"/>
    <mergeCell ref="T28:U28"/>
    <mergeCell ref="T29:U30"/>
    <mergeCell ref="T33:U34"/>
    <mergeCell ref="T31:U32"/>
    <mergeCell ref="T26:U26"/>
    <mergeCell ref="A20:A23"/>
    <mergeCell ref="A36:P36"/>
    <mergeCell ref="A38:E38"/>
    <mergeCell ref="G38:H38"/>
    <mergeCell ref="A16:A17"/>
    <mergeCell ref="A25:F25"/>
    <mergeCell ref="X12:X16"/>
    <mergeCell ref="T11:U11"/>
    <mergeCell ref="T12:U12"/>
    <mergeCell ref="T13:U13"/>
    <mergeCell ref="T14:U14"/>
    <mergeCell ref="T15:U15"/>
    <mergeCell ref="T16:U16"/>
    <mergeCell ref="T17:U17"/>
    <mergeCell ref="T18:U18"/>
    <mergeCell ref="T19:U19"/>
    <mergeCell ref="T21:U21"/>
    <mergeCell ref="T22:T23"/>
    <mergeCell ref="T24:T25"/>
    <mergeCell ref="A18:A19"/>
    <mergeCell ref="F9:G9"/>
    <mergeCell ref="F10:G10"/>
    <mergeCell ref="F11:F12"/>
    <mergeCell ref="F13:F14"/>
    <mergeCell ref="Q3:R3"/>
    <mergeCell ref="A3:J3"/>
    <mergeCell ref="L3:O3"/>
    <mergeCell ref="A5:B6"/>
    <mergeCell ref="C5:F5"/>
    <mergeCell ref="L6:L7"/>
    <mergeCell ref="B16:B17"/>
    <mergeCell ref="C16:C17"/>
    <mergeCell ref="D16:F16"/>
    <mergeCell ref="J49:J50"/>
    <mergeCell ref="K49:K50"/>
    <mergeCell ref="G43:H43"/>
    <mergeCell ref="O49:O50"/>
    <mergeCell ref="K45:O45"/>
    <mergeCell ref="A46:A47"/>
    <mergeCell ref="B46:B47"/>
    <mergeCell ref="C46:C47"/>
    <mergeCell ref="D46:D47"/>
    <mergeCell ref="E46:E47"/>
    <mergeCell ref="F46:F47"/>
    <mergeCell ref="G46:G47"/>
    <mergeCell ref="H46:H47"/>
    <mergeCell ref="I46:I47"/>
    <mergeCell ref="J46:J47"/>
    <mergeCell ref="K46:K47"/>
    <mergeCell ref="L46:N46"/>
    <mergeCell ref="O46:O47"/>
  </mergeCells>
  <phoneticPr fontId="63" type="noConversion"/>
  <conditionalFormatting sqref="H42">
    <cfRule type="cellIs" dxfId="0" priority="1" operator="greaterThan">
      <formula>$C$19</formula>
    </cfRule>
  </conditionalFormatting>
  <dataValidations disablePrompts="1" count="1">
    <dataValidation type="list" allowBlank="1" showInputMessage="1" showErrorMessage="1" sqref="B7" xr:uid="{15FDE776-60FD-4363-8A2E-AC051D2F5E1A}">
      <formula1>$Q$6:$Q$17</formula1>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A67B2-3C47-4454-B71A-FADBE033C0D4}">
  <sheetPr codeName="Sheet5">
    <tabColor rgb="FFFFC000"/>
  </sheetPr>
  <dimension ref="A1:AV60"/>
  <sheetViews>
    <sheetView zoomScaleNormal="100" workbookViewId="0">
      <selection activeCell="A22" sqref="A22:XFD22"/>
    </sheetView>
  </sheetViews>
  <sheetFormatPr baseColWidth="10" defaultColWidth="8.5" defaultRowHeight="15" x14ac:dyDescent="0.2"/>
  <cols>
    <col min="1" max="1" width="10" customWidth="1"/>
    <col min="2" max="2" width="22.5" customWidth="1"/>
    <col min="3" max="3" width="12" customWidth="1"/>
    <col min="4" max="4" width="11.5" customWidth="1"/>
    <col min="5" max="5" width="9.83203125" customWidth="1"/>
    <col min="6" max="6" width="13.5" customWidth="1"/>
    <col min="7" max="7" width="9.5" customWidth="1"/>
    <col min="8" max="9" width="11.5" customWidth="1"/>
    <col min="10" max="10" width="16.5" customWidth="1"/>
    <col min="11" max="11" width="12.5" customWidth="1"/>
    <col min="12" max="12" width="14.5" customWidth="1"/>
    <col min="13" max="13" width="11.83203125" bestFit="1" customWidth="1"/>
    <col min="14" max="16" width="10" bestFit="1" customWidth="1"/>
    <col min="18" max="18" width="16" bestFit="1" customWidth="1"/>
    <col min="19" max="19" width="13.5" customWidth="1"/>
    <col min="20" max="24" width="9" bestFit="1" customWidth="1"/>
    <col min="26" max="26" width="16" bestFit="1" customWidth="1"/>
    <col min="27" max="27" width="11.5" customWidth="1"/>
    <col min="28" max="29" width="9" bestFit="1" customWidth="1"/>
    <col min="30" max="30" width="13.83203125" customWidth="1"/>
    <col min="31" max="32" width="9" bestFit="1" customWidth="1"/>
    <col min="34" max="34" width="16" bestFit="1" customWidth="1"/>
    <col min="35" max="35" width="11.5" customWidth="1"/>
    <col min="36" max="40" width="9" bestFit="1" customWidth="1"/>
    <col min="42" max="42" width="14" customWidth="1"/>
    <col min="43" max="43" width="10.5" customWidth="1"/>
    <col min="44" max="48" width="9" bestFit="1" customWidth="1"/>
  </cols>
  <sheetData>
    <row r="1" spans="1:26" s="236" customFormat="1" ht="37" x14ac:dyDescent="0.45">
      <c r="A1" s="189" t="s">
        <v>61</v>
      </c>
      <c r="B1" s="190"/>
      <c r="C1" s="190"/>
      <c r="D1" s="190"/>
      <c r="E1" s="190"/>
      <c r="F1" s="190"/>
      <c r="G1" s="190"/>
      <c r="H1" s="190"/>
      <c r="I1" s="190"/>
      <c r="J1" s="190"/>
      <c r="K1" s="190"/>
      <c r="L1" s="190"/>
      <c r="M1" s="190"/>
      <c r="N1" s="190"/>
      <c r="O1" s="190"/>
      <c r="P1" s="190"/>
      <c r="Q1" s="190"/>
      <c r="R1" s="190"/>
      <c r="S1" s="190"/>
      <c r="T1" s="190"/>
      <c r="U1" s="190"/>
      <c r="V1" s="190"/>
      <c r="W1" s="190"/>
      <c r="X1" s="190"/>
      <c r="Y1" s="190"/>
      <c r="Z1" s="190"/>
    </row>
    <row r="4" spans="1:26" s="2" customFormat="1" x14ac:dyDescent="0.2">
      <c r="A4" s="15"/>
      <c r="L4" s="133"/>
    </row>
    <row r="5" spans="1:26" s="2" customFormat="1" x14ac:dyDescent="0.2">
      <c r="A5" s="15" t="s">
        <v>460</v>
      </c>
      <c r="B5" s="133"/>
      <c r="C5" s="449" t="s">
        <v>10</v>
      </c>
      <c r="D5" s="449" t="s">
        <v>11</v>
      </c>
      <c r="E5" s="449" t="s">
        <v>62</v>
      </c>
      <c r="F5" s="133"/>
      <c r="L5" s="133"/>
      <c r="M5" s="133"/>
    </row>
    <row r="6" spans="1:26" s="2" customFormat="1" ht="16" x14ac:dyDescent="0.2">
      <c r="A6" s="15"/>
      <c r="B6" s="260" t="s">
        <v>461</v>
      </c>
      <c r="C6" s="82">
        <v>647</v>
      </c>
      <c r="D6" s="261">
        <v>782</v>
      </c>
      <c r="E6" s="261">
        <v>782</v>
      </c>
      <c r="F6"/>
      <c r="L6" s="133"/>
      <c r="M6" s="133"/>
    </row>
    <row r="7" spans="1:26" s="2" customFormat="1" ht="16" x14ac:dyDescent="0.2">
      <c r="A7" s="15"/>
      <c r="B7" s="260" t="s">
        <v>63</v>
      </c>
      <c r="C7" s="78">
        <v>115</v>
      </c>
      <c r="D7" s="262">
        <v>164.5</v>
      </c>
      <c r="E7" s="262">
        <v>164.5</v>
      </c>
      <c r="F7"/>
      <c r="L7" s="133"/>
      <c r="M7" s="133"/>
    </row>
    <row r="8" spans="1:26" s="2" customFormat="1" ht="16" x14ac:dyDescent="0.2">
      <c r="A8" s="15"/>
      <c r="B8" s="260" t="s">
        <v>64</v>
      </c>
      <c r="C8" s="79">
        <v>0.2</v>
      </c>
      <c r="D8" s="253">
        <v>0</v>
      </c>
      <c r="E8" s="253">
        <v>0</v>
      </c>
      <c r="F8"/>
      <c r="L8" s="133"/>
      <c r="M8" s="133"/>
    </row>
    <row r="9" spans="1:26" s="2" customFormat="1" ht="16" x14ac:dyDescent="0.2">
      <c r="A9" s="15"/>
      <c r="B9" s="260" t="s">
        <v>65</v>
      </c>
      <c r="C9" s="79">
        <v>0.45</v>
      </c>
      <c r="D9" s="253">
        <v>0.2</v>
      </c>
      <c r="E9" s="253">
        <v>0.2</v>
      </c>
      <c r="L9" s="133"/>
      <c r="M9" s="133"/>
    </row>
    <row r="10" spans="1:26" s="2" customFormat="1" ht="17" customHeight="1" x14ac:dyDescent="0.2">
      <c r="A10" s="15"/>
      <c r="B10" s="260" t="s">
        <v>66</v>
      </c>
      <c r="C10" s="78">
        <v>35</v>
      </c>
      <c r="D10" s="78">
        <v>35</v>
      </c>
      <c r="E10" s="78">
        <v>35</v>
      </c>
      <c r="L10" s="133"/>
      <c r="M10" s="133"/>
    </row>
    <row r="11" spans="1:26" s="2" customFormat="1" ht="17" customHeight="1" x14ac:dyDescent="0.2">
      <c r="A11" s="15"/>
      <c r="B11" s="260" t="s">
        <v>67</v>
      </c>
      <c r="C11" s="78">
        <v>60</v>
      </c>
      <c r="D11" s="78">
        <v>60</v>
      </c>
      <c r="E11" s="78">
        <v>60</v>
      </c>
      <c r="L11" s="133"/>
      <c r="M11" s="133"/>
    </row>
    <row r="12" spans="1:26" s="2" customFormat="1" ht="16" x14ac:dyDescent="0.2">
      <c r="A12" s="15"/>
      <c r="B12" s="260" t="s">
        <v>462</v>
      </c>
      <c r="C12" s="80">
        <v>1.1499999999999999</v>
      </c>
      <c r="D12" s="261">
        <v>1.353</v>
      </c>
      <c r="E12" s="261">
        <v>1.353</v>
      </c>
      <c r="L12" s="133"/>
      <c r="M12" s="133"/>
    </row>
    <row r="13" spans="1:26" s="2" customFormat="1" ht="16" x14ac:dyDescent="0.2">
      <c r="A13" s="15"/>
      <c r="B13" s="260" t="s">
        <v>463</v>
      </c>
      <c r="C13" s="80">
        <v>-5.0000000000000001E-3</v>
      </c>
      <c r="D13" s="261">
        <v>-4.0000000000000001E-3</v>
      </c>
      <c r="E13" s="261">
        <v>-4.0000000000000001E-3</v>
      </c>
      <c r="L13" s="133"/>
      <c r="M13" s="133"/>
    </row>
    <row r="14" spans="1:26" s="2" customFormat="1" ht="32" x14ac:dyDescent="0.2">
      <c r="A14" s="15"/>
      <c r="B14" s="260" t="s">
        <v>464</v>
      </c>
      <c r="C14" s="81">
        <v>0.70499999999999996</v>
      </c>
      <c r="D14" s="81">
        <v>0.70499999999999996</v>
      </c>
      <c r="E14" s="81">
        <v>0.70499999999999996</v>
      </c>
      <c r="L14" s="133"/>
      <c r="M14" s="133"/>
    </row>
    <row r="15" spans="1:26" s="2" customFormat="1" ht="32" x14ac:dyDescent="0.2">
      <c r="A15" s="15"/>
      <c r="B15" s="260" t="s">
        <v>78</v>
      </c>
      <c r="C15" s="79">
        <v>0.3</v>
      </c>
      <c r="D15" s="79">
        <v>0.3</v>
      </c>
      <c r="E15" s="79">
        <v>0.3</v>
      </c>
      <c r="L15" s="133"/>
      <c r="M15" s="133"/>
    </row>
    <row r="16" spans="1:26" s="2" customFormat="1" x14ac:dyDescent="0.2">
      <c r="A16" s="15"/>
      <c r="B16" s="134"/>
      <c r="C16" s="19"/>
      <c r="L16" s="133"/>
      <c r="M16" s="133"/>
    </row>
    <row r="17" spans="1:48" s="2" customFormat="1" x14ac:dyDescent="0.2">
      <c r="A17" s="15"/>
      <c r="B17" s="690" t="s">
        <v>79</v>
      </c>
      <c r="C17" s="691"/>
      <c r="J17" s="690" t="s">
        <v>80</v>
      </c>
      <c r="K17" s="691"/>
      <c r="L17" s="133"/>
      <c r="M17" s="133"/>
      <c r="R17" s="690" t="s">
        <v>81</v>
      </c>
      <c r="S17" s="691"/>
      <c r="Z17" s="690" t="s">
        <v>82</v>
      </c>
      <c r="AA17" s="691"/>
      <c r="AH17" s="690" t="s">
        <v>83</v>
      </c>
      <c r="AI17" s="691"/>
      <c r="AP17" s="690" t="s">
        <v>84</v>
      </c>
      <c r="AQ17" s="691"/>
    </row>
    <row r="18" spans="1:48" s="2" customFormat="1" x14ac:dyDescent="0.2">
      <c r="A18" s="15"/>
      <c r="B18" s="83" t="s">
        <v>85</v>
      </c>
      <c r="C18" s="84">
        <f>C7</f>
        <v>115</v>
      </c>
      <c r="J18" s="83" t="s">
        <v>85</v>
      </c>
      <c r="K18" s="84">
        <f>C7</f>
        <v>115</v>
      </c>
      <c r="L18" s="133"/>
      <c r="M18" s="133"/>
      <c r="R18" s="83" t="s">
        <v>85</v>
      </c>
      <c r="S18" s="84">
        <f>D7</f>
        <v>164.5</v>
      </c>
      <c r="Z18" s="83" t="s">
        <v>85</v>
      </c>
      <c r="AA18" s="84">
        <f>D7</f>
        <v>164.5</v>
      </c>
      <c r="AH18" s="83" t="s">
        <v>85</v>
      </c>
      <c r="AI18" s="84">
        <f>E7</f>
        <v>164.5</v>
      </c>
      <c r="AP18" s="83" t="s">
        <v>85</v>
      </c>
      <c r="AQ18" s="84">
        <f>E7</f>
        <v>164.5</v>
      </c>
    </row>
    <row r="19" spans="1:48" s="2" customFormat="1" x14ac:dyDescent="0.2">
      <c r="A19" s="15"/>
      <c r="B19" s="83" t="s">
        <v>86</v>
      </c>
      <c r="C19" s="253">
        <v>0.45</v>
      </c>
      <c r="J19" s="83" t="s">
        <v>86</v>
      </c>
      <c r="K19" s="253">
        <v>0.2</v>
      </c>
      <c r="L19" s="133"/>
      <c r="M19" s="133"/>
      <c r="R19" s="83" t="s">
        <v>86</v>
      </c>
      <c r="S19" s="253">
        <v>0.2</v>
      </c>
      <c r="Z19" s="83" t="s">
        <v>86</v>
      </c>
      <c r="AA19" s="253">
        <v>0.05</v>
      </c>
      <c r="AH19" s="83" t="s">
        <v>86</v>
      </c>
      <c r="AI19" s="253">
        <v>0.05</v>
      </c>
      <c r="AP19" s="83" t="s">
        <v>86</v>
      </c>
      <c r="AQ19" s="253">
        <v>0.15</v>
      </c>
    </row>
    <row r="20" spans="1:48" s="2" customFormat="1" x14ac:dyDescent="0.2">
      <c r="A20" s="15"/>
      <c r="B20" s="83" t="s">
        <v>90</v>
      </c>
      <c r="C20" s="262">
        <v>60</v>
      </c>
      <c r="J20" s="83" t="s">
        <v>90</v>
      </c>
      <c r="K20" s="262">
        <v>60</v>
      </c>
      <c r="L20" s="133"/>
      <c r="M20" s="133"/>
      <c r="R20" s="83" t="s">
        <v>90</v>
      </c>
      <c r="S20" s="262">
        <v>35</v>
      </c>
      <c r="Z20" s="83" t="s">
        <v>90</v>
      </c>
      <c r="AA20" s="262">
        <v>35</v>
      </c>
      <c r="AH20" s="83" t="s">
        <v>90</v>
      </c>
      <c r="AI20" s="262">
        <v>50</v>
      </c>
      <c r="AP20" s="83" t="s">
        <v>90</v>
      </c>
      <c r="AQ20" s="262">
        <v>50</v>
      </c>
    </row>
    <row r="21" spans="1:48" s="2" customFormat="1" x14ac:dyDescent="0.2">
      <c r="A21" s="15"/>
      <c r="B21" s="83" t="s">
        <v>465</v>
      </c>
      <c r="C21" s="84">
        <f>C18*(1-C19)</f>
        <v>63.250000000000007</v>
      </c>
      <c r="J21" s="83" t="s">
        <v>465</v>
      </c>
      <c r="K21" s="84">
        <f>K18*(1-K19)</f>
        <v>92</v>
      </c>
      <c r="L21" s="133"/>
      <c r="M21" s="133"/>
      <c r="R21" s="83" t="s">
        <v>465</v>
      </c>
      <c r="S21" s="84">
        <f>S18*(1-S19)</f>
        <v>131.6</v>
      </c>
      <c r="Z21" s="83" t="s">
        <v>465</v>
      </c>
      <c r="AA21" s="84">
        <f>AA18*(1-AA19)</f>
        <v>156.27500000000001</v>
      </c>
      <c r="AH21" s="83" t="s">
        <v>465</v>
      </c>
      <c r="AI21" s="84">
        <f>AI18*(1-AI19)</f>
        <v>156.27500000000001</v>
      </c>
      <c r="AP21" s="83" t="s">
        <v>465</v>
      </c>
      <c r="AQ21" s="84">
        <f>AQ18*(1-AQ19)</f>
        <v>139.82499999999999</v>
      </c>
    </row>
    <row r="22" spans="1:48" s="2" customFormat="1" x14ac:dyDescent="0.2">
      <c r="A22" s="15"/>
      <c r="B22" s="83" t="s">
        <v>466</v>
      </c>
      <c r="C22" s="259">
        <v>931</v>
      </c>
      <c r="D22" s="2">
        <v>647</v>
      </c>
      <c r="J22" s="83" t="s">
        <v>466</v>
      </c>
      <c r="K22" s="85">
        <v>780</v>
      </c>
      <c r="L22" s="133"/>
      <c r="M22" s="133"/>
      <c r="R22" s="83" t="s">
        <v>466</v>
      </c>
      <c r="S22" s="85">
        <f>INT((D13*S21+D12)*D6)</f>
        <v>646</v>
      </c>
      <c r="Z22" s="83" t="s">
        <v>466</v>
      </c>
      <c r="AA22" s="85">
        <f>INT((D13*AA21+D12)*D6)</f>
        <v>569</v>
      </c>
      <c r="AH22" s="83" t="s">
        <v>466</v>
      </c>
      <c r="AI22" s="85">
        <f>INT((E13*AI21+E12)*E6)</f>
        <v>569</v>
      </c>
      <c r="AP22" s="83" t="s">
        <v>466</v>
      </c>
      <c r="AQ22" s="85">
        <f>INT((E13*AQ21+E12)*E6)</f>
        <v>620</v>
      </c>
    </row>
    <row r="23" spans="1:48" s="2" customFormat="1" x14ac:dyDescent="0.2">
      <c r="A23" s="15"/>
      <c r="B23" s="83" t="s">
        <v>92</v>
      </c>
      <c r="C23" s="16">
        <f>C21*C22</f>
        <v>58885.750000000007</v>
      </c>
      <c r="D23" s="347">
        <f>D22*C18</f>
        <v>74405</v>
      </c>
      <c r="J23" s="83" t="s">
        <v>92</v>
      </c>
      <c r="K23" s="16">
        <f>K21*K22</f>
        <v>71760</v>
      </c>
      <c r="L23" s="133"/>
      <c r="M23" s="133"/>
      <c r="R23" s="83" t="s">
        <v>92</v>
      </c>
      <c r="S23" s="16">
        <f>S21*S22</f>
        <v>85013.599999999991</v>
      </c>
      <c r="Z23" s="83" t="s">
        <v>92</v>
      </c>
      <c r="AA23" s="16">
        <f>AA21*AA22</f>
        <v>88920.475000000006</v>
      </c>
      <c r="AH23" s="83" t="s">
        <v>92</v>
      </c>
      <c r="AI23" s="16">
        <f>AI21*AI22</f>
        <v>88920.475000000006</v>
      </c>
      <c r="AP23" s="83" t="s">
        <v>92</v>
      </c>
      <c r="AQ23" s="16">
        <f>AQ21*AQ22</f>
        <v>86691.5</v>
      </c>
    </row>
    <row r="24" spans="1:48" s="2" customFormat="1" x14ac:dyDescent="0.2">
      <c r="A24" s="15"/>
      <c r="B24" s="83" t="s">
        <v>91</v>
      </c>
      <c r="C24" s="253">
        <v>0.05</v>
      </c>
      <c r="E24" s="18"/>
      <c r="J24" s="83" t="s">
        <v>91</v>
      </c>
      <c r="K24" s="253">
        <v>0.15</v>
      </c>
      <c r="L24" s="133"/>
      <c r="M24" s="133"/>
      <c r="R24" s="83" t="s">
        <v>91</v>
      </c>
      <c r="S24" s="253">
        <v>0.2</v>
      </c>
      <c r="Z24" s="83" t="s">
        <v>91</v>
      </c>
      <c r="AA24" s="253">
        <v>0.3</v>
      </c>
      <c r="AH24" s="83" t="s">
        <v>91</v>
      </c>
      <c r="AI24" s="253">
        <v>0.3</v>
      </c>
      <c r="AP24" s="83" t="s">
        <v>91</v>
      </c>
      <c r="AQ24" s="253">
        <v>0.2</v>
      </c>
    </row>
    <row r="25" spans="1:48" s="2" customFormat="1" x14ac:dyDescent="0.2">
      <c r="A25" s="15"/>
      <c r="B25" s="83" t="s">
        <v>93</v>
      </c>
      <c r="C25" s="84">
        <f>C24*C22*C20</f>
        <v>2793.0000000000005</v>
      </c>
      <c r="J25" s="83" t="s">
        <v>93</v>
      </c>
      <c r="K25" s="84">
        <f>K24*K22*K20</f>
        <v>7020</v>
      </c>
      <c r="L25" s="133"/>
      <c r="M25" s="133"/>
      <c r="R25" s="83" t="s">
        <v>93</v>
      </c>
      <c r="S25" s="84">
        <f>S24*S22*S20</f>
        <v>4522.0000000000009</v>
      </c>
      <c r="Z25" s="83" t="s">
        <v>93</v>
      </c>
      <c r="AA25" s="84">
        <f>AA24*AA22*AA20</f>
        <v>5974.5</v>
      </c>
      <c r="AH25" s="83" t="s">
        <v>93</v>
      </c>
      <c r="AI25" s="84">
        <f>AI24*AI22*AI20</f>
        <v>8535</v>
      </c>
      <c r="AP25" s="83" t="s">
        <v>93</v>
      </c>
      <c r="AQ25" s="84">
        <f>AQ24*AQ22*AQ20</f>
        <v>6200</v>
      </c>
    </row>
    <row r="26" spans="1:48" s="2" customFormat="1" x14ac:dyDescent="0.2">
      <c r="A26" s="15"/>
      <c r="B26" s="83" t="s">
        <v>94</v>
      </c>
      <c r="C26" s="84">
        <f>C23+C25</f>
        <v>61678.750000000007</v>
      </c>
      <c r="D26" s="347">
        <f>D23+C25</f>
        <v>77198</v>
      </c>
      <c r="J26" s="83" t="s">
        <v>94</v>
      </c>
      <c r="K26" s="84">
        <f>K23+K25</f>
        <v>78780</v>
      </c>
      <c r="L26" s="133"/>
      <c r="M26" s="133"/>
      <c r="R26" s="83" t="s">
        <v>94</v>
      </c>
      <c r="S26" s="84">
        <f>S23+S25</f>
        <v>89535.599999999991</v>
      </c>
      <c r="Z26" s="83" t="s">
        <v>94</v>
      </c>
      <c r="AA26" s="84">
        <f>AA23+AA25</f>
        <v>94894.975000000006</v>
      </c>
      <c r="AH26" s="83" t="s">
        <v>94</v>
      </c>
      <c r="AI26" s="84">
        <f>AI23+AI25</f>
        <v>97455.475000000006</v>
      </c>
      <c r="AP26" s="83" t="s">
        <v>94</v>
      </c>
      <c r="AQ26" s="84">
        <f>AQ23+AQ25</f>
        <v>92891.5</v>
      </c>
    </row>
    <row r="27" spans="1:48" s="2" customFormat="1" x14ac:dyDescent="0.2">
      <c r="A27" s="15"/>
      <c r="B27" s="83" t="s">
        <v>97</v>
      </c>
      <c r="C27" s="16">
        <f>C15*C25</f>
        <v>837.90000000000009</v>
      </c>
      <c r="J27" s="83" t="s">
        <v>97</v>
      </c>
      <c r="K27" s="16">
        <f>C15*K25</f>
        <v>2106</v>
      </c>
      <c r="L27" s="133"/>
      <c r="M27" s="133"/>
      <c r="R27" s="83" t="s">
        <v>97</v>
      </c>
      <c r="S27" s="16">
        <f>D15*S25</f>
        <v>1356.6000000000001</v>
      </c>
      <c r="Z27" s="83" t="s">
        <v>97</v>
      </c>
      <c r="AA27" s="16">
        <f>D15*AA25</f>
        <v>1792.35</v>
      </c>
      <c r="AH27" s="83" t="s">
        <v>97</v>
      </c>
      <c r="AI27" s="16">
        <f>E15*AI25</f>
        <v>2560.5</v>
      </c>
      <c r="AP27" s="83" t="s">
        <v>97</v>
      </c>
      <c r="AQ27" s="16">
        <f>E15*AQ25</f>
        <v>1860</v>
      </c>
    </row>
    <row r="28" spans="1:48" s="2" customFormat="1" x14ac:dyDescent="0.2">
      <c r="A28" s="15"/>
      <c r="B28" s="83" t="s">
        <v>98</v>
      </c>
      <c r="C28" s="16">
        <f>$C$14*C26+C27</f>
        <v>44321.418750000004</v>
      </c>
      <c r="D28" s="347">
        <f>C14*D26+C27</f>
        <v>55262.49</v>
      </c>
      <c r="J28" s="83" t="s">
        <v>98</v>
      </c>
      <c r="K28" s="16">
        <f>$C$14*K26+K27</f>
        <v>57645.899999999994</v>
      </c>
      <c r="L28" s="133"/>
      <c r="M28" s="133"/>
      <c r="R28" s="83" t="s">
        <v>98</v>
      </c>
      <c r="S28" s="16">
        <f>$C$14*S26+S27</f>
        <v>64479.197999999989</v>
      </c>
      <c r="Z28" s="83" t="s">
        <v>98</v>
      </c>
      <c r="AA28" s="16">
        <f>$C$14*AA26+AA27</f>
        <v>68693.307375000004</v>
      </c>
      <c r="AH28" s="83" t="s">
        <v>98</v>
      </c>
      <c r="AI28" s="16">
        <f>$C$14*AI26+AI27</f>
        <v>71266.609874999995</v>
      </c>
      <c r="AP28" s="83" t="s">
        <v>98</v>
      </c>
      <c r="AQ28" s="16">
        <f>$C$14*AQ26+AQ27</f>
        <v>67348.507500000007</v>
      </c>
    </row>
    <row r="29" spans="1:48" s="2" customFormat="1" x14ac:dyDescent="0.2">
      <c r="A29" s="15"/>
      <c r="B29" s="83" t="s">
        <v>37</v>
      </c>
      <c r="C29" s="84">
        <f>C26-C28</f>
        <v>17357.331250000003</v>
      </c>
      <c r="J29" s="83" t="s">
        <v>37</v>
      </c>
      <c r="K29" s="84">
        <f>K26-K28</f>
        <v>21134.100000000006</v>
      </c>
      <c r="L29" s="133"/>
      <c r="M29" s="133"/>
      <c r="R29" s="83" t="s">
        <v>37</v>
      </c>
      <c r="S29" s="84">
        <f>S26-S28</f>
        <v>25056.402000000002</v>
      </c>
      <c r="Z29" s="83" t="s">
        <v>37</v>
      </c>
      <c r="AA29" s="84">
        <f>AA26-AA28</f>
        <v>26201.667625000002</v>
      </c>
      <c r="AH29" s="83" t="s">
        <v>37</v>
      </c>
      <c r="AI29" s="84">
        <f>AI26-AI28</f>
        <v>26188.865125000011</v>
      </c>
      <c r="AP29" s="83" t="s">
        <v>37</v>
      </c>
      <c r="AQ29" s="84">
        <f>AQ26-AQ28</f>
        <v>25542.992499999993</v>
      </c>
    </row>
    <row r="30" spans="1:48" s="2" customFormat="1" x14ac:dyDescent="0.2">
      <c r="A30" s="15"/>
      <c r="B30" s="83" t="s">
        <v>99</v>
      </c>
      <c r="C30" s="264">
        <f>C29/C26</f>
        <v>0.28141509433962264</v>
      </c>
      <c r="J30" s="83" t="s">
        <v>99</v>
      </c>
      <c r="K30" s="264">
        <f>K29/K26</f>
        <v>0.26826732673267334</v>
      </c>
      <c r="L30" s="133"/>
      <c r="M30" s="133"/>
      <c r="R30" s="83" t="s">
        <v>99</v>
      </c>
      <c r="S30" s="264">
        <f>S29/S26</f>
        <v>0.2798484848484849</v>
      </c>
      <c r="Z30" s="83" t="s">
        <v>99</v>
      </c>
      <c r="AA30" s="264">
        <f>AA29/AA26</f>
        <v>0.27611227701993707</v>
      </c>
      <c r="AH30" s="83" t="s">
        <v>99</v>
      </c>
      <c r="AI30" s="264">
        <f>AI29/AI26</f>
        <v>0.26872646329003075</v>
      </c>
      <c r="AP30" s="83" t="s">
        <v>99</v>
      </c>
      <c r="AQ30" s="264">
        <f>AQ29/AQ26</f>
        <v>0.27497663941264799</v>
      </c>
    </row>
    <row r="31" spans="1:48" s="2" customFormat="1" x14ac:dyDescent="0.2">
      <c r="A31" s="15"/>
      <c r="B31" s="134"/>
      <c r="C31" s="19"/>
      <c r="L31" s="133"/>
      <c r="M31" s="133"/>
    </row>
    <row r="32" spans="1:48" s="2" customFormat="1" x14ac:dyDescent="0.2">
      <c r="A32" s="15"/>
      <c r="B32" s="265">
        <f>C30</f>
        <v>0.28141509433962264</v>
      </c>
      <c r="C32" s="135">
        <v>35</v>
      </c>
      <c r="D32" s="135">
        <v>40</v>
      </c>
      <c r="E32" s="135">
        <v>45</v>
      </c>
      <c r="F32" s="135">
        <v>50</v>
      </c>
      <c r="G32" s="135">
        <v>55</v>
      </c>
      <c r="H32" s="135">
        <v>60</v>
      </c>
      <c r="J32" s="265">
        <f>K30</f>
        <v>0.26826732673267334</v>
      </c>
      <c r="K32" s="135">
        <v>35</v>
      </c>
      <c r="L32" s="135">
        <v>40</v>
      </c>
      <c r="M32" s="135">
        <v>45</v>
      </c>
      <c r="N32" s="135">
        <v>50</v>
      </c>
      <c r="O32" s="135">
        <v>55</v>
      </c>
      <c r="P32" s="135">
        <v>60</v>
      </c>
      <c r="R32" s="265">
        <f>S30</f>
        <v>0.2798484848484849</v>
      </c>
      <c r="S32" s="135">
        <f>$D10 + (COLUMN() - COLUMN($S32)) * ($D11 - $D10) / (COLUMNS($S32:$X32) - 1)</f>
        <v>35</v>
      </c>
      <c r="T32" s="135">
        <f t="shared" ref="T32:X32" si="0">$D10 + (COLUMN() - COLUMN($S32)) * ($D11 - $D10) / (COLUMNS($S32:$X32) - 1)</f>
        <v>40</v>
      </c>
      <c r="U32" s="135">
        <f t="shared" si="0"/>
        <v>45</v>
      </c>
      <c r="V32" s="135">
        <f t="shared" si="0"/>
        <v>50</v>
      </c>
      <c r="W32" s="135">
        <f t="shared" si="0"/>
        <v>55</v>
      </c>
      <c r="X32" s="135">
        <f t="shared" si="0"/>
        <v>60</v>
      </c>
      <c r="Z32" s="265">
        <f>AA30</f>
        <v>0.27611227701993707</v>
      </c>
      <c r="AA32" s="135">
        <f>$D10 + (COLUMN() - COLUMN($AA32)) * ($D11 - $D10) / (COLUMNS($AA32:$AF32) - 1)</f>
        <v>35</v>
      </c>
      <c r="AB32" s="135">
        <f t="shared" ref="AB32:AF32" si="1">$D10 + (COLUMN() - COLUMN($AA32)) * ($D11 - $D10) / (COLUMNS($AA32:$AF32) - 1)</f>
        <v>40</v>
      </c>
      <c r="AC32" s="135">
        <f t="shared" si="1"/>
        <v>45</v>
      </c>
      <c r="AD32" s="135">
        <f t="shared" si="1"/>
        <v>50</v>
      </c>
      <c r="AE32" s="135">
        <f t="shared" si="1"/>
        <v>55</v>
      </c>
      <c r="AF32" s="135">
        <f t="shared" si="1"/>
        <v>60</v>
      </c>
      <c r="AH32" s="265">
        <f>AI30</f>
        <v>0.26872646329003075</v>
      </c>
      <c r="AI32" s="135">
        <f>$E10 + (COLUMN() - COLUMN($AI32)) * ($E11 - $E10) / (COLUMNS($AI32:$AN32) - 1)</f>
        <v>35</v>
      </c>
      <c r="AJ32" s="135">
        <f t="shared" ref="AJ32:AN32" si="2">$E10 + (COLUMN() - COLUMN($AI32)) * ($E11 - $E10) / (COLUMNS($AI32:$AN32) - 1)</f>
        <v>40</v>
      </c>
      <c r="AK32" s="135">
        <f t="shared" si="2"/>
        <v>45</v>
      </c>
      <c r="AL32" s="135">
        <f t="shared" si="2"/>
        <v>50</v>
      </c>
      <c r="AM32" s="135">
        <f t="shared" si="2"/>
        <v>55</v>
      </c>
      <c r="AN32" s="135">
        <f t="shared" si="2"/>
        <v>60</v>
      </c>
      <c r="AP32" s="265">
        <f>AQ30</f>
        <v>0.27497663941264799</v>
      </c>
      <c r="AQ32" s="135">
        <f>$E10 + (COLUMN() - COLUMN($AQ32)) * ($E11 - $E10) / (COLUMNS($AQ32:$AV32) - 1)</f>
        <v>35</v>
      </c>
      <c r="AR32" s="135">
        <f t="shared" ref="AR32:AV32" si="3">$E10 + (COLUMN() - COLUMN($AQ32)) * ($E11 - $E10) / (COLUMNS($AQ32:$AV32) - 1)</f>
        <v>40</v>
      </c>
      <c r="AS32" s="135">
        <f t="shared" si="3"/>
        <v>45</v>
      </c>
      <c r="AT32" s="135">
        <f t="shared" si="3"/>
        <v>50</v>
      </c>
      <c r="AU32" s="135">
        <f t="shared" si="3"/>
        <v>55</v>
      </c>
      <c r="AV32" s="135">
        <f t="shared" si="3"/>
        <v>60</v>
      </c>
    </row>
    <row r="33" spans="1:48" s="2" customFormat="1" x14ac:dyDescent="0.2">
      <c r="A33" s="15"/>
      <c r="B33" s="136">
        <v>0.2</v>
      </c>
      <c r="C33" s="282">
        <f t="dataTable" ref="C33:H38" dt2D="1" dtr="1" r1="C20" r2="C19"/>
        <v>0.28939999999999999</v>
      </c>
      <c r="D33" s="282">
        <v>0.28861702127659583</v>
      </c>
      <c r="E33" s="282">
        <v>0.28783819628647211</v>
      </c>
      <c r="F33" s="282">
        <v>0.28706349206349213</v>
      </c>
      <c r="G33" s="282">
        <v>0.28629287598944597</v>
      </c>
      <c r="H33" s="282">
        <v>0.28552631578947368</v>
      </c>
      <c r="J33" s="136">
        <v>0.2</v>
      </c>
      <c r="K33" s="282">
        <f t="dataTable" ref="K33:P38" dt2D="1" dtr="1" r1="K20" r2="K19"/>
        <v>0.2788046272493574</v>
      </c>
      <c r="L33" s="282">
        <v>0.27663265306122453</v>
      </c>
      <c r="M33" s="282">
        <v>0.27449367088607596</v>
      </c>
      <c r="N33" s="282">
        <v>0.27238693467336689</v>
      </c>
      <c r="O33" s="282">
        <v>0.27031172069825438</v>
      </c>
      <c r="P33" s="282">
        <v>0.26826732673267334</v>
      </c>
      <c r="R33" s="136">
        <f>D$8 + (ROW()-ROW(R$33)) * (D$9 - D$8) / (ROWS(R$33:R$38)-1)</f>
        <v>0</v>
      </c>
      <c r="S33" s="263">
        <f t="dataTable" ref="S33:X38" dt2D="1" dtr="1" r1="S19" r2="S20"/>
        <v>0.29500000000000004</v>
      </c>
      <c r="T33" s="263">
        <v>0.29499999999999998</v>
      </c>
      <c r="U33" s="263">
        <v>0.2950000000000001</v>
      </c>
      <c r="V33" s="263">
        <v>0.29500000000000004</v>
      </c>
      <c r="W33" s="263">
        <v>0.29500000000000004</v>
      </c>
      <c r="X33" s="263">
        <v>0.29500000000000004</v>
      </c>
      <c r="Z33" s="136">
        <f>D$8 + (ROW()-ROW(Z$33)) * (D$9 - D$8) / (ROWS(Z$33:Z$38)-1)</f>
        <v>0</v>
      </c>
      <c r="AA33" s="263">
        <f t="dataTable" ref="AA33:AF38" dt2D="1" dtr="1" r1="AA19" r2="AA20"/>
        <v>0.29500000000000004</v>
      </c>
      <c r="AB33" s="263">
        <v>0.29499999999999998</v>
      </c>
      <c r="AC33" s="263">
        <v>0.2950000000000001</v>
      </c>
      <c r="AD33" s="263">
        <v>0.29500000000000004</v>
      </c>
      <c r="AE33" s="263">
        <v>0.29500000000000004</v>
      </c>
      <c r="AF33" s="263">
        <v>0.29500000000000004</v>
      </c>
      <c r="AH33" s="136">
        <f>E$8 + (ROW()-ROW(AH$33)) * (E$9 - E$8) / (ROWS(AH$33:AH$38)-1)</f>
        <v>0</v>
      </c>
      <c r="AI33" s="263">
        <f t="dataTable" ref="AI33:AN38" dt2D="1" dtr="1" r1="AI19" r2="AI20"/>
        <v>0.29500000000000004</v>
      </c>
      <c r="AJ33" s="263">
        <v>0.29499999999999998</v>
      </c>
      <c r="AK33" s="263">
        <v>0.2950000000000001</v>
      </c>
      <c r="AL33" s="263">
        <v>0.29500000000000004</v>
      </c>
      <c r="AM33" s="263">
        <v>0.29500000000000004</v>
      </c>
      <c r="AN33" s="263">
        <v>0.29500000000000004</v>
      </c>
      <c r="AP33" s="136">
        <f>E$8 + (ROW()-ROW(AP$33)) * (E$9 - E$8) / (ROWS(AP$33:AP$38)-1)</f>
        <v>0</v>
      </c>
      <c r="AQ33" s="263">
        <f t="dataTable" ref="AQ33:AV38" dt2D="1" dtr="1" r1="AQ19" r2="AQ20"/>
        <v>0.29500000000000004</v>
      </c>
      <c r="AR33" s="263">
        <v>0.29499999999999998</v>
      </c>
      <c r="AS33" s="263">
        <v>0.2950000000000001</v>
      </c>
      <c r="AT33" s="263">
        <v>0.29500000000000004</v>
      </c>
      <c r="AU33" s="263">
        <v>0.29500000000000004</v>
      </c>
      <c r="AV33" s="263">
        <v>0.29500000000000004</v>
      </c>
    </row>
    <row r="34" spans="1:48" s="2" customFormat="1" x14ac:dyDescent="0.2">
      <c r="A34" s="15"/>
      <c r="B34" s="136">
        <v>0.25</v>
      </c>
      <c r="C34" s="282">
        <v>0.28903409090909093</v>
      </c>
      <c r="D34" s="282">
        <v>0.28820113314447604</v>
      </c>
      <c r="E34" s="282">
        <v>0.2873728813559322</v>
      </c>
      <c r="F34" s="282">
        <v>0.28654929577464788</v>
      </c>
      <c r="G34" s="282">
        <v>0.28573033707865181</v>
      </c>
      <c r="H34" s="282">
        <v>0.28491596638655464</v>
      </c>
      <c r="J34" s="136">
        <v>0.25</v>
      </c>
      <c r="K34" s="282">
        <v>0.27778688524590167</v>
      </c>
      <c r="L34" s="282">
        <v>0.27548780487804886</v>
      </c>
      <c r="M34" s="282">
        <v>0.27322580645161293</v>
      </c>
      <c r="N34" s="282">
        <v>0.27100000000000002</v>
      </c>
      <c r="O34" s="282">
        <v>0.26880952380952389</v>
      </c>
      <c r="P34" s="282">
        <v>0.26665354330708663</v>
      </c>
      <c r="R34" s="136">
        <f t="shared" ref="R34:R38" si="4">D$8 + (ROW()-ROW(R$33)) * (D$9 - D$8) / (ROWS(R$33:R$38)-1)</f>
        <v>0.04</v>
      </c>
      <c r="S34" s="263">
        <v>0.29500042910842716</v>
      </c>
      <c r="T34" s="263">
        <v>0.29500037409445773</v>
      </c>
      <c r="U34" s="263">
        <v>0.29500033158367683</v>
      </c>
      <c r="V34" s="263">
        <v>0.29500029774857417</v>
      </c>
      <c r="W34" s="263">
        <v>0.29500027017923697</v>
      </c>
      <c r="X34" s="263">
        <v>0.2950002472826726</v>
      </c>
      <c r="Z34" s="136">
        <f t="shared" ref="Z34:Z38" si="5">D$8 + (ROW()-ROW(Z$33)) * (D$9 - D$8) / (ROWS(Z$33:Z$38)-1)</f>
        <v>0.04</v>
      </c>
      <c r="AA34" s="263">
        <v>0.29500064366310108</v>
      </c>
      <c r="AB34" s="263">
        <v>0.29500056114203627</v>
      </c>
      <c r="AC34" s="263">
        <v>0.29500049737579015</v>
      </c>
      <c r="AD34" s="263">
        <v>0.29500044662308295</v>
      </c>
      <c r="AE34" s="263">
        <v>0.29500040526903792</v>
      </c>
      <c r="AF34" s="263">
        <v>0.29500037092416176</v>
      </c>
      <c r="AH34" s="136">
        <f t="shared" ref="AH34:AH38" si="6">E$8 + (ROW()-ROW(AH$33)) * (E$9 - E$8) / (ROWS(AH$33:AH$38)-1)</f>
        <v>0.04</v>
      </c>
      <c r="AI34" s="263">
        <v>0.29500064366310108</v>
      </c>
      <c r="AJ34" s="263">
        <v>0.29500056114203627</v>
      </c>
      <c r="AK34" s="263">
        <v>0.29500049737579015</v>
      </c>
      <c r="AL34" s="263">
        <v>0.29500044662308295</v>
      </c>
      <c r="AM34" s="263">
        <v>0.29500040526903792</v>
      </c>
      <c r="AN34" s="263">
        <v>0.29500037092416176</v>
      </c>
      <c r="AP34" s="136">
        <f t="shared" ref="AP34:AP38" si="7">E$8 + (ROW()-ROW(AP$33)) * (E$9 - E$8) / (ROWS(AP$33:AP$38)-1)</f>
        <v>0.04</v>
      </c>
      <c r="AQ34" s="263">
        <v>0.29500042910842716</v>
      </c>
      <c r="AR34" s="263">
        <v>0.29500037409445773</v>
      </c>
      <c r="AS34" s="263">
        <v>0.29500033158367683</v>
      </c>
      <c r="AT34" s="263">
        <v>0.29500029774857417</v>
      </c>
      <c r="AU34" s="263">
        <v>0.29500027017923697</v>
      </c>
      <c r="AV34" s="263">
        <v>0.2950002472826726</v>
      </c>
    </row>
    <row r="35" spans="1:48" s="2" customFormat="1" x14ac:dyDescent="0.2">
      <c r="A35" s="15"/>
      <c r="B35" s="136">
        <v>0.3</v>
      </c>
      <c r="C35" s="282">
        <v>0.28861702127659578</v>
      </c>
      <c r="D35" s="282">
        <v>0.28772727272727278</v>
      </c>
      <c r="E35" s="282">
        <v>0.28684290030211484</v>
      </c>
      <c r="F35" s="282">
        <v>0.28596385542168679</v>
      </c>
      <c r="G35" s="282">
        <v>0.28509009009009012</v>
      </c>
      <c r="H35" s="282">
        <v>0.28422155688622758</v>
      </c>
      <c r="J35" s="136">
        <v>0.3</v>
      </c>
      <c r="K35" s="282">
        <v>0.27663265306122453</v>
      </c>
      <c r="L35" s="282">
        <v>0.2741907514450867</v>
      </c>
      <c r="M35" s="282">
        <v>0.27179083094555884</v>
      </c>
      <c r="N35" s="282">
        <v>0.26943181818181822</v>
      </c>
      <c r="O35" s="282">
        <v>0.26711267605633804</v>
      </c>
      <c r="P35" s="282">
        <v>0.26483240223463694</v>
      </c>
      <c r="R35" s="136">
        <f t="shared" si="4"/>
        <v>0.08</v>
      </c>
      <c r="S35" s="263">
        <v>0.29500085821808192</v>
      </c>
      <c r="T35" s="263">
        <v>0.29500074818984828</v>
      </c>
      <c r="U35" s="263">
        <v>0.29500066316808671</v>
      </c>
      <c r="V35" s="263">
        <v>0.29500059549773944</v>
      </c>
      <c r="W35" s="263">
        <v>0.29500054035896051</v>
      </c>
      <c r="X35" s="263">
        <v>0.29500049456575267</v>
      </c>
      <c r="Z35" s="136">
        <f t="shared" si="5"/>
        <v>0.08</v>
      </c>
      <c r="AA35" s="263">
        <v>0.29500128732896402</v>
      </c>
      <c r="AB35" s="263">
        <v>0.2950011222861717</v>
      </c>
      <c r="AC35" s="263">
        <v>0.29500099475322933</v>
      </c>
      <c r="AD35" s="263">
        <v>0.29500089324749562</v>
      </c>
      <c r="AE35" s="263">
        <v>0.29500081053917077</v>
      </c>
      <c r="AF35" s="263">
        <v>0.29500074184924058</v>
      </c>
      <c r="AH35" s="136">
        <f t="shared" si="6"/>
        <v>0.08</v>
      </c>
      <c r="AI35" s="263">
        <v>0.29500128732896402</v>
      </c>
      <c r="AJ35" s="263">
        <v>0.2950011222861717</v>
      </c>
      <c r="AK35" s="263">
        <v>0.29500099475322933</v>
      </c>
      <c r="AL35" s="263">
        <v>0.29500089324749562</v>
      </c>
      <c r="AM35" s="263">
        <v>0.29500081053917077</v>
      </c>
      <c r="AN35" s="263">
        <v>0.29500074184924058</v>
      </c>
      <c r="AP35" s="136">
        <f t="shared" si="7"/>
        <v>0.08</v>
      </c>
      <c r="AQ35" s="263">
        <v>0.29500085821808192</v>
      </c>
      <c r="AR35" s="263">
        <v>0.29500074818984828</v>
      </c>
      <c r="AS35" s="263">
        <v>0.29500066316808671</v>
      </c>
      <c r="AT35" s="263">
        <v>0.29500059549773944</v>
      </c>
      <c r="AU35" s="263">
        <v>0.29500054035896051</v>
      </c>
      <c r="AV35" s="263">
        <v>0.29500049456575267</v>
      </c>
    </row>
    <row r="36" spans="1:48" s="2" customFormat="1" x14ac:dyDescent="0.2">
      <c r="A36" s="15"/>
      <c r="B36" s="136">
        <v>0.35</v>
      </c>
      <c r="C36" s="282">
        <v>0.28813725490196085</v>
      </c>
      <c r="D36" s="282">
        <v>0.28718241042345283</v>
      </c>
      <c r="E36" s="282">
        <v>0.28623376623376623</v>
      </c>
      <c r="F36" s="282">
        <v>0.28529126213592243</v>
      </c>
      <c r="G36" s="282">
        <v>0.28435483870967748</v>
      </c>
      <c r="H36" s="282">
        <v>0.28342443729903538</v>
      </c>
      <c r="J36" s="136">
        <v>0.35</v>
      </c>
      <c r="K36" s="282">
        <v>0.27531250000000002</v>
      </c>
      <c r="L36" s="282">
        <v>0.27270897832817342</v>
      </c>
      <c r="M36" s="282">
        <v>0.27015337423312885</v>
      </c>
      <c r="N36" s="282">
        <v>0.26764437689969611</v>
      </c>
      <c r="O36" s="282">
        <v>0.2651807228915663</v>
      </c>
      <c r="P36" s="282">
        <v>0.26276119402985076</v>
      </c>
      <c r="R36" s="136">
        <f t="shared" si="4"/>
        <v>0.12000000000000002</v>
      </c>
      <c r="S36" s="263">
        <v>0.29500128732896402</v>
      </c>
      <c r="T36" s="263">
        <v>0.2950011222861717</v>
      </c>
      <c r="U36" s="263">
        <v>0.29500099475322933</v>
      </c>
      <c r="V36" s="263">
        <v>0.29500089324749562</v>
      </c>
      <c r="W36" s="263">
        <v>0.29500081053917077</v>
      </c>
      <c r="X36" s="263">
        <v>0.29500074184924058</v>
      </c>
      <c r="Z36" s="136">
        <f t="shared" si="5"/>
        <v>0.12000000000000002</v>
      </c>
      <c r="AA36" s="263">
        <v>0.29500193099758915</v>
      </c>
      <c r="AB36" s="263">
        <v>0.29500168343240651</v>
      </c>
      <c r="AC36" s="263">
        <v>0.29500149213231786</v>
      </c>
      <c r="AD36" s="263">
        <v>0.29500133987323801</v>
      </c>
      <c r="AE36" s="263">
        <v>0.29500121581039834</v>
      </c>
      <c r="AF36" s="263">
        <v>0.29500111277523683</v>
      </c>
      <c r="AH36" s="136">
        <f t="shared" si="6"/>
        <v>0.12000000000000002</v>
      </c>
      <c r="AI36" s="263">
        <v>0.29500193099758915</v>
      </c>
      <c r="AJ36" s="263">
        <v>0.29500168343240651</v>
      </c>
      <c r="AK36" s="263">
        <v>0.29500149213231786</v>
      </c>
      <c r="AL36" s="263">
        <v>0.29500133987323801</v>
      </c>
      <c r="AM36" s="263">
        <v>0.29500121581039834</v>
      </c>
      <c r="AN36" s="263">
        <v>0.29500111277523683</v>
      </c>
      <c r="AP36" s="136">
        <f t="shared" si="7"/>
        <v>0.12000000000000002</v>
      </c>
      <c r="AQ36" s="263">
        <v>0.29500128732896402</v>
      </c>
      <c r="AR36" s="263">
        <v>0.2950011222861717</v>
      </c>
      <c r="AS36" s="263">
        <v>0.29500099475322933</v>
      </c>
      <c r="AT36" s="263">
        <v>0.29500089324749562</v>
      </c>
      <c r="AU36" s="263">
        <v>0.29500081053917077</v>
      </c>
      <c r="AV36" s="263">
        <v>0.29500074184924058</v>
      </c>
    </row>
    <row r="37" spans="1:48" s="2" customFormat="1" x14ac:dyDescent="0.2">
      <c r="A37" s="15"/>
      <c r="B37" s="136">
        <v>0.4</v>
      </c>
      <c r="C37" s="282">
        <v>0.28757950530035337</v>
      </c>
      <c r="D37" s="282">
        <v>0.28654929577464799</v>
      </c>
      <c r="E37" s="282">
        <v>0.28552631578947368</v>
      </c>
      <c r="F37" s="282">
        <v>0.28451048951048952</v>
      </c>
      <c r="G37" s="282">
        <v>0.28350174216027885</v>
      </c>
      <c r="H37" s="282">
        <v>0.28250000000000003</v>
      </c>
      <c r="J37" s="136">
        <v>0.4</v>
      </c>
      <c r="K37" s="282">
        <v>0.27378787878787886</v>
      </c>
      <c r="L37" s="282">
        <v>0.27100000000000002</v>
      </c>
      <c r="M37" s="282">
        <v>0.26826732673267334</v>
      </c>
      <c r="N37" s="282">
        <v>0.26558823529411768</v>
      </c>
      <c r="O37" s="282">
        <v>0.26296116504854378</v>
      </c>
      <c r="P37" s="282">
        <v>0.26038461538461544</v>
      </c>
      <c r="R37" s="136">
        <f t="shared" si="4"/>
        <v>0.16</v>
      </c>
      <c r="S37" s="263">
        <v>0.29500171644107387</v>
      </c>
      <c r="T37" s="263">
        <v>0.29500149638342826</v>
      </c>
      <c r="U37" s="263">
        <v>0.29500132633910514</v>
      </c>
      <c r="V37" s="263">
        <v>0.29500119099784283</v>
      </c>
      <c r="W37" s="263">
        <v>0.29500108071986753</v>
      </c>
      <c r="X37" s="263">
        <v>0.2950009891331361</v>
      </c>
      <c r="Z37" s="136">
        <f t="shared" si="5"/>
        <v>0.16</v>
      </c>
      <c r="AA37" s="263">
        <v>0.29500257466897634</v>
      </c>
      <c r="AB37" s="263">
        <v>0.29500224458074042</v>
      </c>
      <c r="AC37" s="263">
        <v>0.29500198951305573</v>
      </c>
      <c r="AD37" s="263">
        <v>0.29500178650031045</v>
      </c>
      <c r="AE37" s="263">
        <v>0.29500162108272115</v>
      </c>
      <c r="AF37" s="263">
        <v>0.29500148370215007</v>
      </c>
      <c r="AH37" s="136">
        <f t="shared" si="6"/>
        <v>0.16</v>
      </c>
      <c r="AI37" s="263">
        <v>0.29500257466897634</v>
      </c>
      <c r="AJ37" s="263">
        <v>0.29500224458074042</v>
      </c>
      <c r="AK37" s="263">
        <v>0.29500198951305573</v>
      </c>
      <c r="AL37" s="263">
        <v>0.29500178650031045</v>
      </c>
      <c r="AM37" s="263">
        <v>0.29500162108272115</v>
      </c>
      <c r="AN37" s="263">
        <v>0.29500148370215007</v>
      </c>
      <c r="AP37" s="136">
        <f t="shared" si="7"/>
        <v>0.16</v>
      </c>
      <c r="AQ37" s="263">
        <v>0.29500171644107387</v>
      </c>
      <c r="AR37" s="263">
        <v>0.29500149638342826</v>
      </c>
      <c r="AS37" s="263">
        <v>0.29500132633910514</v>
      </c>
      <c r="AT37" s="263">
        <v>0.29500119099784283</v>
      </c>
      <c r="AU37" s="263">
        <v>0.29500108071986753</v>
      </c>
      <c r="AV37" s="263">
        <v>0.2950009891331361</v>
      </c>
    </row>
    <row r="38" spans="1:48" s="2" customFormat="1" x14ac:dyDescent="0.2">
      <c r="A38" s="15"/>
      <c r="B38" s="136">
        <v>0.45</v>
      </c>
      <c r="C38" s="282">
        <v>0.28692307692307689</v>
      </c>
      <c r="D38" s="282">
        <v>0.28580459770114952</v>
      </c>
      <c r="E38" s="282">
        <v>0.28469465648854964</v>
      </c>
      <c r="F38" s="282">
        <v>0.28359315589353612</v>
      </c>
      <c r="G38" s="282">
        <v>0.28250000000000014</v>
      </c>
      <c r="H38" s="282">
        <v>0.28141509433962264</v>
      </c>
      <c r="J38" s="136">
        <v>0.45</v>
      </c>
      <c r="K38" s="282">
        <v>0.27200729927007306</v>
      </c>
      <c r="L38" s="282">
        <v>0.2690072202166065</v>
      </c>
      <c r="M38" s="282">
        <v>0.26607142857142868</v>
      </c>
      <c r="N38" s="282">
        <v>0.26319787985865728</v>
      </c>
      <c r="O38" s="282">
        <v>0.26038461538461538</v>
      </c>
      <c r="P38" s="282">
        <v>0.25762975778546721</v>
      </c>
      <c r="R38" s="136">
        <f t="shared" si="4"/>
        <v>0.2</v>
      </c>
      <c r="S38" s="263">
        <v>0.29500214555441129</v>
      </c>
      <c r="T38" s="263">
        <v>0.29500187048161791</v>
      </c>
      <c r="U38" s="263">
        <v>0.29500165792571392</v>
      </c>
      <c r="V38" s="263">
        <v>0.29500148874878124</v>
      </c>
      <c r="W38" s="263">
        <v>0.29500135090105095</v>
      </c>
      <c r="X38" s="263">
        <v>0.29500123641743936</v>
      </c>
      <c r="Z38" s="136">
        <f t="shared" si="5"/>
        <v>0.2</v>
      </c>
      <c r="AA38" s="263">
        <v>0.29500321834312559</v>
      </c>
      <c r="AB38" s="263">
        <v>0.2950028057311736</v>
      </c>
      <c r="AC38" s="263">
        <v>0.29500248689544262</v>
      </c>
      <c r="AD38" s="263">
        <v>0.29500223312871265</v>
      </c>
      <c r="AE38" s="263">
        <v>0.29500202635613887</v>
      </c>
      <c r="AF38" s="263">
        <v>0.29500185462998074</v>
      </c>
      <c r="AH38" s="136">
        <f t="shared" si="6"/>
        <v>0.2</v>
      </c>
      <c r="AI38" s="263">
        <v>0.29500321834312559</v>
      </c>
      <c r="AJ38" s="263">
        <v>0.2950028057311736</v>
      </c>
      <c r="AK38" s="263">
        <v>0.29500248689544262</v>
      </c>
      <c r="AL38" s="263">
        <v>0.29500223312871265</v>
      </c>
      <c r="AM38" s="263">
        <v>0.29500202635613887</v>
      </c>
      <c r="AN38" s="263">
        <v>0.29500185462998074</v>
      </c>
      <c r="AP38" s="136">
        <f t="shared" si="7"/>
        <v>0.2</v>
      </c>
      <c r="AQ38" s="263">
        <v>0.29500214555441129</v>
      </c>
      <c r="AR38" s="263">
        <v>0.29500187048161791</v>
      </c>
      <c r="AS38" s="263">
        <v>0.29500165792571392</v>
      </c>
      <c r="AT38" s="263">
        <v>0.29500148874878124</v>
      </c>
      <c r="AU38" s="263">
        <v>0.29500135090105095</v>
      </c>
      <c r="AV38" s="263">
        <v>0.29500123641743936</v>
      </c>
    </row>
    <row r="39" spans="1:48" s="2" customFormat="1" x14ac:dyDescent="0.2">
      <c r="A39" s="15"/>
      <c r="B39" s="134"/>
      <c r="C39" s="19"/>
      <c r="L39" s="133"/>
      <c r="M39" s="133"/>
    </row>
    <row r="40" spans="1:48" s="2" customFormat="1" x14ac:dyDescent="0.2">
      <c r="A40" s="15"/>
      <c r="B40" s="134"/>
      <c r="C40" s="19"/>
      <c r="L40" s="133"/>
      <c r="M40" s="133"/>
    </row>
    <row r="41" spans="1:48" s="2" customFormat="1" x14ac:dyDescent="0.2">
      <c r="A41" s="15"/>
      <c r="B41" s="134"/>
      <c r="C41" s="19"/>
      <c r="L41" s="133"/>
      <c r="M41" s="133"/>
    </row>
    <row r="42" spans="1:48" s="2" customFormat="1" x14ac:dyDescent="0.2">
      <c r="A42" s="15"/>
      <c r="B42" s="134"/>
      <c r="C42" s="19"/>
      <c r="L42" s="133"/>
      <c r="M42" s="133"/>
    </row>
    <row r="43" spans="1:48" s="2" customFormat="1" x14ac:dyDescent="0.2">
      <c r="A43" s="15"/>
      <c r="B43" s="134"/>
      <c r="C43" s="19"/>
      <c r="L43" s="133"/>
      <c r="M43" s="133"/>
    </row>
    <row r="44" spans="1:48" s="2" customFormat="1" x14ac:dyDescent="0.2">
      <c r="A44" s="15"/>
      <c r="B44" s="134"/>
      <c r="C44" s="19"/>
      <c r="L44" s="133"/>
      <c r="M44" s="133"/>
    </row>
    <row r="45" spans="1:48" s="2" customFormat="1" x14ac:dyDescent="0.2">
      <c r="A45" s="15"/>
      <c r="B45" s="134"/>
      <c r="C45" s="19"/>
      <c r="L45" s="133"/>
      <c r="M45" s="133"/>
    </row>
    <row r="46" spans="1:48" s="2" customFormat="1" ht="16.25" customHeight="1" x14ac:dyDescent="0.2">
      <c r="A46" s="15"/>
      <c r="C46" s="19"/>
      <c r="L46" s="133"/>
      <c r="M46" s="133"/>
    </row>
    <row r="47" spans="1:48" s="2" customFormat="1" ht="16.25" customHeight="1" x14ac:dyDescent="0.2">
      <c r="A47" s="15"/>
      <c r="L47" s="133"/>
      <c r="M47" s="133"/>
    </row>
    <row r="48" spans="1:48" x14ac:dyDescent="0.2">
      <c r="B48" s="13"/>
    </row>
    <row r="49" spans="2:10" x14ac:dyDescent="0.2">
      <c r="C49" s="20"/>
      <c r="D49" s="20"/>
      <c r="E49" s="20"/>
      <c r="F49" s="20"/>
      <c r="G49" s="20"/>
      <c r="H49" s="20"/>
      <c r="I49" s="17"/>
      <c r="J49" s="17"/>
    </row>
    <row r="50" spans="2:10" x14ac:dyDescent="0.2">
      <c r="B50" s="18"/>
      <c r="C50" s="13"/>
      <c r="D50" s="13"/>
      <c r="E50" s="13"/>
      <c r="F50" s="13"/>
      <c r="G50" s="13"/>
      <c r="H50" s="13"/>
    </row>
    <row r="51" spans="2:10" x14ac:dyDescent="0.2">
      <c r="B51" s="19"/>
    </row>
    <row r="52" spans="2:10" x14ac:dyDescent="0.2">
      <c r="B52" s="19"/>
    </row>
    <row r="53" spans="2:10" x14ac:dyDescent="0.2">
      <c r="B53" s="19"/>
    </row>
    <row r="54" spans="2:10" x14ac:dyDescent="0.2">
      <c r="B54" s="19"/>
    </row>
    <row r="55" spans="2:10" x14ac:dyDescent="0.2">
      <c r="B55" s="19"/>
    </row>
    <row r="56" spans="2:10" x14ac:dyDescent="0.2">
      <c r="B56" s="19"/>
    </row>
    <row r="57" spans="2:10" x14ac:dyDescent="0.2">
      <c r="B57" s="19"/>
    </row>
    <row r="58" spans="2:10" x14ac:dyDescent="0.2">
      <c r="B58" s="19"/>
    </row>
    <row r="59" spans="2:10" x14ac:dyDescent="0.2">
      <c r="B59" s="19"/>
    </row>
    <row r="60" spans="2:10" x14ac:dyDescent="0.2">
      <c r="B60" s="19"/>
    </row>
  </sheetData>
  <mergeCells count="6">
    <mergeCell ref="AP17:AQ17"/>
    <mergeCell ref="B17:C17"/>
    <mergeCell ref="J17:K17"/>
    <mergeCell ref="R17:S17"/>
    <mergeCell ref="Z17:AA17"/>
    <mergeCell ref="AH17:AI17"/>
  </mergeCells>
  <conditionalFormatting sqref="C33:H38">
    <cfRule type="colorScale" priority="6">
      <colorScale>
        <cfvo type="min"/>
        <cfvo type="percentile" val="50"/>
        <cfvo type="max"/>
        <color rgb="FFF8696B"/>
        <color rgb="FFFFEB84"/>
        <color rgb="FF63BE7B"/>
      </colorScale>
    </cfRule>
  </conditionalFormatting>
  <conditionalFormatting sqref="K33:P38">
    <cfRule type="colorScale" priority="5">
      <colorScale>
        <cfvo type="min"/>
        <cfvo type="percentile" val="50"/>
        <cfvo type="max"/>
        <color rgb="FFF8696B"/>
        <color rgb="FFFFEB84"/>
        <color rgb="FF63BE7B"/>
      </colorScale>
    </cfRule>
  </conditionalFormatting>
  <conditionalFormatting sqref="S33:X38">
    <cfRule type="colorScale" priority="4">
      <colorScale>
        <cfvo type="min"/>
        <cfvo type="percentile" val="50"/>
        <cfvo type="max"/>
        <color rgb="FFF8696B"/>
        <color rgb="FFFFEB84"/>
        <color rgb="FF63BE7B"/>
      </colorScale>
    </cfRule>
  </conditionalFormatting>
  <conditionalFormatting sqref="AA33:AF38">
    <cfRule type="colorScale" priority="3">
      <colorScale>
        <cfvo type="min"/>
        <cfvo type="percentile" val="50"/>
        <cfvo type="max"/>
        <color rgb="FFF8696B"/>
        <color rgb="FFFFEB84"/>
        <color rgb="FF63BE7B"/>
      </colorScale>
    </cfRule>
  </conditionalFormatting>
  <conditionalFormatting sqref="AI33:AN38">
    <cfRule type="colorScale" priority="2">
      <colorScale>
        <cfvo type="min"/>
        <cfvo type="percentile" val="50"/>
        <cfvo type="max"/>
        <color rgb="FFF8696B"/>
        <color rgb="FFFFEB84"/>
        <color rgb="FF63BE7B"/>
      </colorScale>
    </cfRule>
  </conditionalFormatting>
  <conditionalFormatting sqref="AQ33:AV38">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B0A65B-4E5E-40A8-B4BA-1049FD57D702}">
  <sheetPr>
    <tabColor theme="9" tint="0.79998168889431442"/>
  </sheetPr>
  <dimension ref="A1"/>
  <sheetViews>
    <sheetView workbookViewId="0">
      <selection activeCell="J19" sqref="J19"/>
    </sheetView>
  </sheetViews>
  <sheetFormatPr baseColWidth="10" defaultColWidth="8.83203125" defaultRowHeight="15" x14ac:dyDescent="0.2"/>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F797D-BB56-4BBC-99A4-C4243D71137A}">
  <sheetPr codeName="Sheet6"/>
  <dimension ref="A2:G111"/>
  <sheetViews>
    <sheetView zoomScale="120" zoomScaleNormal="120" workbookViewId="0">
      <selection activeCell="B15" sqref="B15:C17"/>
    </sheetView>
  </sheetViews>
  <sheetFormatPr baseColWidth="10" defaultColWidth="8.5" defaultRowHeight="15" x14ac:dyDescent="0.2"/>
  <cols>
    <col min="2" max="2" width="29.5" customWidth="1"/>
    <col min="3" max="3" width="19.5" bestFit="1" customWidth="1"/>
    <col min="4" max="4" width="22.5" customWidth="1"/>
    <col min="5" max="5" width="32.5" customWidth="1"/>
    <col min="6" max="6" width="15.5" customWidth="1"/>
    <col min="7" max="7" width="22.5" bestFit="1" customWidth="1"/>
  </cols>
  <sheetData>
    <row r="2" spans="2:7" x14ac:dyDescent="0.2">
      <c r="B2" s="14" t="s">
        <v>467</v>
      </c>
    </row>
    <row r="4" spans="2:7" x14ac:dyDescent="0.2">
      <c r="B4" s="1"/>
      <c r="C4" s="12" t="s">
        <v>468</v>
      </c>
      <c r="D4" s="12" t="s">
        <v>469</v>
      </c>
      <c r="E4" s="12" t="s">
        <v>470</v>
      </c>
    </row>
    <row r="5" spans="2:7" x14ac:dyDescent="0.2">
      <c r="B5" s="3" t="s">
        <v>10</v>
      </c>
      <c r="C5" s="1"/>
      <c r="D5" s="1"/>
      <c r="E5" s="1"/>
    </row>
    <row r="6" spans="2:7" x14ac:dyDescent="0.2">
      <c r="B6" s="1" t="s">
        <v>12</v>
      </c>
      <c r="C6" s="6">
        <v>74</v>
      </c>
      <c r="D6" s="6">
        <v>68</v>
      </c>
      <c r="E6" s="6">
        <v>78</v>
      </c>
    </row>
    <row r="7" spans="2:7" x14ac:dyDescent="0.2">
      <c r="B7" s="1" t="s">
        <v>13</v>
      </c>
      <c r="C7" s="6">
        <v>96</v>
      </c>
      <c r="D7" s="6">
        <v>98</v>
      </c>
      <c r="E7" s="6">
        <v>98</v>
      </c>
    </row>
    <row r="8" spans="2:7" x14ac:dyDescent="0.2">
      <c r="B8" s="1" t="s">
        <v>471</v>
      </c>
      <c r="C8" s="6">
        <f>AVERAGE(C6:C7)</f>
        <v>85</v>
      </c>
      <c r="D8" s="6">
        <f>AVERAGE(D6:D7)</f>
        <v>83</v>
      </c>
      <c r="E8" s="6">
        <f>AVERAGE(E6:E7)</f>
        <v>88</v>
      </c>
      <c r="F8" s="13">
        <f>AVERAGE(C8:E8)</f>
        <v>85.333333333333329</v>
      </c>
      <c r="G8" t="s">
        <v>472</v>
      </c>
    </row>
    <row r="9" spans="2:7" x14ac:dyDescent="0.2">
      <c r="B9" s="3" t="s">
        <v>11</v>
      </c>
      <c r="C9" s="6"/>
      <c r="D9" s="6"/>
      <c r="E9" s="6"/>
    </row>
    <row r="10" spans="2:7" x14ac:dyDescent="0.2">
      <c r="B10" s="4" t="s">
        <v>12</v>
      </c>
      <c r="C10" s="7">
        <v>78</v>
      </c>
      <c r="D10" s="7">
        <v>68</v>
      </c>
      <c r="E10" s="7">
        <v>88</v>
      </c>
    </row>
    <row r="11" spans="2:7" x14ac:dyDescent="0.2">
      <c r="B11" s="5" t="s">
        <v>13</v>
      </c>
      <c r="C11" s="8">
        <v>118</v>
      </c>
      <c r="D11" s="8">
        <v>108</v>
      </c>
      <c r="E11" s="8">
        <v>108</v>
      </c>
    </row>
    <row r="12" spans="2:7" x14ac:dyDescent="0.2">
      <c r="B12" s="5" t="s">
        <v>473</v>
      </c>
      <c r="C12" s="8">
        <f>AVERAGE(C10:C11)</f>
        <v>98</v>
      </c>
      <c r="D12" s="8">
        <f>AVERAGE(D10:D11)</f>
        <v>88</v>
      </c>
      <c r="E12" s="8">
        <f>AVERAGE(E10:E11)</f>
        <v>98</v>
      </c>
      <c r="F12" s="13">
        <f>AVERAGE(C12:E12)</f>
        <v>94.666666666666671</v>
      </c>
      <c r="G12" t="s">
        <v>474</v>
      </c>
    </row>
    <row r="14" spans="2:7" x14ac:dyDescent="0.2">
      <c r="B14" s="14" t="s">
        <v>475</v>
      </c>
    </row>
    <row r="15" spans="2:7" x14ac:dyDescent="0.2">
      <c r="B15" s="5" t="s">
        <v>476</v>
      </c>
      <c r="C15" s="5" t="s">
        <v>477</v>
      </c>
    </row>
    <row r="16" spans="2:7" x14ac:dyDescent="0.2">
      <c r="B16" s="5" t="s">
        <v>478</v>
      </c>
      <c r="C16" s="5" t="s">
        <v>479</v>
      </c>
    </row>
    <row r="17" spans="2:5" x14ac:dyDescent="0.2">
      <c r="B17" s="5" t="s">
        <v>480</v>
      </c>
      <c r="C17" s="5" t="s">
        <v>481</v>
      </c>
    </row>
    <row r="19" spans="2:5" x14ac:dyDescent="0.2">
      <c r="B19" s="14" t="s">
        <v>482</v>
      </c>
    </row>
    <row r="20" spans="2:5" x14ac:dyDescent="0.2">
      <c r="B20" t="s">
        <v>483</v>
      </c>
    </row>
    <row r="21" spans="2:5" x14ac:dyDescent="0.2">
      <c r="B21" t="s">
        <v>484</v>
      </c>
    </row>
    <row r="22" spans="2:5" x14ac:dyDescent="0.2">
      <c r="B22" t="s">
        <v>485</v>
      </c>
    </row>
    <row r="24" spans="2:5" x14ac:dyDescent="0.2">
      <c r="B24" s="14" t="s">
        <v>486</v>
      </c>
    </row>
    <row r="25" spans="2:5" x14ac:dyDescent="0.2">
      <c r="B25" t="s">
        <v>487</v>
      </c>
    </row>
    <row r="26" spans="2:5" x14ac:dyDescent="0.2">
      <c r="B26" t="s">
        <v>488</v>
      </c>
    </row>
    <row r="28" spans="2:5" x14ac:dyDescent="0.2">
      <c r="B28" s="14" t="s">
        <v>489</v>
      </c>
    </row>
    <row r="29" spans="2:5" x14ac:dyDescent="0.2">
      <c r="B29" t="s">
        <v>490</v>
      </c>
    </row>
    <row r="30" spans="2:5" x14ac:dyDescent="0.2">
      <c r="B30" t="s">
        <v>491</v>
      </c>
    </row>
    <row r="32" spans="2:5" x14ac:dyDescent="0.2">
      <c r="B32" s="14" t="s">
        <v>492</v>
      </c>
      <c r="E32" s="2"/>
    </row>
    <row r="33" spans="2:4" x14ac:dyDescent="0.2">
      <c r="B33" t="s">
        <v>493</v>
      </c>
      <c r="C33">
        <v>14</v>
      </c>
      <c r="D33" t="s">
        <v>494</v>
      </c>
    </row>
    <row r="34" spans="2:4" x14ac:dyDescent="0.2">
      <c r="B34" t="s">
        <v>495</v>
      </c>
      <c r="C34">
        <v>1500</v>
      </c>
      <c r="D34" t="s">
        <v>496</v>
      </c>
    </row>
    <row r="35" spans="2:4" x14ac:dyDescent="0.2">
      <c r="B35" t="s">
        <v>319</v>
      </c>
      <c r="C35">
        <v>3750</v>
      </c>
      <c r="D35" t="s">
        <v>496</v>
      </c>
    </row>
    <row r="37" spans="2:4" x14ac:dyDescent="0.2">
      <c r="B37" s="14" t="s">
        <v>497</v>
      </c>
    </row>
    <row r="38" spans="2:4" x14ac:dyDescent="0.2">
      <c r="B38" t="s">
        <v>498</v>
      </c>
      <c r="C38">
        <v>3600</v>
      </c>
      <c r="D38" t="s">
        <v>496</v>
      </c>
    </row>
    <row r="39" spans="2:4" x14ac:dyDescent="0.2">
      <c r="B39" t="s">
        <v>499</v>
      </c>
      <c r="C39">
        <v>2500</v>
      </c>
      <c r="D39" t="s">
        <v>496</v>
      </c>
    </row>
    <row r="40" spans="2:4" x14ac:dyDescent="0.2">
      <c r="B40" t="s">
        <v>500</v>
      </c>
      <c r="C40">
        <v>3000</v>
      </c>
      <c r="D40" t="s">
        <v>496</v>
      </c>
    </row>
    <row r="41" spans="2:4" x14ac:dyDescent="0.2">
      <c r="B41" t="s">
        <v>501</v>
      </c>
      <c r="C41">
        <v>1850</v>
      </c>
      <c r="D41" t="s">
        <v>496</v>
      </c>
    </row>
    <row r="43" spans="2:4" x14ac:dyDescent="0.2">
      <c r="B43" s="13" t="s">
        <v>502</v>
      </c>
      <c r="C43">
        <v>2</v>
      </c>
      <c r="D43" t="s">
        <v>503</v>
      </c>
    </row>
    <row r="45" spans="2:4" x14ac:dyDescent="0.2">
      <c r="B45" s="14" t="s">
        <v>504</v>
      </c>
    </row>
    <row r="47" spans="2:4" x14ac:dyDescent="0.2">
      <c r="B47" t="s">
        <v>505</v>
      </c>
      <c r="C47">
        <v>235</v>
      </c>
      <c r="D47" t="s">
        <v>506</v>
      </c>
    </row>
    <row r="48" spans="2:4" x14ac:dyDescent="0.2">
      <c r="B48" t="s">
        <v>468</v>
      </c>
      <c r="C48">
        <v>260</v>
      </c>
      <c r="D48" t="s">
        <v>506</v>
      </c>
    </row>
    <row r="49" spans="2:4" x14ac:dyDescent="0.2">
      <c r="B49" t="s">
        <v>507</v>
      </c>
      <c r="C49">
        <v>250</v>
      </c>
      <c r="D49" t="s">
        <v>506</v>
      </c>
    </row>
    <row r="50" spans="2:4" x14ac:dyDescent="0.2">
      <c r="B50" t="s">
        <v>508</v>
      </c>
      <c r="C50">
        <f>AVERAGE(C47:C49)</f>
        <v>248.33333333333334</v>
      </c>
    </row>
    <row r="52" spans="2:4" x14ac:dyDescent="0.2">
      <c r="B52" s="14" t="s">
        <v>509</v>
      </c>
    </row>
    <row r="53" spans="2:4" x14ac:dyDescent="0.2">
      <c r="B53" t="s">
        <v>12</v>
      </c>
      <c r="C53">
        <v>2.5</v>
      </c>
      <c r="D53" t="s">
        <v>510</v>
      </c>
    </row>
    <row r="54" spans="2:4" x14ac:dyDescent="0.2">
      <c r="B54" t="s">
        <v>13</v>
      </c>
      <c r="C54">
        <v>4</v>
      </c>
      <c r="D54" t="s">
        <v>511</v>
      </c>
    </row>
    <row r="57" spans="2:4" x14ac:dyDescent="0.2">
      <c r="B57" s="14" t="s">
        <v>512</v>
      </c>
    </row>
    <row r="59" spans="2:4" ht="16" x14ac:dyDescent="0.2">
      <c r="B59" s="22" t="s">
        <v>513</v>
      </c>
      <c r="C59">
        <v>248</v>
      </c>
      <c r="D59" t="s">
        <v>506</v>
      </c>
    </row>
    <row r="60" spans="2:4" ht="32" x14ac:dyDescent="0.2">
      <c r="B60" s="22" t="s">
        <v>514</v>
      </c>
      <c r="C60" s="21">
        <v>0.75</v>
      </c>
    </row>
    <row r="61" spans="2:4" ht="32" x14ac:dyDescent="0.2">
      <c r="B61" s="22" t="s">
        <v>515</v>
      </c>
      <c r="C61" s="21">
        <v>1</v>
      </c>
    </row>
    <row r="62" spans="2:4" ht="32" x14ac:dyDescent="0.2">
      <c r="B62" s="22" t="s">
        <v>516</v>
      </c>
      <c r="C62" s="21">
        <v>0.7</v>
      </c>
    </row>
    <row r="63" spans="2:4" ht="32" x14ac:dyDescent="0.2">
      <c r="B63" s="22" t="s">
        <v>517</v>
      </c>
      <c r="C63" s="21">
        <v>0.95</v>
      </c>
    </row>
    <row r="65" spans="1:5" x14ac:dyDescent="0.2">
      <c r="B65" s="5"/>
      <c r="C65" s="5" t="s">
        <v>10</v>
      </c>
      <c r="D65" s="5" t="s">
        <v>11</v>
      </c>
    </row>
    <row r="66" spans="1:5" ht="16" x14ac:dyDescent="0.2">
      <c r="B66" s="23" t="s">
        <v>518</v>
      </c>
      <c r="C66" s="5">
        <f>(C60*C59)+(C62*C59)</f>
        <v>359.6</v>
      </c>
      <c r="D66" s="5">
        <f>(C61*C59)+(C63*C59)</f>
        <v>483.6</v>
      </c>
    </row>
    <row r="67" spans="1:5" x14ac:dyDescent="0.2">
      <c r="B67" s="22"/>
    </row>
    <row r="68" spans="1:5" ht="16" x14ac:dyDescent="0.2">
      <c r="B68" s="22" t="s">
        <v>519</v>
      </c>
      <c r="C68">
        <f>AVERAGE(C66:D66)</f>
        <v>421.6</v>
      </c>
    </row>
    <row r="69" spans="1:5" x14ac:dyDescent="0.2">
      <c r="B69" t="s">
        <v>520</v>
      </c>
      <c r="C69">
        <f>AVERAGE(F8,F12)</f>
        <v>90</v>
      </c>
    </row>
    <row r="70" spans="1:5" ht="16" x14ac:dyDescent="0.2">
      <c r="B70" s="22" t="s">
        <v>521</v>
      </c>
      <c r="C70">
        <f>C69*C68</f>
        <v>37944</v>
      </c>
    </row>
    <row r="71" spans="1:5" x14ac:dyDescent="0.2">
      <c r="B71" s="22"/>
    </row>
    <row r="72" spans="1:5" ht="16" x14ac:dyDescent="0.2">
      <c r="B72" s="35" t="s">
        <v>522</v>
      </c>
    </row>
    <row r="74" spans="1:5" ht="16" x14ac:dyDescent="0.2">
      <c r="B74" s="29" t="s">
        <v>523</v>
      </c>
    </row>
    <row r="75" spans="1:5" ht="29.75" customHeight="1" x14ac:dyDescent="0.2">
      <c r="A75" s="30" t="s">
        <v>524</v>
      </c>
      <c r="B75" s="27" t="s">
        <v>525</v>
      </c>
      <c r="C75" s="28" t="s">
        <v>526</v>
      </c>
      <c r="D75" s="692" t="s">
        <v>527</v>
      </c>
      <c r="E75" s="693"/>
    </row>
    <row r="76" spans="1:5" x14ac:dyDescent="0.2">
      <c r="B76" s="24">
        <v>0.28000000000000003</v>
      </c>
      <c r="C76" s="25">
        <f>B76*C$70</f>
        <v>10624.320000000002</v>
      </c>
      <c r="D76" s="692"/>
      <c r="E76" s="693"/>
    </row>
    <row r="77" spans="1:5" x14ac:dyDescent="0.2">
      <c r="B77" s="26">
        <v>0.28999999999999998</v>
      </c>
      <c r="C77" s="25">
        <f t="shared" ref="C77:C83" si="0">B77*C$70</f>
        <v>11003.759999999998</v>
      </c>
      <c r="D77" s="692"/>
      <c r="E77" s="693"/>
    </row>
    <row r="78" spans="1:5" x14ac:dyDescent="0.2">
      <c r="B78" s="26">
        <v>0.3</v>
      </c>
      <c r="C78" s="25">
        <f t="shared" si="0"/>
        <v>11383.199999999999</v>
      </c>
      <c r="D78" s="692"/>
      <c r="E78" s="693"/>
    </row>
    <row r="79" spans="1:5" x14ac:dyDescent="0.2">
      <c r="B79" s="24">
        <v>0.31</v>
      </c>
      <c r="C79" s="25">
        <f t="shared" si="0"/>
        <v>11762.64</v>
      </c>
      <c r="D79" s="692"/>
      <c r="E79" s="693"/>
    </row>
    <row r="80" spans="1:5" x14ac:dyDescent="0.2">
      <c r="B80" s="26">
        <v>0.32</v>
      </c>
      <c r="C80" s="25">
        <f t="shared" si="0"/>
        <v>12142.08</v>
      </c>
      <c r="D80" s="692"/>
      <c r="E80" s="693"/>
    </row>
    <row r="81" spans="1:5" x14ac:dyDescent="0.2">
      <c r="B81" s="26">
        <v>0.33</v>
      </c>
      <c r="C81" s="25">
        <f t="shared" si="0"/>
        <v>12521.52</v>
      </c>
      <c r="D81" s="692"/>
      <c r="E81" s="693"/>
    </row>
    <row r="82" spans="1:5" x14ac:dyDescent="0.2">
      <c r="B82" s="24">
        <v>0.34</v>
      </c>
      <c r="C82" s="25">
        <f t="shared" si="0"/>
        <v>12900.960000000001</v>
      </c>
      <c r="D82" s="692"/>
      <c r="E82" s="693"/>
    </row>
    <row r="83" spans="1:5" x14ac:dyDescent="0.2">
      <c r="B83" s="24">
        <v>0.35</v>
      </c>
      <c r="C83" s="25">
        <f t="shared" si="0"/>
        <v>13280.4</v>
      </c>
      <c r="D83" s="692"/>
      <c r="E83" s="693"/>
    </row>
    <row r="85" spans="1:5" ht="32" x14ac:dyDescent="0.2">
      <c r="A85" s="30" t="s">
        <v>528</v>
      </c>
      <c r="B85" s="27" t="s">
        <v>529</v>
      </c>
      <c r="C85" s="28" t="s">
        <v>530</v>
      </c>
    </row>
    <row r="86" spans="1:5" x14ac:dyDescent="0.2">
      <c r="B86" s="32">
        <v>0.03</v>
      </c>
      <c r="C86" s="25">
        <f t="shared" ref="C86:C91" si="1">B86*C$70</f>
        <v>1138.32</v>
      </c>
      <c r="D86" s="693" t="s">
        <v>531</v>
      </c>
      <c r="E86" s="693"/>
    </row>
    <row r="87" spans="1:5" x14ac:dyDescent="0.2">
      <c r="B87" s="32">
        <v>0.04</v>
      </c>
      <c r="C87" s="25">
        <f t="shared" si="1"/>
        <v>1517.76</v>
      </c>
      <c r="D87" s="693"/>
      <c r="E87" s="693"/>
    </row>
    <row r="88" spans="1:5" x14ac:dyDescent="0.2">
      <c r="B88" s="32">
        <v>0.05</v>
      </c>
      <c r="C88" s="25">
        <f t="shared" si="1"/>
        <v>1897.2</v>
      </c>
      <c r="D88" s="693"/>
      <c r="E88" s="693"/>
    </row>
    <row r="89" spans="1:5" x14ac:dyDescent="0.2">
      <c r="B89" s="32">
        <v>0.06</v>
      </c>
      <c r="C89" s="25">
        <f t="shared" si="1"/>
        <v>2276.64</v>
      </c>
      <c r="D89" s="693"/>
      <c r="E89" s="693"/>
    </row>
    <row r="90" spans="1:5" x14ac:dyDescent="0.2">
      <c r="B90" s="32">
        <v>7.0000000000000007E-2</v>
      </c>
      <c r="C90" s="25">
        <f t="shared" si="1"/>
        <v>2656.0800000000004</v>
      </c>
      <c r="D90" s="693"/>
      <c r="E90" s="693"/>
    </row>
    <row r="91" spans="1:5" x14ac:dyDescent="0.2">
      <c r="B91" s="32">
        <v>0.08</v>
      </c>
      <c r="C91" s="25">
        <f t="shared" si="1"/>
        <v>3035.52</v>
      </c>
      <c r="D91" s="693"/>
      <c r="E91" s="693"/>
    </row>
    <row r="93" spans="1:5" ht="16" x14ac:dyDescent="0.2">
      <c r="A93" s="30" t="s">
        <v>532</v>
      </c>
      <c r="B93" s="27" t="s">
        <v>533</v>
      </c>
      <c r="C93" s="27" t="s">
        <v>534</v>
      </c>
    </row>
    <row r="94" spans="1:5" x14ac:dyDescent="0.2">
      <c r="B94" s="33">
        <v>0.05</v>
      </c>
      <c r="C94" s="25">
        <f t="shared" ref="C94" si="2">B94*C$70</f>
        <v>1897.2</v>
      </c>
    </row>
    <row r="96" spans="1:5" x14ac:dyDescent="0.2">
      <c r="B96" s="34" t="s">
        <v>535</v>
      </c>
    </row>
    <row r="97" spans="2:5" ht="50.75" customHeight="1" x14ac:dyDescent="0.2">
      <c r="B97" s="27" t="s">
        <v>536</v>
      </c>
      <c r="C97" s="27" t="s">
        <v>530</v>
      </c>
    </row>
    <row r="98" spans="2:5" ht="14.75" customHeight="1" x14ac:dyDescent="0.2">
      <c r="B98" s="32">
        <v>0.05</v>
      </c>
      <c r="C98" s="25">
        <f t="shared" ref="C98:C103" si="3">B98*C$70</f>
        <v>1897.2</v>
      </c>
      <c r="D98" s="693" t="s">
        <v>531</v>
      </c>
      <c r="E98" s="693"/>
    </row>
    <row r="99" spans="2:5" x14ac:dyDescent="0.2">
      <c r="B99" s="32">
        <v>0.06</v>
      </c>
      <c r="C99" s="25">
        <f t="shared" si="3"/>
        <v>2276.64</v>
      </c>
      <c r="D99" s="693"/>
      <c r="E99" s="693"/>
    </row>
    <row r="100" spans="2:5" x14ac:dyDescent="0.2">
      <c r="B100" s="32">
        <v>7.0000000000000007E-2</v>
      </c>
      <c r="C100" s="25">
        <f t="shared" si="3"/>
        <v>2656.0800000000004</v>
      </c>
      <c r="D100" s="693"/>
      <c r="E100" s="693"/>
    </row>
    <row r="101" spans="2:5" x14ac:dyDescent="0.2">
      <c r="B101" s="32">
        <v>0.08</v>
      </c>
      <c r="C101" s="25">
        <f t="shared" si="3"/>
        <v>3035.52</v>
      </c>
      <c r="D101" s="693"/>
      <c r="E101" s="693"/>
    </row>
    <row r="102" spans="2:5" x14ac:dyDescent="0.2">
      <c r="B102" s="32">
        <v>0.09</v>
      </c>
      <c r="C102" s="25">
        <f t="shared" si="3"/>
        <v>3414.96</v>
      </c>
      <c r="D102" s="693"/>
      <c r="E102" s="693"/>
    </row>
    <row r="103" spans="2:5" x14ac:dyDescent="0.2">
      <c r="B103" s="32">
        <v>0.1</v>
      </c>
      <c r="C103" s="25">
        <f t="shared" si="3"/>
        <v>3794.4</v>
      </c>
      <c r="D103" s="693"/>
      <c r="E103" s="693"/>
    </row>
    <row r="105" spans="2:5" x14ac:dyDescent="0.2">
      <c r="B105" s="31" t="s">
        <v>537</v>
      </c>
      <c r="C105" s="31" t="s">
        <v>538</v>
      </c>
    </row>
    <row r="106" spans="2:5" x14ac:dyDescent="0.2">
      <c r="B106" s="33">
        <v>0.2</v>
      </c>
      <c r="C106" s="25">
        <f t="shared" ref="C106:C111" si="4">B106*C$70</f>
        <v>7588.8</v>
      </c>
      <c r="D106" s="692" t="s">
        <v>539</v>
      </c>
      <c r="E106" s="693"/>
    </row>
    <row r="107" spans="2:5" x14ac:dyDescent="0.2">
      <c r="B107" s="33">
        <v>0.19</v>
      </c>
      <c r="C107" s="25">
        <f t="shared" si="4"/>
        <v>7209.36</v>
      </c>
      <c r="D107" s="692"/>
      <c r="E107" s="693"/>
    </row>
    <row r="108" spans="2:5" x14ac:dyDescent="0.2">
      <c r="B108" s="33">
        <v>0.18</v>
      </c>
      <c r="C108" s="25">
        <f t="shared" si="4"/>
        <v>6829.92</v>
      </c>
      <c r="D108" s="692"/>
      <c r="E108" s="693"/>
    </row>
    <row r="109" spans="2:5" x14ac:dyDescent="0.2">
      <c r="B109" s="33">
        <v>0.17</v>
      </c>
      <c r="C109" s="25">
        <f t="shared" si="4"/>
        <v>6450.4800000000005</v>
      </c>
      <c r="D109" s="692"/>
      <c r="E109" s="693"/>
    </row>
    <row r="110" spans="2:5" x14ac:dyDescent="0.2">
      <c r="B110" s="33">
        <v>0.16</v>
      </c>
      <c r="C110" s="25">
        <f t="shared" si="4"/>
        <v>6071.04</v>
      </c>
      <c r="D110" s="692"/>
      <c r="E110" s="693"/>
    </row>
    <row r="111" spans="2:5" x14ac:dyDescent="0.2">
      <c r="B111" s="33">
        <v>0.15</v>
      </c>
      <c r="C111" s="25">
        <f t="shared" si="4"/>
        <v>5691.5999999999995</v>
      </c>
      <c r="D111" s="692"/>
      <c r="E111" s="693"/>
    </row>
  </sheetData>
  <mergeCells count="4">
    <mergeCell ref="D75:E83"/>
    <mergeCell ref="D86:E91"/>
    <mergeCell ref="D98:E103"/>
    <mergeCell ref="D106:E11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66FBB-DA68-4FB9-96AA-AEF252385572}">
  <sheetPr codeName="Sheet3">
    <tabColor theme="9" tint="0.79998168889431442"/>
  </sheetPr>
  <dimension ref="B1:G133"/>
  <sheetViews>
    <sheetView topLeftCell="A19" workbookViewId="0">
      <selection activeCell="C76" sqref="C76"/>
    </sheetView>
  </sheetViews>
  <sheetFormatPr baseColWidth="10" defaultColWidth="8.5" defaultRowHeight="15" x14ac:dyDescent="0.2"/>
  <cols>
    <col min="2" max="3" width="30.5" customWidth="1"/>
    <col min="4" max="4" width="16.5" bestFit="1" customWidth="1"/>
    <col min="5" max="5" width="9.5" bestFit="1" customWidth="1"/>
    <col min="6" max="6" width="11.5" bestFit="1" customWidth="1"/>
    <col min="7" max="7" width="20.5" bestFit="1" customWidth="1"/>
  </cols>
  <sheetData>
    <row r="1" spans="2:7" x14ac:dyDescent="0.2">
      <c r="B1" s="278" t="s">
        <v>540</v>
      </c>
    </row>
    <row r="3" spans="2:7" x14ac:dyDescent="0.2">
      <c r="B3" s="91" t="s">
        <v>467</v>
      </c>
      <c r="C3" s="92"/>
      <c r="D3" s="92"/>
      <c r="E3" s="92"/>
      <c r="F3" s="92"/>
      <c r="G3" s="92"/>
    </row>
    <row r="4" spans="2:7" x14ac:dyDescent="0.2">
      <c r="B4" s="93"/>
      <c r="C4" s="94" t="s">
        <v>468</v>
      </c>
      <c r="D4" s="94" t="s">
        <v>469</v>
      </c>
      <c r="E4" s="94" t="s">
        <v>470</v>
      </c>
      <c r="F4" s="92"/>
      <c r="G4" s="92"/>
    </row>
    <row r="5" spans="2:7" x14ac:dyDescent="0.2">
      <c r="B5" s="95" t="s">
        <v>10</v>
      </c>
      <c r="C5" s="93"/>
      <c r="D5" s="93"/>
      <c r="E5" s="93"/>
      <c r="F5" s="92"/>
      <c r="G5" s="92"/>
    </row>
    <row r="6" spans="2:7" x14ac:dyDescent="0.2">
      <c r="B6" s="93" t="s">
        <v>12</v>
      </c>
      <c r="C6" s="96">
        <v>74</v>
      </c>
      <c r="D6" s="96">
        <v>68</v>
      </c>
      <c r="E6" s="96">
        <v>78</v>
      </c>
      <c r="F6" s="92"/>
      <c r="G6" s="92"/>
    </row>
    <row r="7" spans="2:7" x14ac:dyDescent="0.2">
      <c r="B7" s="93" t="s">
        <v>13</v>
      </c>
      <c r="C7" s="96">
        <v>96</v>
      </c>
      <c r="D7" s="96">
        <v>98</v>
      </c>
      <c r="E7" s="96">
        <v>98</v>
      </c>
      <c r="F7" s="92"/>
      <c r="G7" s="92"/>
    </row>
    <row r="8" spans="2:7" x14ac:dyDescent="0.2">
      <c r="B8" s="93" t="s">
        <v>471</v>
      </c>
      <c r="C8" s="96">
        <v>85</v>
      </c>
      <c r="D8" s="96">
        <v>83</v>
      </c>
      <c r="E8" s="96">
        <v>88</v>
      </c>
      <c r="F8" s="97">
        <v>85.333333330000002</v>
      </c>
      <c r="G8" s="92" t="s">
        <v>472</v>
      </c>
    </row>
    <row r="9" spans="2:7" x14ac:dyDescent="0.2">
      <c r="B9" s="95" t="s">
        <v>11</v>
      </c>
      <c r="C9" s="96"/>
      <c r="D9" s="96"/>
      <c r="E9" s="96"/>
      <c r="F9" s="92"/>
      <c r="G9" s="92"/>
    </row>
    <row r="10" spans="2:7" x14ac:dyDescent="0.2">
      <c r="B10" s="98" t="s">
        <v>12</v>
      </c>
      <c r="C10" s="99">
        <v>78</v>
      </c>
      <c r="D10" s="99">
        <v>68</v>
      </c>
      <c r="E10" s="99">
        <v>88</v>
      </c>
      <c r="F10" s="92"/>
      <c r="G10" s="92"/>
    </row>
    <row r="11" spans="2:7" x14ac:dyDescent="0.2">
      <c r="B11" s="100" t="s">
        <v>13</v>
      </c>
      <c r="C11" s="101">
        <v>118</v>
      </c>
      <c r="D11" s="101">
        <v>108</v>
      </c>
      <c r="E11" s="101">
        <v>108</v>
      </c>
      <c r="F11" s="92"/>
      <c r="G11" s="92"/>
    </row>
    <row r="12" spans="2:7" x14ac:dyDescent="0.2">
      <c r="B12" s="100" t="s">
        <v>473</v>
      </c>
      <c r="C12" s="101">
        <v>98</v>
      </c>
      <c r="D12" s="101">
        <v>88</v>
      </c>
      <c r="E12" s="101">
        <v>98</v>
      </c>
      <c r="F12" s="97">
        <v>94.666666669999998</v>
      </c>
      <c r="G12" s="92" t="s">
        <v>474</v>
      </c>
    </row>
    <row r="13" spans="2:7" x14ac:dyDescent="0.2">
      <c r="B13" s="92"/>
      <c r="C13" s="92"/>
      <c r="D13" s="92"/>
      <c r="E13" s="92"/>
      <c r="F13" s="92"/>
      <c r="G13" s="92"/>
    </row>
    <row r="14" spans="2:7" x14ac:dyDescent="0.2">
      <c r="B14" s="91" t="s">
        <v>475</v>
      </c>
      <c r="C14" s="92"/>
      <c r="D14" s="92"/>
      <c r="E14" s="92"/>
      <c r="F14" s="92"/>
      <c r="G14" s="92"/>
    </row>
    <row r="15" spans="2:7" x14ac:dyDescent="0.2">
      <c r="B15" s="5" t="s">
        <v>476</v>
      </c>
      <c r="C15" s="5" t="s">
        <v>541</v>
      </c>
      <c r="D15" s="92"/>
      <c r="E15" s="92"/>
      <c r="F15" s="92"/>
      <c r="G15" s="92"/>
    </row>
    <row r="16" spans="2:7" x14ac:dyDescent="0.2">
      <c r="B16" s="5" t="s">
        <v>478</v>
      </c>
      <c r="C16" s="5" t="s">
        <v>542</v>
      </c>
      <c r="D16" s="92"/>
      <c r="E16" s="92"/>
      <c r="F16" s="92"/>
      <c r="G16" s="92"/>
    </row>
    <row r="17" spans="2:7" x14ac:dyDescent="0.2">
      <c r="B17" s="5" t="s">
        <v>480</v>
      </c>
      <c r="C17" s="5" t="s">
        <v>481</v>
      </c>
      <c r="D17" s="92"/>
      <c r="E17" s="92"/>
      <c r="F17" s="92"/>
      <c r="G17" s="92"/>
    </row>
    <row r="18" spans="2:7" x14ac:dyDescent="0.2">
      <c r="D18" s="92"/>
      <c r="E18" s="92"/>
      <c r="F18" s="92"/>
      <c r="G18" s="92"/>
    </row>
    <row r="19" spans="2:7" x14ac:dyDescent="0.2">
      <c r="B19" s="91" t="s">
        <v>543</v>
      </c>
      <c r="C19" s="92"/>
      <c r="D19" s="92"/>
      <c r="E19" s="92"/>
      <c r="F19" s="92"/>
      <c r="G19" s="92"/>
    </row>
    <row r="20" spans="2:7" x14ac:dyDescent="0.2">
      <c r="B20" s="92" t="s">
        <v>483</v>
      </c>
      <c r="C20" s="92"/>
      <c r="D20" s="92"/>
      <c r="E20" s="92"/>
      <c r="F20" s="92"/>
      <c r="G20" s="92"/>
    </row>
    <row r="21" spans="2:7" x14ac:dyDescent="0.2">
      <c r="B21" s="92" t="s">
        <v>484</v>
      </c>
      <c r="C21" s="92"/>
      <c r="D21" s="92"/>
      <c r="E21" s="92"/>
      <c r="F21" s="92"/>
      <c r="G21" s="92"/>
    </row>
    <row r="22" spans="2:7" x14ac:dyDescent="0.2">
      <c r="B22" s="92" t="s">
        <v>485</v>
      </c>
      <c r="C22" s="92"/>
      <c r="D22" s="92"/>
      <c r="E22" s="92"/>
      <c r="F22" s="92"/>
      <c r="G22" s="92"/>
    </row>
    <row r="23" spans="2:7" x14ac:dyDescent="0.2">
      <c r="B23" s="92"/>
      <c r="C23" s="92"/>
      <c r="D23" s="92"/>
      <c r="E23" s="92"/>
      <c r="F23" s="92"/>
      <c r="G23" s="92"/>
    </row>
    <row r="24" spans="2:7" x14ac:dyDescent="0.2">
      <c r="B24" s="91" t="s">
        <v>486</v>
      </c>
      <c r="C24" s="92"/>
      <c r="D24" s="92"/>
      <c r="E24" s="92"/>
      <c r="F24" s="92"/>
      <c r="G24" s="92"/>
    </row>
    <row r="25" spans="2:7" x14ac:dyDescent="0.2">
      <c r="B25" s="92" t="s">
        <v>487</v>
      </c>
      <c r="C25" s="92"/>
      <c r="D25" s="92"/>
      <c r="E25" s="92"/>
      <c r="F25" s="92"/>
      <c r="G25" s="92"/>
    </row>
    <row r="26" spans="2:7" x14ac:dyDescent="0.2">
      <c r="B26" s="92" t="s">
        <v>488</v>
      </c>
      <c r="C26" s="92"/>
      <c r="D26" s="92"/>
      <c r="E26" s="92"/>
      <c r="F26" s="92"/>
      <c r="G26" s="92"/>
    </row>
    <row r="27" spans="2:7" x14ac:dyDescent="0.2">
      <c r="B27" s="92"/>
      <c r="C27" s="92"/>
      <c r="D27" s="92"/>
      <c r="E27" s="92"/>
      <c r="F27" s="92"/>
      <c r="G27" s="92"/>
    </row>
    <row r="28" spans="2:7" x14ac:dyDescent="0.2">
      <c r="B28" s="91" t="s">
        <v>489</v>
      </c>
      <c r="C28" s="92"/>
      <c r="D28" s="92"/>
      <c r="E28" s="92"/>
      <c r="F28" s="92"/>
      <c r="G28" s="92"/>
    </row>
    <row r="29" spans="2:7" x14ac:dyDescent="0.2">
      <c r="B29" s="92" t="s">
        <v>490</v>
      </c>
      <c r="C29" s="92"/>
      <c r="D29" s="92"/>
      <c r="E29" s="92"/>
      <c r="F29" s="92"/>
      <c r="G29" s="92"/>
    </row>
    <row r="30" spans="2:7" x14ac:dyDescent="0.2">
      <c r="B30" s="92" t="s">
        <v>491</v>
      </c>
      <c r="C30" s="92"/>
      <c r="D30" s="92"/>
      <c r="E30" s="92"/>
      <c r="F30" s="92"/>
      <c r="G30" s="92"/>
    </row>
    <row r="31" spans="2:7" x14ac:dyDescent="0.2">
      <c r="B31" s="92"/>
      <c r="C31" s="92"/>
      <c r="D31" s="92"/>
      <c r="E31" s="92"/>
      <c r="F31" s="92"/>
      <c r="G31" s="92"/>
    </row>
    <row r="32" spans="2:7" x14ac:dyDescent="0.2">
      <c r="B32" s="92"/>
      <c r="C32" s="92"/>
      <c r="D32" s="92"/>
      <c r="E32" s="92"/>
      <c r="F32" s="92"/>
      <c r="G32" s="92"/>
    </row>
    <row r="33" spans="2:7" x14ac:dyDescent="0.2">
      <c r="B33" s="91" t="s">
        <v>492</v>
      </c>
      <c r="C33" s="92"/>
      <c r="D33" s="92"/>
      <c r="E33" s="102"/>
      <c r="F33" s="92"/>
      <c r="G33" s="92"/>
    </row>
    <row r="34" spans="2:7" x14ac:dyDescent="0.2">
      <c r="B34" s="92" t="s">
        <v>493</v>
      </c>
      <c r="C34" s="92">
        <v>14</v>
      </c>
      <c r="D34" s="92" t="s">
        <v>494</v>
      </c>
      <c r="E34" s="92"/>
      <c r="F34" s="92"/>
      <c r="G34" s="92"/>
    </row>
    <row r="35" spans="2:7" x14ac:dyDescent="0.2">
      <c r="B35" s="92" t="s">
        <v>495</v>
      </c>
      <c r="C35" s="92">
        <v>1500</v>
      </c>
      <c r="D35" s="92" t="s">
        <v>496</v>
      </c>
      <c r="E35" s="92"/>
      <c r="F35" s="92"/>
      <c r="G35" s="92"/>
    </row>
    <row r="36" spans="2:7" x14ac:dyDescent="0.2">
      <c r="B36" s="92" t="s">
        <v>319</v>
      </c>
      <c r="C36" s="92">
        <v>3750</v>
      </c>
      <c r="D36" s="92" t="s">
        <v>496</v>
      </c>
      <c r="E36" s="92"/>
      <c r="F36" s="92"/>
      <c r="G36" s="92"/>
    </row>
    <row r="37" spans="2:7" x14ac:dyDescent="0.2">
      <c r="B37" s="92"/>
      <c r="C37" s="92"/>
      <c r="D37" s="92"/>
      <c r="E37" s="92"/>
      <c r="F37" s="92"/>
      <c r="G37" s="92"/>
    </row>
    <row r="38" spans="2:7" x14ac:dyDescent="0.2">
      <c r="B38" s="91" t="s">
        <v>497</v>
      </c>
      <c r="C38" s="92"/>
      <c r="D38" s="92"/>
      <c r="E38" s="92"/>
      <c r="F38" s="92"/>
      <c r="G38" s="92"/>
    </row>
    <row r="39" spans="2:7" x14ac:dyDescent="0.2">
      <c r="B39" s="92" t="s">
        <v>498</v>
      </c>
      <c r="C39" s="92">
        <v>3600</v>
      </c>
      <c r="D39" s="92" t="s">
        <v>496</v>
      </c>
      <c r="E39" s="92"/>
      <c r="F39" s="92"/>
      <c r="G39" s="92"/>
    </row>
    <row r="40" spans="2:7" x14ac:dyDescent="0.2">
      <c r="B40" s="92" t="s">
        <v>499</v>
      </c>
      <c r="C40" s="92">
        <v>2500</v>
      </c>
      <c r="D40" s="92" t="s">
        <v>496</v>
      </c>
      <c r="E40" s="92"/>
      <c r="F40" s="92"/>
      <c r="G40" s="92"/>
    </row>
    <row r="41" spans="2:7" x14ac:dyDescent="0.2">
      <c r="B41" s="92" t="s">
        <v>500</v>
      </c>
      <c r="C41" s="92">
        <v>3000</v>
      </c>
      <c r="D41" s="92" t="s">
        <v>496</v>
      </c>
      <c r="E41" s="92"/>
      <c r="F41" s="92"/>
      <c r="G41" s="92"/>
    </row>
    <row r="42" spans="2:7" x14ac:dyDescent="0.2">
      <c r="B42" s="92" t="s">
        <v>501</v>
      </c>
      <c r="C42" s="92">
        <v>1850</v>
      </c>
      <c r="D42" s="92" t="s">
        <v>496</v>
      </c>
      <c r="E42" s="92"/>
      <c r="F42" s="92"/>
      <c r="G42" s="92"/>
    </row>
    <row r="43" spans="2:7" x14ac:dyDescent="0.2">
      <c r="B43" s="92"/>
      <c r="C43" s="92"/>
      <c r="D43" s="92"/>
      <c r="E43" s="92"/>
      <c r="F43" s="92"/>
      <c r="G43" s="92"/>
    </row>
    <row r="44" spans="2:7" x14ac:dyDescent="0.2">
      <c r="B44" s="97" t="s">
        <v>502</v>
      </c>
      <c r="C44" s="92">
        <v>2</v>
      </c>
      <c r="D44" s="92" t="s">
        <v>503</v>
      </c>
      <c r="E44" s="92"/>
      <c r="F44" s="92"/>
      <c r="G44" s="92"/>
    </row>
    <row r="45" spans="2:7" x14ac:dyDescent="0.2">
      <c r="B45" s="92"/>
      <c r="C45" s="92"/>
      <c r="D45" s="92"/>
      <c r="E45" s="92"/>
      <c r="F45" s="92"/>
      <c r="G45" s="92"/>
    </row>
    <row r="46" spans="2:7" x14ac:dyDescent="0.2">
      <c r="B46" s="91" t="s">
        <v>504</v>
      </c>
      <c r="C46" s="92"/>
      <c r="D46" s="92"/>
      <c r="E46" s="92"/>
      <c r="F46" s="92"/>
      <c r="G46" s="92"/>
    </row>
    <row r="47" spans="2:7" x14ac:dyDescent="0.2">
      <c r="B47" s="92"/>
      <c r="C47" s="92"/>
      <c r="D47" s="92"/>
      <c r="E47" s="92"/>
      <c r="F47" s="92"/>
      <c r="G47" s="92"/>
    </row>
    <row r="48" spans="2:7" x14ac:dyDescent="0.2">
      <c r="B48" s="92" t="s">
        <v>505</v>
      </c>
      <c r="C48" s="92">
        <v>235</v>
      </c>
      <c r="D48" s="92" t="s">
        <v>506</v>
      </c>
      <c r="E48" s="92"/>
      <c r="F48" s="92"/>
      <c r="G48" s="92"/>
    </row>
    <row r="49" spans="2:7" x14ac:dyDescent="0.2">
      <c r="B49" s="92" t="s">
        <v>468</v>
      </c>
      <c r="C49" s="92">
        <v>260</v>
      </c>
      <c r="D49" s="92" t="s">
        <v>506</v>
      </c>
      <c r="E49" s="92"/>
      <c r="F49" s="92"/>
      <c r="G49" s="92"/>
    </row>
    <row r="50" spans="2:7" x14ac:dyDescent="0.2">
      <c r="B50" s="92" t="s">
        <v>507</v>
      </c>
      <c r="C50" s="92">
        <v>250</v>
      </c>
      <c r="D50" s="92" t="s">
        <v>506</v>
      </c>
      <c r="E50" s="92"/>
      <c r="F50" s="92"/>
      <c r="G50" s="92"/>
    </row>
    <row r="51" spans="2:7" x14ac:dyDescent="0.2">
      <c r="B51" s="97" t="s">
        <v>508</v>
      </c>
      <c r="C51" s="92">
        <v>248.33333329999999</v>
      </c>
      <c r="D51" s="92"/>
      <c r="E51" s="92"/>
      <c r="F51" s="92"/>
      <c r="G51" s="92"/>
    </row>
    <row r="52" spans="2:7" x14ac:dyDescent="0.2">
      <c r="B52" s="97" t="s">
        <v>544</v>
      </c>
      <c r="C52">
        <f>MEDIAN(C48:C50)</f>
        <v>250</v>
      </c>
      <c r="D52" s="92"/>
      <c r="E52" s="92"/>
      <c r="F52" s="92"/>
      <c r="G52" s="92"/>
    </row>
    <row r="53" spans="2:7" x14ac:dyDescent="0.2">
      <c r="B53" s="97" t="s">
        <v>545</v>
      </c>
      <c r="C53" s="92">
        <f>MAX(C48:C50)</f>
        <v>260</v>
      </c>
      <c r="E53" s="92"/>
      <c r="F53" s="92"/>
      <c r="G53" s="92"/>
    </row>
    <row r="54" spans="2:7" x14ac:dyDescent="0.2">
      <c r="E54" s="92"/>
      <c r="F54" s="92"/>
      <c r="G54" s="92"/>
    </row>
    <row r="55" spans="2:7" x14ac:dyDescent="0.2">
      <c r="B55" s="91" t="s">
        <v>509</v>
      </c>
      <c r="C55" s="92"/>
      <c r="D55" s="92"/>
      <c r="E55" s="92"/>
      <c r="F55" s="92"/>
      <c r="G55" s="92"/>
    </row>
    <row r="56" spans="2:7" x14ac:dyDescent="0.2">
      <c r="B56" s="92" t="s">
        <v>12</v>
      </c>
      <c r="C56" s="92">
        <v>2.5</v>
      </c>
      <c r="D56" s="92" t="s">
        <v>510</v>
      </c>
      <c r="E56">
        <v>3</v>
      </c>
      <c r="F56" t="s">
        <v>546</v>
      </c>
    </row>
    <row r="57" spans="2:7" x14ac:dyDescent="0.2">
      <c r="B57" s="92" t="s">
        <v>13</v>
      </c>
      <c r="C57" s="92">
        <v>4</v>
      </c>
      <c r="D57" s="92" t="s">
        <v>511</v>
      </c>
    </row>
    <row r="60" spans="2:7" x14ac:dyDescent="0.2">
      <c r="B60" s="91" t="s">
        <v>512</v>
      </c>
      <c r="C60" s="92"/>
      <c r="D60" s="92"/>
      <c r="E60" s="92"/>
    </row>
    <row r="61" spans="2:7" x14ac:dyDescent="0.2">
      <c r="B61" s="92"/>
      <c r="C61" s="92"/>
      <c r="D61" s="92"/>
      <c r="E61" s="92"/>
    </row>
    <row r="62" spans="2:7" ht="16" x14ac:dyDescent="0.2">
      <c r="B62" s="103" t="s">
        <v>513</v>
      </c>
      <c r="C62" s="92">
        <v>248</v>
      </c>
      <c r="D62" s="92" t="s">
        <v>506</v>
      </c>
      <c r="E62" s="92"/>
    </row>
    <row r="63" spans="2:7" ht="32" x14ac:dyDescent="0.2">
      <c r="B63" s="103" t="s">
        <v>514</v>
      </c>
      <c r="C63" s="104">
        <v>0.75</v>
      </c>
      <c r="D63" s="104"/>
      <c r="E63" s="92"/>
    </row>
    <row r="64" spans="2:7" ht="32" x14ac:dyDescent="0.2">
      <c r="B64" s="103" t="s">
        <v>515</v>
      </c>
      <c r="C64" s="104">
        <v>1</v>
      </c>
      <c r="D64" s="104"/>
      <c r="E64" s="92"/>
    </row>
    <row r="65" spans="2:5" ht="32" x14ac:dyDescent="0.2">
      <c r="B65" s="103" t="s">
        <v>516</v>
      </c>
      <c r="C65" s="104">
        <v>0.7</v>
      </c>
      <c r="D65" s="104"/>
      <c r="E65" s="92"/>
    </row>
    <row r="66" spans="2:5" ht="32" x14ac:dyDescent="0.2">
      <c r="B66" s="103" t="s">
        <v>517</v>
      </c>
      <c r="C66" s="104">
        <v>0.95</v>
      </c>
      <c r="D66" s="104"/>
      <c r="E66" s="92"/>
    </row>
    <row r="67" spans="2:5" x14ac:dyDescent="0.2">
      <c r="B67" s="92"/>
      <c r="C67" s="92"/>
      <c r="D67" s="92"/>
      <c r="E67" s="92"/>
    </row>
    <row r="68" spans="2:5" x14ac:dyDescent="0.2">
      <c r="B68" s="100"/>
      <c r="C68" s="100" t="s">
        <v>10</v>
      </c>
      <c r="D68" s="100" t="s">
        <v>11</v>
      </c>
      <c r="E68" s="92"/>
    </row>
    <row r="69" spans="2:5" ht="16" x14ac:dyDescent="0.2">
      <c r="B69" s="105" t="s">
        <v>518</v>
      </c>
      <c r="C69" s="100">
        <v>359.6</v>
      </c>
      <c r="D69" s="100">
        <v>483.6</v>
      </c>
      <c r="E69" s="92"/>
    </row>
    <row r="70" spans="2:5" x14ac:dyDescent="0.2">
      <c r="B70" s="103"/>
      <c r="C70" s="92"/>
      <c r="D70" s="92"/>
      <c r="E70" s="92"/>
    </row>
    <row r="71" spans="2:5" ht="16" x14ac:dyDescent="0.2">
      <c r="B71" s="103" t="s">
        <v>519</v>
      </c>
      <c r="C71" s="92">
        <v>421.6</v>
      </c>
      <c r="D71" s="92"/>
      <c r="E71" s="92"/>
    </row>
    <row r="72" spans="2:5" x14ac:dyDescent="0.2">
      <c r="B72" s="92" t="s">
        <v>520</v>
      </c>
      <c r="C72" s="92">
        <v>90</v>
      </c>
      <c r="D72" s="92"/>
      <c r="E72" s="92"/>
    </row>
    <row r="73" spans="2:5" ht="16" x14ac:dyDescent="0.2">
      <c r="B73" s="103" t="s">
        <v>521</v>
      </c>
      <c r="C73" s="92">
        <v>37944</v>
      </c>
      <c r="D73" s="92"/>
      <c r="E73" s="92"/>
    </row>
    <row r="74" spans="2:5" x14ac:dyDescent="0.2">
      <c r="B74" s="103"/>
      <c r="C74" s="92"/>
      <c r="D74" s="92"/>
      <c r="E74" s="92"/>
    </row>
    <row r="75" spans="2:5" ht="16" x14ac:dyDescent="0.2">
      <c r="B75" s="106" t="s">
        <v>522</v>
      </c>
      <c r="C75" s="92"/>
      <c r="D75" s="92"/>
      <c r="E75" s="92"/>
    </row>
    <row r="76" spans="2:5" x14ac:dyDescent="0.2">
      <c r="B76" s="92"/>
      <c r="C76" s="92"/>
      <c r="D76" s="92"/>
      <c r="E76" s="92"/>
    </row>
    <row r="77" spans="2:5" ht="16" x14ac:dyDescent="0.2">
      <c r="B77" s="107" t="s">
        <v>523</v>
      </c>
      <c r="C77" s="92"/>
      <c r="D77" s="92"/>
      <c r="E77" s="92"/>
    </row>
    <row r="78" spans="2:5" ht="16" x14ac:dyDescent="0.2">
      <c r="B78" s="108" t="s">
        <v>525</v>
      </c>
      <c r="C78" s="109" t="s">
        <v>526</v>
      </c>
      <c r="D78" s="696" t="s">
        <v>527</v>
      </c>
      <c r="E78" s="697"/>
    </row>
    <row r="79" spans="2:5" x14ac:dyDescent="0.2">
      <c r="B79" s="111">
        <v>0.28000000000000003</v>
      </c>
      <c r="C79" s="112">
        <v>10624.32</v>
      </c>
      <c r="D79" s="696"/>
      <c r="E79" s="697"/>
    </row>
    <row r="80" spans="2:5" x14ac:dyDescent="0.2">
      <c r="B80" s="113">
        <v>0.28999999999999998</v>
      </c>
      <c r="C80" s="112">
        <v>11003.76</v>
      </c>
      <c r="D80" s="696"/>
      <c r="E80" s="697"/>
    </row>
    <row r="81" spans="2:5" x14ac:dyDescent="0.2">
      <c r="B81" s="113">
        <v>0.3</v>
      </c>
      <c r="C81" s="112">
        <v>11383.2</v>
      </c>
      <c r="D81" s="696"/>
      <c r="E81" s="697"/>
    </row>
    <row r="82" spans="2:5" x14ac:dyDescent="0.2">
      <c r="B82" s="111">
        <v>0.31</v>
      </c>
      <c r="C82" s="112">
        <v>11762.64</v>
      </c>
      <c r="D82" s="696"/>
      <c r="E82" s="697"/>
    </row>
    <row r="83" spans="2:5" x14ac:dyDescent="0.2">
      <c r="B83" s="113">
        <v>0.32</v>
      </c>
      <c r="C83" s="112">
        <v>12142.08</v>
      </c>
      <c r="D83" s="696"/>
      <c r="E83" s="697"/>
    </row>
    <row r="84" spans="2:5" x14ac:dyDescent="0.2">
      <c r="B84" s="113">
        <v>0.33</v>
      </c>
      <c r="C84" s="112">
        <v>12521.52</v>
      </c>
      <c r="D84" s="696"/>
      <c r="E84" s="697"/>
    </row>
    <row r="85" spans="2:5" x14ac:dyDescent="0.2">
      <c r="B85" s="111">
        <v>0.34</v>
      </c>
      <c r="C85" s="112">
        <v>12900.96</v>
      </c>
      <c r="D85" s="696"/>
      <c r="E85" s="697"/>
    </row>
    <row r="86" spans="2:5" x14ac:dyDescent="0.2">
      <c r="B86" s="111">
        <v>0.35</v>
      </c>
      <c r="C86" s="112">
        <v>13280.4</v>
      </c>
      <c r="D86" s="696"/>
      <c r="E86" s="697"/>
    </row>
    <row r="87" spans="2:5" ht="16" x14ac:dyDescent="0.2">
      <c r="B87" s="114" t="s">
        <v>544</v>
      </c>
      <c r="C87" s="115">
        <f>MEDIAN(B79:B86)</f>
        <v>0.315</v>
      </c>
      <c r="D87" s="110"/>
      <c r="E87" s="110"/>
    </row>
    <row r="88" spans="2:5" x14ac:dyDescent="0.2">
      <c r="B88" s="92"/>
      <c r="C88" s="92"/>
      <c r="D88" s="92"/>
      <c r="E88" s="92"/>
    </row>
    <row r="89" spans="2:5" ht="32" x14ac:dyDescent="0.2">
      <c r="B89" s="108" t="s">
        <v>529</v>
      </c>
      <c r="C89" s="109" t="s">
        <v>530</v>
      </c>
      <c r="D89" s="92"/>
      <c r="E89" s="92"/>
    </row>
    <row r="90" spans="2:5" x14ac:dyDescent="0.2">
      <c r="B90" s="116">
        <v>0.03</v>
      </c>
      <c r="C90" s="112">
        <v>1138.32</v>
      </c>
      <c r="D90" s="348"/>
      <c r="E90" s="349"/>
    </row>
    <row r="91" spans="2:5" x14ac:dyDescent="0.2">
      <c r="B91" s="116">
        <v>0.04</v>
      </c>
      <c r="C91" s="112">
        <v>1517.76</v>
      </c>
      <c r="D91" s="348"/>
      <c r="E91" s="349"/>
    </row>
    <row r="92" spans="2:5" x14ac:dyDescent="0.2">
      <c r="B92" s="116">
        <v>0.05</v>
      </c>
      <c r="C92" s="112">
        <v>1897.2</v>
      </c>
      <c r="D92" s="348"/>
      <c r="E92" s="349"/>
    </row>
    <row r="93" spans="2:5" x14ac:dyDescent="0.2">
      <c r="B93" s="116">
        <v>0.06</v>
      </c>
      <c r="C93" s="112">
        <v>2276.64</v>
      </c>
      <c r="D93" s="348"/>
      <c r="E93" s="349"/>
    </row>
    <row r="94" spans="2:5" x14ac:dyDescent="0.2">
      <c r="B94" s="116">
        <v>7.0000000000000007E-2</v>
      </c>
      <c r="C94" s="112">
        <v>2656.08</v>
      </c>
      <c r="D94" s="348"/>
      <c r="E94" s="349"/>
    </row>
    <row r="95" spans="2:5" x14ac:dyDescent="0.2">
      <c r="B95" s="116">
        <v>0.08</v>
      </c>
      <c r="C95" s="112">
        <v>3035.52</v>
      </c>
      <c r="D95" s="348"/>
      <c r="E95" s="349"/>
    </row>
    <row r="96" spans="2:5" ht="16" x14ac:dyDescent="0.2">
      <c r="B96" s="114" t="s">
        <v>544</v>
      </c>
      <c r="C96" s="115">
        <f>MEDIAN(B90:B95)</f>
        <v>5.5E-2</v>
      </c>
      <c r="D96" s="350"/>
      <c r="E96" s="350"/>
    </row>
    <row r="97" spans="2:5" x14ac:dyDescent="0.2">
      <c r="B97" s="92"/>
      <c r="C97" s="92"/>
      <c r="D97" s="92"/>
      <c r="E97" s="92"/>
    </row>
    <row r="98" spans="2:5" ht="16" x14ac:dyDescent="0.2">
      <c r="B98" s="108" t="s">
        <v>533</v>
      </c>
      <c r="C98" s="108" t="s">
        <v>534</v>
      </c>
      <c r="D98" s="92"/>
      <c r="E98" s="92"/>
    </row>
    <row r="99" spans="2:5" x14ac:dyDescent="0.2">
      <c r="B99" s="116">
        <v>0.05</v>
      </c>
      <c r="C99" s="112">
        <v>1897.2</v>
      </c>
      <c r="D99" s="92"/>
      <c r="E99" s="92"/>
    </row>
    <row r="100" spans="2:5" x14ac:dyDescent="0.2">
      <c r="B100" s="92"/>
      <c r="C100" s="92"/>
      <c r="D100" s="92"/>
      <c r="E100" s="92"/>
    </row>
    <row r="101" spans="2:5" x14ac:dyDescent="0.2">
      <c r="B101" s="117" t="s">
        <v>535</v>
      </c>
      <c r="C101" s="92"/>
      <c r="D101" s="92"/>
      <c r="E101" s="92"/>
    </row>
    <row r="102" spans="2:5" ht="32" x14ac:dyDescent="0.2">
      <c r="B102" s="108" t="s">
        <v>536</v>
      </c>
      <c r="C102" s="108" t="s">
        <v>530</v>
      </c>
      <c r="D102" s="92"/>
      <c r="E102" s="92"/>
    </row>
    <row r="103" spans="2:5" x14ac:dyDescent="0.2">
      <c r="B103" s="116">
        <v>0.05</v>
      </c>
      <c r="C103" s="112">
        <v>1897.2</v>
      </c>
      <c r="D103" s="348"/>
      <c r="E103" s="349"/>
    </row>
    <row r="104" spans="2:5" x14ac:dyDescent="0.2">
      <c r="B104" s="116">
        <v>0.06</v>
      </c>
      <c r="C104" s="112">
        <v>2276.64</v>
      </c>
      <c r="D104" s="348"/>
      <c r="E104" s="349"/>
    </row>
    <row r="105" spans="2:5" x14ac:dyDescent="0.2">
      <c r="B105" s="116">
        <v>7.0000000000000007E-2</v>
      </c>
      <c r="C105" s="112">
        <v>2656.08</v>
      </c>
      <c r="D105" s="348"/>
      <c r="E105" s="349"/>
    </row>
    <row r="106" spans="2:5" x14ac:dyDescent="0.2">
      <c r="B106" s="116">
        <v>0.08</v>
      </c>
      <c r="C106" s="112">
        <v>3035.52</v>
      </c>
      <c r="D106" s="348"/>
      <c r="E106" s="349"/>
    </row>
    <row r="107" spans="2:5" x14ac:dyDescent="0.2">
      <c r="B107" s="116">
        <v>0.09</v>
      </c>
      <c r="C107" s="112">
        <v>3414.96</v>
      </c>
      <c r="D107" s="348"/>
      <c r="E107" s="349"/>
    </row>
    <row r="108" spans="2:5" x14ac:dyDescent="0.2">
      <c r="B108" s="116">
        <v>0.1</v>
      </c>
      <c r="C108" s="112">
        <v>3794.4</v>
      </c>
      <c r="D108" s="348"/>
      <c r="E108" s="349"/>
    </row>
    <row r="109" spans="2:5" ht="16" x14ac:dyDescent="0.2">
      <c r="B109" s="114" t="s">
        <v>544</v>
      </c>
      <c r="C109" s="115">
        <f>MEDIAN(B103:B108)</f>
        <v>7.5000000000000011E-2</v>
      </c>
      <c r="D109" s="350"/>
      <c r="E109" s="350"/>
    </row>
    <row r="110" spans="2:5" x14ac:dyDescent="0.2">
      <c r="B110" s="92"/>
      <c r="C110" s="92"/>
      <c r="D110" s="92"/>
      <c r="E110" s="92"/>
    </row>
    <row r="111" spans="2:5" x14ac:dyDescent="0.2">
      <c r="B111" s="118" t="s">
        <v>537</v>
      </c>
      <c r="C111" s="118" t="s">
        <v>538</v>
      </c>
      <c r="D111" s="92"/>
      <c r="E111" s="92"/>
    </row>
    <row r="112" spans="2:5" x14ac:dyDescent="0.2">
      <c r="B112" s="116">
        <v>0.2</v>
      </c>
      <c r="C112" s="112">
        <v>7588.8</v>
      </c>
      <c r="D112" s="696" t="s">
        <v>539</v>
      </c>
      <c r="E112" s="697"/>
    </row>
    <row r="113" spans="2:5" x14ac:dyDescent="0.2">
      <c r="B113" s="116">
        <v>0.19</v>
      </c>
      <c r="C113" s="112">
        <v>7209.36</v>
      </c>
      <c r="D113" s="696"/>
      <c r="E113" s="697"/>
    </row>
    <row r="114" spans="2:5" x14ac:dyDescent="0.2">
      <c r="B114" s="116">
        <v>0.18</v>
      </c>
      <c r="C114" s="112">
        <v>6829.92</v>
      </c>
      <c r="D114" s="696"/>
      <c r="E114" s="697"/>
    </row>
    <row r="115" spans="2:5" x14ac:dyDescent="0.2">
      <c r="B115" s="116">
        <v>0.17</v>
      </c>
      <c r="C115" s="112">
        <v>6450.48</v>
      </c>
      <c r="D115" s="696"/>
      <c r="E115" s="697"/>
    </row>
    <row r="116" spans="2:5" x14ac:dyDescent="0.2">
      <c r="B116" s="116">
        <v>0.16</v>
      </c>
      <c r="C116" s="112">
        <v>6071.04</v>
      </c>
      <c r="D116" s="696"/>
      <c r="E116" s="697"/>
    </row>
    <row r="117" spans="2:5" x14ac:dyDescent="0.2">
      <c r="B117" s="116">
        <v>0.15</v>
      </c>
      <c r="C117" s="112">
        <v>5691.6</v>
      </c>
      <c r="D117" s="696"/>
      <c r="E117" s="697"/>
    </row>
    <row r="118" spans="2:5" ht="16" x14ac:dyDescent="0.2">
      <c r="B118" s="114" t="s">
        <v>544</v>
      </c>
      <c r="C118" s="115">
        <f>MEDIAN(B112:B117)</f>
        <v>0.17499999999999999</v>
      </c>
      <c r="D118" s="110"/>
      <c r="E118" s="110"/>
    </row>
    <row r="120" spans="2:5" ht="16" thickBot="1" x14ac:dyDescent="0.25"/>
    <row r="121" spans="2:5" ht="20" thickBot="1" x14ac:dyDescent="0.25">
      <c r="B121" s="158" t="s">
        <v>256</v>
      </c>
      <c r="C121" s="159" t="s">
        <v>257</v>
      </c>
      <c r="D121" s="160" t="s">
        <v>258</v>
      </c>
    </row>
    <row r="122" spans="2:5" x14ac:dyDescent="0.2">
      <c r="B122" s="162" t="s">
        <v>264</v>
      </c>
      <c r="C122" s="163">
        <v>45658</v>
      </c>
      <c r="D122" s="275" t="s">
        <v>265</v>
      </c>
    </row>
    <row r="123" spans="2:5" x14ac:dyDescent="0.2">
      <c r="B123" s="698" t="s">
        <v>270</v>
      </c>
      <c r="C123" s="166">
        <v>45686</v>
      </c>
      <c r="D123" s="276" t="s">
        <v>265</v>
      </c>
    </row>
    <row r="124" spans="2:5" x14ac:dyDescent="0.2">
      <c r="B124" s="698"/>
      <c r="C124" s="166">
        <v>45687</v>
      </c>
      <c r="D124" s="276" t="s">
        <v>272</v>
      </c>
    </row>
    <row r="125" spans="2:5" x14ac:dyDescent="0.2">
      <c r="B125" s="165" t="s">
        <v>273</v>
      </c>
      <c r="C125" s="166">
        <v>45747</v>
      </c>
      <c r="D125" s="276" t="s">
        <v>274</v>
      </c>
    </row>
    <row r="126" spans="2:5" x14ac:dyDescent="0.2">
      <c r="B126" s="165" t="s">
        <v>280</v>
      </c>
      <c r="C126" s="166">
        <v>45765</v>
      </c>
      <c r="D126" s="276" t="s">
        <v>281</v>
      </c>
    </row>
    <row r="127" spans="2:5" x14ac:dyDescent="0.2">
      <c r="B127" s="165" t="s">
        <v>283</v>
      </c>
      <c r="C127" s="166">
        <v>45778</v>
      </c>
      <c r="D127" s="276" t="s">
        <v>272</v>
      </c>
    </row>
    <row r="128" spans="2:5" x14ac:dyDescent="0.2">
      <c r="B128" s="165" t="s">
        <v>288</v>
      </c>
      <c r="C128" s="166">
        <v>45789</v>
      </c>
      <c r="D128" s="276" t="s">
        <v>274</v>
      </c>
    </row>
    <row r="129" spans="2:5" x14ac:dyDescent="0.2">
      <c r="B129" s="165" t="s">
        <v>291</v>
      </c>
      <c r="C129" s="166">
        <v>45815</v>
      </c>
      <c r="D129" s="276" t="s">
        <v>292</v>
      </c>
    </row>
    <row r="130" spans="2:5" x14ac:dyDescent="0.2">
      <c r="B130" s="165" t="s">
        <v>302</v>
      </c>
      <c r="C130" s="166">
        <v>45878</v>
      </c>
      <c r="D130" s="276" t="s">
        <v>292</v>
      </c>
    </row>
    <row r="131" spans="2:5" x14ac:dyDescent="0.2">
      <c r="B131" s="165" t="s">
        <v>306</v>
      </c>
      <c r="C131" s="166">
        <v>45950</v>
      </c>
      <c r="D131" s="276" t="s">
        <v>274</v>
      </c>
    </row>
    <row r="132" spans="2:5" ht="16" thickBot="1" x14ac:dyDescent="0.25">
      <c r="B132" s="169" t="s">
        <v>308</v>
      </c>
      <c r="C132" s="170">
        <v>46016</v>
      </c>
      <c r="D132" s="277" t="s">
        <v>272</v>
      </c>
    </row>
    <row r="133" spans="2:5" ht="58.25" customHeight="1" x14ac:dyDescent="0.2">
      <c r="B133" s="694" t="s">
        <v>547</v>
      </c>
      <c r="C133" s="695"/>
      <c r="D133" s="695"/>
      <c r="E133" s="151"/>
    </row>
  </sheetData>
  <mergeCells count="4">
    <mergeCell ref="B133:D133"/>
    <mergeCell ref="D78:E86"/>
    <mergeCell ref="D112:E117"/>
    <mergeCell ref="B123:B124"/>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0F380-D040-4A74-9374-35F46AF6EC4F}">
  <sheetPr codeName="Sheet7">
    <tabColor theme="9" tint="0.79998168889431442"/>
  </sheetPr>
  <dimension ref="B2:B137"/>
  <sheetViews>
    <sheetView topLeftCell="A70" workbookViewId="0">
      <selection activeCell="K77" sqref="K77"/>
    </sheetView>
  </sheetViews>
  <sheetFormatPr baseColWidth="10" defaultColWidth="8.5" defaultRowHeight="15" x14ac:dyDescent="0.2"/>
  <cols>
    <col min="1" max="16384" width="8.5" style="9"/>
  </cols>
  <sheetData>
    <row r="2" spans="2:2" x14ac:dyDescent="0.2">
      <c r="B2" s="10" t="s">
        <v>548</v>
      </c>
    </row>
    <row r="3" spans="2:2" x14ac:dyDescent="0.2">
      <c r="B3" s="11" t="s">
        <v>549</v>
      </c>
    </row>
    <row r="4" spans="2:2" x14ac:dyDescent="0.2">
      <c r="B4" t="s">
        <v>550</v>
      </c>
    </row>
    <row r="5" spans="2:2" s="281" customFormat="1" x14ac:dyDescent="0.2">
      <c r="B5" s="281" t="s">
        <v>551</v>
      </c>
    </row>
    <row r="6" spans="2:2" x14ac:dyDescent="0.2">
      <c r="B6" t="s">
        <v>552</v>
      </c>
    </row>
    <row r="7" spans="2:2" s="281" customFormat="1" x14ac:dyDescent="0.2">
      <c r="B7" s="281" t="s">
        <v>553</v>
      </c>
    </row>
    <row r="8" spans="2:2" x14ac:dyDescent="0.2">
      <c r="B8" t="s">
        <v>554</v>
      </c>
    </row>
    <row r="9" spans="2:2" s="281" customFormat="1" x14ac:dyDescent="0.2">
      <c r="B9" s="281" t="s">
        <v>555</v>
      </c>
    </row>
    <row r="10" spans="2:2" x14ac:dyDescent="0.2">
      <c r="B10" t="s">
        <v>556</v>
      </c>
    </row>
    <row r="11" spans="2:2" s="281" customFormat="1" x14ac:dyDescent="0.2">
      <c r="B11" s="281" t="s">
        <v>557</v>
      </c>
    </row>
    <row r="12" spans="2:2" x14ac:dyDescent="0.2">
      <c r="B12" s="11" t="s">
        <v>558</v>
      </c>
    </row>
    <row r="13" spans="2:2" x14ac:dyDescent="0.2">
      <c r="B13" t="s">
        <v>559</v>
      </c>
    </row>
    <row r="14" spans="2:2" x14ac:dyDescent="0.2">
      <c r="B14" s="281" t="s">
        <v>560</v>
      </c>
    </row>
    <row r="15" spans="2:2" x14ac:dyDescent="0.2">
      <c r="B15" s="11" t="s">
        <v>561</v>
      </c>
    </row>
    <row r="16" spans="2:2" x14ac:dyDescent="0.2">
      <c r="B16" t="s">
        <v>562</v>
      </c>
    </row>
    <row r="17" spans="2:2" x14ac:dyDescent="0.2">
      <c r="B17" s="278" t="s">
        <v>563</v>
      </c>
    </row>
    <row r="18" spans="2:2" x14ac:dyDescent="0.2">
      <c r="B18" s="11" t="s">
        <v>564</v>
      </c>
    </row>
    <row r="19" spans="2:2" x14ac:dyDescent="0.2">
      <c r="B19" t="s">
        <v>565</v>
      </c>
    </row>
    <row r="20" spans="2:2" x14ac:dyDescent="0.2">
      <c r="B20" s="278" t="s">
        <v>566</v>
      </c>
    </row>
    <row r="21" spans="2:2" x14ac:dyDescent="0.2">
      <c r="B21" s="11" t="s">
        <v>567</v>
      </c>
    </row>
    <row r="22" spans="2:2" x14ac:dyDescent="0.2">
      <c r="B22" s="278" t="s">
        <v>568</v>
      </c>
    </row>
    <row r="23" spans="2:2" x14ac:dyDescent="0.2">
      <c r="B23" s="281" t="s">
        <v>569</v>
      </c>
    </row>
    <row r="24" spans="2:2" x14ac:dyDescent="0.2">
      <c r="B24" s="278" t="s">
        <v>570</v>
      </c>
    </row>
    <row r="25" spans="2:2" x14ac:dyDescent="0.2">
      <c r="B25" s="281" t="s">
        <v>571</v>
      </c>
    </row>
    <row r="26" spans="2:2" x14ac:dyDescent="0.2">
      <c r="B26" s="11" t="s">
        <v>572</v>
      </c>
    </row>
    <row r="27" spans="2:2" x14ac:dyDescent="0.2">
      <c r="B27" t="s">
        <v>573</v>
      </c>
    </row>
    <row r="28" spans="2:2" x14ac:dyDescent="0.2">
      <c r="B28" s="281" t="s">
        <v>574</v>
      </c>
    </row>
    <row r="29" spans="2:2" x14ac:dyDescent="0.2">
      <c r="B29" t="s">
        <v>575</v>
      </c>
    </row>
    <row r="30" spans="2:2" x14ac:dyDescent="0.2">
      <c r="B30" s="278" t="s">
        <v>576</v>
      </c>
    </row>
    <row r="31" spans="2:2" x14ac:dyDescent="0.2">
      <c r="B31" t="s">
        <v>577</v>
      </c>
    </row>
    <row r="32" spans="2:2" x14ac:dyDescent="0.2">
      <c r="B32" s="278" t="s">
        <v>578</v>
      </c>
    </row>
    <row r="33" spans="2:2" x14ac:dyDescent="0.2">
      <c r="B33" s="11" t="s">
        <v>579</v>
      </c>
    </row>
    <row r="34" spans="2:2" x14ac:dyDescent="0.2">
      <c r="B34" t="s">
        <v>580</v>
      </c>
    </row>
    <row r="35" spans="2:2" x14ac:dyDescent="0.2">
      <c r="B35" s="281" t="s">
        <v>581</v>
      </c>
    </row>
    <row r="43" spans="2:2" x14ac:dyDescent="0.2">
      <c r="B43" t="s">
        <v>582</v>
      </c>
    </row>
    <row r="44" spans="2:2" x14ac:dyDescent="0.2">
      <c r="B44" s="281" t="s">
        <v>583</v>
      </c>
    </row>
    <row r="50" spans="2:2" x14ac:dyDescent="0.2">
      <c r="B50" s="11" t="s">
        <v>584</v>
      </c>
    </row>
    <row r="51" spans="2:2" x14ac:dyDescent="0.2">
      <c r="B51" t="s">
        <v>585</v>
      </c>
    </row>
    <row r="52" spans="2:2" x14ac:dyDescent="0.2">
      <c r="B52" s="281" t="s">
        <v>586</v>
      </c>
    </row>
    <row r="53" spans="2:2" x14ac:dyDescent="0.2">
      <c r="B53" s="11" t="s">
        <v>587</v>
      </c>
    </row>
    <row r="54" spans="2:2" x14ac:dyDescent="0.2">
      <c r="B54" t="s">
        <v>588</v>
      </c>
    </row>
    <row r="55" spans="2:2" x14ac:dyDescent="0.2">
      <c r="B55" s="281" t="s">
        <v>589</v>
      </c>
    </row>
    <row r="56" spans="2:2" x14ac:dyDescent="0.2">
      <c r="B56" s="11" t="s">
        <v>590</v>
      </c>
    </row>
    <row r="57" spans="2:2" x14ac:dyDescent="0.2">
      <c r="B57" t="s">
        <v>591</v>
      </c>
    </row>
    <row r="58" spans="2:2" x14ac:dyDescent="0.2">
      <c r="B58" s="281" t="s">
        <v>592</v>
      </c>
    </row>
    <row r="74" spans="2:2" ht="12.75" customHeight="1" x14ac:dyDescent="0.2"/>
    <row r="75" spans="2:2" x14ac:dyDescent="0.2">
      <c r="B75" s="11" t="s">
        <v>593</v>
      </c>
    </row>
    <row r="97" spans="2:2" x14ac:dyDescent="0.2">
      <c r="B97" s="11" t="s">
        <v>594</v>
      </c>
    </row>
    <row r="124" spans="2:2" x14ac:dyDescent="0.2">
      <c r="B124" s="11" t="s">
        <v>595</v>
      </c>
    </row>
    <row r="125" spans="2:2" x14ac:dyDescent="0.2">
      <c r="B125" t="s">
        <v>596</v>
      </c>
    </row>
    <row r="126" spans="2:2" x14ac:dyDescent="0.2">
      <c r="B126" s="281" t="s">
        <v>597</v>
      </c>
    </row>
    <row r="127" spans="2:2" x14ac:dyDescent="0.2">
      <c r="B127" s="11" t="s">
        <v>598</v>
      </c>
    </row>
    <row r="128" spans="2:2" x14ac:dyDescent="0.2">
      <c r="B128" t="s">
        <v>599</v>
      </c>
    </row>
    <row r="129" spans="2:2" x14ac:dyDescent="0.2">
      <c r="B129" s="281" t="s">
        <v>600</v>
      </c>
    </row>
    <row r="130" spans="2:2" x14ac:dyDescent="0.2">
      <c r="B130" s="11" t="s">
        <v>601</v>
      </c>
    </row>
    <row r="131" spans="2:2" x14ac:dyDescent="0.2">
      <c r="B131" t="s">
        <v>602</v>
      </c>
    </row>
    <row r="132" spans="2:2" x14ac:dyDescent="0.2">
      <c r="B132" s="281" t="s">
        <v>603</v>
      </c>
    </row>
    <row r="133" spans="2:2" x14ac:dyDescent="0.2">
      <c r="B133" s="11" t="s">
        <v>604</v>
      </c>
    </row>
    <row r="134" spans="2:2" x14ac:dyDescent="0.2">
      <c r="B134" t="s">
        <v>605</v>
      </c>
    </row>
    <row r="135" spans="2:2" x14ac:dyDescent="0.2">
      <c r="B135" s="281" t="s">
        <v>606</v>
      </c>
    </row>
    <row r="136" spans="2:2" x14ac:dyDescent="0.2">
      <c r="B136" s="9" t="s">
        <v>607</v>
      </c>
    </row>
    <row r="137" spans="2:2" x14ac:dyDescent="0.2">
      <c r="B137" s="9" t="s">
        <v>608</v>
      </c>
    </row>
  </sheetData>
  <pageMargins left="0.7" right="0.7" top="0.75" bottom="0.75" header="0.3" footer="0.3"/>
  <drawing r:id="rId1"/>
</worksheet>
</file>

<file path=docMetadata/LabelInfo.xml><?xml version="1.0" encoding="utf-8"?>
<clbl:labelList xmlns:clbl="http://schemas.microsoft.com/office/2020/mipLabelMetadata">
  <clbl:label id="{c98a79ca-5a9a-4791-a243-f06afd67464d}" enabled="0" method="" siteId="{c98a79ca-5a9a-4791-a243-f06afd67464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Cover</vt:lpstr>
      <vt:lpstr>1a. Working for BRPO</vt:lpstr>
      <vt:lpstr>1b. Business Resilience </vt:lpstr>
      <vt:lpstr>1c. Pricing Optimization</vt:lpstr>
      <vt:lpstr>2. Marketing Pricing Strategy</vt:lpstr>
      <vt:lpstr>3. Customer Satisfaction</vt:lpstr>
      <vt:lpstr>4. Manpower Optimization </vt:lpstr>
      <vt:lpstr>2. Duplicate to play around</vt:lpstr>
      <vt:lpstr>Appendix---&gt;</vt:lpstr>
      <vt:lpstr>Ref - ALL THE DATA REQUIRED</vt:lpstr>
      <vt:lpstr>Appendix 1. Data Sources</vt:lpstr>
      <vt:lpstr>Appendix 2. Links and X-Ref</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Nor Hendra Abdul Rahman</cp:lastModifiedBy>
  <cp:revision/>
  <dcterms:created xsi:type="dcterms:W3CDTF">2025-06-08T02:31:43Z</dcterms:created>
  <dcterms:modified xsi:type="dcterms:W3CDTF">2025-08-16T05:59:19Z</dcterms:modified>
  <cp:category/>
  <cp:contentStatus/>
</cp:coreProperties>
</file>